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wmf" ContentType="image/x-wmf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queryTables/queryTable1.xml" ContentType="application/vnd.openxmlformats-officedocument.spreadsheetml.queryTable+xml"/>
  <Override PartName="/xl/drawings/drawing2.xml" ContentType="application/vnd.openxmlformats-officedocument.drawing+xml"/>
  <Override PartName="/xl/ctrlProps/ctrlProp1.xml" ContentType="application/vnd.ms-excel.controlpropertie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omments1.xml" ContentType="application/vnd.openxmlformats-officedocument.spreadsheetml.comments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omments2.xml" ContentType="application/vnd.openxmlformats-officedocument.spreadsheetml.comments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2="http://schemas.microsoft.com/office/spreadsheetml/2015/revision2" mc:Ignorable="x15 xr2">
  <fileVersion appName="xl" lastEdited="7" lowestEdited="6" rupBuild="18528"/>
  <workbookPr updateLinks="never" codeName="ЭтаКнига"/>
  <mc:AlternateContent xmlns:mc="http://schemas.openxmlformats.org/markup-compatibility/2006">
    <mc:Choice Requires="x15">
      <x15ac:absPath xmlns:x15ac="http://schemas.microsoft.com/office/spreadsheetml/2010/11/ac" url="C:\Users\admin\Desktop\"/>
    </mc:Choice>
  </mc:AlternateContent>
  <bookViews>
    <workbookView xWindow="0" yWindow="0" windowWidth="20490" windowHeight="7530" tabRatio="844" firstSheet="2" activeTab="2" xr2:uid="{00000000-000D-0000-FFFF-FFFF00000000}"/>
  </bookViews>
  <sheets>
    <sheet name="СОДЕРЖАНИЕ-1" sheetId="1" state="veryHidden" r:id="rId1"/>
    <sheet name="Контакты" sheetId="37" state="veryHidden" r:id="rId2"/>
    <sheet name="СОДЕРЖАНИЕ" sheetId="26" r:id="rId3"/>
    <sheet name="1.1" sheetId="2" r:id="rId4"/>
    <sheet name="1.2" sheetId="3" r:id="rId5"/>
    <sheet name="2" sheetId="4" r:id="rId6"/>
    <sheet name="3.1" sheetId="5" r:id="rId7"/>
    <sheet name="3.2" sheetId="6" r:id="rId8"/>
    <sheet name="3.3" sheetId="7" r:id="rId9"/>
    <sheet name="3.4" sheetId="8" r:id="rId10"/>
    <sheet name="3.5" sheetId="9" r:id="rId11"/>
    <sheet name="3.6" sheetId="20" r:id="rId12"/>
    <sheet name="3.7" sheetId="10" r:id="rId13"/>
    <sheet name="3.8" sheetId="11" r:id="rId14"/>
    <sheet name="3.9" sheetId="12" r:id="rId15"/>
    <sheet name="3.10" sheetId="34" r:id="rId16"/>
    <sheet name="3.11" sheetId="33" r:id="rId17"/>
    <sheet name="3.12" sheetId="32" r:id="rId18"/>
    <sheet name="3.13" sheetId="35" r:id="rId19"/>
    <sheet name="3.14" sheetId="36" r:id="rId20"/>
    <sheet name="4.1" sheetId="13" r:id="rId21"/>
    <sheet name="4.2" sheetId="14" r:id="rId22"/>
    <sheet name="5.1" sheetId="15" r:id="rId23"/>
    <sheet name="5.2" sheetId="16" r:id="rId24"/>
    <sheet name="6" sheetId="17" r:id="rId25"/>
    <sheet name="7" sheetId="18" r:id="rId26"/>
    <sheet name="8" sheetId="19" r:id="rId27"/>
    <sheet name="9.1" sheetId="21" r:id="rId28"/>
    <sheet name="9.2" sheetId="22" r:id="rId29"/>
    <sheet name="9.3" sheetId="31" r:id="rId30"/>
    <sheet name="10" sheetId="24" r:id="rId31"/>
    <sheet name="11" sheetId="27" r:id="rId32"/>
    <sheet name="12" sheetId="38" r:id="rId33"/>
    <sheet name="13" sheetId="29" r:id="rId34"/>
    <sheet name="14" sheetId="30" r:id="rId35"/>
    <sheet name="Лист1" sheetId="39" r:id="rId36"/>
  </sheets>
  <externalReferences>
    <externalReference r:id="rId37"/>
    <externalReference r:id="rId38"/>
    <externalReference r:id="rId39"/>
  </externalReferences>
  <definedNames>
    <definedName name="_23" localSheetId="0">'СОДЕРЖАНИЕ-1'!$J$29:$L$40</definedName>
    <definedName name="_8931832">'5.2'!$AF$32:$AG$37</definedName>
    <definedName name="_xlnm._FilterDatabase" localSheetId="3" hidden="1">'1.1'!$A$13:$U$41</definedName>
    <definedName name="AAвнутр.">'3.5'!$K$36:$Y$39</definedName>
    <definedName name="AH">'[1]12'!$P$99</definedName>
    <definedName name="ALVES">'8'!$S$53:$AE$68</definedName>
    <definedName name="ALVESDOP">'8'!$S$72:$T$83</definedName>
    <definedName name="ambia">[2]Лист1!$B$3:$D$47</definedName>
    <definedName name="arel">'3.5'!$AT$60:$BE$64</definedName>
    <definedName name="DA">'3.7'!$J$52:$P$55</definedName>
    <definedName name="HF">'5.2'!$AF$12:$AG$14</definedName>
    <definedName name="HF_заглушки">'5.1'!$P$2:$Q$2</definedName>
    <definedName name="HF_рычаги">'5.1'!$L$3:$L$6</definedName>
    <definedName name="HK">'5.2'!$AF$32:$AG$37</definedName>
    <definedName name="HL">'5.2'!$AF$26:$AG$30</definedName>
    <definedName name="HS">'5.2'!$AF$16:$AG$24</definedName>
    <definedName name="LBX.C">'9.1'!$BG$102:$BU$105</definedName>
    <definedName name="LBX.C.T">'[1]12'!$BF$98:$BT$101</definedName>
    <definedName name="LBX.C_Free">'9.1'!$BG$171:$BZ$174</definedName>
    <definedName name="LBX.M">'9.1'!$BG$30:$BR$34</definedName>
    <definedName name="LBX.M.T">'[1]12'!$BF$32:$BQ$35</definedName>
    <definedName name="MA">'3.7'!$J$25:$N$29</definedName>
    <definedName name="maa">'3.5'!$J$26:$U$30</definedName>
    <definedName name="MAATOBM">'3.12'!$J$29:$U$36</definedName>
    <definedName name="mbxH">'2'!$M$24:$Q$27</definedName>
    <definedName name="mbxK">'2'!$M$19:$Q$22</definedName>
    <definedName name="mbxM">'2'!$M$12:$Q$16</definedName>
    <definedName name="mbxN">'2'!$M$8:$Q$9</definedName>
    <definedName name="NA">'3.7'!$J$12:$N$13</definedName>
    <definedName name="NAA">'3.5'!$J$13:$U$14</definedName>
    <definedName name="NAATOBM">'3.12'!$J$12:$U$15</definedName>
    <definedName name="razd">'3.9'!$X$9:$AA$16</definedName>
    <definedName name="TBX">#REF!</definedName>
    <definedName name="tbxM">'3.1'!$K$23:$Q$32</definedName>
    <definedName name="Z_788B8383_784A_4263_9D04_45657AC129FF_.wvu.Cols" localSheetId="3" hidden="1">'1.1'!$F:$F,'1.1'!$N:$N</definedName>
    <definedName name="Z_788B8383_784A_4263_9D04_45657AC129FF_.wvu.Cols" localSheetId="4" hidden="1">'1.2'!$F:$F</definedName>
    <definedName name="Z_788B8383_784A_4263_9D04_45657AC129FF_.wvu.Cols" localSheetId="5" hidden="1">'2'!$F:$F,'2'!$M:$Q</definedName>
    <definedName name="Z_788B8383_784A_4263_9D04_45657AC129FF_.wvu.Cols" localSheetId="6" hidden="1">'3.1'!$F:$F,'3.1'!$K:$Q</definedName>
    <definedName name="Z_788B8383_784A_4263_9D04_45657AC129FF_.wvu.Cols" localSheetId="7" hidden="1">'3.2'!$F:$F,'3.2'!$J:$J</definedName>
    <definedName name="Z_788B8383_784A_4263_9D04_45657AC129FF_.wvu.Cols" localSheetId="8" hidden="1">'3.3'!$F:$F,'3.3'!$J:$K</definedName>
    <definedName name="Z_788B8383_784A_4263_9D04_45657AC129FF_.wvu.Cols" localSheetId="9" hidden="1">'3.4'!$F:$F,'3.4'!$J:$N</definedName>
    <definedName name="Z_788B8383_784A_4263_9D04_45657AC129FF_.wvu.Cols" localSheetId="10" hidden="1">'3.5'!$F:$F,'3.5'!$AT:$BF</definedName>
    <definedName name="Z_788B8383_784A_4263_9D04_45657AC129FF_.wvu.Cols" localSheetId="12" hidden="1">'3.7'!$F:$F,'3.7'!$J:$P</definedName>
    <definedName name="Z_788B8383_784A_4263_9D04_45657AC129FF_.wvu.Cols" localSheetId="13" hidden="1">'3.8'!$B:$B,'3.8'!$D:$D,'3.8'!$F:$G,'3.8'!$I:$I,'3.8'!$K:$K,'3.8'!$M:$N,'3.8'!$P:$P,'3.8'!$R:$R,'3.8'!$T:$U,'3.8'!$W:$W,'3.8'!$Y:$Y,'3.8'!$AA:$AD</definedName>
    <definedName name="Z_788B8383_784A_4263_9D04_45657AC129FF_.wvu.Cols" localSheetId="14" hidden="1">'3.9'!$E:$E,'3.9'!$J:$AA</definedName>
    <definedName name="Z_788B8383_784A_4263_9D04_45657AC129FF_.wvu.Cols" localSheetId="20" hidden="1">'4.1'!$E:$E,'4.1'!$L:$L</definedName>
    <definedName name="Z_788B8383_784A_4263_9D04_45657AC129FF_.wvu.Cols" localSheetId="21" hidden="1">'4.2'!$D:$D</definedName>
    <definedName name="Z_788B8383_784A_4263_9D04_45657AC129FF_.wvu.Cols" localSheetId="22" hidden="1">'5.1'!$F:$F,'5.1'!$J:$Q</definedName>
    <definedName name="Z_788B8383_784A_4263_9D04_45657AC129FF_.wvu.Cols" localSheetId="23" hidden="1">'5.2'!$B:$B,'5.2'!$D:$D,'5.2'!$F:$G,'5.2'!$I:$I,'5.2'!$K:$K,'5.2'!$M:$N,'5.2'!$P:$P,'5.2'!$R:$R,'5.2'!$T:$AB,'5.2'!$AF:$AG</definedName>
    <definedName name="Z_788B8383_784A_4263_9D04_45657AC129FF_.wvu.Cols" localSheetId="24" hidden="1">'6'!$F:$F</definedName>
    <definedName name="Z_788B8383_784A_4263_9D04_45657AC129FF_.wvu.Cols" localSheetId="25" hidden="1">'7'!$F:$F</definedName>
    <definedName name="Z_788B8383_784A_4263_9D04_45657AC129FF_.wvu.Cols" localSheetId="26" hidden="1">'8'!$L:$L,'8'!$Q:$AH</definedName>
    <definedName name="Z_788B8383_784A_4263_9D04_45657AC129FF_.wvu.Cols" localSheetId="0" hidden="1">'СОДЕРЖАНИЕ-1'!$F:$F</definedName>
    <definedName name="Z_788B8383_784A_4263_9D04_45657AC129FF_.wvu.FilterData" localSheetId="3" hidden="1">'1.1'!$A$13:$U$41</definedName>
    <definedName name="Z_788B8383_784A_4263_9D04_45657AC129FF_.wvu.Rows" localSheetId="3" hidden="1">'1.1'!$13:$41</definedName>
    <definedName name="Z_788B8383_784A_4263_9D04_45657AC129FF_.wvu.Rows" localSheetId="13" hidden="1">'3.8'!$18:$27</definedName>
    <definedName name="Z_788B8383_784A_4263_9D04_45657AC129FF_.wvu.Rows" localSheetId="23" hidden="1">'5.2'!$33:$36</definedName>
    <definedName name="Z_788B8383_784A_4263_9D04_45657AC129FF_.wvu.Rows" localSheetId="0" hidden="1">'СОДЕРЖАНИЕ-1'!$29:$1827</definedName>
    <definedName name="б">#REF!</definedName>
    <definedName name="бут450">'10'!$K$8:$AB$13</definedName>
    <definedName name="бут500">'10'!$K$17:$AB$22</definedName>
    <definedName name="вр">'СОДЕРЖАНИЕ-1'!$D$30:$F$1420</definedName>
    <definedName name="всецены">'СОДЕРЖАНИЕ-1'!$C$30:$F$40312</definedName>
    <definedName name="глубина">'3.1'!$K$24:$Q$29</definedName>
    <definedName name="глубинан">'3.1'!$K$12:$P$13</definedName>
    <definedName name="д">#REF!</definedName>
    <definedName name="дб">#REF!</definedName>
    <definedName name="Индивидуальная">'9.1'!$R$205:$U$222</definedName>
    <definedName name="м">#REF!</definedName>
    <definedName name="н">#REF!</definedName>
    <definedName name="тип">#REF!</definedName>
    <definedName name="типглубина">'3.4'!$J$11:$L$16</definedName>
    <definedName name="Торговая">'9.1'!$S$167:$T$260</definedName>
    <definedName name="ширина">'3.4'!$J$50:$K$59</definedName>
  </definedNames>
  <calcPr calcId="171027"/>
  <customWorkbookViews>
    <customWorkbookView name="Горшков Кирилл - Личное представление" guid="{788B8383-784A-4263-9D04-45657AC129FF}" mergeInterval="0" personalView="1" maximized="1" windowWidth="1276" windowHeight="805" tabRatio="916" activeSheetId="1"/>
  </customWorkbookViews>
</workbook>
</file>

<file path=xl/calcChain.xml><?xml version="1.0" encoding="utf-8"?>
<calcChain xmlns="http://schemas.openxmlformats.org/spreadsheetml/2006/main">
  <c r="P2" i="26" l="1"/>
  <c r="D162" i="38" l="1"/>
  <c r="D161" i="38"/>
  <c r="C176" i="38"/>
  <c r="C197" i="38" s="1"/>
  <c r="C217" i="38" s="1"/>
  <c r="C175" i="38"/>
  <c r="C196" i="38" s="1"/>
  <c r="C216" i="38" s="1"/>
  <c r="C138" i="38"/>
  <c r="C137" i="38"/>
  <c r="C100" i="38"/>
  <c r="C119" i="38" s="1"/>
  <c r="C99" i="38"/>
  <c r="C118" i="38" s="1"/>
  <c r="C37" i="38"/>
  <c r="C51" i="38" s="1"/>
  <c r="C36" i="38"/>
  <c r="C50" i="38" s="1"/>
  <c r="C21" i="38"/>
  <c r="C20" i="38"/>
  <c r="D4" i="38" l="1"/>
  <c r="AN181" i="38" s="1"/>
  <c r="C222" i="38"/>
  <c r="C221" i="38"/>
  <c r="D221" i="38" s="1"/>
  <c r="C220" i="38"/>
  <c r="D220" i="38" s="1"/>
  <c r="D217" i="38"/>
  <c r="D216" i="38"/>
  <c r="C212" i="38"/>
  <c r="C211" i="38"/>
  <c r="D211" i="38" s="1"/>
  <c r="C210" i="38"/>
  <c r="D210" i="38" s="1"/>
  <c r="C209" i="38"/>
  <c r="D209" i="38" s="1"/>
  <c r="C208" i="38"/>
  <c r="D207" i="38"/>
  <c r="D206" i="38"/>
  <c r="C202" i="38"/>
  <c r="D202" i="38" s="1"/>
  <c r="C201" i="38"/>
  <c r="C200" i="38"/>
  <c r="D200" i="38" s="1"/>
  <c r="D197" i="38"/>
  <c r="D196" i="38"/>
  <c r="C192" i="38"/>
  <c r="D192" i="38" s="1"/>
  <c r="C191" i="38"/>
  <c r="C190" i="38"/>
  <c r="D190" i="38" s="1"/>
  <c r="C189" i="38"/>
  <c r="D189" i="38" s="1"/>
  <c r="C188" i="38"/>
  <c r="D188" i="38" s="1"/>
  <c r="C187" i="38"/>
  <c r="D186" i="38"/>
  <c r="D185" i="38"/>
  <c r="AX181" i="38"/>
  <c r="AW181" i="38"/>
  <c r="AE181" i="38"/>
  <c r="W181" i="38"/>
  <c r="C181" i="38"/>
  <c r="D181" i="38" s="1"/>
  <c r="C180" i="38"/>
  <c r="D180" i="38" s="1"/>
  <c r="C179" i="38"/>
  <c r="D179" i="38" s="1"/>
  <c r="D176" i="38"/>
  <c r="D175" i="38"/>
  <c r="BG174" i="38"/>
  <c r="BK178" i="38" s="1"/>
  <c r="M172" i="38"/>
  <c r="BH171" i="38"/>
  <c r="D171" i="38"/>
  <c r="BH170" i="38"/>
  <c r="BH169" i="38"/>
  <c r="BH168" i="38"/>
  <c r="F155" i="38"/>
  <c r="H155" i="38" s="1"/>
  <c r="D155" i="38"/>
  <c r="F154" i="38"/>
  <c r="H154" i="38" s="1"/>
  <c r="D154" i="38"/>
  <c r="F153" i="38"/>
  <c r="H153" i="38" s="1"/>
  <c r="D153" i="38"/>
  <c r="F152" i="38"/>
  <c r="H152" i="38" s="1"/>
  <c r="D152" i="38"/>
  <c r="F151" i="38"/>
  <c r="H151" i="38" s="1"/>
  <c r="D151" i="38"/>
  <c r="F150" i="38"/>
  <c r="H150" i="38" s="1"/>
  <c r="D150" i="38"/>
  <c r="F149" i="38"/>
  <c r="H149" i="38" s="1"/>
  <c r="D149" i="38"/>
  <c r="F148" i="38"/>
  <c r="H148" i="38" s="1"/>
  <c r="D148" i="38"/>
  <c r="F147" i="38"/>
  <c r="H147" i="38" s="1"/>
  <c r="D147" i="38"/>
  <c r="F146" i="38"/>
  <c r="H146" i="38" s="1"/>
  <c r="D146" i="38"/>
  <c r="F145" i="38"/>
  <c r="H145" i="38" s="1"/>
  <c r="D145" i="38"/>
  <c r="F144" i="38"/>
  <c r="H144" i="38" s="1"/>
  <c r="D144" i="38"/>
  <c r="F143" i="38"/>
  <c r="H143" i="38" s="1"/>
  <c r="I143" i="38" s="1"/>
  <c r="D143" i="38"/>
  <c r="AX139" i="38"/>
  <c r="AY139" i="38" s="1"/>
  <c r="AZ139" i="38" s="1"/>
  <c r="BA139" i="38" s="1"/>
  <c r="BB139" i="38" s="1"/>
  <c r="BC139" i="38" s="1"/>
  <c r="BD139" i="38" s="1"/>
  <c r="AO139" i="38"/>
  <c r="AP139" i="38" s="1"/>
  <c r="AQ139" i="38" s="1"/>
  <c r="AR139" i="38" s="1"/>
  <c r="AS139" i="38" s="1"/>
  <c r="AT139" i="38" s="1"/>
  <c r="AU139" i="38" s="1"/>
  <c r="AF139" i="38"/>
  <c r="AG139" i="38" s="1"/>
  <c r="AH139" i="38" s="1"/>
  <c r="AI139" i="38" s="1"/>
  <c r="AJ139" i="38" s="1"/>
  <c r="AK139" i="38" s="1"/>
  <c r="AL139" i="38" s="1"/>
  <c r="W139" i="38"/>
  <c r="X139" i="38" s="1"/>
  <c r="Y139" i="38" s="1"/>
  <c r="Z139" i="38" s="1"/>
  <c r="AA139" i="38" s="1"/>
  <c r="AB139" i="38" s="1"/>
  <c r="AC139" i="38" s="1"/>
  <c r="D130" i="38"/>
  <c r="BG129" i="38"/>
  <c r="M129" i="38"/>
  <c r="D129" i="38"/>
  <c r="C126" i="38"/>
  <c r="B126" i="38"/>
  <c r="I125" i="38"/>
  <c r="D119" i="38"/>
  <c r="D118" i="38"/>
  <c r="C113" i="38"/>
  <c r="D113" i="38" s="1"/>
  <c r="C112" i="38"/>
  <c r="D112" i="38" s="1"/>
  <c r="C111" i="38"/>
  <c r="D111" i="38" s="1"/>
  <c r="C110" i="38"/>
  <c r="D110" i="38" s="1"/>
  <c r="C109" i="38"/>
  <c r="D109" i="38" s="1"/>
  <c r="C108" i="38"/>
  <c r="D108" i="38" s="1"/>
  <c r="D107" i="38"/>
  <c r="D106" i="38"/>
  <c r="AX104" i="38"/>
  <c r="AY104" i="38" s="1"/>
  <c r="AZ104" i="38" s="1"/>
  <c r="BA104" i="38" s="1"/>
  <c r="BB104" i="38" s="1"/>
  <c r="BC104" i="38" s="1"/>
  <c r="BD104" i="38" s="1"/>
  <c r="AO104" i="38"/>
  <c r="AP104" i="38" s="1"/>
  <c r="AQ104" i="38" s="1"/>
  <c r="AR104" i="38" s="1"/>
  <c r="AS104" i="38" s="1"/>
  <c r="AT104" i="38" s="1"/>
  <c r="AU104" i="38" s="1"/>
  <c r="AF104" i="38"/>
  <c r="AG104" i="38" s="1"/>
  <c r="AH104" i="38" s="1"/>
  <c r="AI104" i="38" s="1"/>
  <c r="AJ104" i="38" s="1"/>
  <c r="AK104" i="38" s="1"/>
  <c r="AL104" i="38" s="1"/>
  <c r="W104" i="38"/>
  <c r="X104" i="38" s="1"/>
  <c r="Y104" i="38" s="1"/>
  <c r="Z104" i="38" s="1"/>
  <c r="AA104" i="38" s="1"/>
  <c r="AB104" i="38" s="1"/>
  <c r="AC104" i="38" s="1"/>
  <c r="N104" i="38"/>
  <c r="O104" i="38" s="1"/>
  <c r="P104" i="38" s="1"/>
  <c r="Q104" i="38" s="1"/>
  <c r="R104" i="38" s="1"/>
  <c r="S104" i="38" s="1"/>
  <c r="T104" i="38" s="1"/>
  <c r="B104" i="38"/>
  <c r="I103" i="38"/>
  <c r="D100" i="38"/>
  <c r="BG97" i="38"/>
  <c r="BW101" i="38" s="1"/>
  <c r="D94" i="38"/>
  <c r="AW93" i="38"/>
  <c r="AW129" i="38" s="1"/>
  <c r="AN93" i="38"/>
  <c r="AN129" i="38" s="1"/>
  <c r="AE93" i="38"/>
  <c r="AE129" i="38" s="1"/>
  <c r="V93" i="38"/>
  <c r="M93" i="38"/>
  <c r="N178" i="38" s="1"/>
  <c r="C91" i="38"/>
  <c r="B91" i="38"/>
  <c r="I90" i="38"/>
  <c r="F87" i="38"/>
  <c r="H87" i="38" s="1"/>
  <c r="D87" i="38"/>
  <c r="F86" i="38"/>
  <c r="H86" i="38" s="1"/>
  <c r="D86" i="38"/>
  <c r="F85" i="38"/>
  <c r="H85" i="38" s="1"/>
  <c r="D85" i="38"/>
  <c r="F84" i="38"/>
  <c r="H84" i="38" s="1"/>
  <c r="D84" i="38"/>
  <c r="F83" i="38"/>
  <c r="H83" i="38" s="1"/>
  <c r="D83" i="38"/>
  <c r="F82" i="38"/>
  <c r="H82" i="38" s="1"/>
  <c r="D82" i="38"/>
  <c r="F81" i="38"/>
  <c r="H81" i="38" s="1"/>
  <c r="D81" i="38"/>
  <c r="F80" i="38"/>
  <c r="H80" i="38" s="1"/>
  <c r="D80" i="38"/>
  <c r="F79" i="38"/>
  <c r="H79" i="38" s="1"/>
  <c r="D79" i="38"/>
  <c r="F78" i="38"/>
  <c r="H78" i="38" s="1"/>
  <c r="D78" i="38"/>
  <c r="F77" i="38"/>
  <c r="H77" i="38" s="1"/>
  <c r="D77" i="38"/>
  <c r="F76" i="38"/>
  <c r="H76" i="38" s="1"/>
  <c r="D76" i="38"/>
  <c r="F75" i="38"/>
  <c r="H75" i="38" s="1"/>
  <c r="I75" i="38" s="1"/>
  <c r="D75" i="38"/>
  <c r="F70" i="38"/>
  <c r="H70" i="38" s="1"/>
  <c r="D70" i="38"/>
  <c r="F69" i="38"/>
  <c r="H69" i="38" s="1"/>
  <c r="D69" i="38"/>
  <c r="F68" i="38"/>
  <c r="H68" i="38" s="1"/>
  <c r="D68" i="38"/>
  <c r="F67" i="38"/>
  <c r="H67" i="38" s="1"/>
  <c r="D67" i="38"/>
  <c r="F66" i="38"/>
  <c r="H66" i="38" s="1"/>
  <c r="D66" i="38"/>
  <c r="F65" i="38"/>
  <c r="H65" i="38" s="1"/>
  <c r="D65" i="38"/>
  <c r="F64" i="38"/>
  <c r="H64" i="38" s="1"/>
  <c r="D64" i="38"/>
  <c r="F63" i="38"/>
  <c r="H63" i="38" s="1"/>
  <c r="D63" i="38"/>
  <c r="F62" i="38"/>
  <c r="H62" i="38" s="1"/>
  <c r="D62" i="38"/>
  <c r="F61" i="38"/>
  <c r="H61" i="38" s="1"/>
  <c r="I61" i="38" s="1"/>
  <c r="D61" i="38"/>
  <c r="D51" i="38"/>
  <c r="D50" i="38"/>
  <c r="C45" i="38"/>
  <c r="D45" i="38" s="1"/>
  <c r="C44" i="38"/>
  <c r="D44" i="38" s="1"/>
  <c r="C43" i="38"/>
  <c r="D43" i="38" s="1"/>
  <c r="D42" i="38"/>
  <c r="D41" i="38"/>
  <c r="B39" i="38"/>
  <c r="BG30" i="38"/>
  <c r="BN35" i="38" s="1"/>
  <c r="D29" i="38"/>
  <c r="M27" i="38"/>
  <c r="P36" i="38" s="1"/>
  <c r="C26" i="38"/>
  <c r="B26" i="38"/>
  <c r="I25" i="38"/>
  <c r="BI20" i="38"/>
  <c r="BH20" i="38"/>
  <c r="BI19" i="38"/>
  <c r="BH19" i="38"/>
  <c r="BI18" i="38"/>
  <c r="BH18" i="38"/>
  <c r="V16" i="38"/>
  <c r="BI15" i="38"/>
  <c r="BH15" i="38"/>
  <c r="BI14" i="38"/>
  <c r="BH14" i="38"/>
  <c r="BI13" i="38"/>
  <c r="BH13" i="38"/>
  <c r="D13" i="38"/>
  <c r="M11" i="38"/>
  <c r="Q16" i="38" s="1"/>
  <c r="C10" i="38"/>
  <c r="I9" i="38"/>
  <c r="AA6" i="38"/>
  <c r="X6" i="38"/>
  <c r="AA5" i="38"/>
  <c r="AA4" i="38"/>
  <c r="AB3" i="38"/>
  <c r="AA3" i="38"/>
  <c r="AB2" i="38"/>
  <c r="AA2" i="38"/>
  <c r="BH99" i="38" l="1"/>
  <c r="BH101" i="38"/>
  <c r="S16" i="38"/>
  <c r="C14" i="38" s="1"/>
  <c r="N16" i="38"/>
  <c r="BN98" i="38"/>
  <c r="BN100" i="38"/>
  <c r="O15" i="38"/>
  <c r="O16" i="38"/>
  <c r="D20" i="38" s="1"/>
  <c r="T16" i="38"/>
  <c r="C15" i="38" s="1"/>
  <c r="BH33" i="38"/>
  <c r="BK34" i="38"/>
  <c r="BI35" i="38"/>
  <c r="BW99" i="38"/>
  <c r="BJ178" i="38"/>
  <c r="P15" i="38"/>
  <c r="P16" i="38"/>
  <c r="D21" i="38" s="1"/>
  <c r="N15" i="38"/>
  <c r="BH31" i="38"/>
  <c r="C34" i="38" s="1"/>
  <c r="C52" i="38" s="1"/>
  <c r="BL33" i="38"/>
  <c r="BL34" i="38"/>
  <c r="BJ35" i="38"/>
  <c r="BI175" i="38"/>
  <c r="BN31" i="38"/>
  <c r="R16" i="38"/>
  <c r="BL31" i="38"/>
  <c r="BM33" i="38"/>
  <c r="BU34" i="38"/>
  <c r="BH176" i="38"/>
  <c r="AF181" i="38"/>
  <c r="N181" i="38" s="1"/>
  <c r="AO181" i="38"/>
  <c r="BI178" i="38"/>
  <c r="V181" i="38"/>
  <c r="BH175" i="38" s="1"/>
  <c r="D15" i="38"/>
  <c r="M34" i="38"/>
  <c r="S34" i="38"/>
  <c r="D14" i="38"/>
  <c r="O29" i="38"/>
  <c r="T29" i="38"/>
  <c r="P31" i="38"/>
  <c r="M35" i="38"/>
  <c r="R35" i="38"/>
  <c r="M36" i="38"/>
  <c r="N29" i="38"/>
  <c r="S29" i="38"/>
  <c r="O31" i="38"/>
  <c r="T31" i="38"/>
  <c r="M32" i="38"/>
  <c r="R32" i="38"/>
  <c r="N33" i="38"/>
  <c r="S33" i="38"/>
  <c r="Q35" i="38"/>
  <c r="T36" i="38"/>
  <c r="N32" i="38"/>
  <c r="T32" i="38"/>
  <c r="O33" i="38"/>
  <c r="O34" i="38"/>
  <c r="T34" i="38"/>
  <c r="P29" i="38"/>
  <c r="BO35" i="38"/>
  <c r="BK35" i="38"/>
  <c r="BM34" i="38"/>
  <c r="BI34" i="38"/>
  <c r="BO33" i="38"/>
  <c r="BK33" i="38"/>
  <c r="BM31" i="38"/>
  <c r="BI31" i="38"/>
  <c r="Q31" i="38"/>
  <c r="BJ31" i="38"/>
  <c r="BO31" i="38"/>
  <c r="P32" i="38"/>
  <c r="BU32" i="38"/>
  <c r="Q33" i="38"/>
  <c r="BI33" i="38"/>
  <c r="BN33" i="38"/>
  <c r="P34" i="38"/>
  <c r="BH34" i="38"/>
  <c r="BN34" i="38"/>
  <c r="N35" i="38"/>
  <c r="S35" i="38"/>
  <c r="BL35" i="38"/>
  <c r="D36" i="38"/>
  <c r="S36" i="38"/>
  <c r="O36" i="38"/>
  <c r="T35" i="38"/>
  <c r="P35" i="38"/>
  <c r="R34" i="38"/>
  <c r="N34" i="38"/>
  <c r="T33" i="38"/>
  <c r="P33" i="38"/>
  <c r="S32" i="38"/>
  <c r="O32" i="38"/>
  <c r="R31" i="38"/>
  <c r="N31" i="38"/>
  <c r="Q29" i="38"/>
  <c r="M29" i="38"/>
  <c r="R36" i="38"/>
  <c r="N36" i="38"/>
  <c r="R29" i="38"/>
  <c r="M31" i="38"/>
  <c r="S31" i="38"/>
  <c r="BK31" i="38"/>
  <c r="BU31" i="38"/>
  <c r="Q32" i="38"/>
  <c r="M33" i="38"/>
  <c r="R33" i="38"/>
  <c r="BJ33" i="38"/>
  <c r="BU33" i="38"/>
  <c r="Q34" i="38"/>
  <c r="BJ34" i="38"/>
  <c r="BO34" i="38"/>
  <c r="O35" i="38"/>
  <c r="BH35" i="38"/>
  <c r="BM35" i="38"/>
  <c r="Q36" i="38"/>
  <c r="R98" i="38"/>
  <c r="BM98" i="38"/>
  <c r="T99" i="38"/>
  <c r="BO99" i="38"/>
  <c r="R100" i="38"/>
  <c r="BM100" i="38"/>
  <c r="T101" i="38"/>
  <c r="Q102" i="38"/>
  <c r="O103" i="38"/>
  <c r="S98" i="38"/>
  <c r="M99" i="38"/>
  <c r="S100" i="38"/>
  <c r="M101" i="38"/>
  <c r="R102" i="38"/>
  <c r="S103" i="38"/>
  <c r="BM178" i="38"/>
  <c r="BM177" i="38"/>
  <c r="BN176" i="38"/>
  <c r="BJ176" i="38"/>
  <c r="BO175" i="38"/>
  <c r="BK175" i="38"/>
  <c r="BL178" i="38"/>
  <c r="BL177" i="38"/>
  <c r="BM176" i="38"/>
  <c r="BN175" i="38"/>
  <c r="BJ175" i="38"/>
  <c r="BO178" i="38"/>
  <c r="BK177" i="38"/>
  <c r="BL176" i="38"/>
  <c r="BN178" i="38"/>
  <c r="BJ177" i="38"/>
  <c r="BK176" i="38"/>
  <c r="BM101" i="38"/>
  <c r="BN177" i="38"/>
  <c r="BO176" i="38"/>
  <c r="BL175" i="38"/>
  <c r="BO177" i="38"/>
  <c r="BO101" i="38"/>
  <c r="BJ101" i="38"/>
  <c r="BW100" i="38"/>
  <c r="BL100" i="38"/>
  <c r="BH100" i="38"/>
  <c r="BN99" i="38"/>
  <c r="BJ99" i="38"/>
  <c r="BW98" i="38"/>
  <c r="BL98" i="38"/>
  <c r="BH98" i="38"/>
  <c r="C101" i="38" s="1"/>
  <c r="BM175" i="38"/>
  <c r="BN101" i="38"/>
  <c r="BI101" i="38"/>
  <c r="BO100" i="38"/>
  <c r="BK100" i="38"/>
  <c r="BM99" i="38"/>
  <c r="BI99" i="38"/>
  <c r="BO98" i="38"/>
  <c r="BK98" i="38"/>
  <c r="N98" i="38"/>
  <c r="BI98" i="38"/>
  <c r="P99" i="38"/>
  <c r="BK99" i="38"/>
  <c r="N100" i="38"/>
  <c r="BI100" i="38"/>
  <c r="P101" i="38"/>
  <c r="BK101" i="38"/>
  <c r="T103" i="38"/>
  <c r="M15" i="38"/>
  <c r="M16" i="38"/>
  <c r="C18" i="38" s="1"/>
  <c r="Q103" i="38"/>
  <c r="O98" i="38"/>
  <c r="BJ98" i="38"/>
  <c r="D99" i="38"/>
  <c r="Q99" i="38"/>
  <c r="BL99" i="38"/>
  <c r="O100" i="38"/>
  <c r="BJ100" i="38"/>
  <c r="Q101" i="38"/>
  <c r="BL101" i="38"/>
  <c r="M102" i="38"/>
  <c r="M103" i="38"/>
  <c r="Q181" i="38"/>
  <c r="T180" i="38"/>
  <c r="Q179" i="38"/>
  <c r="R178" i="38"/>
  <c r="R177" i="38"/>
  <c r="T181" i="38"/>
  <c r="S180" i="38"/>
  <c r="T179" i="38"/>
  <c r="Q178" i="38"/>
  <c r="Q177" i="38"/>
  <c r="S181" i="38"/>
  <c r="R179" i="38"/>
  <c r="T178" i="38"/>
  <c r="R181" i="38"/>
  <c r="S178" i="38"/>
  <c r="R103" i="38"/>
  <c r="N103" i="38"/>
  <c r="S102" i="38"/>
  <c r="O102" i="38"/>
  <c r="Q180" i="38"/>
  <c r="S179" i="38"/>
  <c r="M178" i="38"/>
  <c r="S177" i="38"/>
  <c r="P98" i="38"/>
  <c r="T98" i="38"/>
  <c r="N99" i="38"/>
  <c r="R99" i="38"/>
  <c r="P100" i="38"/>
  <c r="T100" i="38"/>
  <c r="N101" i="38"/>
  <c r="R101" i="38"/>
  <c r="N102" i="38"/>
  <c r="T102" i="38"/>
  <c r="P103" i="38"/>
  <c r="V129" i="38"/>
  <c r="Q137" i="38" s="1"/>
  <c r="M98" i="38"/>
  <c r="Q98" i="38"/>
  <c r="O99" i="38"/>
  <c r="S99" i="38"/>
  <c r="M100" i="38"/>
  <c r="Q100" i="38"/>
  <c r="O101" i="38"/>
  <c r="S101" i="38"/>
  <c r="P102" i="38"/>
  <c r="T177" i="38"/>
  <c r="M181" i="38"/>
  <c r="D187" i="38"/>
  <c r="R180" i="38"/>
  <c r="D191" i="38"/>
  <c r="D201" i="38"/>
  <c r="D208" i="38"/>
  <c r="D212" i="38"/>
  <c r="BH177" i="38"/>
  <c r="BH178" i="38"/>
  <c r="D222" i="38"/>
  <c r="BI177" i="38"/>
  <c r="D101" i="38" l="1"/>
  <c r="C102" i="38" s="1"/>
  <c r="C120" i="38"/>
  <c r="BI176" i="38"/>
  <c r="N133" i="38"/>
  <c r="P133" i="38"/>
  <c r="N135" i="38"/>
  <c r="O135" i="38"/>
  <c r="P135" i="38"/>
  <c r="Q135" i="38"/>
  <c r="R135" i="38"/>
  <c r="P136" i="38"/>
  <c r="O137" i="38"/>
  <c r="N136" i="38"/>
  <c r="S136" i="38"/>
  <c r="T136" i="38"/>
  <c r="S137" i="38"/>
  <c r="M138" i="38"/>
  <c r="C135" i="38" s="1"/>
  <c r="M137" i="38"/>
  <c r="N138" i="38"/>
  <c r="O138" i="38"/>
  <c r="M133" i="38"/>
  <c r="O133" i="38"/>
  <c r="P138" i="38"/>
  <c r="D138" i="38" s="1"/>
  <c r="D137" i="38"/>
  <c r="D120" i="38"/>
  <c r="D18" i="38"/>
  <c r="C19" i="38" s="1"/>
  <c r="M136" i="38"/>
  <c r="S138" i="38"/>
  <c r="C131" i="38" s="1"/>
  <c r="O136" i="38"/>
  <c r="Q133" i="38"/>
  <c r="N137" i="38"/>
  <c r="R133" i="38"/>
  <c r="T137" i="38"/>
  <c r="S133" i="38"/>
  <c r="R136" i="38"/>
  <c r="T138" i="38"/>
  <c r="C132" i="38" s="1"/>
  <c r="D135" i="38"/>
  <c r="C136" i="38" s="1"/>
  <c r="F126" i="38"/>
  <c r="T133" i="38"/>
  <c r="P137" i="38"/>
  <c r="M135" i="38"/>
  <c r="R137" i="38"/>
  <c r="S135" i="38"/>
  <c r="Q138" i="38"/>
  <c r="Q136" i="38"/>
  <c r="R138" i="38"/>
  <c r="T135" i="38"/>
  <c r="E136" i="38" l="1"/>
  <c r="D136" i="38"/>
  <c r="E19" i="38"/>
  <c r="D19" i="38"/>
  <c r="C17" i="38"/>
  <c r="C16" i="38"/>
  <c r="E37" i="38"/>
  <c r="D37" i="38"/>
  <c r="D132" i="38"/>
  <c r="D131" i="38"/>
  <c r="E16" i="38" l="1"/>
  <c r="D16" i="38"/>
  <c r="E17" i="38"/>
  <c r="D17" i="38"/>
  <c r="C103" i="15" l="1"/>
  <c r="C92" i="15"/>
  <c r="C135" i="15"/>
  <c r="C122" i="15"/>
  <c r="I205" i="38" l="1"/>
  <c r="I184" i="38"/>
  <c r="F227" i="38"/>
  <c r="I169" i="38"/>
  <c r="I127" i="38"/>
  <c r="I105" i="38"/>
  <c r="I92" i="38"/>
  <c r="I27" i="38"/>
  <c r="I11" i="38"/>
  <c r="I40" i="38"/>
  <c r="E1" i="37"/>
  <c r="M8" i="26" s="1"/>
  <c r="A3" i="37"/>
  <c r="A4" i="37" s="1"/>
  <c r="A5" i="37" s="1"/>
  <c r="A6" i="37" s="1"/>
  <c r="A7" i="37" s="1"/>
  <c r="A8" i="37" s="1"/>
  <c r="A9" i="37" s="1"/>
  <c r="A10" i="37" s="1"/>
  <c r="A11" i="37" s="1"/>
  <c r="A12" i="37" s="1"/>
  <c r="A13" i="37" s="1"/>
  <c r="A14" i="37" s="1"/>
  <c r="A15" i="37" s="1"/>
  <c r="A16" i="37" s="1"/>
  <c r="A17" i="37" s="1"/>
  <c r="A18" i="37" s="1"/>
  <c r="A19" i="37" s="1"/>
  <c r="A20" i="37" s="1"/>
  <c r="A21" i="37" s="1"/>
  <c r="A22" i="37" s="1"/>
  <c r="A2" i="37"/>
  <c r="Q2" i="26"/>
  <c r="O2" i="26"/>
  <c r="P1" i="26"/>
  <c r="C129" i="35" l="1"/>
  <c r="C107" i="35"/>
  <c r="C87" i="35"/>
  <c r="C70" i="35"/>
  <c r="C51" i="35"/>
  <c r="C33" i="35"/>
  <c r="C16" i="35"/>
  <c r="C132" i="32"/>
  <c r="C116" i="32"/>
  <c r="C90" i="32"/>
  <c r="C74" i="32"/>
  <c r="C54" i="32"/>
  <c r="C37" i="32"/>
  <c r="C17" i="32"/>
  <c r="D6" i="12" l="1"/>
  <c r="D89" i="2"/>
  <c r="G54" i="2"/>
  <c r="E56" i="2"/>
  <c r="E57" i="2" s="1"/>
  <c r="E58" i="2" s="1"/>
  <c r="E59" i="2" s="1"/>
  <c r="F53" i="2"/>
  <c r="I128" i="21" l="1"/>
  <c r="BG132" i="21" l="1"/>
  <c r="AB3" i="21"/>
  <c r="AB2" i="21"/>
  <c r="E9" i="22"/>
  <c r="E8" i="22"/>
  <c r="E7" i="22"/>
  <c r="AG6" i="22"/>
  <c r="AG7" i="22" s="1"/>
  <c r="AG8" i="22" s="1"/>
  <c r="AG9" i="22" s="1"/>
  <c r="AG10" i="22" s="1"/>
  <c r="AG11" i="22" s="1"/>
  <c r="AG12" i="22" s="1"/>
  <c r="AG13" i="22" s="1"/>
  <c r="AG14" i="22" s="1"/>
  <c r="AG15" i="22" s="1"/>
  <c r="AF3" i="22"/>
  <c r="AE3" i="22"/>
  <c r="AD3" i="22"/>
  <c r="AW12" i="22"/>
  <c r="AW15" i="22" s="1"/>
  <c r="AZ12" i="22"/>
  <c r="AZ15" i="22" s="1"/>
  <c r="AY12" i="22"/>
  <c r="AY15" i="22" s="1"/>
  <c r="AX12" i="22"/>
  <c r="AX15" i="22" s="1"/>
  <c r="AV12" i="22"/>
  <c r="AV15" i="22" s="1"/>
  <c r="AN7" i="22"/>
  <c r="AN8" i="22" s="1"/>
  <c r="AN9" i="22" s="1"/>
  <c r="AN10" i="22" s="1"/>
  <c r="AN11" i="22" s="1"/>
  <c r="AN12" i="22" s="1"/>
  <c r="AN13" i="22" s="1"/>
  <c r="AN14" i="22" s="1"/>
  <c r="AN15" i="22" s="1"/>
  <c r="AM7" i="22"/>
  <c r="AM8" i="22" s="1"/>
  <c r="AM9" i="22" s="1"/>
  <c r="AM10" i="22" s="1"/>
  <c r="AM11" i="22" s="1"/>
  <c r="AM12" i="22" s="1"/>
  <c r="AM13" i="22" s="1"/>
  <c r="AM14" i="22" s="1"/>
  <c r="AM15" i="22" s="1"/>
  <c r="AL7" i="22"/>
  <c r="AL8" i="22" s="1"/>
  <c r="AL9" i="22" s="1"/>
  <c r="AL10" i="22" s="1"/>
  <c r="AL11" i="22" s="1"/>
  <c r="AL12" i="22" s="1"/>
  <c r="AL13" i="22" s="1"/>
  <c r="AL14" i="22" s="1"/>
  <c r="AL15" i="22" s="1"/>
  <c r="AK7" i="22"/>
  <c r="AK8" i="22" s="1"/>
  <c r="AK9" i="22" s="1"/>
  <c r="AK10" i="22" s="1"/>
  <c r="AK11" i="22" s="1"/>
  <c r="AK12" i="22" s="1"/>
  <c r="AK13" i="22" s="1"/>
  <c r="AK14" i="22" s="1"/>
  <c r="AK15" i="22" s="1"/>
  <c r="AJ7" i="22"/>
  <c r="AJ8" i="22" s="1"/>
  <c r="AJ9" i="22" s="1"/>
  <c r="AJ10" i="22" s="1"/>
  <c r="AJ11" i="22" s="1"/>
  <c r="AJ12" i="22" s="1"/>
  <c r="AJ13" i="22" s="1"/>
  <c r="AJ14" i="22" s="1"/>
  <c r="AJ15" i="22" s="1"/>
  <c r="AI7" i="22"/>
  <c r="AI8" i="22" s="1"/>
  <c r="AI9" i="22" s="1"/>
  <c r="AI10" i="22" s="1"/>
  <c r="AI11" i="22" s="1"/>
  <c r="AI12" i="22" s="1"/>
  <c r="AI13" i="22" s="1"/>
  <c r="AI14" i="22" s="1"/>
  <c r="AI15" i="22" s="1"/>
  <c r="AU12" i="22"/>
  <c r="AU15" i="22" s="1"/>
  <c r="AT9" i="22"/>
  <c r="AT10" i="22" s="1"/>
  <c r="AT13" i="22" s="1"/>
  <c r="AT14" i="22" s="1"/>
  <c r="AT15" i="22" s="1"/>
  <c r="AS9" i="22"/>
  <c r="AS10" i="22" s="1"/>
  <c r="AS13" i="22" s="1"/>
  <c r="AS14" i="22" s="1"/>
  <c r="AS15" i="22" s="1"/>
  <c r="AR9" i="22"/>
  <c r="AR10" i="22" s="1"/>
  <c r="AQ9" i="22"/>
  <c r="AQ10" i="22" s="1"/>
  <c r="AP9" i="22"/>
  <c r="AP10" i="22" s="1"/>
  <c r="AP13" i="22" s="1"/>
  <c r="AP14" i="22" s="1"/>
  <c r="AP15" i="22" s="1"/>
  <c r="AO9" i="22"/>
  <c r="AO10" i="22" s="1"/>
  <c r="AO13" i="22" s="1"/>
  <c r="AO14" i="22" s="1"/>
  <c r="AO15" i="22" s="1"/>
  <c r="AA6" i="21"/>
  <c r="AA5" i="21"/>
  <c r="AA4" i="21"/>
  <c r="AA3" i="21"/>
  <c r="AA2" i="21"/>
  <c r="B25" i="21"/>
  <c r="B108" i="21"/>
  <c r="B95" i="21"/>
  <c r="B38" i="21"/>
  <c r="AX142" i="21"/>
  <c r="AY142" i="21" s="1"/>
  <c r="AZ142" i="21" s="1"/>
  <c r="BA142" i="21" s="1"/>
  <c r="BB142" i="21" s="1"/>
  <c r="BC142" i="21" s="1"/>
  <c r="BD142" i="21" s="1"/>
  <c r="AO142" i="21"/>
  <c r="AP142" i="21" s="1"/>
  <c r="AQ142" i="21" s="1"/>
  <c r="AR142" i="21" s="1"/>
  <c r="AS142" i="21" s="1"/>
  <c r="AT142" i="21" s="1"/>
  <c r="AU142" i="21" s="1"/>
  <c r="AF142" i="21"/>
  <c r="AG142" i="21" s="1"/>
  <c r="AH142" i="21" s="1"/>
  <c r="AI142" i="21" s="1"/>
  <c r="AJ142" i="21" s="1"/>
  <c r="AK142" i="21" s="1"/>
  <c r="AL142" i="21" s="1"/>
  <c r="W142" i="21"/>
  <c r="X142" i="21" s="1"/>
  <c r="Y142" i="21" s="1"/>
  <c r="Z142" i="21" s="1"/>
  <c r="AA142" i="21" s="1"/>
  <c r="AB142" i="21" s="1"/>
  <c r="AC142" i="21" s="1"/>
  <c r="AD8" i="22" l="1"/>
  <c r="AF8" i="22"/>
  <c r="AE9" i="22"/>
  <c r="AD6" i="22"/>
  <c r="AD11" i="22"/>
  <c r="AD14" i="22"/>
  <c r="AD9" i="22"/>
  <c r="AD15" i="22"/>
  <c r="C7" i="22" s="1"/>
  <c r="D7" i="22" s="1"/>
  <c r="AD10" i="22"/>
  <c r="AD13" i="22"/>
  <c r="AD7" i="22"/>
  <c r="AE5" i="22"/>
  <c r="AE12" i="22"/>
  <c r="AE8" i="22"/>
  <c r="AF15" i="22"/>
  <c r="C9" i="22" s="1"/>
  <c r="D9" i="22" s="1"/>
  <c r="AF11" i="22"/>
  <c r="AF7" i="22"/>
  <c r="AD5" i="22"/>
  <c r="AD12" i="22"/>
  <c r="AE15" i="22"/>
  <c r="C8" i="22" s="1"/>
  <c r="D8" i="22" s="1"/>
  <c r="AE11" i="22"/>
  <c r="AE7" i="22"/>
  <c r="AF14" i="22"/>
  <c r="AF10" i="22"/>
  <c r="AF6" i="22"/>
  <c r="AE14" i="22"/>
  <c r="AE10" i="22"/>
  <c r="AE6" i="22"/>
  <c r="AF13" i="22"/>
  <c r="AF9" i="22"/>
  <c r="AE13" i="22"/>
  <c r="AF5" i="22"/>
  <c r="AF12" i="22"/>
  <c r="AQ12" i="22"/>
  <c r="AQ13" i="22"/>
  <c r="AQ14" i="22" s="1"/>
  <c r="AQ15" i="22" s="1"/>
  <c r="AR13" i="22"/>
  <c r="AR14" i="22" s="1"/>
  <c r="AR15" i="22" s="1"/>
  <c r="AR12" i="22"/>
  <c r="AO12" i="22"/>
  <c r="AS12" i="22"/>
  <c r="AP12" i="22"/>
  <c r="AT12" i="22"/>
  <c r="AW97" i="21"/>
  <c r="AW132" i="21" s="1"/>
  <c r="AN97" i="21"/>
  <c r="AN132" i="21" s="1"/>
  <c r="AE97" i="21"/>
  <c r="AE132" i="21" s="1"/>
  <c r="V97" i="21"/>
  <c r="V132" i="21" s="1"/>
  <c r="AX108" i="21"/>
  <c r="AY108" i="21" s="1"/>
  <c r="AZ108" i="21" s="1"/>
  <c r="BA108" i="21" s="1"/>
  <c r="BB108" i="21" s="1"/>
  <c r="BC108" i="21" s="1"/>
  <c r="BD108" i="21" s="1"/>
  <c r="AO108" i="21"/>
  <c r="AP108" i="21" s="1"/>
  <c r="AQ108" i="21" s="1"/>
  <c r="AR108" i="21" s="1"/>
  <c r="AS108" i="21" s="1"/>
  <c r="AT108" i="21" s="1"/>
  <c r="AU108" i="21" s="1"/>
  <c r="AF108" i="21"/>
  <c r="AG108" i="21" s="1"/>
  <c r="AH108" i="21" s="1"/>
  <c r="AI108" i="21" s="1"/>
  <c r="AJ108" i="21" s="1"/>
  <c r="AK108" i="21" s="1"/>
  <c r="AL108" i="21" s="1"/>
  <c r="W108" i="21"/>
  <c r="X108" i="21" s="1"/>
  <c r="Y108" i="21" s="1"/>
  <c r="Z108" i="21" s="1"/>
  <c r="AA108" i="21" s="1"/>
  <c r="AB108" i="21" s="1"/>
  <c r="AC108" i="21" s="1"/>
  <c r="N108" i="21"/>
  <c r="O108" i="21" s="1"/>
  <c r="P108" i="21" s="1"/>
  <c r="Q108" i="21" s="1"/>
  <c r="R108" i="21" s="1"/>
  <c r="S108" i="21" s="1"/>
  <c r="T108" i="21" s="1"/>
  <c r="BI20" i="21"/>
  <c r="BH20" i="21"/>
  <c r="BI19" i="21"/>
  <c r="BH19" i="21"/>
  <c r="BH18" i="21"/>
  <c r="BI18" i="21"/>
  <c r="AB22" i="24" l="1"/>
  <c r="Z22" i="24"/>
  <c r="AB21" i="24"/>
  <c r="Z21" i="24"/>
  <c r="Z20" i="24"/>
  <c r="AB12" i="24"/>
  <c r="Z12" i="24"/>
  <c r="Z11" i="24"/>
  <c r="L11" i="24"/>
  <c r="AB10" i="24"/>
  <c r="L10" i="24"/>
  <c r="AB9" i="24"/>
  <c r="Z9" i="24"/>
  <c r="U9" i="24"/>
  <c r="L9" i="24"/>
  <c r="AB8" i="24"/>
  <c r="Z8" i="24"/>
  <c r="U8" i="24"/>
  <c r="S8" i="24"/>
  <c r="L8" i="24"/>
  <c r="C4" i="24"/>
  <c r="K28" i="24" s="1"/>
  <c r="X6" i="21"/>
  <c r="N12" i="19"/>
  <c r="J12" i="19"/>
  <c r="N10" i="19"/>
  <c r="J10" i="19"/>
  <c r="Q20" i="16"/>
  <c r="J20" i="16"/>
  <c r="C20" i="16"/>
  <c r="Q19" i="16"/>
  <c r="J19" i="16"/>
  <c r="C19" i="16"/>
  <c r="Q17" i="16"/>
  <c r="C17" i="16"/>
  <c r="Q16" i="16"/>
  <c r="J16" i="16"/>
  <c r="C16" i="16"/>
  <c r="X15" i="16"/>
  <c r="Q15" i="16"/>
  <c r="J15" i="16"/>
  <c r="C15" i="16"/>
  <c r="X14" i="16"/>
  <c r="Q14" i="16"/>
  <c r="J14" i="16"/>
  <c r="C14" i="16"/>
  <c r="X13" i="16"/>
  <c r="Q13" i="16"/>
  <c r="J13" i="16"/>
  <c r="C13" i="16"/>
  <c r="X12" i="16"/>
  <c r="Q12" i="16"/>
  <c r="J12" i="16"/>
  <c r="C12" i="16"/>
  <c r="Q11" i="16"/>
  <c r="J11" i="16"/>
  <c r="E104" i="15"/>
  <c r="E103" i="15"/>
  <c r="E93" i="15"/>
  <c r="E92" i="15"/>
  <c r="E6" i="15"/>
  <c r="E5" i="15"/>
  <c r="B18" i="14"/>
  <c r="B17" i="14"/>
  <c r="C16" i="14"/>
  <c r="B16" i="14"/>
  <c r="C15" i="14"/>
  <c r="B15" i="14"/>
  <c r="B14" i="14"/>
  <c r="C14" i="14" s="1"/>
  <c r="B13" i="14"/>
  <c r="C13" i="14" s="1"/>
  <c r="S4" i="14"/>
  <c r="B12" i="14" s="1"/>
  <c r="C12" i="14" s="1"/>
  <c r="F64" i="33"/>
  <c r="C24" i="12"/>
  <c r="D24" i="12" s="1"/>
  <c r="E24" i="12" s="1"/>
  <c r="D21" i="12"/>
  <c r="D9" i="12"/>
  <c r="E9" i="12" s="1"/>
  <c r="C9" i="12"/>
  <c r="Q15" i="11"/>
  <c r="J15" i="11"/>
  <c r="C15" i="11"/>
  <c r="G52" i="5"/>
  <c r="C9" i="5"/>
  <c r="B46" i="2"/>
  <c r="B45" i="2"/>
  <c r="B44" i="2"/>
  <c r="B43" i="2"/>
  <c r="B42" i="2"/>
  <c r="B41" i="2"/>
  <c r="B40" i="2"/>
  <c r="B39" i="2"/>
  <c r="B38" i="2"/>
  <c r="B37" i="2"/>
  <c r="B36" i="2"/>
  <c r="B35" i="2"/>
  <c r="B34" i="2"/>
  <c r="B33" i="2"/>
  <c r="B32" i="2"/>
  <c r="B31" i="2"/>
  <c r="B30" i="2"/>
  <c r="B29" i="2"/>
  <c r="B28" i="2"/>
  <c r="B27" i="2"/>
  <c r="B25" i="2"/>
  <c r="B24" i="2"/>
  <c r="B23" i="2"/>
  <c r="B22" i="2"/>
  <c r="B21" i="2"/>
  <c r="B20" i="2"/>
  <c r="B19" i="2"/>
  <c r="B18" i="2"/>
  <c r="B17" i="2"/>
  <c r="B16" i="2"/>
  <c r="B15" i="2"/>
  <c r="B14" i="2"/>
  <c r="L9" i="2"/>
  <c r="L8" i="2"/>
  <c r="L7" i="2"/>
  <c r="L6" i="2"/>
  <c r="F5" i="2"/>
  <c r="X17" i="11"/>
  <c r="Q17" i="11"/>
  <c r="X16" i="11"/>
  <c r="Q16" i="11"/>
  <c r="X15" i="11"/>
  <c r="J23" i="16"/>
  <c r="Q22" i="16"/>
  <c r="J22" i="16"/>
  <c r="AB13" i="24"/>
  <c r="Z13" i="24"/>
  <c r="AB14" i="24"/>
  <c r="AB17" i="24"/>
  <c r="Z17" i="24"/>
  <c r="U17" i="24"/>
  <c r="S17" i="24"/>
  <c r="AB19" i="24"/>
  <c r="AB18" i="24"/>
  <c r="Z18" i="24"/>
  <c r="U18" i="24"/>
  <c r="C56" i="2" l="1"/>
  <c r="C59" i="2" s="1"/>
  <c r="D9" i="5"/>
  <c r="E9" i="5" s="1"/>
  <c r="C18" i="14"/>
  <c r="C17" i="14"/>
  <c r="M7" i="2"/>
  <c r="D148" i="35"/>
  <c r="D147" i="35"/>
  <c r="H145" i="35"/>
  <c r="C105" i="35"/>
  <c r="C104" i="35"/>
  <c r="D130" i="35"/>
  <c r="D131" i="35"/>
  <c r="D129" i="35"/>
  <c r="C128" i="35"/>
  <c r="D128" i="35" s="1"/>
  <c r="C127" i="35"/>
  <c r="C126" i="35"/>
  <c r="D107" i="35"/>
  <c r="D108" i="35"/>
  <c r="D109" i="35"/>
  <c r="C106" i="35"/>
  <c r="D106" i="35" s="1"/>
  <c r="D70" i="35"/>
  <c r="D71" i="35"/>
  <c r="D72" i="35"/>
  <c r="C69" i="35"/>
  <c r="D69" i="35" s="1"/>
  <c r="C65" i="35"/>
  <c r="C64" i="35"/>
  <c r="D87" i="35"/>
  <c r="D88" i="35"/>
  <c r="D89" i="35"/>
  <c r="C86" i="35"/>
  <c r="D86" i="35" s="1"/>
  <c r="C85" i="35"/>
  <c r="C84" i="35"/>
  <c r="D52" i="35"/>
  <c r="D53" i="35"/>
  <c r="C50" i="35"/>
  <c r="D50" i="35" s="1"/>
  <c r="H102" i="33"/>
  <c r="H83" i="33"/>
  <c r="H64" i="33"/>
  <c r="H45" i="33"/>
  <c r="H27" i="33"/>
  <c r="H8" i="33"/>
  <c r="C58" i="2" l="1"/>
  <c r="C57" i="2"/>
  <c r="D56" i="2"/>
  <c r="M6" i="2"/>
  <c r="D51" i="35"/>
  <c r="D33" i="35"/>
  <c r="C32" i="35"/>
  <c r="D32" i="35" s="1"/>
  <c r="C49" i="35"/>
  <c r="C48" i="35"/>
  <c r="D43" i="35"/>
  <c r="C29" i="35"/>
  <c r="D29" i="35" s="1"/>
  <c r="C30" i="35"/>
  <c r="D30" i="35" s="1"/>
  <c r="D35" i="35"/>
  <c r="D34" i="35"/>
  <c r="C10" i="35"/>
  <c r="C9" i="35"/>
  <c r="D9" i="35" s="1"/>
  <c r="D17" i="35"/>
  <c r="D18" i="35"/>
  <c r="C12" i="35"/>
  <c r="C11" i="35"/>
  <c r="C15" i="35"/>
  <c r="D191" i="35"/>
  <c r="D190" i="35"/>
  <c r="D189" i="35"/>
  <c r="D188" i="35"/>
  <c r="D187" i="35"/>
  <c r="D186" i="35"/>
  <c r="D185" i="35"/>
  <c r="D184" i="35"/>
  <c r="D183" i="35"/>
  <c r="D180" i="35"/>
  <c r="D179" i="35"/>
  <c r="D139" i="35"/>
  <c r="D138" i="35"/>
  <c r="D137" i="35"/>
  <c r="D136" i="35"/>
  <c r="D135" i="35"/>
  <c r="D134" i="35"/>
  <c r="D133" i="35"/>
  <c r="D132" i="35"/>
  <c r="C125" i="35"/>
  <c r="C124" i="35"/>
  <c r="D123" i="35"/>
  <c r="D122" i="35"/>
  <c r="D121" i="35"/>
  <c r="D116" i="35"/>
  <c r="D115" i="35"/>
  <c r="D114" i="35"/>
  <c r="D113" i="35"/>
  <c r="D112" i="35"/>
  <c r="D111" i="35"/>
  <c r="D110" i="35"/>
  <c r="C103" i="35"/>
  <c r="C102" i="35"/>
  <c r="C90" i="35"/>
  <c r="C83" i="35"/>
  <c r="C82" i="35"/>
  <c r="D82" i="35" s="1"/>
  <c r="D74" i="35"/>
  <c r="D73" i="35"/>
  <c r="D68" i="35"/>
  <c r="D67" i="35"/>
  <c r="C66" i="35"/>
  <c r="C63" i="35"/>
  <c r="C62" i="35"/>
  <c r="C47" i="35"/>
  <c r="C46" i="35"/>
  <c r="D38" i="35"/>
  <c r="D37" i="35"/>
  <c r="D36" i="35"/>
  <c r="D31" i="35"/>
  <c r="C28" i="35"/>
  <c r="D28" i="35" s="1"/>
  <c r="C27" i="35"/>
  <c r="D20" i="35"/>
  <c r="D19" i="35"/>
  <c r="D14" i="35"/>
  <c r="D13" i="35"/>
  <c r="C8" i="36"/>
  <c r="D8" i="36" s="1"/>
  <c r="C9" i="36"/>
  <c r="D9" i="36" s="1"/>
  <c r="C10" i="36"/>
  <c r="D10" i="36" s="1"/>
  <c r="C11" i="36"/>
  <c r="D11" i="36" s="1"/>
  <c r="C12" i="36"/>
  <c r="D12" i="36" s="1"/>
  <c r="C13" i="36"/>
  <c r="D13" i="36" s="1"/>
  <c r="D14" i="36"/>
  <c r="D15" i="36"/>
  <c r="D16" i="36"/>
  <c r="D17" i="36"/>
  <c r="D18" i="36"/>
  <c r="D19" i="36"/>
  <c r="D20" i="36"/>
  <c r="D21" i="36"/>
  <c r="C27" i="36"/>
  <c r="D27" i="36" s="1"/>
  <c r="C28" i="36"/>
  <c r="D28" i="36" s="1"/>
  <c r="C29" i="36"/>
  <c r="D29" i="36" s="1"/>
  <c r="C30" i="36"/>
  <c r="D30" i="36" s="1"/>
  <c r="C31" i="36"/>
  <c r="D31" i="36" s="1"/>
  <c r="C32" i="36"/>
  <c r="D32" i="36" s="1"/>
  <c r="C33" i="36"/>
  <c r="D33" i="36" s="1"/>
  <c r="D34" i="36"/>
  <c r="D35" i="36"/>
  <c r="D36" i="36"/>
  <c r="D37" i="36"/>
  <c r="D38" i="36"/>
  <c r="D39" i="36"/>
  <c r="D40" i="36"/>
  <c r="D41" i="36"/>
  <c r="C48" i="36"/>
  <c r="D48" i="36" s="1"/>
  <c r="C49" i="36"/>
  <c r="D49" i="36" s="1"/>
  <c r="C50" i="36"/>
  <c r="D50" i="36" s="1"/>
  <c r="C51" i="36"/>
  <c r="D51" i="36" s="1"/>
  <c r="C52" i="36"/>
  <c r="D52" i="36" s="1"/>
  <c r="C53" i="36"/>
  <c r="D53" i="36" s="1"/>
  <c r="C54" i="36"/>
  <c r="D54" i="36" s="1"/>
  <c r="D55" i="36"/>
  <c r="D56" i="36"/>
  <c r="D57" i="36"/>
  <c r="D58" i="36"/>
  <c r="D59" i="36"/>
  <c r="D60" i="36"/>
  <c r="D61" i="36"/>
  <c r="D62" i="36"/>
  <c r="D63" i="36"/>
  <c r="D64" i="36"/>
  <c r="C71" i="36"/>
  <c r="D71" i="36" s="1"/>
  <c r="C72" i="36"/>
  <c r="D72" i="36" s="1"/>
  <c r="C73" i="36"/>
  <c r="D73" i="36" s="1"/>
  <c r="C74" i="36"/>
  <c r="D74" i="36" s="1"/>
  <c r="C75" i="36"/>
  <c r="D75" i="36" s="1"/>
  <c r="C76" i="36"/>
  <c r="D76" i="36" s="1"/>
  <c r="C77" i="36"/>
  <c r="D77" i="36" s="1"/>
  <c r="C78" i="36"/>
  <c r="D78" i="36" s="1"/>
  <c r="D79" i="36"/>
  <c r="D80" i="36"/>
  <c r="D81" i="36"/>
  <c r="D82" i="36"/>
  <c r="D83" i="36"/>
  <c r="D84" i="36"/>
  <c r="D85" i="36"/>
  <c r="D86" i="36"/>
  <c r="D87" i="36"/>
  <c r="D88" i="36"/>
  <c r="D96" i="36"/>
  <c r="D97" i="36"/>
  <c r="D57" i="2" l="1"/>
  <c r="D59" i="2"/>
  <c r="D58" i="2"/>
  <c r="D124" i="35"/>
  <c r="D102" i="35"/>
  <c r="D127" i="35"/>
  <c r="D105" i="35"/>
  <c r="D66" i="35"/>
  <c r="D83" i="35"/>
  <c r="D64" i="35"/>
  <c r="D16" i="35"/>
  <c r="D15" i="35"/>
  <c r="D63" i="35"/>
  <c r="D65" i="35"/>
  <c r="D85" i="35"/>
  <c r="D104" i="35"/>
  <c r="D126" i="35"/>
  <c r="D62" i="35"/>
  <c r="D84" i="35"/>
  <c r="D103" i="35"/>
  <c r="D125" i="35"/>
  <c r="D10" i="35"/>
  <c r="D11" i="35"/>
  <c r="D12" i="35"/>
  <c r="D27" i="35"/>
  <c r="D46" i="35"/>
  <c r="D47" i="35"/>
  <c r="D48" i="35"/>
  <c r="D49" i="35"/>
  <c r="C26" i="7"/>
  <c r="H94" i="36" l="1"/>
  <c r="C29" i="33"/>
  <c r="C30" i="33"/>
  <c r="C10" i="33"/>
  <c r="D10" i="33" s="1"/>
  <c r="E10" i="33" s="1"/>
  <c r="C49" i="32"/>
  <c r="C48" i="32"/>
  <c r="C53" i="32"/>
  <c r="C55" i="32"/>
  <c r="C56" i="32"/>
  <c r="C57" i="32"/>
  <c r="C142" i="32" l="1"/>
  <c r="D142" i="32" s="1"/>
  <c r="C141" i="32"/>
  <c r="C100" i="32"/>
  <c r="K31" i="32"/>
  <c r="L31" i="32"/>
  <c r="M31" i="32"/>
  <c r="N31" i="32"/>
  <c r="O31" i="32"/>
  <c r="P31" i="32"/>
  <c r="Q31" i="32"/>
  <c r="R31" i="32"/>
  <c r="S31" i="32"/>
  <c r="C99" i="32"/>
  <c r="D150" i="32"/>
  <c r="D149" i="32"/>
  <c r="H147" i="32"/>
  <c r="C115" i="32"/>
  <c r="C112" i="32"/>
  <c r="C111" i="32"/>
  <c r="C131" i="32"/>
  <c r="D130" i="32"/>
  <c r="D129" i="32"/>
  <c r="C128" i="32"/>
  <c r="D128" i="32" s="1"/>
  <c r="C127" i="32"/>
  <c r="D127" i="32" s="1"/>
  <c r="D114" i="32"/>
  <c r="D113" i="32"/>
  <c r="D88" i="32"/>
  <c r="D87" i="32"/>
  <c r="C89" i="32"/>
  <c r="D89" i="32" s="1"/>
  <c r="C86" i="32"/>
  <c r="D86" i="32" s="1"/>
  <c r="C85" i="32"/>
  <c r="D85" i="32" s="1"/>
  <c r="C70" i="32"/>
  <c r="C69" i="32"/>
  <c r="C73" i="32"/>
  <c r="D73" i="32" s="1"/>
  <c r="D72" i="32"/>
  <c r="D71" i="32"/>
  <c r="D52" i="32"/>
  <c r="D51" i="32"/>
  <c r="C39" i="32"/>
  <c r="D39" i="32" s="1"/>
  <c r="C38" i="32"/>
  <c r="C36" i="32"/>
  <c r="D35" i="32"/>
  <c r="D34" i="32"/>
  <c r="C16" i="32"/>
  <c r="C13" i="32"/>
  <c r="D13" i="32" s="1"/>
  <c r="C12" i="32"/>
  <c r="D12" i="32" s="1"/>
  <c r="D19" i="32"/>
  <c r="D18" i="32"/>
  <c r="C140" i="32"/>
  <c r="C139" i="32"/>
  <c r="C138" i="32"/>
  <c r="C135" i="32"/>
  <c r="C134" i="32"/>
  <c r="H123" i="32"/>
  <c r="D120" i="32"/>
  <c r="C110" i="32"/>
  <c r="C109" i="32"/>
  <c r="H105" i="32"/>
  <c r="H103" i="32"/>
  <c r="C98" i="32"/>
  <c r="D98" i="32" s="1"/>
  <c r="C97" i="32"/>
  <c r="D97" i="32" s="1"/>
  <c r="C96" i="32"/>
  <c r="D96" i="32" s="1"/>
  <c r="C93" i="32"/>
  <c r="D93" i="32" s="1"/>
  <c r="C92" i="32"/>
  <c r="D92" i="32" s="1"/>
  <c r="H81" i="32"/>
  <c r="D78" i="32"/>
  <c r="C68" i="32"/>
  <c r="C67" i="32"/>
  <c r="H63" i="32"/>
  <c r="H61" i="32"/>
  <c r="D55" i="32"/>
  <c r="H42" i="32"/>
  <c r="S35" i="32"/>
  <c r="R35" i="32"/>
  <c r="Q35" i="32"/>
  <c r="P35" i="32"/>
  <c r="O35" i="32"/>
  <c r="N35" i="32"/>
  <c r="M35" i="32"/>
  <c r="L35" i="32"/>
  <c r="K35" i="32"/>
  <c r="S34" i="32"/>
  <c r="R34" i="32"/>
  <c r="Q34" i="32"/>
  <c r="P34" i="32"/>
  <c r="O34" i="32"/>
  <c r="N34" i="32"/>
  <c r="M34" i="32"/>
  <c r="L34" i="32"/>
  <c r="K34" i="32"/>
  <c r="S33" i="32"/>
  <c r="R33" i="32"/>
  <c r="Q33" i="32"/>
  <c r="P33" i="32"/>
  <c r="O33" i="32"/>
  <c r="N33" i="32"/>
  <c r="M33" i="32"/>
  <c r="L33" i="32"/>
  <c r="K33" i="32"/>
  <c r="D32" i="32"/>
  <c r="S32" i="32"/>
  <c r="R32" i="32"/>
  <c r="Q32" i="32"/>
  <c r="P32" i="32"/>
  <c r="O32" i="32"/>
  <c r="N32" i="32"/>
  <c r="M32" i="32"/>
  <c r="L32" i="32"/>
  <c r="K32" i="32"/>
  <c r="S30" i="32"/>
  <c r="R30" i="32"/>
  <c r="Q30" i="32"/>
  <c r="P30" i="32"/>
  <c r="O30" i="32"/>
  <c r="N30" i="32"/>
  <c r="M30" i="32"/>
  <c r="L30" i="32"/>
  <c r="K30" i="32"/>
  <c r="H26" i="32"/>
  <c r="H24" i="32"/>
  <c r="D15" i="32"/>
  <c r="S14" i="32"/>
  <c r="P14" i="32"/>
  <c r="O14" i="32"/>
  <c r="N14" i="32"/>
  <c r="M14" i="32"/>
  <c r="L14" i="32"/>
  <c r="K14" i="32"/>
  <c r="S13" i="32"/>
  <c r="P13" i="32"/>
  <c r="O13" i="32"/>
  <c r="N13" i="32"/>
  <c r="M13" i="32"/>
  <c r="L13" i="32"/>
  <c r="K13" i="32"/>
  <c r="J11" i="32"/>
  <c r="H8" i="32"/>
  <c r="H6" i="32"/>
  <c r="H3" i="32"/>
  <c r="G3" i="32"/>
  <c r="E3" i="32"/>
  <c r="C105" i="33"/>
  <c r="D105" i="33" s="1"/>
  <c r="C104" i="33"/>
  <c r="D127" i="33"/>
  <c r="D126" i="33"/>
  <c r="H124" i="33"/>
  <c r="C112" i="33"/>
  <c r="D111" i="33"/>
  <c r="D110" i="33"/>
  <c r="C109" i="33"/>
  <c r="D109" i="33" s="1"/>
  <c r="C108" i="33"/>
  <c r="D108" i="33" s="1"/>
  <c r="C107" i="33"/>
  <c r="D107" i="33" s="1"/>
  <c r="C106" i="33"/>
  <c r="D106" i="33" s="1"/>
  <c r="C94" i="33"/>
  <c r="D94" i="33" s="1"/>
  <c r="C93" i="33"/>
  <c r="D93" i="33" s="1"/>
  <c r="D91" i="33"/>
  <c r="D92" i="33"/>
  <c r="C90" i="33"/>
  <c r="C89" i="33"/>
  <c r="C88" i="33"/>
  <c r="C87" i="33"/>
  <c r="C86" i="33"/>
  <c r="C85" i="33"/>
  <c r="C72" i="33"/>
  <c r="C71" i="33"/>
  <c r="D71" i="33" s="1"/>
  <c r="C70" i="33"/>
  <c r="D74" i="33"/>
  <c r="D73" i="33"/>
  <c r="C69" i="33"/>
  <c r="C68" i="33"/>
  <c r="C67" i="33"/>
  <c r="C66" i="33"/>
  <c r="D54" i="33"/>
  <c r="D55" i="33"/>
  <c r="C53" i="33"/>
  <c r="C52" i="33"/>
  <c r="D52" i="33" s="1"/>
  <c r="C50" i="33"/>
  <c r="C49" i="33"/>
  <c r="C51" i="33"/>
  <c r="C48" i="33"/>
  <c r="C47" i="33"/>
  <c r="C36" i="33"/>
  <c r="D36" i="33" s="1"/>
  <c r="C35" i="33"/>
  <c r="D35" i="33" s="1"/>
  <c r="C32" i="33"/>
  <c r="C31" i="33"/>
  <c r="D38" i="33"/>
  <c r="D37" i="33"/>
  <c r="D16" i="33"/>
  <c r="D17" i="33"/>
  <c r="D18" i="33"/>
  <c r="D19" i="33"/>
  <c r="D29" i="33"/>
  <c r="C13" i="33"/>
  <c r="C12" i="33"/>
  <c r="D12" i="33" s="1"/>
  <c r="C11" i="33"/>
  <c r="D118" i="33"/>
  <c r="D117" i="33"/>
  <c r="D116" i="33"/>
  <c r="D115" i="33"/>
  <c r="D114" i="33"/>
  <c r="D113" i="33"/>
  <c r="D98" i="33"/>
  <c r="D97" i="33"/>
  <c r="D96" i="33"/>
  <c r="D95" i="33"/>
  <c r="C79" i="33"/>
  <c r="E79" i="33" s="1"/>
  <c r="D78" i="33"/>
  <c r="D77" i="33"/>
  <c r="D76" i="33"/>
  <c r="D75" i="33"/>
  <c r="E70" i="33"/>
  <c r="D59" i="33"/>
  <c r="D58" i="33"/>
  <c r="D57" i="33"/>
  <c r="D56" i="33"/>
  <c r="D40" i="33"/>
  <c r="D39" i="33"/>
  <c r="D34" i="33"/>
  <c r="D33" i="33"/>
  <c r="D21" i="33"/>
  <c r="D20" i="33"/>
  <c r="D15" i="33"/>
  <c r="D14" i="33"/>
  <c r="C107" i="32" l="1"/>
  <c r="C118" i="32"/>
  <c r="C117" i="32"/>
  <c r="C46" i="32"/>
  <c r="C45" i="32"/>
  <c r="C50" i="32"/>
  <c r="C44" i="32"/>
  <c r="C119" i="32"/>
  <c r="C47" i="32"/>
  <c r="C137" i="32"/>
  <c r="C91" i="32"/>
  <c r="C10" i="32"/>
  <c r="D10" i="32" s="1"/>
  <c r="C11" i="32"/>
  <c r="C77" i="32"/>
  <c r="C84" i="32"/>
  <c r="C108" i="32"/>
  <c r="C125" i="32"/>
  <c r="C30" i="32"/>
  <c r="C136" i="32"/>
  <c r="E142" i="32"/>
  <c r="D141" i="32"/>
  <c r="C20" i="32"/>
  <c r="C14" i="32"/>
  <c r="D100" i="32"/>
  <c r="C21" i="32"/>
  <c r="E100" i="32"/>
  <c r="C76" i="32"/>
  <c r="D99" i="32"/>
  <c r="C31" i="32"/>
  <c r="C33" i="32"/>
  <c r="C28" i="32"/>
  <c r="C29" i="32"/>
  <c r="C126" i="32"/>
  <c r="C65" i="32"/>
  <c r="C94" i="32"/>
  <c r="C66" i="32"/>
  <c r="C83" i="32"/>
  <c r="C95" i="32"/>
  <c r="C133" i="32"/>
  <c r="C75" i="32"/>
  <c r="D90" i="32"/>
  <c r="D131" i="32"/>
  <c r="D132" i="32"/>
  <c r="D111" i="32"/>
  <c r="D112" i="32"/>
  <c r="D115" i="32"/>
  <c r="D116" i="32"/>
  <c r="D74" i="32"/>
  <c r="D53" i="32"/>
  <c r="D54" i="32"/>
  <c r="D37" i="32"/>
  <c r="D36" i="32"/>
  <c r="D17" i="32"/>
  <c r="D16" i="32"/>
  <c r="D57" i="32"/>
  <c r="D67" i="32"/>
  <c r="D69" i="32"/>
  <c r="D38" i="32"/>
  <c r="D49" i="32"/>
  <c r="D48" i="32"/>
  <c r="D56" i="32"/>
  <c r="D68" i="32"/>
  <c r="D70" i="32"/>
  <c r="D109" i="32"/>
  <c r="D110" i="32"/>
  <c r="D134" i="32"/>
  <c r="D135" i="32"/>
  <c r="D138" i="32"/>
  <c r="D139" i="32"/>
  <c r="D140" i="32"/>
  <c r="D112" i="33"/>
  <c r="D13" i="33"/>
  <c r="D53" i="33"/>
  <c r="D79" i="33"/>
  <c r="D72" i="33"/>
  <c r="D47" i="33"/>
  <c r="D51" i="33"/>
  <c r="D67" i="33"/>
  <c r="D89" i="33"/>
  <c r="D11" i="33"/>
  <c r="D48" i="33"/>
  <c r="D68" i="33"/>
  <c r="D86" i="33"/>
  <c r="D90" i="33"/>
  <c r="D50" i="33"/>
  <c r="D88" i="33"/>
  <c r="D104" i="33"/>
  <c r="D70" i="33"/>
  <c r="D49" i="33"/>
  <c r="D69" i="33"/>
  <c r="D87" i="33"/>
  <c r="D66" i="33"/>
  <c r="F79" i="33"/>
  <c r="G79" i="33" s="1"/>
  <c r="D85" i="33"/>
  <c r="D30" i="33"/>
  <c r="D31" i="33"/>
  <c r="D32" i="33"/>
  <c r="D75" i="32" l="1"/>
  <c r="D66" i="32"/>
  <c r="D29" i="32"/>
  <c r="D108" i="32"/>
  <c r="D119" i="32"/>
  <c r="D46" i="32"/>
  <c r="D133" i="32"/>
  <c r="D94" i="32"/>
  <c r="D28" i="32"/>
  <c r="D76" i="32"/>
  <c r="D136" i="32"/>
  <c r="D84" i="32"/>
  <c r="D91" i="32"/>
  <c r="D44" i="32"/>
  <c r="D117" i="32"/>
  <c r="D95" i="32"/>
  <c r="D65" i="32"/>
  <c r="D33" i="32"/>
  <c r="D30" i="32"/>
  <c r="D77" i="32"/>
  <c r="D137" i="32"/>
  <c r="D50" i="32"/>
  <c r="D118" i="32"/>
  <c r="D83" i="32"/>
  <c r="D126" i="32"/>
  <c r="D31" i="32"/>
  <c r="D125" i="32"/>
  <c r="D11" i="32"/>
  <c r="D47" i="32"/>
  <c r="D45" i="32"/>
  <c r="D107" i="32"/>
  <c r="F10" i="30"/>
  <c r="C35" i="22" l="1"/>
  <c r="C34" i="22"/>
  <c r="D26" i="22"/>
  <c r="D27" i="22"/>
  <c r="D25" i="22"/>
  <c r="D24" i="22"/>
  <c r="D13" i="30"/>
  <c r="D12" i="30"/>
  <c r="D11" i="30"/>
  <c r="I8" i="30"/>
  <c r="I7" i="30"/>
  <c r="I6" i="30"/>
  <c r="E12" i="30" s="1"/>
  <c r="D34" i="22" l="1"/>
  <c r="D35" i="22"/>
  <c r="C18" i="22"/>
  <c r="C17" i="22"/>
  <c r="C16" i="22"/>
  <c r="D16" i="22" s="1"/>
  <c r="Q192" i="31"/>
  <c r="P192" i="31"/>
  <c r="O192" i="31"/>
  <c r="Q191" i="31"/>
  <c r="P191" i="31"/>
  <c r="O191" i="31"/>
  <c r="Q190" i="31"/>
  <c r="P190" i="31"/>
  <c r="O190" i="31"/>
  <c r="Q189" i="31"/>
  <c r="P189" i="31"/>
  <c r="O189" i="31"/>
  <c r="Q188" i="31"/>
  <c r="P188" i="31"/>
  <c r="O188" i="31"/>
  <c r="Q187" i="31"/>
  <c r="P187" i="31"/>
  <c r="O187" i="31"/>
  <c r="Q186" i="31"/>
  <c r="P186" i="31"/>
  <c r="O186" i="31"/>
  <c r="Q185" i="31"/>
  <c r="P185" i="31"/>
  <c r="O185" i="31"/>
  <c r="Q184" i="31"/>
  <c r="P184" i="31"/>
  <c r="O184" i="31"/>
  <c r="Q183" i="31"/>
  <c r="P183" i="31"/>
  <c r="O183" i="31"/>
  <c r="Q182" i="31"/>
  <c r="P182" i="31"/>
  <c r="O182" i="31"/>
  <c r="Q181" i="31"/>
  <c r="P181" i="31"/>
  <c r="O181" i="31"/>
  <c r="Q180" i="31"/>
  <c r="P180" i="31"/>
  <c r="O180" i="31"/>
  <c r="Q179" i="31"/>
  <c r="P179" i="31"/>
  <c r="O179" i="31"/>
  <c r="Q178" i="31"/>
  <c r="P178" i="31"/>
  <c r="O178" i="31"/>
  <c r="Q177" i="31"/>
  <c r="P177" i="31"/>
  <c r="O177" i="31"/>
  <c r="Q176" i="31"/>
  <c r="P176" i="31"/>
  <c r="O176" i="31"/>
  <c r="Q175" i="31"/>
  <c r="P175" i="31"/>
  <c r="O175" i="31"/>
  <c r="Q174" i="31"/>
  <c r="P174" i="31"/>
  <c r="O174" i="31"/>
  <c r="Q173" i="31"/>
  <c r="P173" i="31"/>
  <c r="O173" i="31"/>
  <c r="Q172" i="31"/>
  <c r="P172" i="31"/>
  <c r="O172" i="31"/>
  <c r="Q171" i="31"/>
  <c r="P171" i="31"/>
  <c r="O171" i="31"/>
  <c r="Q170" i="31"/>
  <c r="P170" i="31"/>
  <c r="O170" i="31"/>
  <c r="Q169" i="31"/>
  <c r="P169" i="31"/>
  <c r="O169" i="31"/>
  <c r="Q168" i="31"/>
  <c r="P168" i="31"/>
  <c r="O168" i="31"/>
  <c r="Q167" i="31"/>
  <c r="P167" i="31"/>
  <c r="O167" i="31"/>
  <c r="Q166" i="31"/>
  <c r="P166" i="31"/>
  <c r="O166" i="31"/>
  <c r="Q165" i="31"/>
  <c r="P165" i="31"/>
  <c r="O165" i="31"/>
  <c r="Q164" i="31"/>
  <c r="P164" i="31"/>
  <c r="O164" i="31"/>
  <c r="Q163" i="31"/>
  <c r="P163" i="31"/>
  <c r="O163" i="31"/>
  <c r="Q162" i="31"/>
  <c r="P162" i="31"/>
  <c r="O162" i="31"/>
  <c r="Q161" i="31"/>
  <c r="P161" i="31"/>
  <c r="O161" i="31"/>
  <c r="Q160" i="31"/>
  <c r="P160" i="31"/>
  <c r="O160" i="31"/>
  <c r="Q159" i="31"/>
  <c r="P159" i="31"/>
  <c r="O159" i="31"/>
  <c r="Q158" i="31"/>
  <c r="P158" i="31"/>
  <c r="O158" i="31"/>
  <c r="Q157" i="31"/>
  <c r="P157" i="31"/>
  <c r="O157" i="31"/>
  <c r="Q156" i="31"/>
  <c r="P156" i="31"/>
  <c r="O156" i="31"/>
  <c r="Q155" i="31"/>
  <c r="P155" i="31"/>
  <c r="O155" i="31"/>
  <c r="Q154" i="31"/>
  <c r="P154" i="31"/>
  <c r="O154" i="31"/>
  <c r="Q153" i="31"/>
  <c r="P153" i="31"/>
  <c r="O153" i="31"/>
  <c r="Q152" i="31"/>
  <c r="P152" i="31"/>
  <c r="O152" i="31"/>
  <c r="Q151" i="31"/>
  <c r="P151" i="31"/>
  <c r="O151" i="31"/>
  <c r="Q150" i="31"/>
  <c r="P150" i="31"/>
  <c r="O150" i="31"/>
  <c r="Q149" i="31"/>
  <c r="P149" i="31"/>
  <c r="O149" i="31"/>
  <c r="Q148" i="31"/>
  <c r="P148" i="31"/>
  <c r="O148" i="31"/>
  <c r="Q147" i="31"/>
  <c r="P147" i="31"/>
  <c r="O147" i="31"/>
  <c r="Q146" i="31"/>
  <c r="P146" i="31"/>
  <c r="O146" i="31"/>
  <c r="Q145" i="31"/>
  <c r="P145" i="31"/>
  <c r="O145" i="31"/>
  <c r="Q144" i="31"/>
  <c r="P144" i="31"/>
  <c r="O144" i="31"/>
  <c r="Q143" i="31"/>
  <c r="P143" i="31"/>
  <c r="O143" i="31"/>
  <c r="Q142" i="31"/>
  <c r="P142" i="31"/>
  <c r="O142" i="31"/>
  <c r="Q141" i="31"/>
  <c r="P141" i="31"/>
  <c r="O141" i="31"/>
  <c r="Q140" i="31"/>
  <c r="P140" i="31"/>
  <c r="O140" i="31"/>
  <c r="Q139" i="31"/>
  <c r="P139" i="31"/>
  <c r="O139" i="31"/>
  <c r="Q138" i="31"/>
  <c r="P138" i="31"/>
  <c r="O138" i="31"/>
  <c r="Q137" i="31"/>
  <c r="P137" i="31"/>
  <c r="O137" i="31"/>
  <c r="Q136" i="31"/>
  <c r="P136" i="31"/>
  <c r="O136" i="31"/>
  <c r="Q135" i="31"/>
  <c r="P135" i="31"/>
  <c r="O135" i="31"/>
  <c r="Q134" i="31"/>
  <c r="P134" i="31"/>
  <c r="O134" i="31"/>
  <c r="Q133" i="31"/>
  <c r="P133" i="31"/>
  <c r="O133" i="31"/>
  <c r="Q132" i="31"/>
  <c r="P132" i="31"/>
  <c r="O132" i="31"/>
  <c r="Q131" i="31"/>
  <c r="P131" i="31"/>
  <c r="O131" i="31"/>
  <c r="Q130" i="31"/>
  <c r="P130" i="31"/>
  <c r="O130" i="31"/>
  <c r="Q129" i="31"/>
  <c r="P129" i="31"/>
  <c r="O129" i="31"/>
  <c r="Q128" i="31"/>
  <c r="P128" i="31"/>
  <c r="O128" i="31"/>
  <c r="Q127" i="31"/>
  <c r="P127" i="31"/>
  <c r="O127" i="31"/>
  <c r="Q126" i="31"/>
  <c r="P126" i="31"/>
  <c r="O126" i="31"/>
  <c r="Q125" i="31"/>
  <c r="P125" i="31"/>
  <c r="O125" i="31"/>
  <c r="Q124" i="31"/>
  <c r="P124" i="31"/>
  <c r="O124" i="31"/>
  <c r="Q123" i="31"/>
  <c r="P123" i="31"/>
  <c r="O123" i="31"/>
  <c r="Q122" i="31"/>
  <c r="P122" i="31"/>
  <c r="O122" i="31"/>
  <c r="Q121" i="31"/>
  <c r="P121" i="31"/>
  <c r="O121" i="31"/>
  <c r="Q120" i="31"/>
  <c r="P120" i="31"/>
  <c r="O120" i="31"/>
  <c r="Q119" i="31"/>
  <c r="P119" i="31"/>
  <c r="O119" i="31"/>
  <c r="Q118" i="31"/>
  <c r="P118" i="31"/>
  <c r="O118" i="31"/>
  <c r="Q117" i="31"/>
  <c r="P117" i="31"/>
  <c r="O117" i="31"/>
  <c r="Q116" i="31"/>
  <c r="P116" i="31"/>
  <c r="O116" i="31"/>
  <c r="Q115" i="31"/>
  <c r="P115" i="31"/>
  <c r="O115" i="31"/>
  <c r="Q114" i="31"/>
  <c r="P114" i="31"/>
  <c r="O114" i="31"/>
  <c r="Q113" i="31"/>
  <c r="P113" i="31"/>
  <c r="O113" i="31"/>
  <c r="P112" i="31"/>
  <c r="O112" i="31"/>
  <c r="P111" i="31"/>
  <c r="O111" i="31"/>
  <c r="P110" i="31"/>
  <c r="O110" i="31"/>
  <c r="P109" i="31"/>
  <c r="O109" i="31"/>
  <c r="P108" i="31"/>
  <c r="O108" i="31"/>
  <c r="P107" i="31"/>
  <c r="O107" i="31"/>
  <c r="P106" i="31"/>
  <c r="O106" i="31"/>
  <c r="P105" i="31"/>
  <c r="O105" i="31"/>
  <c r="P104" i="31"/>
  <c r="O104" i="31"/>
  <c r="P103" i="31"/>
  <c r="O103" i="31"/>
  <c r="P102" i="31"/>
  <c r="O102" i="31"/>
  <c r="P101" i="31"/>
  <c r="O101" i="31"/>
  <c r="P100" i="31"/>
  <c r="O100" i="31"/>
  <c r="P99" i="31"/>
  <c r="O99" i="31"/>
  <c r="P98" i="31"/>
  <c r="O98" i="31"/>
  <c r="P97" i="31"/>
  <c r="O97" i="31"/>
  <c r="P96" i="31"/>
  <c r="O96" i="31"/>
  <c r="P95" i="31"/>
  <c r="O95" i="31"/>
  <c r="P94" i="31"/>
  <c r="O94" i="31"/>
  <c r="P93" i="31"/>
  <c r="O93" i="31"/>
  <c r="P92" i="31"/>
  <c r="O92" i="31"/>
  <c r="P91" i="31"/>
  <c r="O91" i="31"/>
  <c r="P90" i="31"/>
  <c r="O90" i="31"/>
  <c r="P89" i="31"/>
  <c r="O89" i="31"/>
  <c r="P88" i="31"/>
  <c r="O88" i="31"/>
  <c r="P87" i="31"/>
  <c r="O87" i="31"/>
  <c r="P86" i="31"/>
  <c r="O86" i="31"/>
  <c r="P85" i="31"/>
  <c r="O85" i="31"/>
  <c r="P84" i="31"/>
  <c r="O84" i="31"/>
  <c r="P83" i="31"/>
  <c r="O83" i="31"/>
  <c r="P82" i="31"/>
  <c r="O82" i="31"/>
  <c r="P81" i="31"/>
  <c r="O81" i="31"/>
  <c r="P80" i="31"/>
  <c r="O80" i="31"/>
  <c r="P79" i="31"/>
  <c r="O79" i="31"/>
  <c r="P78" i="31"/>
  <c r="R78" i="31" s="1"/>
  <c r="O78" i="31"/>
  <c r="P77" i="31"/>
  <c r="O77" i="31"/>
  <c r="P76" i="31"/>
  <c r="O76" i="31"/>
  <c r="P75" i="31"/>
  <c r="O75" i="31"/>
  <c r="P74" i="31"/>
  <c r="O74" i="31"/>
  <c r="P73" i="31"/>
  <c r="O73" i="31"/>
  <c r="P72" i="31"/>
  <c r="O72" i="31"/>
  <c r="P71" i="31"/>
  <c r="O71" i="31"/>
  <c r="P70" i="31"/>
  <c r="O70" i="31"/>
  <c r="P69" i="31"/>
  <c r="O69" i="31"/>
  <c r="P68" i="31"/>
  <c r="O68" i="31"/>
  <c r="P67" i="31"/>
  <c r="O67" i="31"/>
  <c r="P66" i="31"/>
  <c r="O66" i="31"/>
  <c r="R66" i="31" s="1"/>
  <c r="P65" i="31"/>
  <c r="O65" i="31"/>
  <c r="P64" i="31"/>
  <c r="O64" i="31"/>
  <c r="P63" i="31"/>
  <c r="O63" i="31"/>
  <c r="P62" i="31"/>
  <c r="O62" i="31"/>
  <c r="P61" i="31"/>
  <c r="O61" i="31"/>
  <c r="P60" i="31"/>
  <c r="O60" i="31"/>
  <c r="P59" i="31"/>
  <c r="O59" i="31"/>
  <c r="P58" i="31"/>
  <c r="O58" i="31"/>
  <c r="P57" i="31"/>
  <c r="O57" i="31"/>
  <c r="P56" i="31"/>
  <c r="O56" i="31"/>
  <c r="P55" i="31"/>
  <c r="O55" i="31"/>
  <c r="P54" i="31"/>
  <c r="O54" i="31"/>
  <c r="P53" i="31"/>
  <c r="O53" i="31"/>
  <c r="P52" i="31"/>
  <c r="O52" i="31"/>
  <c r="P51" i="31"/>
  <c r="O51" i="31"/>
  <c r="P50" i="31"/>
  <c r="O50" i="31"/>
  <c r="P49" i="31"/>
  <c r="O49" i="31"/>
  <c r="P48" i="31"/>
  <c r="O48" i="31"/>
  <c r="P47" i="31"/>
  <c r="O47" i="31"/>
  <c r="P46" i="31"/>
  <c r="O46" i="31"/>
  <c r="P45" i="31"/>
  <c r="O45" i="31"/>
  <c r="P44" i="31"/>
  <c r="O44" i="31"/>
  <c r="P43" i="31"/>
  <c r="O43" i="31"/>
  <c r="P42" i="31"/>
  <c r="O42" i="31"/>
  <c r="P41" i="31"/>
  <c r="O41" i="31"/>
  <c r="P40" i="31"/>
  <c r="O40" i="31"/>
  <c r="P39" i="31"/>
  <c r="O39" i="31"/>
  <c r="P38" i="31"/>
  <c r="O38" i="31"/>
  <c r="P37" i="31"/>
  <c r="O37" i="31"/>
  <c r="P36" i="31"/>
  <c r="O36" i="31"/>
  <c r="P35" i="31"/>
  <c r="O35" i="31"/>
  <c r="P34" i="31"/>
  <c r="O34" i="31"/>
  <c r="P33" i="31"/>
  <c r="O33" i="31"/>
  <c r="P32" i="31"/>
  <c r="O32" i="31"/>
  <c r="P31" i="31"/>
  <c r="O31" i="31"/>
  <c r="P30" i="31"/>
  <c r="O30" i="31"/>
  <c r="P29" i="31"/>
  <c r="O29" i="31"/>
  <c r="P28" i="31"/>
  <c r="O28" i="31"/>
  <c r="P27" i="31"/>
  <c r="O27" i="31"/>
  <c r="P26" i="31"/>
  <c r="O26" i="31"/>
  <c r="P25" i="31"/>
  <c r="O25" i="31"/>
  <c r="P24" i="31"/>
  <c r="O24" i="31"/>
  <c r="P23" i="31"/>
  <c r="O23" i="31"/>
  <c r="P22" i="31"/>
  <c r="O22" i="31"/>
  <c r="P21" i="31"/>
  <c r="O21" i="31"/>
  <c r="P20" i="31"/>
  <c r="O20" i="31"/>
  <c r="P19" i="31"/>
  <c r="O19" i="31"/>
  <c r="P18" i="31"/>
  <c r="O18" i="31"/>
  <c r="P17" i="31"/>
  <c r="O17" i="31"/>
  <c r="P16" i="31"/>
  <c r="O16" i="31"/>
  <c r="P15" i="31"/>
  <c r="O15" i="31"/>
  <c r="P14" i="31"/>
  <c r="O14" i="31"/>
  <c r="P13" i="31"/>
  <c r="O13" i="31"/>
  <c r="P12" i="31"/>
  <c r="O12" i="31"/>
  <c r="P11" i="31"/>
  <c r="O11" i="31"/>
  <c r="P10" i="31"/>
  <c r="O10" i="31"/>
  <c r="P9" i="31"/>
  <c r="O9" i="31"/>
  <c r="P8" i="31"/>
  <c r="O8" i="31"/>
  <c r="P7" i="31"/>
  <c r="O7" i="31"/>
  <c r="P6" i="31"/>
  <c r="O6" i="31"/>
  <c r="P5" i="31"/>
  <c r="O5" i="31"/>
  <c r="P4" i="31"/>
  <c r="O4" i="31"/>
  <c r="I4" i="31"/>
  <c r="P3" i="31"/>
  <c r="O3" i="31"/>
  <c r="I3" i="31"/>
  <c r="P2" i="31"/>
  <c r="O2" i="31"/>
  <c r="R67" i="31" l="1"/>
  <c r="R79" i="31"/>
  <c r="R95" i="31"/>
  <c r="R97" i="31"/>
  <c r="R99" i="31"/>
  <c r="R105" i="31"/>
  <c r="R111" i="31"/>
  <c r="R113" i="31"/>
  <c r="R117" i="31"/>
  <c r="R121" i="31"/>
  <c r="R125" i="31"/>
  <c r="R129" i="31"/>
  <c r="R133" i="31"/>
  <c r="R137" i="31"/>
  <c r="R141" i="31"/>
  <c r="R145" i="31"/>
  <c r="R149" i="31"/>
  <c r="R153" i="31"/>
  <c r="R157" i="31"/>
  <c r="R161" i="31"/>
  <c r="R165" i="31"/>
  <c r="R169" i="31"/>
  <c r="R173" i="31"/>
  <c r="R177" i="31"/>
  <c r="R181" i="31"/>
  <c r="R185" i="31"/>
  <c r="R189" i="31"/>
  <c r="R35" i="31"/>
  <c r="R47" i="31"/>
  <c r="R63" i="31"/>
  <c r="R46" i="31"/>
  <c r="R18" i="31"/>
  <c r="R22" i="31"/>
  <c r="R24" i="31"/>
  <c r="R26" i="31"/>
  <c r="R28" i="31"/>
  <c r="R30" i="31"/>
  <c r="R34" i="31"/>
  <c r="R25" i="31"/>
  <c r="R29" i="31"/>
  <c r="R3" i="31"/>
  <c r="R14" i="31"/>
  <c r="R50" i="31"/>
  <c r="R54" i="31"/>
  <c r="R56" i="31"/>
  <c r="R58" i="31"/>
  <c r="R60" i="31"/>
  <c r="R62" i="31"/>
  <c r="R89" i="31"/>
  <c r="R57" i="31"/>
  <c r="R61" i="31"/>
  <c r="R2" i="31"/>
  <c r="R15" i="31"/>
  <c r="R31" i="31"/>
  <c r="R82" i="31"/>
  <c r="R86" i="31"/>
  <c r="R88" i="31"/>
  <c r="R102" i="31"/>
  <c r="R104" i="31"/>
  <c r="R9" i="31"/>
  <c r="R13" i="31"/>
  <c r="R41" i="31"/>
  <c r="R45" i="31"/>
  <c r="R73" i="31"/>
  <c r="R77" i="31"/>
  <c r="R6" i="31"/>
  <c r="R8" i="31"/>
  <c r="R10" i="31"/>
  <c r="R12" i="31"/>
  <c r="R19" i="31"/>
  <c r="R38" i="31"/>
  <c r="R40" i="31"/>
  <c r="R42" i="31"/>
  <c r="R44" i="31"/>
  <c r="R51" i="31"/>
  <c r="R70" i="31"/>
  <c r="R72" i="31"/>
  <c r="R74" i="31"/>
  <c r="R76" i="31"/>
  <c r="R83" i="31"/>
  <c r="R98" i="31"/>
  <c r="R17" i="31"/>
  <c r="R33" i="31"/>
  <c r="R49" i="31"/>
  <c r="R65" i="31"/>
  <c r="R81" i="31"/>
  <c r="R116" i="31"/>
  <c r="R120" i="31"/>
  <c r="R124" i="31"/>
  <c r="R128" i="31"/>
  <c r="R132" i="31"/>
  <c r="R136" i="31"/>
  <c r="R140" i="31"/>
  <c r="R144" i="31"/>
  <c r="R148" i="31"/>
  <c r="R152" i="31"/>
  <c r="R156" i="31"/>
  <c r="R160" i="31"/>
  <c r="R164" i="31"/>
  <c r="R168" i="31"/>
  <c r="R172" i="31"/>
  <c r="R176" i="31"/>
  <c r="R180" i="31"/>
  <c r="R184" i="31"/>
  <c r="R188" i="31"/>
  <c r="R5" i="31"/>
  <c r="R7" i="31"/>
  <c r="R16" i="31"/>
  <c r="R21" i="31"/>
  <c r="R23" i="31"/>
  <c r="R32" i="31"/>
  <c r="R37" i="31"/>
  <c r="R39" i="31"/>
  <c r="R48" i="31"/>
  <c r="R53" i="31"/>
  <c r="R55" i="31"/>
  <c r="R64" i="31"/>
  <c r="R69" i="31"/>
  <c r="R71" i="31"/>
  <c r="R80" i="31"/>
  <c r="R85" i="31"/>
  <c r="R87" i="31"/>
  <c r="R90" i="31"/>
  <c r="R94" i="31"/>
  <c r="R96" i="31"/>
  <c r="R101" i="31"/>
  <c r="R103" i="31"/>
  <c r="R106" i="31"/>
  <c r="R110" i="31"/>
  <c r="R112" i="31"/>
  <c r="R4" i="31"/>
  <c r="R11" i="31"/>
  <c r="R20" i="31"/>
  <c r="R27" i="31"/>
  <c r="R36" i="31"/>
  <c r="R43" i="31"/>
  <c r="R52" i="31"/>
  <c r="R59" i="31"/>
  <c r="R68" i="31"/>
  <c r="R75" i="31"/>
  <c r="R84" i="31"/>
  <c r="R91" i="31"/>
  <c r="R93" i="31"/>
  <c r="R100" i="31"/>
  <c r="R107" i="31"/>
  <c r="R109" i="31"/>
  <c r="D17" i="22"/>
  <c r="D18" i="22"/>
  <c r="R115" i="31"/>
  <c r="R119" i="31"/>
  <c r="R123" i="31"/>
  <c r="R127" i="31"/>
  <c r="R131" i="31"/>
  <c r="R135" i="31"/>
  <c r="R139" i="31"/>
  <c r="R143" i="31"/>
  <c r="R147" i="31"/>
  <c r="R151" i="31"/>
  <c r="R155" i="31"/>
  <c r="R159" i="31"/>
  <c r="R163" i="31"/>
  <c r="R167" i="31"/>
  <c r="R171" i="31"/>
  <c r="R175" i="31"/>
  <c r="R179" i="31"/>
  <c r="R183" i="31"/>
  <c r="R187" i="31"/>
  <c r="R92" i="31"/>
  <c r="R108" i="31"/>
  <c r="R114" i="31"/>
  <c r="R118" i="31"/>
  <c r="R122" i="31"/>
  <c r="R126" i="31"/>
  <c r="R130" i="31"/>
  <c r="R134" i="31"/>
  <c r="R138" i="31"/>
  <c r="R142" i="31"/>
  <c r="R146" i="31"/>
  <c r="R150" i="31"/>
  <c r="R154" i="31"/>
  <c r="R158" i="31"/>
  <c r="R162" i="31"/>
  <c r="R166" i="31"/>
  <c r="R170" i="31"/>
  <c r="R174" i="31"/>
  <c r="R178" i="31"/>
  <c r="R182" i="31"/>
  <c r="R186" i="31"/>
  <c r="R190" i="31"/>
  <c r="D48" i="27"/>
  <c r="D49" i="27"/>
  <c r="D50" i="27"/>
  <c r="D51" i="27"/>
  <c r="D52" i="27"/>
  <c r="D13" i="31" l="1"/>
  <c r="C13" i="31"/>
  <c r="C12" i="31"/>
  <c r="D12" i="31"/>
  <c r="C51" i="4" l="1"/>
  <c r="H5" i="15" l="1"/>
  <c r="D20" i="15"/>
  <c r="D21" i="15"/>
  <c r="D144" i="12" l="1"/>
  <c r="D145" i="12"/>
  <c r="D146" i="12"/>
  <c r="D147" i="12"/>
  <c r="D148" i="12"/>
  <c r="D143" i="12"/>
  <c r="C77" i="4"/>
  <c r="C63" i="4"/>
  <c r="C53" i="4"/>
  <c r="C52" i="4"/>
  <c r="C50" i="4"/>
  <c r="C40" i="4"/>
  <c r="C39" i="4"/>
  <c r="C38" i="4"/>
  <c r="C37" i="4"/>
  <c r="C27" i="4"/>
  <c r="C26" i="4"/>
  <c r="C25" i="4"/>
  <c r="C24" i="4"/>
  <c r="C12" i="4"/>
  <c r="C14" i="4"/>
  <c r="C13" i="4"/>
  <c r="C11" i="4"/>
  <c r="H4" i="4"/>
  <c r="G4" i="4"/>
  <c r="E4" i="4"/>
  <c r="D56" i="21"/>
  <c r="D57" i="21"/>
  <c r="D55" i="21"/>
  <c r="C63" i="5"/>
  <c r="D63" i="5" s="1"/>
  <c r="C51" i="9"/>
  <c r="D51" i="9" s="1"/>
  <c r="C50" i="9"/>
  <c r="D50" i="9" s="1"/>
  <c r="D21" i="3"/>
  <c r="D15" i="3"/>
  <c r="D55" i="15"/>
  <c r="C136" i="15"/>
  <c r="C123" i="15"/>
  <c r="C78" i="15"/>
  <c r="C102" i="15"/>
  <c r="C105" i="15"/>
  <c r="D105" i="15" s="1"/>
  <c r="C107" i="15"/>
  <c r="C106" i="15"/>
  <c r="C95" i="15"/>
  <c r="D95" i="15" s="1"/>
  <c r="C94" i="15"/>
  <c r="D94" i="15" s="1"/>
  <c r="C91" i="15"/>
  <c r="C74" i="15"/>
  <c r="C73" i="15"/>
  <c r="C63" i="15"/>
  <c r="C62" i="15"/>
  <c r="C51" i="15"/>
  <c r="C46" i="15"/>
  <c r="C45" i="15"/>
  <c r="C32" i="15"/>
  <c r="C31" i="15"/>
  <c r="C29" i="15"/>
  <c r="C10" i="15"/>
  <c r="C9" i="15"/>
  <c r="C8" i="15"/>
  <c r="C14" i="15"/>
  <c r="F223" i="21" l="1"/>
  <c r="AO177" i="21" l="1"/>
  <c r="AF177" i="21"/>
  <c r="W177" i="21"/>
  <c r="AN177" i="21"/>
  <c r="AX177" i="21"/>
  <c r="AW177" i="21"/>
  <c r="AE177" i="21"/>
  <c r="V177" i="21"/>
  <c r="D116" i="22" l="1"/>
  <c r="D115" i="22"/>
  <c r="D114" i="22"/>
  <c r="D113" i="22"/>
  <c r="D112" i="22"/>
  <c r="D111" i="22"/>
  <c r="D45" i="7" l="1"/>
  <c r="D13" i="7"/>
  <c r="E34" i="11" l="1"/>
  <c r="E32" i="11"/>
  <c r="E31" i="11"/>
  <c r="BH167" i="21" l="1"/>
  <c r="BH166" i="21"/>
  <c r="BH165" i="21"/>
  <c r="BH164" i="21"/>
  <c r="BI14" i="21" l="1"/>
  <c r="BI15" i="21"/>
  <c r="BH15" i="21"/>
  <c r="BH14" i="21"/>
  <c r="BI13" i="21"/>
  <c r="BH13" i="21"/>
  <c r="V16" i="21" l="1"/>
  <c r="D13" i="21"/>
  <c r="B129" i="21"/>
  <c r="I94" i="21"/>
  <c r="C95" i="21" s="1"/>
  <c r="I24" i="21"/>
  <c r="C25" i="21" s="1"/>
  <c r="I9" i="21"/>
  <c r="C10" i="21" s="1"/>
  <c r="I107" i="21"/>
  <c r="C129" i="21" l="1"/>
  <c r="Q24" i="14"/>
  <c r="K24" i="14"/>
  <c r="E24" i="14"/>
  <c r="I121" i="14" l="1"/>
  <c r="I120" i="14"/>
  <c r="I119" i="14"/>
  <c r="I117" i="14"/>
  <c r="I116" i="14"/>
  <c r="I115" i="14"/>
  <c r="I114" i="14"/>
  <c r="I113" i="14"/>
  <c r="I112" i="14"/>
  <c r="I111" i="14"/>
  <c r="I110" i="14"/>
  <c r="I108" i="14"/>
  <c r="I107" i="14"/>
  <c r="I106" i="14"/>
  <c r="I105" i="14"/>
  <c r="I104" i="14"/>
  <c r="I103" i="14"/>
  <c r="I102" i="14"/>
  <c r="I100" i="14"/>
  <c r="I99" i="14"/>
  <c r="I98" i="14"/>
  <c r="I97" i="14"/>
  <c r="I96" i="14"/>
  <c r="I95" i="14"/>
  <c r="I94" i="14"/>
  <c r="I93" i="14"/>
  <c r="I92" i="14"/>
  <c r="I90" i="14"/>
  <c r="I89" i="14"/>
  <c r="I88" i="14"/>
  <c r="I87" i="14"/>
  <c r="I86" i="14"/>
  <c r="I85" i="14"/>
  <c r="I84" i="14"/>
  <c r="I82" i="14"/>
  <c r="I81" i="14"/>
  <c r="I80" i="14"/>
  <c r="I79" i="14"/>
  <c r="I78" i="14"/>
  <c r="I77" i="14"/>
  <c r="I76" i="14"/>
  <c r="I75" i="14"/>
  <c r="I74" i="14"/>
  <c r="O34" i="14" l="1"/>
  <c r="O35" i="14"/>
  <c r="O25" i="14"/>
  <c r="O26" i="14"/>
  <c r="O27" i="14"/>
  <c r="O28" i="14"/>
  <c r="O29" i="14"/>
  <c r="O30" i="14"/>
  <c r="O31" i="14"/>
  <c r="O32" i="14"/>
  <c r="O33" i="14"/>
  <c r="O38" i="14"/>
  <c r="O39" i="14"/>
  <c r="O40" i="14"/>
  <c r="O45" i="14"/>
  <c r="O46" i="14"/>
  <c r="O47" i="14"/>
  <c r="O50" i="14"/>
  <c r="O51" i="14"/>
  <c r="I47" i="14"/>
  <c r="H77" i="29" l="1"/>
  <c r="H62" i="29"/>
  <c r="H49" i="29"/>
  <c r="H34" i="29"/>
  <c r="H18" i="29"/>
  <c r="H4" i="29"/>
  <c r="I11" i="21"/>
  <c r="H48" i="12"/>
  <c r="H36" i="12"/>
  <c r="H23" i="12"/>
  <c r="H47" i="8"/>
  <c r="H27" i="8"/>
  <c r="H8" i="8"/>
  <c r="G19" i="3"/>
  <c r="G5" i="3"/>
  <c r="G35" i="17"/>
  <c r="G23" i="17"/>
  <c r="G13" i="17"/>
  <c r="G5" i="17"/>
  <c r="F54" i="27"/>
  <c r="F34" i="27"/>
  <c r="F6" i="27"/>
  <c r="F63" i="13"/>
  <c r="F55" i="13"/>
  <c r="F40" i="13"/>
  <c r="F31" i="13"/>
  <c r="N23" i="13"/>
  <c r="N14" i="13"/>
  <c r="N5" i="13"/>
  <c r="F23" i="13"/>
  <c r="F14" i="13"/>
  <c r="F5" i="13"/>
  <c r="H82" i="4"/>
  <c r="H76" i="4"/>
  <c r="H61" i="4"/>
  <c r="H48" i="4"/>
  <c r="H35" i="4"/>
  <c r="H22" i="4"/>
  <c r="H9" i="4"/>
  <c r="H104" i="18"/>
  <c r="H92" i="18"/>
  <c r="H83" i="18"/>
  <c r="H71" i="18"/>
  <c r="H64" i="18"/>
  <c r="H54" i="18"/>
  <c r="H44" i="18"/>
  <c r="H37" i="18"/>
  <c r="H28" i="18"/>
  <c r="H21" i="18"/>
  <c r="H13" i="18"/>
  <c r="H5" i="18"/>
  <c r="H32" i="24"/>
  <c r="H6" i="24"/>
  <c r="G219" i="2"/>
  <c r="G205" i="2"/>
  <c r="G168" i="2"/>
  <c r="G146" i="2"/>
  <c r="G86" i="2"/>
  <c r="G65" i="2"/>
  <c r="G6" i="2"/>
  <c r="H129" i="15"/>
  <c r="H118" i="15"/>
  <c r="H101" i="15"/>
  <c r="H90" i="15"/>
  <c r="H71" i="15"/>
  <c r="H60" i="15"/>
  <c r="H42" i="15"/>
  <c r="H27" i="15"/>
  <c r="H103" i="9"/>
  <c r="H89" i="9"/>
  <c r="H70" i="9"/>
  <c r="H56" i="9"/>
  <c r="H34" i="9"/>
  <c r="H22" i="9"/>
  <c r="H8" i="9"/>
  <c r="H100" i="5"/>
  <c r="H82" i="5"/>
  <c r="H67" i="5"/>
  <c r="H52" i="5"/>
  <c r="H37" i="5"/>
  <c r="H22" i="5"/>
  <c r="H7" i="5"/>
  <c r="I201" i="21"/>
  <c r="I180" i="21"/>
  <c r="I165" i="21"/>
  <c r="I130" i="21"/>
  <c r="I109" i="21"/>
  <c r="I96" i="21"/>
  <c r="I39" i="21"/>
  <c r="I26" i="21"/>
  <c r="Z7" i="11"/>
  <c r="S7" i="11"/>
  <c r="L7" i="11"/>
  <c r="E7" i="11"/>
  <c r="L41" i="11"/>
  <c r="J39" i="11"/>
  <c r="L42" i="16"/>
  <c r="I40" i="16"/>
  <c r="I38" i="16"/>
  <c r="D202" i="21" l="1"/>
  <c r="D203" i="21"/>
  <c r="D182" i="21"/>
  <c r="D181" i="21"/>
  <c r="BG170" i="21"/>
  <c r="D167" i="21"/>
  <c r="M168" i="21"/>
  <c r="BI174" i="21" l="1"/>
  <c r="BK174" i="21"/>
  <c r="BJ174" i="21"/>
  <c r="C175" i="21"/>
  <c r="C176" i="21"/>
  <c r="D176" i="21" s="1"/>
  <c r="C197" i="21"/>
  <c r="D197" i="21" s="1"/>
  <c r="C177" i="21"/>
  <c r="D177" i="21" s="1"/>
  <c r="C218" i="21"/>
  <c r="C198" i="21"/>
  <c r="C204" i="21"/>
  <c r="D204" i="21" s="1"/>
  <c r="C216" i="21"/>
  <c r="D216" i="21" s="1"/>
  <c r="C205" i="21"/>
  <c r="D205" i="21" s="1"/>
  <c r="C196" i="21"/>
  <c r="D196" i="21" s="1"/>
  <c r="C217" i="21"/>
  <c r="D217" i="21" s="1"/>
  <c r="C208" i="21"/>
  <c r="D208" i="21" s="1"/>
  <c r="D175" i="21"/>
  <c r="BH171" i="21"/>
  <c r="BH172" i="21"/>
  <c r="BH173" i="21"/>
  <c r="BH174" i="21"/>
  <c r="BI171" i="21"/>
  <c r="BI172" i="21"/>
  <c r="BI173" i="21"/>
  <c r="C218" i="38" l="1"/>
  <c r="D218" i="38" s="1"/>
  <c r="C198" i="38"/>
  <c r="D198" i="38" s="1"/>
  <c r="C177" i="38"/>
  <c r="D177" i="38" s="1"/>
  <c r="C178" i="38" s="1"/>
  <c r="C214" i="21"/>
  <c r="C173" i="21"/>
  <c r="D173" i="21" s="1"/>
  <c r="C174" i="21" s="1"/>
  <c r="C194" i="21"/>
  <c r="E178" i="38" l="1"/>
  <c r="C199" i="38"/>
  <c r="D178" i="38"/>
  <c r="C195" i="21"/>
  <c r="E195" i="21" s="1"/>
  <c r="D174" i="21"/>
  <c r="E174" i="21"/>
  <c r="C219" i="38" l="1"/>
  <c r="D199" i="38"/>
  <c r="E199" i="38"/>
  <c r="D195" i="21"/>
  <c r="C215" i="21"/>
  <c r="D76" i="15"/>
  <c r="D65" i="15"/>
  <c r="E219" i="38" l="1"/>
  <c r="D219" i="38"/>
  <c r="D215" i="21"/>
  <c r="E215" i="21"/>
  <c r="D171" i="2"/>
  <c r="D172" i="2"/>
  <c r="D173" i="2"/>
  <c r="D174" i="2"/>
  <c r="D175" i="2"/>
  <c r="S14" i="9"/>
  <c r="S13" i="9"/>
  <c r="D14" i="32" l="1"/>
  <c r="I20" i="19"/>
  <c r="J20" i="19" s="1"/>
  <c r="O20" i="19"/>
  <c r="D34" i="24"/>
  <c r="D193" i="2"/>
  <c r="D194" i="2"/>
  <c r="D195" i="2"/>
  <c r="D196" i="2"/>
  <c r="D197" i="2"/>
  <c r="D198" i="2"/>
  <c r="D199" i="2"/>
  <c r="D200" i="2"/>
  <c r="L20" i="19" l="1"/>
  <c r="D35" i="24"/>
  <c r="D184" i="2"/>
  <c r="D185" i="2"/>
  <c r="D186" i="2"/>
  <c r="D187" i="2"/>
  <c r="D188" i="2"/>
  <c r="N20" i="19" l="1"/>
  <c r="K20" i="19"/>
  <c r="AH50" i="19" s="1"/>
  <c r="D56" i="27"/>
  <c r="D57" i="27"/>
  <c r="D58" i="27"/>
  <c r="D59" i="27"/>
  <c r="D60" i="27"/>
  <c r="D61" i="27"/>
  <c r="D62" i="27"/>
  <c r="D63" i="27"/>
  <c r="D64" i="27"/>
  <c r="D65" i="27"/>
  <c r="D66" i="27"/>
  <c r="D67" i="27"/>
  <c r="D68" i="27"/>
  <c r="D69" i="27"/>
  <c r="D70" i="27"/>
  <c r="D71" i="27"/>
  <c r="D72" i="27"/>
  <c r="D73" i="27"/>
  <c r="D74" i="27"/>
  <c r="D75" i="27"/>
  <c r="D76" i="27"/>
  <c r="D55" i="27"/>
  <c r="D45" i="27"/>
  <c r="D36" i="27" l="1"/>
  <c r="D37" i="27"/>
  <c r="D38" i="27"/>
  <c r="D39" i="27"/>
  <c r="D40" i="27"/>
  <c r="D41" i="27"/>
  <c r="D42" i="27"/>
  <c r="D43" i="27"/>
  <c r="D44" i="27"/>
  <c r="D46" i="27"/>
  <c r="D47" i="27"/>
  <c r="D35" i="27"/>
  <c r="D22" i="27"/>
  <c r="D23" i="27"/>
  <c r="D24" i="27"/>
  <c r="D25" i="27"/>
  <c r="D26" i="27"/>
  <c r="D27" i="27"/>
  <c r="D28" i="27"/>
  <c r="D21" i="27"/>
  <c r="D9" i="27"/>
  <c r="D10" i="27"/>
  <c r="D11" i="27"/>
  <c r="D12" i="27"/>
  <c r="D8" i="27"/>
  <c r="D13" i="27"/>
  <c r="D14" i="27"/>
  <c r="D15" i="27"/>
  <c r="D16" i="27"/>
  <c r="D17" i="27"/>
  <c r="D18" i="27"/>
  <c r="D7" i="27"/>
  <c r="D134" i="15" l="1"/>
  <c r="C132" i="15"/>
  <c r="D132" i="15" s="1"/>
  <c r="C130" i="15"/>
  <c r="D130" i="15" s="1"/>
  <c r="D131" i="15"/>
  <c r="D133" i="15"/>
  <c r="D135" i="15"/>
  <c r="D136" i="15"/>
  <c r="C121" i="15"/>
  <c r="D121" i="15" s="1"/>
  <c r="C119" i="15"/>
  <c r="D143" i="10"/>
  <c r="D91" i="10"/>
  <c r="H3" i="9" l="1"/>
  <c r="G3" i="9"/>
  <c r="E3" i="9"/>
  <c r="H6" i="9"/>
  <c r="C115" i="9"/>
  <c r="C114" i="9"/>
  <c r="C111" i="9"/>
  <c r="C110" i="9"/>
  <c r="C108" i="9"/>
  <c r="C107" i="9"/>
  <c r="C117" i="9"/>
  <c r="C116" i="9"/>
  <c r="C94" i="9"/>
  <c r="C93" i="9"/>
  <c r="C95" i="9"/>
  <c r="C96" i="9"/>
  <c r="C78" i="9"/>
  <c r="C77" i="9"/>
  <c r="C75" i="9"/>
  <c r="C74" i="9"/>
  <c r="C84" i="9"/>
  <c r="C83" i="9"/>
  <c r="C82" i="9"/>
  <c r="C81" i="9"/>
  <c r="C61" i="9"/>
  <c r="C60" i="9"/>
  <c r="C63" i="9"/>
  <c r="C62" i="9"/>
  <c r="C43" i="9"/>
  <c r="C41" i="9"/>
  <c r="C40" i="9"/>
  <c r="C31" i="9"/>
  <c r="C30" i="9"/>
  <c r="C14" i="9"/>
  <c r="C13" i="9"/>
  <c r="C12" i="9"/>
  <c r="Q26" i="9"/>
  <c r="R26" i="9"/>
  <c r="Q27" i="9"/>
  <c r="R27" i="9"/>
  <c r="Q28" i="9"/>
  <c r="R28" i="9"/>
  <c r="Q29" i="9"/>
  <c r="R29" i="9"/>
  <c r="Q30" i="9"/>
  <c r="C79" i="9" s="1"/>
  <c r="R30" i="9"/>
  <c r="C80" i="9" s="1"/>
  <c r="C45" i="9"/>
  <c r="C44" i="9"/>
  <c r="H87" i="9"/>
  <c r="H54" i="9"/>
  <c r="H20" i="9"/>
  <c r="C112" i="9" l="1"/>
  <c r="C113" i="9"/>
  <c r="D119" i="15"/>
  <c r="D120" i="15"/>
  <c r="D122" i="15"/>
  <c r="D123" i="15"/>
  <c r="K26" i="9" l="1"/>
  <c r="L26" i="9"/>
  <c r="M26" i="9"/>
  <c r="N26" i="9"/>
  <c r="O26" i="9"/>
  <c r="P26" i="9"/>
  <c r="S26" i="9"/>
  <c r="K27" i="9"/>
  <c r="L27" i="9"/>
  <c r="M27" i="9"/>
  <c r="N27" i="9"/>
  <c r="O27" i="9"/>
  <c r="P27" i="9"/>
  <c r="S27" i="9"/>
  <c r="K28" i="9"/>
  <c r="L28" i="9"/>
  <c r="M28" i="9"/>
  <c r="N28" i="9"/>
  <c r="O28" i="9"/>
  <c r="P28" i="9"/>
  <c r="S28" i="9"/>
  <c r="S30" i="9"/>
  <c r="P30" i="9"/>
  <c r="O30" i="9"/>
  <c r="N30" i="9"/>
  <c r="M30" i="9"/>
  <c r="C38" i="9" s="1"/>
  <c r="L30" i="9"/>
  <c r="K30" i="9"/>
  <c r="S29" i="9"/>
  <c r="P29" i="9"/>
  <c r="O29" i="9"/>
  <c r="N29" i="9"/>
  <c r="M29" i="9"/>
  <c r="L29" i="9"/>
  <c r="K29" i="9"/>
  <c r="M13" i="9"/>
  <c r="M14" i="9"/>
  <c r="K14" i="9"/>
  <c r="L14" i="9"/>
  <c r="N14" i="9"/>
  <c r="O14" i="9"/>
  <c r="P14" i="9"/>
  <c r="L13" i="9"/>
  <c r="N13" i="9"/>
  <c r="O13" i="9"/>
  <c r="P13" i="9"/>
  <c r="K13" i="9"/>
  <c r="J11" i="9"/>
  <c r="D21" i="32" l="1"/>
  <c r="D20" i="32"/>
  <c r="C16" i="9"/>
  <c r="C11" i="9"/>
  <c r="C29" i="9"/>
  <c r="C109" i="9"/>
  <c r="C76" i="9"/>
  <c r="C42" i="9"/>
  <c r="C97" i="9"/>
  <c r="C64" i="9"/>
  <c r="C105" i="9"/>
  <c r="C72" i="9"/>
  <c r="C58" i="9"/>
  <c r="C73" i="9"/>
  <c r="C106" i="9"/>
  <c r="C65" i="9"/>
  <c r="C98" i="9"/>
  <c r="C91" i="9"/>
  <c r="C92" i="9"/>
  <c r="C59" i="9"/>
  <c r="C99" i="9"/>
  <c r="C66" i="9"/>
  <c r="C10" i="9"/>
  <c r="C24" i="9"/>
  <c r="C36" i="9"/>
  <c r="C37" i="9"/>
  <c r="C25" i="9"/>
  <c r="C26" i="9"/>
  <c r="C27" i="9"/>
  <c r="C39" i="9"/>
  <c r="C17" i="9"/>
  <c r="G4" i="1"/>
  <c r="J4" i="1"/>
  <c r="F3865" i="1" l="1"/>
  <c r="F3869" i="1"/>
  <c r="F3873" i="1"/>
  <c r="F3877" i="1"/>
  <c r="F3881" i="1"/>
  <c r="F3885" i="1"/>
  <c r="F3889" i="1"/>
  <c r="F3893" i="1"/>
  <c r="F3897" i="1"/>
  <c r="F3901" i="1"/>
  <c r="F3905" i="1"/>
  <c r="F3909" i="1"/>
  <c r="F3913" i="1"/>
  <c r="F3917" i="1"/>
  <c r="F3921" i="1"/>
  <c r="F3925" i="1"/>
  <c r="F3929" i="1"/>
  <c r="F3933" i="1"/>
  <c r="F3937" i="1"/>
  <c r="F3941" i="1"/>
  <c r="F3945" i="1"/>
  <c r="F3949" i="1"/>
  <c r="F3953" i="1"/>
  <c r="F3957" i="1"/>
  <c r="F3961" i="1"/>
  <c r="F3965" i="1"/>
  <c r="F3969" i="1"/>
  <c r="F3973" i="1"/>
  <c r="F3977" i="1"/>
  <c r="F3981" i="1"/>
  <c r="F3985" i="1"/>
  <c r="F3989" i="1"/>
  <c r="F3993" i="1"/>
  <c r="F3997" i="1"/>
  <c r="F4001" i="1"/>
  <c r="F4005" i="1"/>
  <c r="F4009" i="1"/>
  <c r="F4013" i="1"/>
  <c r="F4017" i="1"/>
  <c r="F4021" i="1"/>
  <c r="F4025" i="1"/>
  <c r="F4029" i="1"/>
  <c r="F4033" i="1"/>
  <c r="F4037" i="1"/>
  <c r="F4041" i="1"/>
  <c r="F4045" i="1"/>
  <c r="F4049" i="1"/>
  <c r="F4053" i="1"/>
  <c r="F4057" i="1"/>
  <c r="F3866" i="1"/>
  <c r="F3870" i="1"/>
  <c r="F3874" i="1"/>
  <c r="F3878" i="1"/>
  <c r="F3882" i="1"/>
  <c r="F3886" i="1"/>
  <c r="F3890" i="1"/>
  <c r="F3894" i="1"/>
  <c r="F3898" i="1"/>
  <c r="F3902" i="1"/>
  <c r="F3906" i="1"/>
  <c r="F3910" i="1"/>
  <c r="F3914" i="1"/>
  <c r="F3918" i="1"/>
  <c r="F3922" i="1"/>
  <c r="F3926" i="1"/>
  <c r="F3930" i="1"/>
  <c r="F3934" i="1"/>
  <c r="F3938" i="1"/>
  <c r="F3942" i="1"/>
  <c r="F3946" i="1"/>
  <c r="F3950" i="1"/>
  <c r="F3954" i="1"/>
  <c r="F3958" i="1"/>
  <c r="F3962" i="1"/>
  <c r="F3966" i="1"/>
  <c r="F3970" i="1"/>
  <c r="F3974" i="1"/>
  <c r="F3978" i="1"/>
  <c r="F3982" i="1"/>
  <c r="F3986" i="1"/>
  <c r="F3990" i="1"/>
  <c r="F3994" i="1"/>
  <c r="F3998" i="1"/>
  <c r="F4002" i="1"/>
  <c r="F4006" i="1"/>
  <c r="F3863" i="1"/>
  <c r="F3871" i="1"/>
  <c r="F3879" i="1"/>
  <c r="F3887" i="1"/>
  <c r="F3895" i="1"/>
  <c r="F3903" i="1"/>
  <c r="F3911" i="1"/>
  <c r="F3919" i="1"/>
  <c r="F3927" i="1"/>
  <c r="F3935" i="1"/>
  <c r="F3943" i="1"/>
  <c r="F3951" i="1"/>
  <c r="F3959" i="1"/>
  <c r="F3967" i="1"/>
  <c r="F3975" i="1"/>
  <c r="F3983" i="1"/>
  <c r="F3991" i="1"/>
  <c r="F3999" i="1"/>
  <c r="F4007" i="1"/>
  <c r="F4012" i="1"/>
  <c r="F4018" i="1"/>
  <c r="F4023" i="1"/>
  <c r="F4028" i="1"/>
  <c r="F4034" i="1"/>
  <c r="F4039" i="1"/>
  <c r="F4044" i="1"/>
  <c r="F4050" i="1"/>
  <c r="F4055" i="1"/>
  <c r="F3864" i="1"/>
  <c r="F3872" i="1"/>
  <c r="F3880" i="1"/>
  <c r="F3888" i="1"/>
  <c r="F3896" i="1"/>
  <c r="F3904" i="1"/>
  <c r="F3912" i="1"/>
  <c r="F3920" i="1"/>
  <c r="F3928" i="1"/>
  <c r="F3936" i="1"/>
  <c r="F3944" i="1"/>
  <c r="F3952" i="1"/>
  <c r="F3960" i="1"/>
  <c r="F3968" i="1"/>
  <c r="F3976" i="1"/>
  <c r="F3984" i="1"/>
  <c r="F3992" i="1"/>
  <c r="F4000" i="1"/>
  <c r="F4008" i="1"/>
  <c r="F4014" i="1"/>
  <c r="F4019" i="1"/>
  <c r="F4024" i="1"/>
  <c r="F4030" i="1"/>
  <c r="F4035" i="1"/>
  <c r="F4040" i="1"/>
  <c r="F4046" i="1"/>
  <c r="F4051" i="1"/>
  <c r="F4056" i="1"/>
  <c r="F3867" i="1"/>
  <c r="F3875" i="1"/>
  <c r="F3883" i="1"/>
  <c r="F3891" i="1"/>
  <c r="F3899" i="1"/>
  <c r="F3907" i="1"/>
  <c r="F3915" i="1"/>
  <c r="F3923" i="1"/>
  <c r="F3931" i="1"/>
  <c r="F3939" i="1"/>
  <c r="F3947" i="1"/>
  <c r="F3955" i="1"/>
  <c r="F3963" i="1"/>
  <c r="F3971" i="1"/>
  <c r="F3979" i="1"/>
  <c r="F3987" i="1"/>
  <c r="F3995" i="1"/>
  <c r="F4003" i="1"/>
  <c r="F4010" i="1"/>
  <c r="F4015" i="1"/>
  <c r="F4020" i="1"/>
  <c r="F4026" i="1"/>
  <c r="F4031" i="1"/>
  <c r="F4036" i="1"/>
  <c r="F4042" i="1"/>
  <c r="F4047" i="1"/>
  <c r="F4052" i="1"/>
  <c r="F4058" i="1"/>
  <c r="F3868" i="1"/>
  <c r="F3876" i="1"/>
  <c r="F3908" i="1"/>
  <c r="F3940" i="1"/>
  <c r="F3972" i="1"/>
  <c r="F4004" i="1"/>
  <c r="F4027" i="1"/>
  <c r="F4048" i="1"/>
  <c r="F3884" i="1"/>
  <c r="F3916" i="1"/>
  <c r="F3948" i="1"/>
  <c r="F3980" i="1"/>
  <c r="F4011" i="1"/>
  <c r="F4032" i="1"/>
  <c r="F4054" i="1"/>
  <c r="F3892" i="1"/>
  <c r="F3924" i="1"/>
  <c r="F3956" i="1"/>
  <c r="F3988" i="1"/>
  <c r="F4016" i="1"/>
  <c r="F4038" i="1"/>
  <c r="F4059" i="1"/>
  <c r="F3900" i="1"/>
  <c r="F3932" i="1"/>
  <c r="F3964" i="1"/>
  <c r="F3996" i="1"/>
  <c r="F4022" i="1"/>
  <c r="F4043" i="1"/>
  <c r="F3772" i="1"/>
  <c r="F3784" i="1"/>
  <c r="F3788" i="1"/>
  <c r="F3796" i="1"/>
  <c r="F3804" i="1"/>
  <c r="F3812" i="1"/>
  <c r="F3820" i="1"/>
  <c r="F3824" i="1"/>
  <c r="F3836" i="1"/>
  <c r="F3844" i="1"/>
  <c r="F3852" i="1"/>
  <c r="F3860" i="1"/>
  <c r="F3773" i="1"/>
  <c r="F3777" i="1"/>
  <c r="F3781" i="1"/>
  <c r="F3785" i="1"/>
  <c r="F3789" i="1"/>
  <c r="F3793" i="1"/>
  <c r="F3797" i="1"/>
  <c r="F3801" i="1"/>
  <c r="F3805" i="1"/>
  <c r="F3809" i="1"/>
  <c r="F3813" i="1"/>
  <c r="F3817" i="1"/>
  <c r="F3821" i="1"/>
  <c r="F3825" i="1"/>
  <c r="F3829" i="1"/>
  <c r="F3833" i="1"/>
  <c r="F3837" i="1"/>
  <c r="F3841" i="1"/>
  <c r="F3845" i="1"/>
  <c r="F3849" i="1"/>
  <c r="F3853" i="1"/>
  <c r="F3857" i="1"/>
  <c r="F3861" i="1"/>
  <c r="F3862" i="1"/>
  <c r="F3771" i="1"/>
  <c r="F3775" i="1"/>
  <c r="F3779" i="1"/>
  <c r="F3783" i="1"/>
  <c r="F3787" i="1"/>
  <c r="F3791" i="1"/>
  <c r="F3795" i="1"/>
  <c r="F3799" i="1"/>
  <c r="F3803" i="1"/>
  <c r="F3807" i="1"/>
  <c r="F3811" i="1"/>
  <c r="F3815" i="1"/>
  <c r="F3819" i="1"/>
  <c r="F3823" i="1"/>
  <c r="F3827" i="1"/>
  <c r="F3831" i="1"/>
  <c r="F3835" i="1"/>
  <c r="F3839" i="1"/>
  <c r="F3843" i="1"/>
  <c r="F3847" i="1"/>
  <c r="F3851" i="1"/>
  <c r="F3855" i="1"/>
  <c r="F3859" i="1"/>
  <c r="F3770" i="1"/>
  <c r="F3774" i="1"/>
  <c r="F3778" i="1"/>
  <c r="F3782" i="1"/>
  <c r="F3786" i="1"/>
  <c r="F3790" i="1"/>
  <c r="F3794" i="1"/>
  <c r="F3798" i="1"/>
  <c r="F3802" i="1"/>
  <c r="F3806" i="1"/>
  <c r="F3810" i="1"/>
  <c r="F3814" i="1"/>
  <c r="F3818" i="1"/>
  <c r="F3822" i="1"/>
  <c r="F3826" i="1"/>
  <c r="F3830" i="1"/>
  <c r="F3834" i="1"/>
  <c r="F3838" i="1"/>
  <c r="F3842" i="1"/>
  <c r="F3846" i="1"/>
  <c r="F3850" i="1"/>
  <c r="F3854" i="1"/>
  <c r="F3858" i="1"/>
  <c r="F3776" i="1"/>
  <c r="F3792" i="1"/>
  <c r="F3800" i="1"/>
  <c r="F3808" i="1"/>
  <c r="F3816" i="1"/>
  <c r="F3828" i="1"/>
  <c r="F3832" i="1"/>
  <c r="F3840" i="1"/>
  <c r="F3848" i="1"/>
  <c r="F3856" i="1"/>
  <c r="F3780" i="1"/>
  <c r="D11" i="9"/>
  <c r="F3699" i="1"/>
  <c r="F3703" i="1"/>
  <c r="F3707" i="1"/>
  <c r="F3711" i="1"/>
  <c r="F3715" i="1"/>
  <c r="F3719" i="1"/>
  <c r="F3723" i="1"/>
  <c r="F3727" i="1"/>
  <c r="F3731" i="1"/>
  <c r="F3735" i="1"/>
  <c r="F3739" i="1"/>
  <c r="F3743" i="1"/>
  <c r="F3747" i="1"/>
  <c r="F3751" i="1"/>
  <c r="F3755" i="1"/>
  <c r="F3759" i="1"/>
  <c r="F3763" i="1"/>
  <c r="F3767" i="1"/>
  <c r="F3757" i="1"/>
  <c r="F3769" i="1"/>
  <c r="F3702" i="1"/>
  <c r="F3710" i="1"/>
  <c r="F3726" i="1"/>
  <c r="F3734" i="1"/>
  <c r="F3750" i="1"/>
  <c r="F3762" i="1"/>
  <c r="F3700" i="1"/>
  <c r="F3704" i="1"/>
  <c r="F3708" i="1"/>
  <c r="F3712" i="1"/>
  <c r="F3716" i="1"/>
  <c r="F3720" i="1"/>
  <c r="F3724" i="1"/>
  <c r="F3728" i="1"/>
  <c r="F3732" i="1"/>
  <c r="F3736" i="1"/>
  <c r="F3740" i="1"/>
  <c r="F3744" i="1"/>
  <c r="F3748" i="1"/>
  <c r="F3752" i="1"/>
  <c r="F3756" i="1"/>
  <c r="F3760" i="1"/>
  <c r="F3764" i="1"/>
  <c r="F3768" i="1"/>
  <c r="F3753" i="1"/>
  <c r="F3765" i="1"/>
  <c r="F3706" i="1"/>
  <c r="F3714" i="1"/>
  <c r="F3718" i="1"/>
  <c r="F3730" i="1"/>
  <c r="F3742" i="1"/>
  <c r="F3754" i="1"/>
  <c r="F3766" i="1"/>
  <c r="F3701" i="1"/>
  <c r="F3705" i="1"/>
  <c r="F3709" i="1"/>
  <c r="F3713" i="1"/>
  <c r="F3717" i="1"/>
  <c r="F3721" i="1"/>
  <c r="F3725" i="1"/>
  <c r="F3729" i="1"/>
  <c r="F3733" i="1"/>
  <c r="F3737" i="1"/>
  <c r="F3741" i="1"/>
  <c r="F3745" i="1"/>
  <c r="F3749" i="1"/>
  <c r="F3761" i="1"/>
  <c r="F3722" i="1"/>
  <c r="F3738" i="1"/>
  <c r="F3746" i="1"/>
  <c r="F3758" i="1"/>
  <c r="F3698" i="1"/>
  <c r="F3697" i="1"/>
  <c r="F3696" i="1"/>
  <c r="F3689" i="1"/>
  <c r="F3693" i="1"/>
  <c r="F3687" i="1"/>
  <c r="F3695" i="1"/>
  <c r="F3692" i="1"/>
  <c r="F3686" i="1"/>
  <c r="F3690" i="1"/>
  <c r="F3694" i="1"/>
  <c r="F3691" i="1"/>
  <c r="F3688" i="1"/>
  <c r="F3685" i="1"/>
  <c r="F3684" i="1"/>
  <c r="F3683" i="1"/>
  <c r="F3682" i="1"/>
  <c r="F3681" i="1"/>
  <c r="F3680" i="1"/>
  <c r="F3679" i="1"/>
  <c r="F3628" i="1"/>
  <c r="F3630" i="1"/>
  <c r="F3632" i="1"/>
  <c r="F3634" i="1"/>
  <c r="F3636" i="1"/>
  <c r="F3638" i="1"/>
  <c r="F3640" i="1"/>
  <c r="F3642" i="1"/>
  <c r="F3644" i="1"/>
  <c r="F3646" i="1"/>
  <c r="F3648" i="1"/>
  <c r="F3650" i="1"/>
  <c r="F3652" i="1"/>
  <c r="F3654" i="1"/>
  <c r="F3656" i="1"/>
  <c r="F3658" i="1"/>
  <c r="F3660" i="1"/>
  <c r="F3662" i="1"/>
  <c r="F3664" i="1"/>
  <c r="F3666" i="1"/>
  <c r="F3668" i="1"/>
  <c r="F3670" i="1"/>
  <c r="F3672" i="1"/>
  <c r="F3674" i="1"/>
  <c r="F3676" i="1"/>
  <c r="F3678" i="1"/>
  <c r="F3629" i="1"/>
  <c r="F3631" i="1"/>
  <c r="F3633" i="1"/>
  <c r="F3635" i="1"/>
  <c r="F3637" i="1"/>
  <c r="F3639" i="1"/>
  <c r="F3641" i="1"/>
  <c r="F3643" i="1"/>
  <c r="F3645" i="1"/>
  <c r="F3647" i="1"/>
  <c r="F3649" i="1"/>
  <c r="F3651" i="1"/>
  <c r="F3653" i="1"/>
  <c r="F3655" i="1"/>
  <c r="F3657" i="1"/>
  <c r="F3659" i="1"/>
  <c r="F3661" i="1"/>
  <c r="F3663" i="1"/>
  <c r="F3665" i="1"/>
  <c r="F3667" i="1"/>
  <c r="F3669" i="1"/>
  <c r="F3671" i="1"/>
  <c r="F3673" i="1"/>
  <c r="F3675" i="1"/>
  <c r="F3677" i="1"/>
  <c r="F1738" i="1"/>
  <c r="F1740" i="1"/>
  <c r="F1742" i="1"/>
  <c r="F1648" i="1"/>
  <c r="F1739" i="1"/>
  <c r="F1741" i="1"/>
  <c r="F1647" i="1"/>
  <c r="F1649" i="1"/>
  <c r="F3213" i="1"/>
  <c r="F3215" i="1"/>
  <c r="F3217" i="1"/>
  <c r="F3219" i="1"/>
  <c r="F3221" i="1"/>
  <c r="F3223" i="1"/>
  <c r="F3225" i="1"/>
  <c r="F3227" i="1"/>
  <c r="F3229" i="1"/>
  <c r="F3231" i="1"/>
  <c r="F3233" i="1"/>
  <c r="F3235" i="1"/>
  <c r="F3237" i="1"/>
  <c r="F3239" i="1"/>
  <c r="F3241" i="1"/>
  <c r="F3243" i="1"/>
  <c r="F3245" i="1"/>
  <c r="F3247" i="1"/>
  <c r="F3249" i="1"/>
  <c r="F3251" i="1"/>
  <c r="F3253" i="1"/>
  <c r="F3255" i="1"/>
  <c r="F3257" i="1"/>
  <c r="F3259" i="1"/>
  <c r="F3261" i="1"/>
  <c r="F3263" i="1"/>
  <c r="F3265" i="1"/>
  <c r="F3267" i="1"/>
  <c r="F3269" i="1"/>
  <c r="F3271" i="1"/>
  <c r="F3273" i="1"/>
  <c r="F3275" i="1"/>
  <c r="F3277" i="1"/>
  <c r="F3279" i="1"/>
  <c r="F3281" i="1"/>
  <c r="F3283" i="1"/>
  <c r="F3285" i="1"/>
  <c r="F3287" i="1"/>
  <c r="F3289" i="1"/>
  <c r="F3291" i="1"/>
  <c r="F3293" i="1"/>
  <c r="F3295" i="1"/>
  <c r="F3297" i="1"/>
  <c r="F3299" i="1"/>
  <c r="F3301" i="1"/>
  <c r="F3303" i="1"/>
  <c r="F3305" i="1"/>
  <c r="F3307" i="1"/>
  <c r="F3309" i="1"/>
  <c r="F3311" i="1"/>
  <c r="F3313" i="1"/>
  <c r="F3315" i="1"/>
  <c r="F3317" i="1"/>
  <c r="F3319" i="1"/>
  <c r="F3321" i="1"/>
  <c r="F3323" i="1"/>
  <c r="F3325" i="1"/>
  <c r="F3327" i="1"/>
  <c r="F3329" i="1"/>
  <c r="F3331" i="1"/>
  <c r="F3333" i="1"/>
  <c r="F3335" i="1"/>
  <c r="F3337" i="1"/>
  <c r="F3339" i="1"/>
  <c r="F3341" i="1"/>
  <c r="F3343" i="1"/>
  <c r="F3345" i="1"/>
  <c r="F3347" i="1"/>
  <c r="F3349" i="1"/>
  <c r="F3351" i="1"/>
  <c r="F3353" i="1"/>
  <c r="F3355" i="1"/>
  <c r="F3357" i="1"/>
  <c r="F3359" i="1"/>
  <c r="F3361" i="1"/>
  <c r="F3363" i="1"/>
  <c r="F3365" i="1"/>
  <c r="F3367" i="1"/>
  <c r="F3369" i="1"/>
  <c r="F3371" i="1"/>
  <c r="F3373" i="1"/>
  <c r="F3375" i="1"/>
  <c r="F3377" i="1"/>
  <c r="F3379" i="1"/>
  <c r="F3381" i="1"/>
  <c r="F3212" i="1"/>
  <c r="F3216" i="1"/>
  <c r="F3220" i="1"/>
  <c r="F3224" i="1"/>
  <c r="F3228" i="1"/>
  <c r="F3232" i="1"/>
  <c r="F3236" i="1"/>
  <c r="F3240" i="1"/>
  <c r="F3244" i="1"/>
  <c r="F3248" i="1"/>
  <c r="F3252" i="1"/>
  <c r="F3256" i="1"/>
  <c r="F3260" i="1"/>
  <c r="F3264" i="1"/>
  <c r="F3268" i="1"/>
  <c r="F3272" i="1"/>
  <c r="F3276" i="1"/>
  <c r="F3280" i="1"/>
  <c r="F3284" i="1"/>
  <c r="F3288" i="1"/>
  <c r="F3292" i="1"/>
  <c r="F3296" i="1"/>
  <c r="F3300" i="1"/>
  <c r="F3304" i="1"/>
  <c r="F3308" i="1"/>
  <c r="F3312" i="1"/>
  <c r="F3316" i="1"/>
  <c r="F3320" i="1"/>
  <c r="F3324" i="1"/>
  <c r="F3328" i="1"/>
  <c r="F3332" i="1"/>
  <c r="F3336" i="1"/>
  <c r="F3340" i="1"/>
  <c r="F3344" i="1"/>
  <c r="F3348" i="1"/>
  <c r="F3352" i="1"/>
  <c r="F3356" i="1"/>
  <c r="F3360" i="1"/>
  <c r="F3364" i="1"/>
  <c r="F3368" i="1"/>
  <c r="F3372" i="1"/>
  <c r="F3376" i="1"/>
  <c r="F3380" i="1"/>
  <c r="F3383" i="1"/>
  <c r="F3385" i="1"/>
  <c r="F3387" i="1"/>
  <c r="F3389" i="1"/>
  <c r="F3391" i="1"/>
  <c r="F3392" i="1"/>
  <c r="F3394" i="1"/>
  <c r="F3396" i="1"/>
  <c r="F3398" i="1"/>
  <c r="F3400" i="1"/>
  <c r="F3402" i="1"/>
  <c r="F3404" i="1"/>
  <c r="F3406" i="1"/>
  <c r="F3408" i="1"/>
  <c r="F3410" i="1"/>
  <c r="F3412" i="1"/>
  <c r="F3414" i="1"/>
  <c r="F3416" i="1"/>
  <c r="F3418" i="1"/>
  <c r="F3420" i="1"/>
  <c r="F3422" i="1"/>
  <c r="F3424" i="1"/>
  <c r="F3426" i="1"/>
  <c r="F3428" i="1"/>
  <c r="F3214" i="1"/>
  <c r="F3222" i="1"/>
  <c r="F3230" i="1"/>
  <c r="F3238" i="1"/>
  <c r="F3246" i="1"/>
  <c r="F3254" i="1"/>
  <c r="F3262" i="1"/>
  <c r="F3270" i="1"/>
  <c r="F3278" i="1"/>
  <c r="F3286" i="1"/>
  <c r="F3294" i="1"/>
  <c r="F3302" i="1"/>
  <c r="F3310" i="1"/>
  <c r="F3318" i="1"/>
  <c r="F3326" i="1"/>
  <c r="F3334" i="1"/>
  <c r="F3342" i="1"/>
  <c r="F3350" i="1"/>
  <c r="F3358" i="1"/>
  <c r="F3366" i="1"/>
  <c r="F3374" i="1"/>
  <c r="F3382" i="1"/>
  <c r="F3386" i="1"/>
  <c r="F3390" i="1"/>
  <c r="F3393" i="1"/>
  <c r="F115" i="22" s="1"/>
  <c r="G115" i="22" s="1"/>
  <c r="H115" i="22" s="1"/>
  <c r="F3397" i="1"/>
  <c r="F3401" i="1"/>
  <c r="F3405" i="1"/>
  <c r="F3409" i="1"/>
  <c r="F3413" i="1"/>
  <c r="F3417" i="1"/>
  <c r="F3421" i="1"/>
  <c r="F3425" i="1"/>
  <c r="F3429" i="1"/>
  <c r="F3431" i="1"/>
  <c r="F3433" i="1"/>
  <c r="F3435" i="1"/>
  <c r="F3437" i="1"/>
  <c r="F3439" i="1"/>
  <c r="F3441" i="1"/>
  <c r="F3443" i="1"/>
  <c r="F3445" i="1"/>
  <c r="F3447" i="1"/>
  <c r="F3449" i="1"/>
  <c r="F3451" i="1"/>
  <c r="F3453" i="1"/>
  <c r="F3455" i="1"/>
  <c r="F3457" i="1"/>
  <c r="F3459" i="1"/>
  <c r="F3461" i="1"/>
  <c r="F3463" i="1"/>
  <c r="F3465" i="1"/>
  <c r="F3467" i="1"/>
  <c r="F3469" i="1"/>
  <c r="F3471" i="1"/>
  <c r="F3473" i="1"/>
  <c r="F3475" i="1"/>
  <c r="F3477" i="1"/>
  <c r="F3479" i="1"/>
  <c r="F3481" i="1"/>
  <c r="F3483" i="1"/>
  <c r="F3485" i="1"/>
  <c r="F3487" i="1"/>
  <c r="F3489" i="1"/>
  <c r="F3491" i="1"/>
  <c r="F3493" i="1"/>
  <c r="F3495" i="1"/>
  <c r="F3497" i="1"/>
  <c r="F3499" i="1"/>
  <c r="F3501" i="1"/>
  <c r="F3503" i="1"/>
  <c r="F3505" i="1"/>
  <c r="F3507" i="1"/>
  <c r="F3509" i="1"/>
  <c r="F3511" i="1"/>
  <c r="F3513" i="1"/>
  <c r="F3515" i="1"/>
  <c r="F3517" i="1"/>
  <c r="F3519" i="1"/>
  <c r="F3521" i="1"/>
  <c r="F3523" i="1"/>
  <c r="F3525" i="1"/>
  <c r="F3527" i="1"/>
  <c r="F3529" i="1"/>
  <c r="F3531" i="1"/>
  <c r="F3533" i="1"/>
  <c r="F3535" i="1"/>
  <c r="F3537" i="1"/>
  <c r="F3539" i="1"/>
  <c r="F3541" i="1"/>
  <c r="F3543" i="1"/>
  <c r="F3545" i="1"/>
  <c r="F3547" i="1"/>
  <c r="F3549" i="1"/>
  <c r="F3551" i="1"/>
  <c r="F3553" i="1"/>
  <c r="F3555" i="1"/>
  <c r="F3557" i="1"/>
  <c r="F3559" i="1"/>
  <c r="F3561" i="1"/>
  <c r="F3563" i="1"/>
  <c r="F3565" i="1"/>
  <c r="F3567" i="1"/>
  <c r="F3569" i="1"/>
  <c r="F3571" i="1"/>
  <c r="F3573" i="1"/>
  <c r="F3575" i="1"/>
  <c r="F3577" i="1"/>
  <c r="F3579" i="1"/>
  <c r="F3581" i="1"/>
  <c r="F3583" i="1"/>
  <c r="F3585" i="1"/>
  <c r="F3587" i="1"/>
  <c r="F3589" i="1"/>
  <c r="F3591" i="1"/>
  <c r="F3593" i="1"/>
  <c r="F3595" i="1"/>
  <c r="F3597" i="1"/>
  <c r="F3599" i="1"/>
  <c r="F3601" i="1"/>
  <c r="F3603" i="1"/>
  <c r="F3605" i="1"/>
  <c r="F3607" i="1"/>
  <c r="F3609" i="1"/>
  <c r="F3611" i="1"/>
  <c r="F3613" i="1"/>
  <c r="F3615" i="1"/>
  <c r="F3617" i="1"/>
  <c r="F3619" i="1"/>
  <c r="F3621" i="1"/>
  <c r="F3623" i="1"/>
  <c r="F3625" i="1"/>
  <c r="F3627" i="1"/>
  <c r="F31" i="1"/>
  <c r="F33" i="1"/>
  <c r="F35" i="1"/>
  <c r="F37" i="1"/>
  <c r="F39" i="1"/>
  <c r="F41" i="1"/>
  <c r="F43" i="1"/>
  <c r="F45" i="1"/>
  <c r="F47" i="1"/>
  <c r="F49" i="1"/>
  <c r="F51" i="1"/>
  <c r="F53" i="1"/>
  <c r="F55" i="1"/>
  <c r="F57" i="1"/>
  <c r="F59" i="1"/>
  <c r="F61" i="1"/>
  <c r="F63" i="1"/>
  <c r="F65" i="1"/>
  <c r="F67" i="1"/>
  <c r="F69" i="1"/>
  <c r="F71" i="1"/>
  <c r="F73" i="1"/>
  <c r="F75" i="1"/>
  <c r="F77" i="1"/>
  <c r="F79" i="1"/>
  <c r="F81" i="1"/>
  <c r="F83" i="1"/>
  <c r="F85" i="1"/>
  <c r="F3218" i="1"/>
  <c r="F3234" i="1"/>
  <c r="F3250" i="1"/>
  <c r="F3266" i="1"/>
  <c r="F3282" i="1"/>
  <c r="F3298" i="1"/>
  <c r="F3314" i="1"/>
  <c r="F3330" i="1"/>
  <c r="F3346" i="1"/>
  <c r="F3362" i="1"/>
  <c r="F3378" i="1"/>
  <c r="F3388" i="1"/>
  <c r="F3399" i="1"/>
  <c r="F3407" i="1"/>
  <c r="F3415" i="1"/>
  <c r="F3423" i="1"/>
  <c r="F3430" i="1"/>
  <c r="F3434" i="1"/>
  <c r="F3438" i="1"/>
  <c r="F3442" i="1"/>
  <c r="F3446" i="1"/>
  <c r="F3450" i="1"/>
  <c r="F3454" i="1"/>
  <c r="F3458" i="1"/>
  <c r="F3462" i="1"/>
  <c r="F3466" i="1"/>
  <c r="F3470" i="1"/>
  <c r="F3474" i="1"/>
  <c r="F3478" i="1"/>
  <c r="F3482" i="1"/>
  <c r="F3486" i="1"/>
  <c r="F3490" i="1"/>
  <c r="F3494" i="1"/>
  <c r="F3498" i="1"/>
  <c r="F3502" i="1"/>
  <c r="F3506" i="1"/>
  <c r="F3510" i="1"/>
  <c r="F3514" i="1"/>
  <c r="F3518" i="1"/>
  <c r="F3522" i="1"/>
  <c r="F3526" i="1"/>
  <c r="F3530" i="1"/>
  <c r="F3534" i="1"/>
  <c r="F3538" i="1"/>
  <c r="F3542" i="1"/>
  <c r="F3546" i="1"/>
  <c r="F3550" i="1"/>
  <c r="F3554" i="1"/>
  <c r="F3558" i="1"/>
  <c r="F3562" i="1"/>
  <c r="F3566" i="1"/>
  <c r="F3570" i="1"/>
  <c r="F3574" i="1"/>
  <c r="F3578" i="1"/>
  <c r="F3582" i="1"/>
  <c r="F3586" i="1"/>
  <c r="F3590" i="1"/>
  <c r="F3594" i="1"/>
  <c r="F3598" i="1"/>
  <c r="F3602" i="1"/>
  <c r="F3606" i="1"/>
  <c r="F3610" i="1"/>
  <c r="F3614" i="1"/>
  <c r="F3618" i="1"/>
  <c r="F3622" i="1"/>
  <c r="F3626" i="1"/>
  <c r="F32" i="1"/>
  <c r="F36" i="1"/>
  <c r="F40" i="1"/>
  <c r="F44" i="1"/>
  <c r="F48" i="1"/>
  <c r="F52" i="1"/>
  <c r="F56" i="1"/>
  <c r="F60" i="1"/>
  <c r="F64" i="1"/>
  <c r="F68" i="1"/>
  <c r="F72" i="1"/>
  <c r="F76" i="1"/>
  <c r="F80" i="1"/>
  <c r="F84" i="1"/>
  <c r="F87" i="1"/>
  <c r="F89" i="1"/>
  <c r="F91" i="1"/>
  <c r="F93" i="1"/>
  <c r="F95" i="1"/>
  <c r="F97" i="1"/>
  <c r="F99" i="1"/>
  <c r="F101" i="1"/>
  <c r="F103" i="1"/>
  <c r="F105" i="1"/>
  <c r="F107" i="1"/>
  <c r="F109" i="1"/>
  <c r="F111" i="1"/>
  <c r="F113" i="1"/>
  <c r="F115" i="1"/>
  <c r="F117" i="1"/>
  <c r="F119" i="1"/>
  <c r="F121" i="1"/>
  <c r="F123" i="1"/>
  <c r="F125" i="1"/>
  <c r="F127" i="1"/>
  <c r="F129" i="1"/>
  <c r="F131" i="1"/>
  <c r="F133" i="1"/>
  <c r="F135" i="1"/>
  <c r="F137" i="1"/>
  <c r="F139" i="1"/>
  <c r="F141" i="1"/>
  <c r="F143" i="1"/>
  <c r="F145" i="1"/>
  <c r="F147" i="1"/>
  <c r="F149" i="1"/>
  <c r="F151" i="1"/>
  <c r="F153" i="1"/>
  <c r="F155" i="1"/>
  <c r="F157" i="1"/>
  <c r="F159" i="1"/>
  <c r="F161" i="1"/>
  <c r="F163" i="1"/>
  <c r="F165" i="1"/>
  <c r="F167" i="1"/>
  <c r="F169" i="1"/>
  <c r="F171" i="1"/>
  <c r="F173" i="1"/>
  <c r="F175" i="1"/>
  <c r="F177" i="1"/>
  <c r="F179" i="1"/>
  <c r="F181" i="1"/>
  <c r="F183" i="1"/>
  <c r="F185" i="1"/>
  <c r="F187" i="1"/>
  <c r="F189" i="1"/>
  <c r="F191" i="1"/>
  <c r="F193" i="1"/>
  <c r="F195" i="1"/>
  <c r="F197" i="1"/>
  <c r="F199" i="1"/>
  <c r="F201" i="1"/>
  <c r="F203" i="1"/>
  <c r="F205" i="1"/>
  <c r="F207" i="1"/>
  <c r="F209" i="1"/>
  <c r="F211" i="1"/>
  <c r="F213" i="1"/>
  <c r="F215" i="1"/>
  <c r="F217" i="1"/>
  <c r="F219" i="1"/>
  <c r="F221" i="1"/>
  <c r="F223" i="1"/>
  <c r="F225" i="1"/>
  <c r="F227" i="1"/>
  <c r="F229" i="1"/>
  <c r="F231" i="1"/>
  <c r="F233" i="1"/>
  <c r="F235" i="1"/>
  <c r="F237" i="1"/>
  <c r="F239" i="1"/>
  <c r="F241" i="1"/>
  <c r="F243" i="1"/>
  <c r="F245" i="1"/>
  <c r="F247" i="1"/>
  <c r="F249" i="1"/>
  <c r="F251" i="1"/>
  <c r="F253" i="1"/>
  <c r="F255" i="1"/>
  <c r="F257" i="1"/>
  <c r="F259" i="1"/>
  <c r="F261" i="1"/>
  <c r="F263" i="1"/>
  <c r="F265" i="1"/>
  <c r="F267" i="1"/>
  <c r="F269" i="1"/>
  <c r="F271" i="1"/>
  <c r="F273" i="1"/>
  <c r="F275" i="1"/>
  <c r="F277" i="1"/>
  <c r="F279" i="1"/>
  <c r="F281" i="1"/>
  <c r="F283" i="1"/>
  <c r="F285" i="1"/>
  <c r="F287" i="1"/>
  <c r="F289" i="1"/>
  <c r="F291" i="1"/>
  <c r="F293" i="1"/>
  <c r="F295" i="1"/>
  <c r="F297" i="1"/>
  <c r="F299" i="1"/>
  <c r="F301" i="1"/>
  <c r="F303" i="1"/>
  <c r="F305" i="1"/>
  <c r="F307" i="1"/>
  <c r="F309" i="1"/>
  <c r="F311" i="1"/>
  <c r="F313" i="1"/>
  <c r="F315" i="1"/>
  <c r="F317" i="1"/>
  <c r="F319" i="1"/>
  <c r="F321" i="1"/>
  <c r="F323" i="1"/>
  <c r="F325" i="1"/>
  <c r="F327" i="1"/>
  <c r="F329" i="1"/>
  <c r="F331" i="1"/>
  <c r="F333" i="1"/>
  <c r="F335" i="1"/>
  <c r="F337" i="1"/>
  <c r="F339" i="1"/>
  <c r="F341" i="1"/>
  <c r="F343" i="1"/>
  <c r="F345" i="1"/>
  <c r="F347" i="1"/>
  <c r="F349" i="1"/>
  <c r="F351" i="1"/>
  <c r="F353" i="1"/>
  <c r="F355" i="1"/>
  <c r="F357" i="1"/>
  <c r="F359" i="1"/>
  <c r="F361" i="1"/>
  <c r="F363" i="1"/>
  <c r="F365" i="1"/>
  <c r="F367" i="1"/>
  <c r="F369" i="1"/>
  <c r="F371" i="1"/>
  <c r="F373" i="1"/>
  <c r="F375" i="1"/>
  <c r="F377" i="1"/>
  <c r="F379" i="1"/>
  <c r="F381" i="1"/>
  <c r="F383" i="1"/>
  <c r="F385" i="1"/>
  <c r="F387" i="1"/>
  <c r="F389" i="1"/>
  <c r="F391" i="1"/>
  <c r="F393" i="1"/>
  <c r="F395" i="1"/>
  <c r="F397" i="1"/>
  <c r="F399" i="1"/>
  <c r="F401" i="1"/>
  <c r="F403" i="1"/>
  <c r="F405" i="1"/>
  <c r="F407" i="1"/>
  <c r="F409" i="1"/>
  <c r="F411" i="1"/>
  <c r="F413" i="1"/>
  <c r="F415" i="1"/>
  <c r="F417" i="1"/>
  <c r="F419" i="1"/>
  <c r="F421" i="1"/>
  <c r="F423" i="1"/>
  <c r="F425" i="1"/>
  <c r="F427" i="1"/>
  <c r="F429" i="1"/>
  <c r="F431" i="1"/>
  <c r="F433" i="1"/>
  <c r="F435" i="1"/>
  <c r="F437" i="1"/>
  <c r="F439" i="1"/>
  <c r="F441" i="1"/>
  <c r="F443" i="1"/>
  <c r="F445" i="1"/>
  <c r="F447" i="1"/>
  <c r="F449" i="1"/>
  <c r="F451" i="1"/>
  <c r="F453" i="1"/>
  <c r="F455" i="1"/>
  <c r="F457" i="1"/>
  <c r="F459" i="1"/>
  <c r="F461" i="1"/>
  <c r="F463" i="1"/>
  <c r="F465" i="1"/>
  <c r="F467" i="1"/>
  <c r="F469" i="1"/>
  <c r="F471" i="1"/>
  <c r="F473" i="1"/>
  <c r="F475" i="1"/>
  <c r="F477" i="1"/>
  <c r="F479" i="1"/>
  <c r="F481" i="1"/>
  <c r="F483" i="1"/>
  <c r="F485" i="1"/>
  <c r="F487" i="1"/>
  <c r="F489" i="1"/>
  <c r="F491" i="1"/>
  <c r="F493" i="1"/>
  <c r="F495" i="1"/>
  <c r="F497" i="1"/>
  <c r="F499" i="1"/>
  <c r="F501" i="1"/>
  <c r="F503" i="1"/>
  <c r="F505" i="1"/>
  <c r="F507" i="1"/>
  <c r="F509" i="1"/>
  <c r="F511" i="1"/>
  <c r="F513" i="1"/>
  <c r="F515" i="1"/>
  <c r="F517" i="1"/>
  <c r="F519" i="1"/>
  <c r="F521" i="1"/>
  <c r="F523" i="1"/>
  <c r="F525" i="1"/>
  <c r="F527" i="1"/>
  <c r="F529" i="1"/>
  <c r="F531" i="1"/>
  <c r="F533" i="1"/>
  <c r="F535" i="1"/>
  <c r="F537" i="1"/>
  <c r="F539" i="1"/>
  <c r="F541" i="1"/>
  <c r="F543" i="1"/>
  <c r="F545" i="1"/>
  <c r="F547" i="1"/>
  <c r="F549" i="1"/>
  <c r="F551" i="1"/>
  <c r="F553" i="1"/>
  <c r="F555" i="1"/>
  <c r="F557" i="1"/>
  <c r="F559" i="1"/>
  <c r="F561" i="1"/>
  <c r="F563" i="1"/>
  <c r="F565" i="1"/>
  <c r="F567" i="1"/>
  <c r="F569" i="1"/>
  <c r="F571" i="1"/>
  <c r="F573" i="1"/>
  <c r="F575" i="1"/>
  <c r="F577" i="1"/>
  <c r="F579" i="1"/>
  <c r="F581" i="1"/>
  <c r="F583" i="1"/>
  <c r="F585" i="1"/>
  <c r="F587" i="1"/>
  <c r="F589" i="1"/>
  <c r="F591" i="1"/>
  <c r="F593" i="1"/>
  <c r="F595" i="1"/>
  <c r="F597" i="1"/>
  <c r="F3226" i="1"/>
  <c r="F3258" i="1"/>
  <c r="F3290" i="1"/>
  <c r="F3322" i="1"/>
  <c r="F3354" i="1"/>
  <c r="F3384" i="1"/>
  <c r="F3395" i="1"/>
  <c r="F3411" i="1"/>
  <c r="F3427" i="1"/>
  <c r="F3436" i="1"/>
  <c r="F3444" i="1"/>
  <c r="F3452" i="1"/>
  <c r="F3460" i="1"/>
  <c r="F3468" i="1"/>
  <c r="F3476" i="1"/>
  <c r="F3484" i="1"/>
  <c r="F3492" i="1"/>
  <c r="F3500" i="1"/>
  <c r="F3508" i="1"/>
  <c r="F3516" i="1"/>
  <c r="F3524" i="1"/>
  <c r="F3532" i="1"/>
  <c r="F3540" i="1"/>
  <c r="F3548" i="1"/>
  <c r="F3556" i="1"/>
  <c r="F3564" i="1"/>
  <c r="F3572" i="1"/>
  <c r="F3580" i="1"/>
  <c r="F3588" i="1"/>
  <c r="F3596" i="1"/>
  <c r="F3604" i="1"/>
  <c r="F3612" i="1"/>
  <c r="F3620" i="1"/>
  <c r="F30" i="1"/>
  <c r="F38" i="1"/>
  <c r="F46" i="1"/>
  <c r="F54" i="1"/>
  <c r="F62" i="1"/>
  <c r="F70" i="1"/>
  <c r="F78" i="1"/>
  <c r="F86" i="1"/>
  <c r="F90" i="1"/>
  <c r="F94" i="1"/>
  <c r="F98" i="1"/>
  <c r="F102" i="1"/>
  <c r="F106" i="1"/>
  <c r="F110" i="1"/>
  <c r="F114" i="1"/>
  <c r="F118" i="1"/>
  <c r="F122" i="1"/>
  <c r="F126" i="1"/>
  <c r="F130" i="1"/>
  <c r="F134" i="1"/>
  <c r="F138" i="1"/>
  <c r="F142" i="1"/>
  <c r="F146" i="1"/>
  <c r="F150" i="1"/>
  <c r="F154" i="1"/>
  <c r="F158" i="1"/>
  <c r="F162" i="1"/>
  <c r="F166" i="1"/>
  <c r="F170" i="1"/>
  <c r="F174" i="1"/>
  <c r="F178" i="1"/>
  <c r="F182" i="1"/>
  <c r="F186" i="1"/>
  <c r="F190" i="1"/>
  <c r="F194" i="1"/>
  <c r="F198" i="1"/>
  <c r="F202" i="1"/>
  <c r="F206" i="1"/>
  <c r="F210" i="1"/>
  <c r="F214" i="1"/>
  <c r="F218" i="1"/>
  <c r="F222" i="1"/>
  <c r="F226" i="1"/>
  <c r="F230" i="1"/>
  <c r="F234" i="1"/>
  <c r="F238" i="1"/>
  <c r="F242" i="1"/>
  <c r="F246" i="1"/>
  <c r="F250" i="1"/>
  <c r="F254" i="1"/>
  <c r="F258" i="1"/>
  <c r="F262" i="1"/>
  <c r="F266" i="1"/>
  <c r="F270" i="1"/>
  <c r="F274" i="1"/>
  <c r="F278" i="1"/>
  <c r="F282" i="1"/>
  <c r="F286" i="1"/>
  <c r="F290" i="1"/>
  <c r="F294" i="1"/>
  <c r="F298" i="1"/>
  <c r="F302" i="1"/>
  <c r="F306" i="1"/>
  <c r="F310" i="1"/>
  <c r="F314" i="1"/>
  <c r="F318" i="1"/>
  <c r="F322" i="1"/>
  <c r="F326" i="1"/>
  <c r="F330" i="1"/>
  <c r="F334" i="1"/>
  <c r="F338" i="1"/>
  <c r="F342" i="1"/>
  <c r="F346" i="1"/>
  <c r="F350" i="1"/>
  <c r="F354" i="1"/>
  <c r="F358" i="1"/>
  <c r="F362" i="1"/>
  <c r="F366" i="1"/>
  <c r="F370" i="1"/>
  <c r="F374" i="1"/>
  <c r="F378" i="1"/>
  <c r="F382" i="1"/>
  <c r="F386" i="1"/>
  <c r="F390" i="1"/>
  <c r="F394" i="1"/>
  <c r="F398" i="1"/>
  <c r="F402" i="1"/>
  <c r="F406" i="1"/>
  <c r="F410" i="1"/>
  <c r="F414" i="1"/>
  <c r="F418" i="1"/>
  <c r="F422" i="1"/>
  <c r="F426" i="1"/>
  <c r="F430" i="1"/>
  <c r="F434" i="1"/>
  <c r="F438" i="1"/>
  <c r="F442" i="1"/>
  <c r="F446" i="1"/>
  <c r="F450" i="1"/>
  <c r="F454" i="1"/>
  <c r="F458" i="1"/>
  <c r="F462" i="1"/>
  <c r="F466" i="1"/>
  <c r="F470" i="1"/>
  <c r="F474" i="1"/>
  <c r="F478" i="1"/>
  <c r="F482" i="1"/>
  <c r="F486" i="1"/>
  <c r="F490" i="1"/>
  <c r="F494" i="1"/>
  <c r="F498" i="1"/>
  <c r="F502" i="1"/>
  <c r="F506" i="1"/>
  <c r="F510" i="1"/>
  <c r="F514" i="1"/>
  <c r="F518" i="1"/>
  <c r="F522" i="1"/>
  <c r="F526" i="1"/>
  <c r="F530" i="1"/>
  <c r="F534" i="1"/>
  <c r="F538" i="1"/>
  <c r="F542" i="1"/>
  <c r="F546" i="1"/>
  <c r="F550" i="1"/>
  <c r="F554" i="1"/>
  <c r="F558" i="1"/>
  <c r="F562" i="1"/>
  <c r="F566" i="1"/>
  <c r="F570" i="1"/>
  <c r="F574" i="1"/>
  <c r="F578" i="1"/>
  <c r="F582" i="1"/>
  <c r="F586" i="1"/>
  <c r="F590" i="1"/>
  <c r="F594" i="1"/>
  <c r="F598" i="1"/>
  <c r="F600" i="1"/>
  <c r="F602" i="1"/>
  <c r="F604" i="1"/>
  <c r="F606" i="1"/>
  <c r="F608" i="1"/>
  <c r="F610" i="1"/>
  <c r="F612" i="1"/>
  <c r="F614" i="1"/>
  <c r="F616" i="1"/>
  <c r="F618" i="1"/>
  <c r="F620" i="1"/>
  <c r="F622" i="1"/>
  <c r="F624" i="1"/>
  <c r="F626" i="1"/>
  <c r="F628" i="1"/>
  <c r="F630" i="1"/>
  <c r="F632" i="1"/>
  <c r="F634" i="1"/>
  <c r="F636" i="1"/>
  <c r="F638" i="1"/>
  <c r="F640" i="1"/>
  <c r="F642" i="1"/>
  <c r="F644" i="1"/>
  <c r="F646" i="1"/>
  <c r="F648" i="1"/>
  <c r="F650" i="1"/>
  <c r="F652" i="1"/>
  <c r="F654" i="1"/>
  <c r="F656" i="1"/>
  <c r="F658" i="1"/>
  <c r="F660" i="1"/>
  <c r="F662" i="1"/>
  <c r="F664" i="1"/>
  <c r="F666" i="1"/>
  <c r="F668" i="1"/>
  <c r="F670" i="1"/>
  <c r="F672" i="1"/>
  <c r="F674" i="1"/>
  <c r="F676" i="1"/>
  <c r="F678" i="1"/>
  <c r="F680" i="1"/>
  <c r="F682" i="1"/>
  <c r="F684" i="1"/>
  <c r="F686" i="1"/>
  <c r="F688" i="1"/>
  <c r="F690" i="1"/>
  <c r="F692" i="1"/>
  <c r="F694" i="1"/>
  <c r="F696" i="1"/>
  <c r="F698" i="1"/>
  <c r="F700" i="1"/>
  <c r="F702" i="1"/>
  <c r="F704" i="1"/>
  <c r="F706" i="1"/>
  <c r="F708" i="1"/>
  <c r="F710" i="1"/>
  <c r="F712" i="1"/>
  <c r="F714" i="1"/>
  <c r="F716" i="1"/>
  <c r="F718" i="1"/>
  <c r="F720" i="1"/>
  <c r="F722" i="1"/>
  <c r="F724" i="1"/>
  <c r="F726" i="1"/>
  <c r="F728" i="1"/>
  <c r="F730" i="1"/>
  <c r="F732" i="1"/>
  <c r="F734" i="1"/>
  <c r="F736" i="1"/>
  <c r="F738" i="1"/>
  <c r="F740" i="1"/>
  <c r="F742" i="1"/>
  <c r="F744" i="1"/>
  <c r="F746" i="1"/>
  <c r="F748" i="1"/>
  <c r="F750" i="1"/>
  <c r="F752" i="1"/>
  <c r="F754" i="1"/>
  <c r="F756" i="1"/>
  <c r="F758" i="1"/>
  <c r="F760" i="1"/>
  <c r="F762" i="1"/>
  <c r="F764" i="1"/>
  <c r="F766" i="1"/>
  <c r="F768" i="1"/>
  <c r="F770" i="1"/>
  <c r="F772" i="1"/>
  <c r="F774" i="1"/>
  <c r="F776" i="1"/>
  <c r="F778" i="1"/>
  <c r="F780" i="1"/>
  <c r="F782" i="1"/>
  <c r="F784" i="1"/>
  <c r="F786" i="1"/>
  <c r="F788" i="1"/>
  <c r="F790" i="1"/>
  <c r="F792" i="1"/>
  <c r="F794" i="1"/>
  <c r="F796" i="1"/>
  <c r="F798" i="1"/>
  <c r="F800" i="1"/>
  <c r="F802" i="1"/>
  <c r="F804" i="1"/>
  <c r="F806" i="1"/>
  <c r="F808" i="1"/>
  <c r="F810" i="1"/>
  <c r="F812" i="1"/>
  <c r="F814" i="1"/>
  <c r="F816" i="1"/>
  <c r="F818" i="1"/>
  <c r="F820" i="1"/>
  <c r="F822" i="1"/>
  <c r="F824" i="1"/>
  <c r="F826" i="1"/>
  <c r="F828" i="1"/>
  <c r="F830" i="1"/>
  <c r="F832" i="1"/>
  <c r="F834" i="1"/>
  <c r="F836" i="1"/>
  <c r="F838" i="1"/>
  <c r="F840" i="1"/>
  <c r="F842" i="1"/>
  <c r="F844" i="1"/>
  <c r="F846" i="1"/>
  <c r="F848" i="1"/>
  <c r="F850" i="1"/>
  <c r="F852" i="1"/>
  <c r="F854" i="1"/>
  <c r="F856" i="1"/>
  <c r="F858" i="1"/>
  <c r="F860" i="1"/>
  <c r="F862" i="1"/>
  <c r="F864" i="1"/>
  <c r="F866" i="1"/>
  <c r="F868" i="1"/>
  <c r="F870" i="1"/>
  <c r="F872" i="1"/>
  <c r="F874" i="1"/>
  <c r="F876" i="1"/>
  <c r="F878" i="1"/>
  <c r="F880" i="1"/>
  <c r="F882" i="1"/>
  <c r="F884" i="1"/>
  <c r="F886" i="1"/>
  <c r="F888" i="1"/>
  <c r="F890" i="1"/>
  <c r="F892" i="1"/>
  <c r="F894" i="1"/>
  <c r="F896" i="1"/>
  <c r="F898" i="1"/>
  <c r="F900" i="1"/>
  <c r="F902" i="1"/>
  <c r="F904" i="1"/>
  <c r="F906" i="1"/>
  <c r="F908" i="1"/>
  <c r="F910" i="1"/>
  <c r="F912" i="1"/>
  <c r="F914" i="1"/>
  <c r="F916" i="1"/>
  <c r="F918" i="1"/>
  <c r="F920" i="1"/>
  <c r="F922" i="1"/>
  <c r="F924" i="1"/>
  <c r="F926" i="1"/>
  <c r="F928" i="1"/>
  <c r="F930" i="1"/>
  <c r="F932" i="1"/>
  <c r="F934" i="1"/>
  <c r="F936" i="1"/>
  <c r="F938" i="1"/>
  <c r="F940" i="1"/>
  <c r="F942" i="1"/>
  <c r="F944" i="1"/>
  <c r="F946" i="1"/>
  <c r="F948" i="1"/>
  <c r="F950" i="1"/>
  <c r="F952" i="1"/>
  <c r="F954" i="1"/>
  <c r="F956" i="1"/>
  <c r="F958" i="1"/>
  <c r="F960" i="1"/>
  <c r="F962" i="1"/>
  <c r="F964" i="1"/>
  <c r="F966" i="1"/>
  <c r="F968" i="1"/>
  <c r="F970" i="1"/>
  <c r="F972" i="1"/>
  <c r="F974" i="1"/>
  <c r="F976" i="1"/>
  <c r="F978" i="1"/>
  <c r="F980" i="1"/>
  <c r="F982" i="1"/>
  <c r="F984" i="1"/>
  <c r="F986" i="1"/>
  <c r="F988" i="1"/>
  <c r="F990" i="1"/>
  <c r="F992" i="1"/>
  <c r="F994" i="1"/>
  <c r="F996" i="1"/>
  <c r="F998" i="1"/>
  <c r="F1000" i="1"/>
  <c r="F1002" i="1"/>
  <c r="F1004" i="1"/>
  <c r="F1006" i="1"/>
  <c r="F1008" i="1"/>
  <c r="F1010" i="1"/>
  <c r="F1012" i="1"/>
  <c r="F1014" i="1"/>
  <c r="F1016" i="1"/>
  <c r="F1018" i="1"/>
  <c r="F1020" i="1"/>
  <c r="F1022" i="1"/>
  <c r="F1024" i="1"/>
  <c r="F1026" i="1"/>
  <c r="F1028" i="1"/>
  <c r="F1030" i="1"/>
  <c r="F1032" i="1"/>
  <c r="F1034" i="1"/>
  <c r="F1036" i="1"/>
  <c r="F1038" i="1"/>
  <c r="F1040" i="1"/>
  <c r="F1042" i="1"/>
  <c r="F1044" i="1"/>
  <c r="F1046" i="1"/>
  <c r="F1048" i="1"/>
  <c r="F1050" i="1"/>
  <c r="F1052" i="1"/>
  <c r="F1054" i="1"/>
  <c r="F1056" i="1"/>
  <c r="F1058" i="1"/>
  <c r="F1060" i="1"/>
  <c r="F1062" i="1"/>
  <c r="F1064" i="1"/>
  <c r="F1066" i="1"/>
  <c r="F1068" i="1"/>
  <c r="F1070" i="1"/>
  <c r="F1072" i="1"/>
  <c r="F1074" i="1"/>
  <c r="F1076" i="1"/>
  <c r="F1078" i="1"/>
  <c r="F1080" i="1"/>
  <c r="F1082" i="1"/>
  <c r="F1084" i="1"/>
  <c r="F1086" i="1"/>
  <c r="F1088" i="1"/>
  <c r="F1090" i="1"/>
  <c r="F1092" i="1"/>
  <c r="F1094" i="1"/>
  <c r="F1096" i="1"/>
  <c r="F1098" i="1"/>
  <c r="F1100" i="1"/>
  <c r="F1102" i="1"/>
  <c r="F1104" i="1"/>
  <c r="F1106" i="1"/>
  <c r="F1108" i="1"/>
  <c r="F1110" i="1"/>
  <c r="F1112" i="1"/>
  <c r="F1114" i="1"/>
  <c r="F1116" i="1"/>
  <c r="F1118" i="1"/>
  <c r="F1120" i="1"/>
  <c r="F1122" i="1"/>
  <c r="F1124" i="1"/>
  <c r="F1126" i="1"/>
  <c r="F1128" i="1"/>
  <c r="F1130" i="1"/>
  <c r="F1132" i="1"/>
  <c r="F1134" i="1"/>
  <c r="F1136" i="1"/>
  <c r="F1138" i="1"/>
  <c r="F1140" i="1"/>
  <c r="F1142" i="1"/>
  <c r="F1144" i="1"/>
  <c r="F1146" i="1"/>
  <c r="F1148" i="1"/>
  <c r="F1150" i="1"/>
  <c r="F1152" i="1"/>
  <c r="F1154" i="1"/>
  <c r="F1156" i="1"/>
  <c r="F1158" i="1"/>
  <c r="F1160" i="1"/>
  <c r="F1162" i="1"/>
  <c r="F1164" i="1"/>
  <c r="F1166" i="1"/>
  <c r="F1168" i="1"/>
  <c r="F1170" i="1"/>
  <c r="F1172" i="1"/>
  <c r="F1174" i="1"/>
  <c r="F1176" i="1"/>
  <c r="F1178" i="1"/>
  <c r="F1180" i="1"/>
  <c r="F1182" i="1"/>
  <c r="F1184" i="1"/>
  <c r="F1186" i="1"/>
  <c r="F1188" i="1"/>
  <c r="F1190" i="1"/>
  <c r="F1192" i="1"/>
  <c r="F1194" i="1"/>
  <c r="F1196" i="1"/>
  <c r="F1198" i="1"/>
  <c r="F1200" i="1"/>
  <c r="F1202" i="1"/>
  <c r="F1204" i="1"/>
  <c r="F1206" i="1"/>
  <c r="F1208" i="1"/>
  <c r="F1210" i="1"/>
  <c r="F1212" i="1"/>
  <c r="F1214" i="1"/>
  <c r="F1216" i="1"/>
  <c r="F1218" i="1"/>
  <c r="F1220" i="1"/>
  <c r="F1222" i="1"/>
  <c r="F1224" i="1"/>
  <c r="F1226" i="1"/>
  <c r="F1228" i="1"/>
  <c r="F1230" i="1"/>
  <c r="F1232" i="1"/>
  <c r="F1234" i="1"/>
  <c r="F1236" i="1"/>
  <c r="F1238" i="1"/>
  <c r="F1240" i="1"/>
  <c r="F1242" i="1"/>
  <c r="F1244" i="1"/>
  <c r="F1246" i="1"/>
  <c r="F1248" i="1"/>
  <c r="F1250" i="1"/>
  <c r="F1252" i="1"/>
  <c r="F1254" i="1"/>
  <c r="F1256" i="1"/>
  <c r="F1258" i="1"/>
  <c r="F1260" i="1"/>
  <c r="F1262" i="1"/>
  <c r="F1264" i="1"/>
  <c r="F1266" i="1"/>
  <c r="F1268" i="1"/>
  <c r="F1270" i="1"/>
  <c r="F1272" i="1"/>
  <c r="F1274" i="1"/>
  <c r="F1276" i="1"/>
  <c r="F1278" i="1"/>
  <c r="F1280" i="1"/>
  <c r="F1282" i="1"/>
  <c r="F1284" i="1"/>
  <c r="F1286" i="1"/>
  <c r="F1288" i="1"/>
  <c r="F1290" i="1"/>
  <c r="F1292" i="1"/>
  <c r="F1294" i="1"/>
  <c r="F1296" i="1"/>
  <c r="F1298" i="1"/>
  <c r="F1300" i="1"/>
  <c r="F1302" i="1"/>
  <c r="F1304" i="1"/>
  <c r="F1306" i="1"/>
  <c r="F1308" i="1"/>
  <c r="F1310" i="1"/>
  <c r="F1312" i="1"/>
  <c r="F1314" i="1"/>
  <c r="F1316" i="1"/>
  <c r="F1318" i="1"/>
  <c r="F1320" i="1"/>
  <c r="F1322" i="1"/>
  <c r="F1324" i="1"/>
  <c r="F1326" i="1"/>
  <c r="F1328" i="1"/>
  <c r="F1330" i="1"/>
  <c r="F1332" i="1"/>
  <c r="F1334" i="1"/>
  <c r="F1336" i="1"/>
  <c r="F1338" i="1"/>
  <c r="F1340" i="1"/>
  <c r="F1342" i="1"/>
  <c r="F1344" i="1"/>
  <c r="F1346" i="1"/>
  <c r="F1348" i="1"/>
  <c r="F1350" i="1"/>
  <c r="F1352" i="1"/>
  <c r="F1354" i="1"/>
  <c r="F1356" i="1"/>
  <c r="F1358" i="1"/>
  <c r="F1360" i="1"/>
  <c r="F1362" i="1"/>
  <c r="F1364" i="1"/>
  <c r="F1366" i="1"/>
  <c r="F1368" i="1"/>
  <c r="F1370" i="1"/>
  <c r="F1372" i="1"/>
  <c r="F1374" i="1"/>
  <c r="F1376" i="1"/>
  <c r="F1378" i="1"/>
  <c r="F1380" i="1"/>
  <c r="F1382" i="1"/>
  <c r="F1384" i="1"/>
  <c r="F1386" i="1"/>
  <c r="F1388" i="1"/>
  <c r="F1390" i="1"/>
  <c r="F1392" i="1"/>
  <c r="F1394" i="1"/>
  <c r="F1396" i="1"/>
  <c r="F1398" i="1"/>
  <c r="F1400" i="1"/>
  <c r="F1402" i="1"/>
  <c r="F1404" i="1"/>
  <c r="F1406" i="1"/>
  <c r="F1408" i="1"/>
  <c r="F1410" i="1"/>
  <c r="F1412" i="1"/>
  <c r="F1414" i="1"/>
  <c r="F1416" i="1"/>
  <c r="F1418" i="1"/>
  <c r="F1420" i="1"/>
  <c r="F1422" i="1"/>
  <c r="F1424" i="1"/>
  <c r="F1426" i="1"/>
  <c r="F1428" i="1"/>
  <c r="F1430" i="1"/>
  <c r="F1432" i="1"/>
  <c r="F1434" i="1"/>
  <c r="F1436" i="1"/>
  <c r="F1438" i="1"/>
  <c r="F1440" i="1"/>
  <c r="F1442" i="1"/>
  <c r="F1444" i="1"/>
  <c r="F1446" i="1"/>
  <c r="F1448" i="1"/>
  <c r="F1450" i="1"/>
  <c r="F1452" i="1"/>
  <c r="F1454" i="1"/>
  <c r="F1456" i="1"/>
  <c r="F1458" i="1"/>
  <c r="F1460" i="1"/>
  <c r="F1462" i="1"/>
  <c r="F1464" i="1"/>
  <c r="F1466" i="1"/>
  <c r="F1468" i="1"/>
  <c r="F1470" i="1"/>
  <c r="F1472" i="1"/>
  <c r="F1474" i="1"/>
  <c r="F1476" i="1"/>
  <c r="F1478" i="1"/>
  <c r="F1480" i="1"/>
  <c r="F1482" i="1"/>
  <c r="F1484" i="1"/>
  <c r="F1486" i="1"/>
  <c r="F1488" i="1"/>
  <c r="F1490" i="1"/>
  <c r="F1492" i="1"/>
  <c r="F1494" i="1"/>
  <c r="F1496" i="1"/>
  <c r="F1498" i="1"/>
  <c r="F1500" i="1"/>
  <c r="F1502" i="1"/>
  <c r="F1504" i="1"/>
  <c r="F1506" i="1"/>
  <c r="F1508" i="1"/>
  <c r="F1510" i="1"/>
  <c r="F1512" i="1"/>
  <c r="F1514" i="1"/>
  <c r="F1516" i="1"/>
  <c r="F1518" i="1"/>
  <c r="F1520" i="1"/>
  <c r="F1522" i="1"/>
  <c r="F1524" i="1"/>
  <c r="F1526" i="1"/>
  <c r="F1528" i="1"/>
  <c r="F1530" i="1"/>
  <c r="F1532" i="1"/>
  <c r="F1534" i="1"/>
  <c r="F1536" i="1"/>
  <c r="F1538" i="1"/>
  <c r="F1540" i="1"/>
  <c r="F1542" i="1"/>
  <c r="F1544" i="1"/>
  <c r="F1546" i="1"/>
  <c r="F1548" i="1"/>
  <c r="F1550" i="1"/>
  <c r="F1552" i="1"/>
  <c r="F1554" i="1"/>
  <c r="F1556" i="1"/>
  <c r="F1558" i="1"/>
  <c r="F1560" i="1"/>
  <c r="F1562" i="1"/>
  <c r="F1564" i="1"/>
  <c r="F1566" i="1"/>
  <c r="F1568" i="1"/>
  <c r="F1570" i="1"/>
  <c r="F1572" i="1"/>
  <c r="F1574" i="1"/>
  <c r="F1576" i="1"/>
  <c r="F1578" i="1"/>
  <c r="F1580" i="1"/>
  <c r="F1582" i="1"/>
  <c r="F1584" i="1"/>
  <c r="F1586" i="1"/>
  <c r="F1588" i="1"/>
  <c r="F1590" i="1"/>
  <c r="F1592" i="1"/>
  <c r="F1594" i="1"/>
  <c r="F1596" i="1"/>
  <c r="F1598" i="1"/>
  <c r="F1600" i="1"/>
  <c r="F1602" i="1"/>
  <c r="F1604" i="1"/>
  <c r="F1606" i="1"/>
  <c r="F1608" i="1"/>
  <c r="F1610" i="1"/>
  <c r="F1612" i="1"/>
  <c r="F1614" i="1"/>
  <c r="F1616" i="1"/>
  <c r="F1618" i="1"/>
  <c r="F1620" i="1"/>
  <c r="F3242" i="1"/>
  <c r="F3306" i="1"/>
  <c r="F3370" i="1"/>
  <c r="F3403" i="1"/>
  <c r="F3432" i="1"/>
  <c r="F3448" i="1"/>
  <c r="F3464" i="1"/>
  <c r="F3480" i="1"/>
  <c r="F3496" i="1"/>
  <c r="F3512" i="1"/>
  <c r="F3528" i="1"/>
  <c r="F3544" i="1"/>
  <c r="F3560" i="1"/>
  <c r="F3576" i="1"/>
  <c r="F3592" i="1"/>
  <c r="F3608" i="1"/>
  <c r="F3624" i="1"/>
  <c r="F42" i="1"/>
  <c r="F58" i="1"/>
  <c r="F74" i="1"/>
  <c r="F88" i="1"/>
  <c r="F96" i="1"/>
  <c r="F104" i="1"/>
  <c r="F112" i="1"/>
  <c r="F120" i="1"/>
  <c r="F128" i="1"/>
  <c r="F136" i="1"/>
  <c r="F144" i="1"/>
  <c r="F152" i="1"/>
  <c r="F160" i="1"/>
  <c r="F168" i="1"/>
  <c r="F176" i="1"/>
  <c r="F184" i="1"/>
  <c r="F192" i="1"/>
  <c r="F200" i="1"/>
  <c r="F208" i="1"/>
  <c r="F216" i="1"/>
  <c r="F224" i="1"/>
  <c r="F232" i="1"/>
  <c r="F240" i="1"/>
  <c r="F248" i="1"/>
  <c r="F256" i="1"/>
  <c r="F264" i="1"/>
  <c r="F272" i="1"/>
  <c r="F280" i="1"/>
  <c r="F288" i="1"/>
  <c r="F296" i="1"/>
  <c r="F304" i="1"/>
  <c r="F312" i="1"/>
  <c r="F320" i="1"/>
  <c r="F328" i="1"/>
  <c r="F336" i="1"/>
  <c r="F344" i="1"/>
  <c r="F352" i="1"/>
  <c r="F360" i="1"/>
  <c r="F368" i="1"/>
  <c r="F376" i="1"/>
  <c r="F384" i="1"/>
  <c r="F392" i="1"/>
  <c r="F400" i="1"/>
  <c r="F408" i="1"/>
  <c r="F416" i="1"/>
  <c r="F424" i="1"/>
  <c r="F432" i="1"/>
  <c r="F440" i="1"/>
  <c r="F448" i="1"/>
  <c r="F456" i="1"/>
  <c r="F464" i="1"/>
  <c r="F472" i="1"/>
  <c r="F480" i="1"/>
  <c r="F488" i="1"/>
  <c r="F496" i="1"/>
  <c r="F504" i="1"/>
  <c r="F512" i="1"/>
  <c r="F520" i="1"/>
  <c r="F528" i="1"/>
  <c r="F536" i="1"/>
  <c r="F544" i="1"/>
  <c r="F552" i="1"/>
  <c r="F560" i="1"/>
  <c r="F568" i="1"/>
  <c r="F576" i="1"/>
  <c r="F584" i="1"/>
  <c r="F592" i="1"/>
  <c r="F599" i="1"/>
  <c r="F603" i="1"/>
  <c r="F607" i="1"/>
  <c r="F611" i="1"/>
  <c r="F615" i="1"/>
  <c r="F619" i="1"/>
  <c r="F623" i="1"/>
  <c r="F627" i="1"/>
  <c r="F631" i="1"/>
  <c r="F635" i="1"/>
  <c r="F639" i="1"/>
  <c r="F643" i="1"/>
  <c r="F647" i="1"/>
  <c r="F651" i="1"/>
  <c r="F655" i="1"/>
  <c r="F659" i="1"/>
  <c r="F663" i="1"/>
  <c r="F667" i="1"/>
  <c r="F671" i="1"/>
  <c r="F675" i="1"/>
  <c r="F679" i="1"/>
  <c r="F683" i="1"/>
  <c r="F687" i="1"/>
  <c r="F691" i="1"/>
  <c r="F695" i="1"/>
  <c r="F699" i="1"/>
  <c r="F703" i="1"/>
  <c r="F707" i="1"/>
  <c r="F711" i="1"/>
  <c r="F715" i="1"/>
  <c r="F719" i="1"/>
  <c r="F723" i="1"/>
  <c r="F727" i="1"/>
  <c r="F731" i="1"/>
  <c r="F735" i="1"/>
  <c r="F739" i="1"/>
  <c r="F743" i="1"/>
  <c r="F747" i="1"/>
  <c r="F751" i="1"/>
  <c r="F755" i="1"/>
  <c r="F759" i="1"/>
  <c r="F763" i="1"/>
  <c r="F767" i="1"/>
  <c r="F771" i="1"/>
  <c r="F775" i="1"/>
  <c r="F779" i="1"/>
  <c r="F783" i="1"/>
  <c r="F787" i="1"/>
  <c r="F791" i="1"/>
  <c r="F795" i="1"/>
  <c r="F799" i="1"/>
  <c r="F803" i="1"/>
  <c r="F807" i="1"/>
  <c r="F811" i="1"/>
  <c r="F815" i="1"/>
  <c r="F819" i="1"/>
  <c r="F823" i="1"/>
  <c r="F827" i="1"/>
  <c r="F831" i="1"/>
  <c r="F835" i="1"/>
  <c r="F839" i="1"/>
  <c r="F843" i="1"/>
  <c r="F847" i="1"/>
  <c r="F851" i="1"/>
  <c r="F855" i="1"/>
  <c r="F859" i="1"/>
  <c r="F863" i="1"/>
  <c r="F867" i="1"/>
  <c r="F871" i="1"/>
  <c r="F875" i="1"/>
  <c r="F879" i="1"/>
  <c r="F883" i="1"/>
  <c r="F887" i="1"/>
  <c r="F891" i="1"/>
  <c r="F895" i="1"/>
  <c r="F899" i="1"/>
  <c r="F903" i="1"/>
  <c r="F907" i="1"/>
  <c r="F911" i="1"/>
  <c r="F915" i="1"/>
  <c r="F919" i="1"/>
  <c r="F923" i="1"/>
  <c r="F927" i="1"/>
  <c r="F931" i="1"/>
  <c r="F935" i="1"/>
  <c r="F939" i="1"/>
  <c r="F943" i="1"/>
  <c r="F947" i="1"/>
  <c r="F951" i="1"/>
  <c r="F955" i="1"/>
  <c r="F959" i="1"/>
  <c r="F963" i="1"/>
  <c r="F967" i="1"/>
  <c r="F971" i="1"/>
  <c r="F975" i="1"/>
  <c r="F979" i="1"/>
  <c r="F983" i="1"/>
  <c r="F987" i="1"/>
  <c r="F991" i="1"/>
  <c r="F995" i="1"/>
  <c r="F999" i="1"/>
  <c r="F1003" i="1"/>
  <c r="F1007" i="1"/>
  <c r="F1011" i="1"/>
  <c r="F1015" i="1"/>
  <c r="F1019" i="1"/>
  <c r="F1023" i="1"/>
  <c r="F1027" i="1"/>
  <c r="F1031" i="1"/>
  <c r="F1035" i="1"/>
  <c r="F1039" i="1"/>
  <c r="F1043" i="1"/>
  <c r="F1047" i="1"/>
  <c r="F1051" i="1"/>
  <c r="F1055" i="1"/>
  <c r="F1059" i="1"/>
  <c r="F1063" i="1"/>
  <c r="F1067" i="1"/>
  <c r="F1071" i="1"/>
  <c r="F1075" i="1"/>
  <c r="F1079" i="1"/>
  <c r="F1083" i="1"/>
  <c r="F1087" i="1"/>
  <c r="F1091" i="1"/>
  <c r="F1095" i="1"/>
  <c r="F1099" i="1"/>
  <c r="F1103" i="1"/>
  <c r="F1107" i="1"/>
  <c r="F1111" i="1"/>
  <c r="F1115" i="1"/>
  <c r="F1119" i="1"/>
  <c r="F1123" i="1"/>
  <c r="F1127" i="1"/>
  <c r="F1131" i="1"/>
  <c r="F1135" i="1"/>
  <c r="F1139" i="1"/>
  <c r="F1143" i="1"/>
  <c r="F1147" i="1"/>
  <c r="F1151" i="1"/>
  <c r="F1155" i="1"/>
  <c r="F1159" i="1"/>
  <c r="F1163" i="1"/>
  <c r="F1167" i="1"/>
  <c r="F1171" i="1"/>
  <c r="F1175" i="1"/>
  <c r="F1179" i="1"/>
  <c r="F1183" i="1"/>
  <c r="F1187" i="1"/>
  <c r="F1191" i="1"/>
  <c r="F1195" i="1"/>
  <c r="F1199" i="1"/>
  <c r="F1203" i="1"/>
  <c r="F1207" i="1"/>
  <c r="F1211" i="1"/>
  <c r="F1215" i="1"/>
  <c r="F1219" i="1"/>
  <c r="F1223" i="1"/>
  <c r="F1227" i="1"/>
  <c r="F1231" i="1"/>
  <c r="F1235" i="1"/>
  <c r="F1239" i="1"/>
  <c r="F1243" i="1"/>
  <c r="F1247" i="1"/>
  <c r="F1251" i="1"/>
  <c r="F1255" i="1"/>
  <c r="F1259" i="1"/>
  <c r="F1263" i="1"/>
  <c r="F1267" i="1"/>
  <c r="F1271" i="1"/>
  <c r="F1275" i="1"/>
  <c r="F1279" i="1"/>
  <c r="F1283" i="1"/>
  <c r="F1287" i="1"/>
  <c r="F1291" i="1"/>
  <c r="F1295" i="1"/>
  <c r="F1299" i="1"/>
  <c r="F1303" i="1"/>
  <c r="F1307" i="1"/>
  <c r="F1311" i="1"/>
  <c r="F1315" i="1"/>
  <c r="F1319" i="1"/>
  <c r="F1323" i="1"/>
  <c r="F1327" i="1"/>
  <c r="F1331" i="1"/>
  <c r="F1335" i="1"/>
  <c r="F1339" i="1"/>
  <c r="F1343" i="1"/>
  <c r="F1347" i="1"/>
  <c r="F1351" i="1"/>
  <c r="F1355" i="1"/>
  <c r="F1359" i="1"/>
  <c r="F1363" i="1"/>
  <c r="F1367" i="1"/>
  <c r="F1371" i="1"/>
  <c r="F1375" i="1"/>
  <c r="F1379" i="1"/>
  <c r="F1383" i="1"/>
  <c r="F1387" i="1"/>
  <c r="F1391" i="1"/>
  <c r="F1395" i="1"/>
  <c r="F1399" i="1"/>
  <c r="F1403" i="1"/>
  <c r="F1407" i="1"/>
  <c r="F1411" i="1"/>
  <c r="F1415" i="1"/>
  <c r="F1419" i="1"/>
  <c r="F1423" i="1"/>
  <c r="F1427" i="1"/>
  <c r="F1431" i="1"/>
  <c r="F1435" i="1"/>
  <c r="F1439" i="1"/>
  <c r="F1443" i="1"/>
  <c r="F1447" i="1"/>
  <c r="F1451" i="1"/>
  <c r="F1455" i="1"/>
  <c r="F1459" i="1"/>
  <c r="F1463" i="1"/>
  <c r="F1467" i="1"/>
  <c r="F1471" i="1"/>
  <c r="F1475" i="1"/>
  <c r="F1479" i="1"/>
  <c r="F1483" i="1"/>
  <c r="F1487" i="1"/>
  <c r="F1491" i="1"/>
  <c r="F1495" i="1"/>
  <c r="F1499" i="1"/>
  <c r="F1503" i="1"/>
  <c r="F1507" i="1"/>
  <c r="F1511" i="1"/>
  <c r="F1515" i="1"/>
  <c r="F1519" i="1"/>
  <c r="F1523" i="1"/>
  <c r="F1527" i="1"/>
  <c r="F1531" i="1"/>
  <c r="F1535" i="1"/>
  <c r="F1539" i="1"/>
  <c r="F1543" i="1"/>
  <c r="F1547" i="1"/>
  <c r="F1551" i="1"/>
  <c r="F1555" i="1"/>
  <c r="F1559" i="1"/>
  <c r="F1563" i="1"/>
  <c r="F1567" i="1"/>
  <c r="F1571" i="1"/>
  <c r="F1575" i="1"/>
  <c r="F1579" i="1"/>
  <c r="F1583" i="1"/>
  <c r="F1587" i="1"/>
  <c r="F1591" i="1"/>
  <c r="F1595" i="1"/>
  <c r="F1599" i="1"/>
  <c r="F1603" i="1"/>
  <c r="F1607" i="1"/>
  <c r="F1611" i="1"/>
  <c r="F1615" i="1"/>
  <c r="F1619" i="1"/>
  <c r="F1622" i="1"/>
  <c r="F1624" i="1"/>
  <c r="F1626" i="1"/>
  <c r="F1628" i="1"/>
  <c r="F1630" i="1"/>
  <c r="F1632" i="1"/>
  <c r="F1634" i="1"/>
  <c r="F1636" i="1"/>
  <c r="F1638" i="1"/>
  <c r="F1640" i="1"/>
  <c r="F1642" i="1"/>
  <c r="F1644" i="1"/>
  <c r="F1646" i="1"/>
  <c r="F1651" i="1"/>
  <c r="F1653" i="1"/>
  <c r="F1655" i="1"/>
  <c r="F1657" i="1"/>
  <c r="F1659" i="1"/>
  <c r="F1661" i="1"/>
  <c r="F1663" i="1"/>
  <c r="F1665" i="1"/>
  <c r="F1667" i="1"/>
  <c r="F1669" i="1"/>
  <c r="F1671" i="1"/>
  <c r="F1673" i="1"/>
  <c r="F1675" i="1"/>
  <c r="F1677" i="1"/>
  <c r="F1679" i="1"/>
  <c r="F1681" i="1"/>
  <c r="F1683" i="1"/>
  <c r="F1685" i="1"/>
  <c r="F1687" i="1"/>
  <c r="F1689" i="1"/>
  <c r="F1691" i="1"/>
  <c r="F1693" i="1"/>
  <c r="F1695" i="1"/>
  <c r="F1697" i="1"/>
  <c r="F1699" i="1"/>
  <c r="F1701" i="1"/>
  <c r="F1703" i="1"/>
  <c r="F1705" i="1"/>
  <c r="F1707" i="1"/>
  <c r="F1709" i="1"/>
  <c r="F1711" i="1"/>
  <c r="F1713" i="1"/>
  <c r="F1715" i="1"/>
  <c r="F1717" i="1"/>
  <c r="F1719" i="1"/>
  <c r="F1721" i="1"/>
  <c r="F1723" i="1"/>
  <c r="F1725" i="1"/>
  <c r="F1727" i="1"/>
  <c r="F1729" i="1"/>
  <c r="F1731" i="1"/>
  <c r="F1733" i="1"/>
  <c r="F1735" i="1"/>
  <c r="F1737" i="1"/>
  <c r="F1743" i="1"/>
  <c r="F1745" i="1"/>
  <c r="F1747" i="1"/>
  <c r="F1749" i="1"/>
  <c r="F1751" i="1"/>
  <c r="F1753" i="1"/>
  <c r="F1755" i="1"/>
  <c r="F1757" i="1"/>
  <c r="F1759" i="1"/>
  <c r="F1761" i="1"/>
  <c r="F1763" i="1"/>
  <c r="F1765" i="1"/>
  <c r="F1767" i="1"/>
  <c r="F1769" i="1"/>
  <c r="F1771" i="1"/>
  <c r="F1773" i="1"/>
  <c r="F1775" i="1"/>
  <c r="F1777" i="1"/>
  <c r="F1779" i="1"/>
  <c r="F1781" i="1"/>
  <c r="F1783" i="1"/>
  <c r="F1785" i="1"/>
  <c r="F1787" i="1"/>
  <c r="F1789" i="1"/>
  <c r="F1791" i="1"/>
  <c r="F1793" i="1"/>
  <c r="F1795" i="1"/>
  <c r="F1797" i="1"/>
  <c r="F1799" i="1"/>
  <c r="F1801" i="1"/>
  <c r="F1803" i="1"/>
  <c r="F1805" i="1"/>
  <c r="F1807" i="1"/>
  <c r="F1809" i="1"/>
  <c r="F1811" i="1"/>
  <c r="F1813" i="1"/>
  <c r="F1815" i="1"/>
  <c r="F1817" i="1"/>
  <c r="F1819" i="1"/>
  <c r="F1821" i="1"/>
  <c r="F1823" i="1"/>
  <c r="F1825" i="1"/>
  <c r="F1827" i="1"/>
  <c r="F1829" i="1"/>
  <c r="F1831" i="1"/>
  <c r="F1833" i="1"/>
  <c r="F1835" i="1"/>
  <c r="F1837" i="1"/>
  <c r="F1839" i="1"/>
  <c r="F1841" i="1"/>
  <c r="F1843" i="1"/>
  <c r="F1845" i="1"/>
  <c r="F1847" i="1"/>
  <c r="F1849" i="1"/>
  <c r="F1851" i="1"/>
  <c r="F1853" i="1"/>
  <c r="F1855" i="1"/>
  <c r="F1857" i="1"/>
  <c r="F1859" i="1"/>
  <c r="F1861" i="1"/>
  <c r="F1863" i="1"/>
  <c r="F1865" i="1"/>
  <c r="F1867" i="1"/>
  <c r="F1869" i="1"/>
  <c r="F1871" i="1"/>
  <c r="F1873" i="1"/>
  <c r="F1875" i="1"/>
  <c r="F1877" i="1"/>
  <c r="F1879" i="1"/>
  <c r="F1881" i="1"/>
  <c r="F1883" i="1"/>
  <c r="F1885" i="1"/>
  <c r="F1887" i="1"/>
  <c r="F1889" i="1"/>
  <c r="F1891" i="1"/>
  <c r="F1893" i="1"/>
  <c r="F1895" i="1"/>
  <c r="F1897" i="1"/>
  <c r="F1899" i="1"/>
  <c r="F1901" i="1"/>
  <c r="F1903" i="1"/>
  <c r="F1905" i="1"/>
  <c r="F1907" i="1"/>
  <c r="F1909" i="1"/>
  <c r="F1911" i="1"/>
  <c r="F1913" i="1"/>
  <c r="F1915" i="1"/>
  <c r="F1917" i="1"/>
  <c r="F1919" i="1"/>
  <c r="F1921" i="1"/>
  <c r="F1923" i="1"/>
  <c r="F1925" i="1"/>
  <c r="F1927" i="1"/>
  <c r="F1929" i="1"/>
  <c r="F1931" i="1"/>
  <c r="F1933" i="1"/>
  <c r="F1935" i="1"/>
  <c r="F1937" i="1"/>
  <c r="F1939" i="1"/>
  <c r="F1941" i="1"/>
  <c r="F1943" i="1"/>
  <c r="F1945" i="1"/>
  <c r="F1947" i="1"/>
  <c r="F1949" i="1"/>
  <c r="F1951" i="1"/>
  <c r="F1953" i="1"/>
  <c r="F1955" i="1"/>
  <c r="F1957" i="1"/>
  <c r="F1959" i="1"/>
  <c r="F1961" i="1"/>
  <c r="F1963" i="1"/>
  <c r="F1965" i="1"/>
  <c r="F1967" i="1"/>
  <c r="F1969" i="1"/>
  <c r="F1971" i="1"/>
  <c r="F1973" i="1"/>
  <c r="F1975" i="1"/>
  <c r="F1977" i="1"/>
  <c r="F1979" i="1"/>
  <c r="F1981" i="1"/>
  <c r="F1983" i="1"/>
  <c r="F1985" i="1"/>
  <c r="F1987" i="1"/>
  <c r="F1989" i="1"/>
  <c r="F1991" i="1"/>
  <c r="F1993" i="1"/>
  <c r="F1995" i="1"/>
  <c r="F1997" i="1"/>
  <c r="F1999" i="1"/>
  <c r="F2001" i="1"/>
  <c r="F2003" i="1"/>
  <c r="F2005" i="1"/>
  <c r="F2007" i="1"/>
  <c r="F2009" i="1"/>
  <c r="F2011" i="1"/>
  <c r="F2013" i="1"/>
  <c r="F2015" i="1"/>
  <c r="F2017" i="1"/>
  <c r="F2019" i="1"/>
  <c r="F2021" i="1"/>
  <c r="F2023" i="1"/>
  <c r="F2025" i="1"/>
  <c r="F2027" i="1"/>
  <c r="F2029" i="1"/>
  <c r="F2031" i="1"/>
  <c r="F2033" i="1"/>
  <c r="F2035" i="1"/>
  <c r="F2037" i="1"/>
  <c r="F2039" i="1"/>
  <c r="F2041" i="1"/>
  <c r="F2043" i="1"/>
  <c r="F2045" i="1"/>
  <c r="F2047" i="1"/>
  <c r="F2049" i="1"/>
  <c r="F2051" i="1"/>
  <c r="F2053" i="1"/>
  <c r="F2055" i="1"/>
  <c r="F2057" i="1"/>
  <c r="F2059" i="1"/>
  <c r="F2061" i="1"/>
  <c r="F2063" i="1"/>
  <c r="F2065" i="1"/>
  <c r="F2067" i="1"/>
  <c r="F2069" i="1"/>
  <c r="F2071" i="1"/>
  <c r="F2073" i="1"/>
  <c r="F2075" i="1"/>
  <c r="F2077" i="1"/>
  <c r="F2079" i="1"/>
  <c r="F2081" i="1"/>
  <c r="F2083" i="1"/>
  <c r="F2085" i="1"/>
  <c r="F2087" i="1"/>
  <c r="F2089" i="1"/>
  <c r="F2091" i="1"/>
  <c r="F2093" i="1"/>
  <c r="F2095" i="1"/>
  <c r="F2097" i="1"/>
  <c r="F2099" i="1"/>
  <c r="F2101" i="1"/>
  <c r="F2103" i="1"/>
  <c r="F2105" i="1"/>
  <c r="F2107" i="1"/>
  <c r="F2109" i="1"/>
  <c r="F2111" i="1"/>
  <c r="F2113" i="1"/>
  <c r="F2115" i="1"/>
  <c r="F2117" i="1"/>
  <c r="F2119" i="1"/>
  <c r="F2121" i="1"/>
  <c r="F2123" i="1"/>
  <c r="F2125" i="1"/>
  <c r="F2127" i="1"/>
  <c r="F2129" i="1"/>
  <c r="F2131" i="1"/>
  <c r="F2133" i="1"/>
  <c r="F2135" i="1"/>
  <c r="F2137" i="1"/>
  <c r="F2139" i="1"/>
  <c r="F2141" i="1"/>
  <c r="F2143" i="1"/>
  <c r="F2145" i="1"/>
  <c r="F2147" i="1"/>
  <c r="F2149" i="1"/>
  <c r="F2151" i="1"/>
  <c r="F2153" i="1"/>
  <c r="F2155" i="1"/>
  <c r="F2157" i="1"/>
  <c r="F2159" i="1"/>
  <c r="F2161" i="1"/>
  <c r="F2163" i="1"/>
  <c r="F2165" i="1"/>
  <c r="F2167" i="1"/>
  <c r="F2169" i="1"/>
  <c r="F2171" i="1"/>
  <c r="F2173" i="1"/>
  <c r="F2175" i="1"/>
  <c r="F2177" i="1"/>
  <c r="F2179" i="1"/>
  <c r="F2181" i="1"/>
  <c r="F2183" i="1"/>
  <c r="F2185" i="1"/>
  <c r="F2187" i="1"/>
  <c r="F2189" i="1"/>
  <c r="F2191" i="1"/>
  <c r="F2193" i="1"/>
  <c r="F2195" i="1"/>
  <c r="F2197" i="1"/>
  <c r="F2199" i="1"/>
  <c r="F2201" i="1"/>
  <c r="F2203" i="1"/>
  <c r="F2205" i="1"/>
  <c r="F2207" i="1"/>
  <c r="F2209" i="1"/>
  <c r="F2211" i="1"/>
  <c r="F2213" i="1"/>
  <c r="F2215" i="1"/>
  <c r="F2217" i="1"/>
  <c r="F2219" i="1"/>
  <c r="F2221" i="1"/>
  <c r="F2223" i="1"/>
  <c r="F2225" i="1"/>
  <c r="F2227" i="1"/>
  <c r="F2229" i="1"/>
  <c r="F2231" i="1"/>
  <c r="F2233" i="1"/>
  <c r="F2235" i="1"/>
  <c r="F2237" i="1"/>
  <c r="F2239" i="1"/>
  <c r="F2241" i="1"/>
  <c r="F2243" i="1"/>
  <c r="F2245" i="1"/>
  <c r="F2247" i="1"/>
  <c r="F2249" i="1"/>
  <c r="F2251" i="1"/>
  <c r="F2253" i="1"/>
  <c r="F2255" i="1"/>
  <c r="F2257" i="1"/>
  <c r="F2259" i="1"/>
  <c r="F2261" i="1"/>
  <c r="F2263" i="1"/>
  <c r="F2265" i="1"/>
  <c r="F2267" i="1"/>
  <c r="F2269" i="1"/>
  <c r="F2271" i="1"/>
  <c r="F2273" i="1"/>
  <c r="F2275" i="1"/>
  <c r="F2277" i="1"/>
  <c r="F2279" i="1"/>
  <c r="F2281" i="1"/>
  <c r="F2283" i="1"/>
  <c r="F2285" i="1"/>
  <c r="F2287" i="1"/>
  <c r="F2289" i="1"/>
  <c r="F2291" i="1"/>
  <c r="F2293" i="1"/>
  <c r="F2295" i="1"/>
  <c r="F2297" i="1"/>
  <c r="F2299" i="1"/>
  <c r="F2301" i="1"/>
  <c r="F2303" i="1"/>
  <c r="F2305" i="1"/>
  <c r="F2307" i="1"/>
  <c r="F2309" i="1"/>
  <c r="F2311" i="1"/>
  <c r="F2313" i="1"/>
  <c r="F2315" i="1"/>
  <c r="F2317" i="1"/>
  <c r="F2319" i="1"/>
  <c r="F2321" i="1"/>
  <c r="F2323" i="1"/>
  <c r="F2325" i="1"/>
  <c r="F2327" i="1"/>
  <c r="F2329" i="1"/>
  <c r="F2331" i="1"/>
  <c r="F2333" i="1"/>
  <c r="F2335" i="1"/>
  <c r="F2337" i="1"/>
  <c r="F2339" i="1"/>
  <c r="F2341" i="1"/>
  <c r="F2343" i="1"/>
  <c r="F2345" i="1"/>
  <c r="F2347" i="1"/>
  <c r="F2349" i="1"/>
  <c r="F2351" i="1"/>
  <c r="F2353" i="1"/>
  <c r="F2355" i="1"/>
  <c r="F2357" i="1"/>
  <c r="F2359" i="1"/>
  <c r="F2361" i="1"/>
  <c r="F2363" i="1"/>
  <c r="F2365" i="1"/>
  <c r="F2367" i="1"/>
  <c r="F2369" i="1"/>
  <c r="F2371" i="1"/>
  <c r="F2373" i="1"/>
  <c r="F2375" i="1"/>
  <c r="F2377" i="1"/>
  <c r="F2379" i="1"/>
  <c r="F2381" i="1"/>
  <c r="F2383" i="1"/>
  <c r="F2385" i="1"/>
  <c r="F2387" i="1"/>
  <c r="F2389" i="1"/>
  <c r="F2391" i="1"/>
  <c r="F2393" i="1"/>
  <c r="F2395" i="1"/>
  <c r="F2397" i="1"/>
  <c r="F2399" i="1"/>
  <c r="F2401" i="1"/>
  <c r="F2403" i="1"/>
  <c r="F2405" i="1"/>
  <c r="F2407" i="1"/>
  <c r="F2409" i="1"/>
  <c r="F2411" i="1"/>
  <c r="F2413" i="1"/>
  <c r="F2415" i="1"/>
  <c r="F2417" i="1"/>
  <c r="F2419" i="1"/>
  <c r="F2421" i="1"/>
  <c r="F2423" i="1"/>
  <c r="F2425" i="1"/>
  <c r="F2427" i="1"/>
  <c r="F2429" i="1"/>
  <c r="F2431" i="1"/>
  <c r="F2433" i="1"/>
  <c r="F2435" i="1"/>
  <c r="F2437" i="1"/>
  <c r="F2439" i="1"/>
  <c r="F2441" i="1"/>
  <c r="F2443" i="1"/>
  <c r="F2445" i="1"/>
  <c r="F2447" i="1"/>
  <c r="F2449" i="1"/>
  <c r="F2451" i="1"/>
  <c r="F2453" i="1"/>
  <c r="F2455" i="1"/>
  <c r="F2457" i="1"/>
  <c r="F2459" i="1"/>
  <c r="F2461" i="1"/>
  <c r="F2463" i="1"/>
  <c r="F2465" i="1"/>
  <c r="F2467" i="1"/>
  <c r="F2469" i="1"/>
  <c r="F2471" i="1"/>
  <c r="F2473" i="1"/>
  <c r="F2475" i="1"/>
  <c r="F2477" i="1"/>
  <c r="F2479" i="1"/>
  <c r="F2481" i="1"/>
  <c r="F2483" i="1"/>
  <c r="F2485" i="1"/>
  <c r="F2487" i="1"/>
  <c r="F2489" i="1"/>
  <c r="F2491" i="1"/>
  <c r="F2493" i="1"/>
  <c r="F2495" i="1"/>
  <c r="F2497" i="1"/>
  <c r="F2499" i="1"/>
  <c r="F2501" i="1"/>
  <c r="F2503" i="1"/>
  <c r="F2505" i="1"/>
  <c r="F2507" i="1"/>
  <c r="F2509" i="1"/>
  <c r="F2511" i="1"/>
  <c r="F2513" i="1"/>
  <c r="F2515" i="1"/>
  <c r="F2517" i="1"/>
  <c r="F2519" i="1"/>
  <c r="F2521" i="1"/>
  <c r="F2523" i="1"/>
  <c r="F2525" i="1"/>
  <c r="F2527" i="1"/>
  <c r="F2529" i="1"/>
  <c r="F2531" i="1"/>
  <c r="F2533" i="1"/>
  <c r="F2535" i="1"/>
  <c r="F2537" i="1"/>
  <c r="F2539" i="1"/>
  <c r="F2541" i="1"/>
  <c r="F2543" i="1"/>
  <c r="F2545" i="1"/>
  <c r="F2547" i="1"/>
  <c r="F2549" i="1"/>
  <c r="F2551" i="1"/>
  <c r="F2553" i="1"/>
  <c r="F2555" i="1"/>
  <c r="F2557" i="1"/>
  <c r="F2559" i="1"/>
  <c r="F2561" i="1"/>
  <c r="F2563" i="1"/>
  <c r="F2565" i="1"/>
  <c r="F2567" i="1"/>
  <c r="F2569" i="1"/>
  <c r="F2571" i="1"/>
  <c r="F2573" i="1"/>
  <c r="F2575" i="1"/>
  <c r="F2577" i="1"/>
  <c r="F2579" i="1"/>
  <c r="F2581" i="1"/>
  <c r="F2583" i="1"/>
  <c r="F2585" i="1"/>
  <c r="F2587" i="1"/>
  <c r="F2589" i="1"/>
  <c r="F2591" i="1"/>
  <c r="F2593" i="1"/>
  <c r="F2595" i="1"/>
  <c r="F2597" i="1"/>
  <c r="F2599" i="1"/>
  <c r="F2601" i="1"/>
  <c r="F2603" i="1"/>
  <c r="F2605" i="1"/>
  <c r="F2607" i="1"/>
  <c r="F2609" i="1"/>
  <c r="F2611" i="1"/>
  <c r="F2613" i="1"/>
  <c r="F2615" i="1"/>
  <c r="F2617" i="1"/>
  <c r="F2619" i="1"/>
  <c r="F2621" i="1"/>
  <c r="F2623" i="1"/>
  <c r="F2625" i="1"/>
  <c r="F2627" i="1"/>
  <c r="F2629" i="1"/>
  <c r="F2631" i="1"/>
  <c r="F2633" i="1"/>
  <c r="F2635" i="1"/>
  <c r="F2637" i="1"/>
  <c r="F2639" i="1"/>
  <c r="F2641" i="1"/>
  <c r="F2643" i="1"/>
  <c r="F2645" i="1"/>
  <c r="F2647" i="1"/>
  <c r="F2649" i="1"/>
  <c r="F2651" i="1"/>
  <c r="F2653" i="1"/>
  <c r="F2655" i="1"/>
  <c r="F2657" i="1"/>
  <c r="F2659" i="1"/>
  <c r="F2661" i="1"/>
  <c r="F2663" i="1"/>
  <c r="F2665" i="1"/>
  <c r="F2667" i="1"/>
  <c r="F2669" i="1"/>
  <c r="F2671" i="1"/>
  <c r="F2673" i="1"/>
  <c r="F2675" i="1"/>
  <c r="F2677" i="1"/>
  <c r="F2679" i="1"/>
  <c r="F2681" i="1"/>
  <c r="F2683" i="1"/>
  <c r="F2685" i="1"/>
  <c r="F2687" i="1"/>
  <c r="F2689" i="1"/>
  <c r="F2691" i="1"/>
  <c r="F2693" i="1"/>
  <c r="F2695" i="1"/>
  <c r="F2697" i="1"/>
  <c r="F2699" i="1"/>
  <c r="F2701" i="1"/>
  <c r="F2703" i="1"/>
  <c r="F2705" i="1"/>
  <c r="F2707" i="1"/>
  <c r="F2709" i="1"/>
  <c r="F2711" i="1"/>
  <c r="F2713" i="1"/>
  <c r="F2715" i="1"/>
  <c r="F2717" i="1"/>
  <c r="F2719" i="1"/>
  <c r="F2721" i="1"/>
  <c r="F2723" i="1"/>
  <c r="F2725" i="1"/>
  <c r="F2727" i="1"/>
  <c r="F2729" i="1"/>
  <c r="F2731" i="1"/>
  <c r="F2733" i="1"/>
  <c r="F2735" i="1"/>
  <c r="F2737" i="1"/>
  <c r="F2739" i="1"/>
  <c r="F2741" i="1"/>
  <c r="F2743" i="1"/>
  <c r="F2745" i="1"/>
  <c r="F2747" i="1"/>
  <c r="F2749" i="1"/>
  <c r="F2751" i="1"/>
  <c r="F2753" i="1"/>
  <c r="F2755" i="1"/>
  <c r="F2757" i="1"/>
  <c r="F2759" i="1"/>
  <c r="F2761" i="1"/>
  <c r="F2763" i="1"/>
  <c r="F2765" i="1"/>
  <c r="F2767" i="1"/>
  <c r="F2769" i="1"/>
  <c r="F2771" i="1"/>
  <c r="F2773" i="1"/>
  <c r="F2775" i="1"/>
  <c r="F2777" i="1"/>
  <c r="F2779" i="1"/>
  <c r="F2781" i="1"/>
  <c r="F2783" i="1"/>
  <c r="F2785" i="1"/>
  <c r="F2787" i="1"/>
  <c r="F2789" i="1"/>
  <c r="F2791" i="1"/>
  <c r="F2793" i="1"/>
  <c r="F2795" i="1"/>
  <c r="F2797" i="1"/>
  <c r="F2799" i="1"/>
  <c r="F2801" i="1"/>
  <c r="F2803" i="1"/>
  <c r="F2805" i="1"/>
  <c r="F2807" i="1"/>
  <c r="F2809" i="1"/>
  <c r="F2811" i="1"/>
  <c r="F2813" i="1"/>
  <c r="F2815" i="1"/>
  <c r="F2817" i="1"/>
  <c r="F2819" i="1"/>
  <c r="F2821" i="1"/>
  <c r="F2823" i="1"/>
  <c r="F2825" i="1"/>
  <c r="F2827" i="1"/>
  <c r="F2829" i="1"/>
  <c r="F2831" i="1"/>
  <c r="F2833" i="1"/>
  <c r="F2835" i="1"/>
  <c r="F2837" i="1"/>
  <c r="F2839" i="1"/>
  <c r="F2841" i="1"/>
  <c r="F2843" i="1"/>
  <c r="F2845" i="1"/>
  <c r="F2847" i="1"/>
  <c r="F2849" i="1"/>
  <c r="F2851" i="1"/>
  <c r="F2853" i="1"/>
  <c r="F2855" i="1"/>
  <c r="F2857" i="1"/>
  <c r="F2859" i="1"/>
  <c r="F2861" i="1"/>
  <c r="F2863" i="1"/>
  <c r="F2865" i="1"/>
  <c r="F2867" i="1"/>
  <c r="F2869" i="1"/>
  <c r="F2871" i="1"/>
  <c r="F2873" i="1"/>
  <c r="F2875" i="1"/>
  <c r="F2877" i="1"/>
  <c r="F2879" i="1"/>
  <c r="F2881" i="1"/>
  <c r="F2883" i="1"/>
  <c r="F2885" i="1"/>
  <c r="F2887" i="1"/>
  <c r="F2889" i="1"/>
  <c r="F2891" i="1"/>
  <c r="F2893" i="1"/>
  <c r="F2895" i="1"/>
  <c r="F2897" i="1"/>
  <c r="F2899" i="1"/>
  <c r="F2901" i="1"/>
  <c r="F2903" i="1"/>
  <c r="F2905" i="1"/>
  <c r="F2907" i="1"/>
  <c r="F2909" i="1"/>
  <c r="F2911" i="1"/>
  <c r="F2913" i="1"/>
  <c r="F2915" i="1"/>
  <c r="F2917" i="1"/>
  <c r="F2919" i="1"/>
  <c r="F2921" i="1"/>
  <c r="F2923" i="1"/>
  <c r="F2925" i="1"/>
  <c r="F2927" i="1"/>
  <c r="F2929" i="1"/>
  <c r="F2931" i="1"/>
  <c r="F2933" i="1"/>
  <c r="F2935" i="1"/>
  <c r="F2937" i="1"/>
  <c r="F2939" i="1"/>
  <c r="F2941" i="1"/>
  <c r="F2943" i="1"/>
  <c r="F2945" i="1"/>
  <c r="F2947" i="1"/>
  <c r="F2949" i="1"/>
  <c r="F2951" i="1"/>
  <c r="F2953" i="1"/>
  <c r="F2955" i="1"/>
  <c r="F2957" i="1"/>
  <c r="F2959" i="1"/>
  <c r="F2961" i="1"/>
  <c r="F2963" i="1"/>
  <c r="F2965" i="1"/>
  <c r="F2967" i="1"/>
  <c r="F2969" i="1"/>
  <c r="F2971" i="1"/>
  <c r="F2973" i="1"/>
  <c r="F2975" i="1"/>
  <c r="F2977" i="1"/>
  <c r="F2979" i="1"/>
  <c r="F2981" i="1"/>
  <c r="F2983" i="1"/>
  <c r="F2985" i="1"/>
  <c r="F2987" i="1"/>
  <c r="F2989" i="1"/>
  <c r="F2991" i="1"/>
  <c r="F2993" i="1"/>
  <c r="F2995" i="1"/>
  <c r="F2997" i="1"/>
  <c r="F2999" i="1"/>
  <c r="F3001" i="1"/>
  <c r="F3003" i="1"/>
  <c r="F3005" i="1"/>
  <c r="F3007" i="1"/>
  <c r="F3009" i="1"/>
  <c r="F3011" i="1"/>
  <c r="F3013" i="1"/>
  <c r="F3015" i="1"/>
  <c r="F3017" i="1"/>
  <c r="F3019" i="1"/>
  <c r="F3021" i="1"/>
  <c r="F3023" i="1"/>
  <c r="F3025" i="1"/>
  <c r="F3027" i="1"/>
  <c r="F3029" i="1"/>
  <c r="F3031" i="1"/>
  <c r="F3033" i="1"/>
  <c r="F3035" i="1"/>
  <c r="F3037" i="1"/>
  <c r="F3039" i="1"/>
  <c r="F3041" i="1"/>
  <c r="F3043" i="1"/>
  <c r="F3045" i="1"/>
  <c r="F3047" i="1"/>
  <c r="F3049" i="1"/>
  <c r="F3051" i="1"/>
  <c r="F3053" i="1"/>
  <c r="F3055" i="1"/>
  <c r="F3057" i="1"/>
  <c r="F3059" i="1"/>
  <c r="F3061" i="1"/>
  <c r="F3063" i="1"/>
  <c r="F3065" i="1"/>
  <c r="F3067" i="1"/>
  <c r="F3069" i="1"/>
  <c r="F3071" i="1"/>
  <c r="F3073" i="1"/>
  <c r="F3075" i="1"/>
  <c r="F3077" i="1"/>
  <c r="F3079" i="1"/>
  <c r="F3081" i="1"/>
  <c r="F3083" i="1"/>
  <c r="F3085" i="1"/>
  <c r="F3087" i="1"/>
  <c r="F3089" i="1"/>
  <c r="F3091" i="1"/>
  <c r="F3093" i="1"/>
  <c r="F3095" i="1"/>
  <c r="F3097" i="1"/>
  <c r="F3099" i="1"/>
  <c r="F3101" i="1"/>
  <c r="F3103" i="1"/>
  <c r="F3105" i="1"/>
  <c r="F3107" i="1"/>
  <c r="F3109" i="1"/>
  <c r="F3111" i="1"/>
  <c r="F3113" i="1"/>
  <c r="F3115" i="1"/>
  <c r="F3117" i="1"/>
  <c r="F3119" i="1"/>
  <c r="F3121" i="1"/>
  <c r="F3123" i="1"/>
  <c r="F3125" i="1"/>
  <c r="F3127" i="1"/>
  <c r="F3129" i="1"/>
  <c r="F3131" i="1"/>
  <c r="F3133" i="1"/>
  <c r="F3135" i="1"/>
  <c r="F3137" i="1"/>
  <c r="F3139" i="1"/>
  <c r="F3141" i="1"/>
  <c r="F3143" i="1"/>
  <c r="F3145" i="1"/>
  <c r="F3147" i="1"/>
  <c r="F3149" i="1"/>
  <c r="F3151" i="1"/>
  <c r="F3153" i="1"/>
  <c r="F3155" i="1"/>
  <c r="F3157" i="1"/>
  <c r="F3159" i="1"/>
  <c r="F3161" i="1"/>
  <c r="F3163" i="1"/>
  <c r="F3165" i="1"/>
  <c r="F3167" i="1"/>
  <c r="F3169" i="1"/>
  <c r="F3171" i="1"/>
  <c r="F3173" i="1"/>
  <c r="F3175" i="1"/>
  <c r="F3177" i="1"/>
  <c r="F3179" i="1"/>
  <c r="F3181" i="1"/>
  <c r="F3183" i="1"/>
  <c r="F3185" i="1"/>
  <c r="F3187" i="1"/>
  <c r="F3189" i="1"/>
  <c r="F3191" i="1"/>
  <c r="F3193" i="1"/>
  <c r="F3195" i="1"/>
  <c r="F3197" i="1"/>
  <c r="F3199" i="1"/>
  <c r="F3201" i="1"/>
  <c r="F3203" i="1"/>
  <c r="F3205" i="1"/>
  <c r="F3207" i="1"/>
  <c r="F3209" i="1"/>
  <c r="F3211" i="1"/>
  <c r="F3274" i="1"/>
  <c r="F3338" i="1"/>
  <c r="F3419" i="1"/>
  <c r="F112" i="22" s="1"/>
  <c r="G112" i="22" s="1"/>
  <c r="H112" i="22" s="1"/>
  <c r="F3440" i="1"/>
  <c r="F3456" i="1"/>
  <c r="F3472" i="1"/>
  <c r="F3488" i="1"/>
  <c r="F3504" i="1"/>
  <c r="F3520" i="1"/>
  <c r="F3536" i="1"/>
  <c r="F3552" i="1"/>
  <c r="F3568" i="1"/>
  <c r="F3584" i="1"/>
  <c r="F3600" i="1"/>
  <c r="F3616" i="1"/>
  <c r="F34" i="1"/>
  <c r="F50" i="1"/>
  <c r="F66" i="1"/>
  <c r="F82" i="1"/>
  <c r="F92" i="1"/>
  <c r="F100" i="1"/>
  <c r="F108" i="1"/>
  <c r="F116" i="1"/>
  <c r="F124" i="1"/>
  <c r="F132" i="1"/>
  <c r="F140" i="1"/>
  <c r="F148" i="1"/>
  <c r="F156" i="1"/>
  <c r="F164" i="1"/>
  <c r="F172" i="1"/>
  <c r="F180" i="1"/>
  <c r="F188" i="1"/>
  <c r="F196" i="1"/>
  <c r="F204" i="1"/>
  <c r="F212" i="1"/>
  <c r="F220" i="1"/>
  <c r="F228" i="1"/>
  <c r="F236" i="1"/>
  <c r="F244" i="1"/>
  <c r="F252" i="1"/>
  <c r="F260" i="1"/>
  <c r="F268" i="1"/>
  <c r="F276" i="1"/>
  <c r="F284" i="1"/>
  <c r="F292" i="1"/>
  <c r="F300" i="1"/>
  <c r="F308" i="1"/>
  <c r="F316" i="1"/>
  <c r="F324" i="1"/>
  <c r="F332" i="1"/>
  <c r="F340" i="1"/>
  <c r="F348" i="1"/>
  <c r="F356" i="1"/>
  <c r="F364" i="1"/>
  <c r="F372" i="1"/>
  <c r="F380" i="1"/>
  <c r="F388" i="1"/>
  <c r="F396" i="1"/>
  <c r="F404" i="1"/>
  <c r="F412" i="1"/>
  <c r="F420" i="1"/>
  <c r="F428" i="1"/>
  <c r="F436" i="1"/>
  <c r="F444" i="1"/>
  <c r="F452" i="1"/>
  <c r="F460" i="1"/>
  <c r="F468" i="1"/>
  <c r="F476" i="1"/>
  <c r="F484" i="1"/>
  <c r="F492" i="1"/>
  <c r="F500" i="1"/>
  <c r="F508" i="1"/>
  <c r="F516" i="1"/>
  <c r="F524" i="1"/>
  <c r="F532" i="1"/>
  <c r="F540" i="1"/>
  <c r="F548" i="1"/>
  <c r="F556" i="1"/>
  <c r="F564" i="1"/>
  <c r="F572" i="1"/>
  <c r="F580" i="1"/>
  <c r="F588" i="1"/>
  <c r="F596" i="1"/>
  <c r="F601" i="1"/>
  <c r="F605" i="1"/>
  <c r="F609" i="1"/>
  <c r="F613" i="1"/>
  <c r="F617" i="1"/>
  <c r="F621" i="1"/>
  <c r="F625" i="1"/>
  <c r="F629" i="1"/>
  <c r="F633" i="1"/>
  <c r="F637" i="1"/>
  <c r="F641" i="1"/>
  <c r="F645" i="1"/>
  <c r="F649" i="1"/>
  <c r="F653" i="1"/>
  <c r="F657" i="1"/>
  <c r="F661" i="1"/>
  <c r="F665" i="1"/>
  <c r="F669" i="1"/>
  <c r="F673" i="1"/>
  <c r="F677" i="1"/>
  <c r="F681" i="1"/>
  <c r="F685" i="1"/>
  <c r="F689" i="1"/>
  <c r="F693" i="1"/>
  <c r="F697" i="1"/>
  <c r="F701" i="1"/>
  <c r="F705" i="1"/>
  <c r="F709" i="1"/>
  <c r="F713" i="1"/>
  <c r="F717" i="1"/>
  <c r="F721" i="1"/>
  <c r="F725" i="1"/>
  <c r="F729" i="1"/>
  <c r="F733" i="1"/>
  <c r="F737" i="1"/>
  <c r="F741" i="1"/>
  <c r="F745" i="1"/>
  <c r="F749" i="1"/>
  <c r="F753" i="1"/>
  <c r="F757" i="1"/>
  <c r="F761" i="1"/>
  <c r="F765" i="1"/>
  <c r="F769" i="1"/>
  <c r="F773" i="1"/>
  <c r="F777" i="1"/>
  <c r="F781" i="1"/>
  <c r="F785" i="1"/>
  <c r="F789" i="1"/>
  <c r="F793" i="1"/>
  <c r="F797" i="1"/>
  <c r="F801" i="1"/>
  <c r="F805" i="1"/>
  <c r="F809" i="1"/>
  <c r="F813" i="1"/>
  <c r="F817" i="1"/>
  <c r="F821" i="1"/>
  <c r="F825" i="1"/>
  <c r="F829" i="1"/>
  <c r="F833" i="1"/>
  <c r="F837" i="1"/>
  <c r="F841" i="1"/>
  <c r="F845" i="1"/>
  <c r="F849" i="1"/>
  <c r="F853" i="1"/>
  <c r="F857" i="1"/>
  <c r="F861" i="1"/>
  <c r="F865" i="1"/>
  <c r="F869" i="1"/>
  <c r="F873" i="1"/>
  <c r="F877" i="1"/>
  <c r="F881" i="1"/>
  <c r="F885" i="1"/>
  <c r="F889" i="1"/>
  <c r="F893" i="1"/>
  <c r="F897" i="1"/>
  <c r="F901" i="1"/>
  <c r="F905" i="1"/>
  <c r="F909" i="1"/>
  <c r="F913" i="1"/>
  <c r="F917" i="1"/>
  <c r="F921" i="1"/>
  <c r="F925" i="1"/>
  <c r="F929" i="1"/>
  <c r="F933" i="1"/>
  <c r="F937" i="1"/>
  <c r="F941" i="1"/>
  <c r="F945" i="1"/>
  <c r="F949" i="1"/>
  <c r="F953" i="1"/>
  <c r="F957" i="1"/>
  <c r="F961" i="1"/>
  <c r="F965" i="1"/>
  <c r="F969" i="1"/>
  <c r="F973" i="1"/>
  <c r="F977" i="1"/>
  <c r="F981" i="1"/>
  <c r="F985" i="1"/>
  <c r="F989" i="1"/>
  <c r="F993" i="1"/>
  <c r="F997" i="1"/>
  <c r="F1001" i="1"/>
  <c r="F1005" i="1"/>
  <c r="F1009" i="1"/>
  <c r="F1013" i="1"/>
  <c r="F1017" i="1"/>
  <c r="F1021" i="1"/>
  <c r="F1025" i="1"/>
  <c r="F1033" i="1"/>
  <c r="F1041" i="1"/>
  <c r="F1049" i="1"/>
  <c r="F1057" i="1"/>
  <c r="F1065" i="1"/>
  <c r="F1073" i="1"/>
  <c r="F1081" i="1"/>
  <c r="F1089" i="1"/>
  <c r="F1097" i="1"/>
  <c r="F1105" i="1"/>
  <c r="F1113" i="1"/>
  <c r="F1121" i="1"/>
  <c r="F1129" i="1"/>
  <c r="F1137" i="1"/>
  <c r="F1145" i="1"/>
  <c r="F1153" i="1"/>
  <c r="F1161" i="1"/>
  <c r="F1169" i="1"/>
  <c r="F1177" i="1"/>
  <c r="F1185" i="1"/>
  <c r="F1193" i="1"/>
  <c r="F1201" i="1"/>
  <c r="F1209" i="1"/>
  <c r="F1217" i="1"/>
  <c r="F1225" i="1"/>
  <c r="F1233" i="1"/>
  <c r="F1241" i="1"/>
  <c r="F1249" i="1"/>
  <c r="F1257" i="1"/>
  <c r="F1265" i="1"/>
  <c r="F1273" i="1"/>
  <c r="F1281" i="1"/>
  <c r="F1289" i="1"/>
  <c r="F1297" i="1"/>
  <c r="F1305" i="1"/>
  <c r="F1313" i="1"/>
  <c r="F1321" i="1"/>
  <c r="F1329" i="1"/>
  <c r="F1337" i="1"/>
  <c r="F1345" i="1"/>
  <c r="F1353" i="1"/>
  <c r="F1361" i="1"/>
  <c r="F1369" i="1"/>
  <c r="F1377" i="1"/>
  <c r="F1385" i="1"/>
  <c r="F1393" i="1"/>
  <c r="F1401" i="1"/>
  <c r="F1409" i="1"/>
  <c r="F1417" i="1"/>
  <c r="F1425" i="1"/>
  <c r="F1433" i="1"/>
  <c r="F1441" i="1"/>
  <c r="F1449" i="1"/>
  <c r="F1457" i="1"/>
  <c r="F1465" i="1"/>
  <c r="F1473" i="1"/>
  <c r="F1481" i="1"/>
  <c r="F1489" i="1"/>
  <c r="F1497" i="1"/>
  <c r="F1505" i="1"/>
  <c r="F1513" i="1"/>
  <c r="F1521" i="1"/>
  <c r="F1529" i="1"/>
  <c r="F1537" i="1"/>
  <c r="F1545" i="1"/>
  <c r="F1553" i="1"/>
  <c r="F1561" i="1"/>
  <c r="F1569" i="1"/>
  <c r="F1577" i="1"/>
  <c r="F1585" i="1"/>
  <c r="F1593" i="1"/>
  <c r="F1601" i="1"/>
  <c r="F1609" i="1"/>
  <c r="F1617" i="1"/>
  <c r="F1623" i="1"/>
  <c r="F1627" i="1"/>
  <c r="F1631" i="1"/>
  <c r="F1635" i="1"/>
  <c r="F1639" i="1"/>
  <c r="F1643" i="1"/>
  <c r="F1650" i="1"/>
  <c r="F1654" i="1"/>
  <c r="F1658" i="1"/>
  <c r="F1662" i="1"/>
  <c r="F1666" i="1"/>
  <c r="F1670" i="1"/>
  <c r="F1674" i="1"/>
  <c r="F1678" i="1"/>
  <c r="F1682" i="1"/>
  <c r="F1686" i="1"/>
  <c r="F1690" i="1"/>
  <c r="F1694" i="1"/>
  <c r="F1698" i="1"/>
  <c r="F1702" i="1"/>
  <c r="F1706" i="1"/>
  <c r="F1710" i="1"/>
  <c r="F1714" i="1"/>
  <c r="F1718" i="1"/>
  <c r="F1722" i="1"/>
  <c r="F1726" i="1"/>
  <c r="F1730" i="1"/>
  <c r="F1734" i="1"/>
  <c r="F1746" i="1"/>
  <c r="F1750" i="1"/>
  <c r="F1754" i="1"/>
  <c r="F1758" i="1"/>
  <c r="F1762" i="1"/>
  <c r="F1766" i="1"/>
  <c r="F1770" i="1"/>
  <c r="F1774" i="1"/>
  <c r="F1778" i="1"/>
  <c r="F1782" i="1"/>
  <c r="F1786" i="1"/>
  <c r="F1790" i="1"/>
  <c r="F1794" i="1"/>
  <c r="F1798" i="1"/>
  <c r="F1802" i="1"/>
  <c r="F1806" i="1"/>
  <c r="F1810" i="1"/>
  <c r="F1814" i="1"/>
  <c r="F1818" i="1"/>
  <c r="F1822" i="1"/>
  <c r="F1826" i="1"/>
  <c r="F1830" i="1"/>
  <c r="F1834" i="1"/>
  <c r="F1838" i="1"/>
  <c r="F1842" i="1"/>
  <c r="F1846" i="1"/>
  <c r="F1850" i="1"/>
  <c r="F1854" i="1"/>
  <c r="F1858" i="1"/>
  <c r="F1862" i="1"/>
  <c r="F1866" i="1"/>
  <c r="F1870" i="1"/>
  <c r="F1874" i="1"/>
  <c r="F1878" i="1"/>
  <c r="F1882" i="1"/>
  <c r="F1886" i="1"/>
  <c r="F1890" i="1"/>
  <c r="F1894" i="1"/>
  <c r="F1898" i="1"/>
  <c r="F1902" i="1"/>
  <c r="F1906" i="1"/>
  <c r="F1910" i="1"/>
  <c r="F1914" i="1"/>
  <c r="F1918" i="1"/>
  <c r="F1922" i="1"/>
  <c r="F1926" i="1"/>
  <c r="F1930" i="1"/>
  <c r="F1934" i="1"/>
  <c r="F1938" i="1"/>
  <c r="F1942" i="1"/>
  <c r="F1946" i="1"/>
  <c r="F1950" i="1"/>
  <c r="F1954" i="1"/>
  <c r="F1958" i="1"/>
  <c r="F1962" i="1"/>
  <c r="F1966" i="1"/>
  <c r="F1970" i="1"/>
  <c r="F1974" i="1"/>
  <c r="F1978" i="1"/>
  <c r="F1982" i="1"/>
  <c r="F1986" i="1"/>
  <c r="F1990" i="1"/>
  <c r="F1994" i="1"/>
  <c r="F1998" i="1"/>
  <c r="F2002" i="1"/>
  <c r="F2006" i="1"/>
  <c r="F2010" i="1"/>
  <c r="F2014" i="1"/>
  <c r="F2018" i="1"/>
  <c r="F2022" i="1"/>
  <c r="F2026" i="1"/>
  <c r="F2030" i="1"/>
  <c r="F2034" i="1"/>
  <c r="F2038" i="1"/>
  <c r="F2042" i="1"/>
  <c r="F2046" i="1"/>
  <c r="F2050" i="1"/>
  <c r="F2054" i="1"/>
  <c r="F2058" i="1"/>
  <c r="F2062" i="1"/>
  <c r="F2066" i="1"/>
  <c r="F2070" i="1"/>
  <c r="F2074" i="1"/>
  <c r="F2078" i="1"/>
  <c r="F2082" i="1"/>
  <c r="F2086" i="1"/>
  <c r="F2090" i="1"/>
  <c r="F2094" i="1"/>
  <c r="F2098" i="1"/>
  <c r="F2102" i="1"/>
  <c r="F2106" i="1"/>
  <c r="F2110" i="1"/>
  <c r="F2114" i="1"/>
  <c r="F2118" i="1"/>
  <c r="F2122" i="1"/>
  <c r="F2128" i="1"/>
  <c r="F2132" i="1"/>
  <c r="F2136" i="1"/>
  <c r="F2140" i="1"/>
  <c r="F2144" i="1"/>
  <c r="F2148" i="1"/>
  <c r="F2152" i="1"/>
  <c r="F2156" i="1"/>
  <c r="F2160" i="1"/>
  <c r="F2164" i="1"/>
  <c r="F2168" i="1"/>
  <c r="F2172" i="1"/>
  <c r="F2176" i="1"/>
  <c r="F2180" i="1"/>
  <c r="F2184" i="1"/>
  <c r="F2188" i="1"/>
  <c r="F2192" i="1"/>
  <c r="F2196" i="1"/>
  <c r="F2200" i="1"/>
  <c r="F2204" i="1"/>
  <c r="F2208" i="1"/>
  <c r="F2212" i="1"/>
  <c r="F2216" i="1"/>
  <c r="F2220" i="1"/>
  <c r="F2224" i="1"/>
  <c r="F2228" i="1"/>
  <c r="F2232" i="1"/>
  <c r="F2236" i="1"/>
  <c r="F2240" i="1"/>
  <c r="F2244" i="1"/>
  <c r="F2248" i="1"/>
  <c r="F2252" i="1"/>
  <c r="F2256" i="1"/>
  <c r="F2260" i="1"/>
  <c r="F2264" i="1"/>
  <c r="F2268" i="1"/>
  <c r="F2272" i="1"/>
  <c r="F2276" i="1"/>
  <c r="F2280" i="1"/>
  <c r="F2284" i="1"/>
  <c r="F2288" i="1"/>
  <c r="F2292" i="1"/>
  <c r="F2296" i="1"/>
  <c r="F2300" i="1"/>
  <c r="F2304" i="1"/>
  <c r="F2308" i="1"/>
  <c r="F2312" i="1"/>
  <c r="F2316" i="1"/>
  <c r="F2320" i="1"/>
  <c r="F2324" i="1"/>
  <c r="F2328" i="1"/>
  <c r="F2332" i="1"/>
  <c r="F2336" i="1"/>
  <c r="F2340" i="1"/>
  <c r="F2344" i="1"/>
  <c r="F2348" i="1"/>
  <c r="F2352" i="1"/>
  <c r="F2356" i="1"/>
  <c r="F2360" i="1"/>
  <c r="F2364" i="1"/>
  <c r="F2368" i="1"/>
  <c r="F2372" i="1"/>
  <c r="F2376" i="1"/>
  <c r="F2380" i="1"/>
  <c r="F2384" i="1"/>
  <c r="F2388" i="1"/>
  <c r="F2392" i="1"/>
  <c r="F2396" i="1"/>
  <c r="F2400" i="1"/>
  <c r="F2404" i="1"/>
  <c r="F2408" i="1"/>
  <c r="F2412" i="1"/>
  <c r="F2416" i="1"/>
  <c r="F2420" i="1"/>
  <c r="F2424" i="1"/>
  <c r="F2428" i="1"/>
  <c r="F2432" i="1"/>
  <c r="F2436" i="1"/>
  <c r="F2440" i="1"/>
  <c r="F2444" i="1"/>
  <c r="F2448" i="1"/>
  <c r="F2452" i="1"/>
  <c r="F2456" i="1"/>
  <c r="F2460" i="1"/>
  <c r="F2464" i="1"/>
  <c r="F2468" i="1"/>
  <c r="F2472" i="1"/>
  <c r="F2476" i="1"/>
  <c r="F2480" i="1"/>
  <c r="F2484" i="1"/>
  <c r="F2488" i="1"/>
  <c r="F2492" i="1"/>
  <c r="F2496" i="1"/>
  <c r="F2500" i="1"/>
  <c r="F2504" i="1"/>
  <c r="F2508" i="1"/>
  <c r="F2512" i="1"/>
  <c r="F2516" i="1"/>
  <c r="F2520" i="1"/>
  <c r="F2524" i="1"/>
  <c r="F2528" i="1"/>
  <c r="F2532" i="1"/>
  <c r="F2536" i="1"/>
  <c r="F2540" i="1"/>
  <c r="F2544" i="1"/>
  <c r="F2548" i="1"/>
  <c r="F2552" i="1"/>
  <c r="F2556" i="1"/>
  <c r="F2560" i="1"/>
  <c r="F2564" i="1"/>
  <c r="F2568" i="1"/>
  <c r="F2572" i="1"/>
  <c r="F2576" i="1"/>
  <c r="F2580" i="1"/>
  <c r="F2584" i="1"/>
  <c r="F2588" i="1"/>
  <c r="F2592" i="1"/>
  <c r="F2596" i="1"/>
  <c r="F2600" i="1"/>
  <c r="F2604" i="1"/>
  <c r="F2608" i="1"/>
  <c r="F2612" i="1"/>
  <c r="F2616" i="1"/>
  <c r="F2620" i="1"/>
  <c r="F2624" i="1"/>
  <c r="F2628" i="1"/>
  <c r="F2632" i="1"/>
  <c r="F2636" i="1"/>
  <c r="F2640" i="1"/>
  <c r="F2644" i="1"/>
  <c r="F2648" i="1"/>
  <c r="F2652" i="1"/>
  <c r="F2656" i="1"/>
  <c r="F2660" i="1"/>
  <c r="F2664" i="1"/>
  <c r="F2668" i="1"/>
  <c r="F2672" i="1"/>
  <c r="F2676" i="1"/>
  <c r="F2680" i="1"/>
  <c r="F2684" i="1"/>
  <c r="F2688" i="1"/>
  <c r="F2692" i="1"/>
  <c r="F2696" i="1"/>
  <c r="F2700" i="1"/>
  <c r="F2704" i="1"/>
  <c r="F2708" i="1"/>
  <c r="F2712" i="1"/>
  <c r="F2716" i="1"/>
  <c r="F2720" i="1"/>
  <c r="F2724" i="1"/>
  <c r="F2728" i="1"/>
  <c r="F2732" i="1"/>
  <c r="F2736" i="1"/>
  <c r="F2740" i="1"/>
  <c r="F2744" i="1"/>
  <c r="F2748" i="1"/>
  <c r="F2752" i="1"/>
  <c r="F2756" i="1"/>
  <c r="F2760" i="1"/>
  <c r="F2764" i="1"/>
  <c r="F2768" i="1"/>
  <c r="F2772" i="1"/>
  <c r="F2776" i="1"/>
  <c r="F2780" i="1"/>
  <c r="F2784" i="1"/>
  <c r="F2788" i="1"/>
  <c r="F2792" i="1"/>
  <c r="F2796" i="1"/>
  <c r="F2800" i="1"/>
  <c r="F2804" i="1"/>
  <c r="F2808" i="1"/>
  <c r="F2812" i="1"/>
  <c r="F2816" i="1"/>
  <c r="F2820" i="1"/>
  <c r="F2824" i="1"/>
  <c r="F2828" i="1"/>
  <c r="F2832" i="1"/>
  <c r="F2836" i="1"/>
  <c r="F2840" i="1"/>
  <c r="F2844" i="1"/>
  <c r="F2848" i="1"/>
  <c r="F2852" i="1"/>
  <c r="F2856" i="1"/>
  <c r="F2860" i="1"/>
  <c r="F2864" i="1"/>
  <c r="F2868" i="1"/>
  <c r="F2872" i="1"/>
  <c r="F2876" i="1"/>
  <c r="F2880" i="1"/>
  <c r="F2884" i="1"/>
  <c r="F2888" i="1"/>
  <c r="F2892" i="1"/>
  <c r="F2896" i="1"/>
  <c r="F2900" i="1"/>
  <c r="F2904" i="1"/>
  <c r="F2908" i="1"/>
  <c r="F2912" i="1"/>
  <c r="F2916" i="1"/>
  <c r="F2920" i="1"/>
  <c r="F2924" i="1"/>
  <c r="F2928" i="1"/>
  <c r="F2932" i="1"/>
  <c r="F2936" i="1"/>
  <c r="F2940" i="1"/>
  <c r="F2944" i="1"/>
  <c r="F2948" i="1"/>
  <c r="F2952" i="1"/>
  <c r="F2956" i="1"/>
  <c r="F2960" i="1"/>
  <c r="F2964" i="1"/>
  <c r="F2968" i="1"/>
  <c r="F2972" i="1"/>
  <c r="F2976" i="1"/>
  <c r="F2980" i="1"/>
  <c r="F2984" i="1"/>
  <c r="F2988" i="1"/>
  <c r="F2992" i="1"/>
  <c r="F2996" i="1"/>
  <c r="F3000" i="1"/>
  <c r="F3004" i="1"/>
  <c r="F3008" i="1"/>
  <c r="F3012" i="1"/>
  <c r="F3016" i="1"/>
  <c r="F3020" i="1"/>
  <c r="F3024" i="1"/>
  <c r="F3028" i="1"/>
  <c r="F3032" i="1"/>
  <c r="F3036" i="1"/>
  <c r="F3040" i="1"/>
  <c r="F3044" i="1"/>
  <c r="F3048" i="1"/>
  <c r="F3052" i="1"/>
  <c r="F3056" i="1"/>
  <c r="F3060" i="1"/>
  <c r="F3064" i="1"/>
  <c r="F3068" i="1"/>
  <c r="F3072" i="1"/>
  <c r="F3076" i="1"/>
  <c r="F3080" i="1"/>
  <c r="F3084" i="1"/>
  <c r="F3088" i="1"/>
  <c r="F3092" i="1"/>
  <c r="F3096" i="1"/>
  <c r="F3100" i="1"/>
  <c r="F3104" i="1"/>
  <c r="F3108" i="1"/>
  <c r="F3112" i="1"/>
  <c r="F3116" i="1"/>
  <c r="F3120" i="1"/>
  <c r="F3124" i="1"/>
  <c r="F3128" i="1"/>
  <c r="F3132" i="1"/>
  <c r="F3136" i="1"/>
  <c r="F3140" i="1"/>
  <c r="F3144" i="1"/>
  <c r="F3148" i="1"/>
  <c r="F3152" i="1"/>
  <c r="F3156" i="1"/>
  <c r="F3160" i="1"/>
  <c r="F3164" i="1"/>
  <c r="F3168" i="1"/>
  <c r="F3172" i="1"/>
  <c r="F3176" i="1"/>
  <c r="F3180" i="1"/>
  <c r="F3184" i="1"/>
  <c r="F3188" i="1"/>
  <c r="F3192" i="1"/>
  <c r="F3196" i="1"/>
  <c r="F3200" i="1"/>
  <c r="F3204" i="1"/>
  <c r="F3208" i="1"/>
  <c r="F1029" i="1"/>
  <c r="F1037" i="1"/>
  <c r="F1045" i="1"/>
  <c r="F1053" i="1"/>
  <c r="F1061" i="1"/>
  <c r="F1069" i="1"/>
  <c r="F1077" i="1"/>
  <c r="F1085" i="1"/>
  <c r="F1093" i="1"/>
  <c r="F1101" i="1"/>
  <c r="F1109" i="1"/>
  <c r="F1117" i="1"/>
  <c r="F1125" i="1"/>
  <c r="F1133" i="1"/>
  <c r="F1141" i="1"/>
  <c r="F1149" i="1"/>
  <c r="F1157" i="1"/>
  <c r="F1165" i="1"/>
  <c r="F1173" i="1"/>
  <c r="F1181" i="1"/>
  <c r="F1189" i="1"/>
  <c r="F1197" i="1"/>
  <c r="F1205" i="1"/>
  <c r="F1213" i="1"/>
  <c r="F1221" i="1"/>
  <c r="F1229" i="1"/>
  <c r="F1237" i="1"/>
  <c r="F1245" i="1"/>
  <c r="F1253" i="1"/>
  <c r="F1261" i="1"/>
  <c r="F1269" i="1"/>
  <c r="F1277" i="1"/>
  <c r="F1285" i="1"/>
  <c r="F1293" i="1"/>
  <c r="F1301" i="1"/>
  <c r="F1309" i="1"/>
  <c r="F1317" i="1"/>
  <c r="F1325" i="1"/>
  <c r="F1333" i="1"/>
  <c r="F1341" i="1"/>
  <c r="F1349" i="1"/>
  <c r="F1357" i="1"/>
  <c r="F1365" i="1"/>
  <c r="F1373" i="1"/>
  <c r="F1381" i="1"/>
  <c r="F1389" i="1"/>
  <c r="F1397" i="1"/>
  <c r="F1405" i="1"/>
  <c r="F1413" i="1"/>
  <c r="F1421" i="1"/>
  <c r="F1429" i="1"/>
  <c r="F1437" i="1"/>
  <c r="F1445" i="1"/>
  <c r="F1453" i="1"/>
  <c r="F1461" i="1"/>
  <c r="F1469" i="1"/>
  <c r="F1477" i="1"/>
  <c r="F1485" i="1"/>
  <c r="F1493" i="1"/>
  <c r="F1501" i="1"/>
  <c r="F1509" i="1"/>
  <c r="F1517" i="1"/>
  <c r="F1525" i="1"/>
  <c r="F1533" i="1"/>
  <c r="F1541" i="1"/>
  <c r="F1549" i="1"/>
  <c r="F1557" i="1"/>
  <c r="F1565" i="1"/>
  <c r="F1573" i="1"/>
  <c r="F1581" i="1"/>
  <c r="F1589" i="1"/>
  <c r="F1597" i="1"/>
  <c r="F1605" i="1"/>
  <c r="F1613" i="1"/>
  <c r="F1621" i="1"/>
  <c r="F1625" i="1"/>
  <c r="F1629" i="1"/>
  <c r="F1633" i="1"/>
  <c r="F1637" i="1"/>
  <c r="F1641" i="1"/>
  <c r="F1645" i="1"/>
  <c r="F1652" i="1"/>
  <c r="F1656" i="1"/>
  <c r="F1660" i="1"/>
  <c r="F1664" i="1"/>
  <c r="F1668" i="1"/>
  <c r="F1672" i="1"/>
  <c r="P29" i="14" s="1"/>
  <c r="Q29" i="14" s="1"/>
  <c r="F1676" i="1"/>
  <c r="F1680" i="1"/>
  <c r="F1684" i="1"/>
  <c r="F1688" i="1"/>
  <c r="F1692" i="1"/>
  <c r="F1696" i="1"/>
  <c r="F1700" i="1"/>
  <c r="F1704" i="1"/>
  <c r="F1708" i="1"/>
  <c r="F1712" i="1"/>
  <c r="F1716" i="1"/>
  <c r="F1720" i="1"/>
  <c r="F1724" i="1"/>
  <c r="F1728" i="1"/>
  <c r="F1732" i="1"/>
  <c r="F1736" i="1"/>
  <c r="F1744" i="1"/>
  <c r="F1748" i="1"/>
  <c r="F1752" i="1"/>
  <c r="F1756" i="1"/>
  <c r="F1760" i="1"/>
  <c r="F1764" i="1"/>
  <c r="F1768" i="1"/>
  <c r="F1772" i="1"/>
  <c r="F1776" i="1"/>
  <c r="F1780" i="1"/>
  <c r="F1784" i="1"/>
  <c r="F1788" i="1"/>
  <c r="F1792" i="1"/>
  <c r="F1796" i="1"/>
  <c r="F1800" i="1"/>
  <c r="F1804" i="1"/>
  <c r="F1808" i="1"/>
  <c r="F1812" i="1"/>
  <c r="F1816" i="1"/>
  <c r="F1820" i="1"/>
  <c r="F1824" i="1"/>
  <c r="F1828" i="1"/>
  <c r="F1832" i="1"/>
  <c r="F1836" i="1"/>
  <c r="F1840" i="1"/>
  <c r="F1844" i="1"/>
  <c r="F1848" i="1"/>
  <c r="F1852" i="1"/>
  <c r="F1856" i="1"/>
  <c r="F1860" i="1"/>
  <c r="F1864" i="1"/>
  <c r="F1868" i="1"/>
  <c r="F1872" i="1"/>
  <c r="F1876" i="1"/>
  <c r="F1880" i="1"/>
  <c r="F1884" i="1"/>
  <c r="F1888" i="1"/>
  <c r="F1892" i="1"/>
  <c r="F1896" i="1"/>
  <c r="F1900" i="1"/>
  <c r="F1904" i="1"/>
  <c r="F1908" i="1"/>
  <c r="F1912" i="1"/>
  <c r="F1916" i="1"/>
  <c r="F1920" i="1"/>
  <c r="F1924" i="1"/>
  <c r="F1928" i="1"/>
  <c r="F1932" i="1"/>
  <c r="F1936" i="1"/>
  <c r="F1940" i="1"/>
  <c r="F1944" i="1"/>
  <c r="F1948" i="1"/>
  <c r="F1952" i="1"/>
  <c r="F1956" i="1"/>
  <c r="F1960" i="1"/>
  <c r="F1964" i="1"/>
  <c r="F1968" i="1"/>
  <c r="F1972" i="1"/>
  <c r="F1976" i="1"/>
  <c r="F1980" i="1"/>
  <c r="F1984" i="1"/>
  <c r="F1988" i="1"/>
  <c r="F1992" i="1"/>
  <c r="F1996" i="1"/>
  <c r="F2000" i="1"/>
  <c r="F2004" i="1"/>
  <c r="F2008" i="1"/>
  <c r="F2012" i="1"/>
  <c r="F2016" i="1"/>
  <c r="F2020" i="1"/>
  <c r="F2024" i="1"/>
  <c r="F2028" i="1"/>
  <c r="F2032" i="1"/>
  <c r="F2036" i="1"/>
  <c r="F2040" i="1"/>
  <c r="F2044" i="1"/>
  <c r="F2048" i="1"/>
  <c r="F2052" i="1"/>
  <c r="F2056" i="1"/>
  <c r="F2060" i="1"/>
  <c r="F2064" i="1"/>
  <c r="F2068" i="1"/>
  <c r="F2072" i="1"/>
  <c r="F2076" i="1"/>
  <c r="F2080" i="1"/>
  <c r="F2084" i="1"/>
  <c r="F2088" i="1"/>
  <c r="F2092" i="1"/>
  <c r="F2096" i="1"/>
  <c r="F2100" i="1"/>
  <c r="F2104" i="1"/>
  <c r="F2108" i="1"/>
  <c r="F2112" i="1"/>
  <c r="F2116" i="1"/>
  <c r="F2120" i="1"/>
  <c r="F2124" i="1"/>
  <c r="F2126" i="1"/>
  <c r="F2130" i="1"/>
  <c r="F2134" i="1"/>
  <c r="F2138" i="1"/>
  <c r="F2142" i="1"/>
  <c r="F2146" i="1"/>
  <c r="F2150" i="1"/>
  <c r="F2154" i="1"/>
  <c r="F2158" i="1"/>
  <c r="F2162" i="1"/>
  <c r="F2166" i="1"/>
  <c r="F2170" i="1"/>
  <c r="F2174" i="1"/>
  <c r="F2178" i="1"/>
  <c r="F2182" i="1"/>
  <c r="F2186" i="1"/>
  <c r="F2190" i="1"/>
  <c r="F2194" i="1"/>
  <c r="F2198" i="1"/>
  <c r="F2202" i="1"/>
  <c r="F2206" i="1"/>
  <c r="F2210" i="1"/>
  <c r="F2214" i="1"/>
  <c r="F2218" i="1"/>
  <c r="F2222" i="1"/>
  <c r="F2226" i="1"/>
  <c r="F2230" i="1"/>
  <c r="F2234" i="1"/>
  <c r="F2238" i="1"/>
  <c r="F2242" i="1"/>
  <c r="F2246" i="1"/>
  <c r="F2250" i="1"/>
  <c r="F2254" i="1"/>
  <c r="F2258" i="1"/>
  <c r="F2262" i="1"/>
  <c r="F2266" i="1"/>
  <c r="F2270" i="1"/>
  <c r="F2274" i="1"/>
  <c r="F2278" i="1"/>
  <c r="F2282" i="1"/>
  <c r="F2286" i="1"/>
  <c r="F2290" i="1"/>
  <c r="F2294" i="1"/>
  <c r="F2298" i="1"/>
  <c r="F2302" i="1"/>
  <c r="F2306" i="1"/>
  <c r="F2310" i="1"/>
  <c r="F2314" i="1"/>
  <c r="F2318" i="1"/>
  <c r="F2322" i="1"/>
  <c r="F2326" i="1"/>
  <c r="F2330" i="1"/>
  <c r="F2334" i="1"/>
  <c r="F2338" i="1"/>
  <c r="F2342" i="1"/>
  <c r="F2346" i="1"/>
  <c r="F2350" i="1"/>
  <c r="F2354" i="1"/>
  <c r="F2358" i="1"/>
  <c r="F2362" i="1"/>
  <c r="F2366" i="1"/>
  <c r="F2370" i="1"/>
  <c r="F2374" i="1"/>
  <c r="F2378" i="1"/>
  <c r="F2382" i="1"/>
  <c r="F2386" i="1"/>
  <c r="F2390" i="1"/>
  <c r="F2394" i="1"/>
  <c r="F2398" i="1"/>
  <c r="F2402" i="1"/>
  <c r="F2406" i="1"/>
  <c r="F2410" i="1"/>
  <c r="F2414" i="1"/>
  <c r="F2418" i="1"/>
  <c r="F2422" i="1"/>
  <c r="F2426" i="1"/>
  <c r="F2430" i="1"/>
  <c r="F2434" i="1"/>
  <c r="F2438" i="1"/>
  <c r="F2442" i="1"/>
  <c r="F2446" i="1"/>
  <c r="F2450" i="1"/>
  <c r="F2454" i="1"/>
  <c r="F2458" i="1"/>
  <c r="F2462" i="1"/>
  <c r="F2466" i="1"/>
  <c r="F2470" i="1"/>
  <c r="F2474" i="1"/>
  <c r="F2478" i="1"/>
  <c r="F2482" i="1"/>
  <c r="F2486" i="1"/>
  <c r="F2490" i="1"/>
  <c r="F2494" i="1"/>
  <c r="F2498" i="1"/>
  <c r="F2502" i="1"/>
  <c r="F2506" i="1"/>
  <c r="F2510" i="1"/>
  <c r="F2514" i="1"/>
  <c r="F2518" i="1"/>
  <c r="F2522" i="1"/>
  <c r="F2526" i="1"/>
  <c r="F2530" i="1"/>
  <c r="F2534" i="1"/>
  <c r="F2538" i="1"/>
  <c r="F2542" i="1"/>
  <c r="F2546" i="1"/>
  <c r="F2550" i="1"/>
  <c r="F2554" i="1"/>
  <c r="F2558" i="1"/>
  <c r="F2562" i="1"/>
  <c r="F2566" i="1"/>
  <c r="F2570" i="1"/>
  <c r="F2574" i="1"/>
  <c r="F2578" i="1"/>
  <c r="F2582" i="1"/>
  <c r="F2586" i="1"/>
  <c r="F2590" i="1"/>
  <c r="F2594" i="1"/>
  <c r="F2598" i="1"/>
  <c r="F2602" i="1"/>
  <c r="F2606" i="1"/>
  <c r="F2610" i="1"/>
  <c r="F2614" i="1"/>
  <c r="F2618" i="1"/>
  <c r="F2622" i="1"/>
  <c r="F2626" i="1"/>
  <c r="F2630" i="1"/>
  <c r="F2634" i="1"/>
  <c r="F2638" i="1"/>
  <c r="F2642" i="1"/>
  <c r="F2646" i="1"/>
  <c r="F2650" i="1"/>
  <c r="F2654" i="1"/>
  <c r="F2658" i="1"/>
  <c r="F2662" i="1"/>
  <c r="F2666" i="1"/>
  <c r="F2670" i="1"/>
  <c r="F2674" i="1"/>
  <c r="F2678" i="1"/>
  <c r="F2682" i="1"/>
  <c r="F2686" i="1"/>
  <c r="F2690" i="1"/>
  <c r="F2694" i="1"/>
  <c r="F2698" i="1"/>
  <c r="F2702" i="1"/>
  <c r="F2706" i="1"/>
  <c r="F2710" i="1"/>
  <c r="F2714" i="1"/>
  <c r="F2718" i="1"/>
  <c r="F2722" i="1"/>
  <c r="F2726" i="1"/>
  <c r="F2730" i="1"/>
  <c r="F2734" i="1"/>
  <c r="F2738" i="1"/>
  <c r="F2742" i="1"/>
  <c r="F2746" i="1"/>
  <c r="F2750" i="1"/>
  <c r="F2754" i="1"/>
  <c r="F2758" i="1"/>
  <c r="F2762" i="1"/>
  <c r="F2766" i="1"/>
  <c r="F2770" i="1"/>
  <c r="F2774" i="1"/>
  <c r="F2778" i="1"/>
  <c r="F2782" i="1"/>
  <c r="F2786" i="1"/>
  <c r="F2790" i="1"/>
  <c r="F2794" i="1"/>
  <c r="F2798" i="1"/>
  <c r="F2802" i="1"/>
  <c r="F2806" i="1"/>
  <c r="F2810" i="1"/>
  <c r="F2814" i="1"/>
  <c r="F2818" i="1"/>
  <c r="F2822" i="1"/>
  <c r="F2826" i="1"/>
  <c r="F2830" i="1"/>
  <c r="F2834" i="1"/>
  <c r="F2838" i="1"/>
  <c r="F2842" i="1"/>
  <c r="F2846" i="1"/>
  <c r="F2850" i="1"/>
  <c r="F2854" i="1"/>
  <c r="F2858" i="1"/>
  <c r="F2862" i="1"/>
  <c r="F2866" i="1"/>
  <c r="F2870" i="1"/>
  <c r="F2874" i="1"/>
  <c r="F2878" i="1"/>
  <c r="F2882" i="1"/>
  <c r="F2886" i="1"/>
  <c r="F2890" i="1"/>
  <c r="F2894" i="1"/>
  <c r="F2898" i="1"/>
  <c r="F2902" i="1"/>
  <c r="F2906" i="1"/>
  <c r="F2910" i="1"/>
  <c r="F2914" i="1"/>
  <c r="F2918" i="1"/>
  <c r="F2922" i="1"/>
  <c r="F2926" i="1"/>
  <c r="F2930" i="1"/>
  <c r="F2934" i="1"/>
  <c r="F2938" i="1"/>
  <c r="F2942" i="1"/>
  <c r="F2946" i="1"/>
  <c r="F2950" i="1"/>
  <c r="F2954" i="1"/>
  <c r="F2958" i="1"/>
  <c r="F2962" i="1"/>
  <c r="F2966" i="1"/>
  <c r="F2970" i="1"/>
  <c r="F2974" i="1"/>
  <c r="F2978" i="1"/>
  <c r="F2982" i="1"/>
  <c r="F2986" i="1"/>
  <c r="F2990" i="1"/>
  <c r="F2994" i="1"/>
  <c r="F2998" i="1"/>
  <c r="F3002" i="1"/>
  <c r="F3006" i="1"/>
  <c r="F3010" i="1"/>
  <c r="F3014" i="1"/>
  <c r="F3018" i="1"/>
  <c r="F3022" i="1"/>
  <c r="F3026" i="1"/>
  <c r="F3030" i="1"/>
  <c r="F3034" i="1"/>
  <c r="F3038" i="1"/>
  <c r="F3042" i="1"/>
  <c r="F3046" i="1"/>
  <c r="F3050" i="1"/>
  <c r="F3054" i="1"/>
  <c r="F3058" i="1"/>
  <c r="F3062" i="1"/>
  <c r="F3066" i="1"/>
  <c r="F3070" i="1"/>
  <c r="F3074" i="1"/>
  <c r="F3078" i="1"/>
  <c r="F3082" i="1"/>
  <c r="F3086" i="1"/>
  <c r="F3090" i="1"/>
  <c r="F3094" i="1"/>
  <c r="F3098" i="1"/>
  <c r="F3102" i="1"/>
  <c r="F3106" i="1"/>
  <c r="F3110" i="1"/>
  <c r="F3114" i="1"/>
  <c r="F3118" i="1"/>
  <c r="F3122" i="1"/>
  <c r="F3126" i="1"/>
  <c r="F3130" i="1"/>
  <c r="F3134" i="1"/>
  <c r="F3138" i="1"/>
  <c r="F3142" i="1"/>
  <c r="F3146" i="1"/>
  <c r="F3150" i="1"/>
  <c r="F3154" i="1"/>
  <c r="F3158" i="1"/>
  <c r="F3162" i="1"/>
  <c r="F3166" i="1"/>
  <c r="F3170" i="1"/>
  <c r="F3174" i="1"/>
  <c r="F3178" i="1"/>
  <c r="F3182" i="1"/>
  <c r="F3186" i="1"/>
  <c r="F3190" i="1"/>
  <c r="F3194" i="1"/>
  <c r="F3198" i="1"/>
  <c r="F3202" i="1"/>
  <c r="F3206" i="1"/>
  <c r="F3210" i="1"/>
  <c r="F58" i="2" l="1"/>
  <c r="F116" i="22"/>
  <c r="G116" i="22" s="1"/>
  <c r="H116" i="22" s="1"/>
  <c r="F135" i="38"/>
  <c r="G135" i="38" s="1"/>
  <c r="H135" i="38" s="1"/>
  <c r="F206" i="38"/>
  <c r="G206" i="38" s="1"/>
  <c r="H206" i="38" s="1"/>
  <c r="P26" i="14"/>
  <c r="Q26" i="14" s="1"/>
  <c r="F258" i="38"/>
  <c r="F238" i="38"/>
  <c r="F190" i="35"/>
  <c r="G190" i="35" s="1"/>
  <c r="F266" i="38"/>
  <c r="F274" i="38"/>
  <c r="F26" i="22"/>
  <c r="H26" i="22" s="1"/>
  <c r="G26" i="22" s="1"/>
  <c r="F131" i="38"/>
  <c r="G131" i="38" s="1"/>
  <c r="H131" i="38" s="1"/>
  <c r="F111" i="22"/>
  <c r="G111" i="22" s="1"/>
  <c r="H111" i="22" s="1"/>
  <c r="F257" i="38"/>
  <c r="F231" i="38"/>
  <c r="F271" i="38"/>
  <c r="F265" i="38"/>
  <c r="F230" i="38"/>
  <c r="F239" i="38"/>
  <c r="D18" i="14"/>
  <c r="F18" i="14" s="1"/>
  <c r="J18" i="14" s="1"/>
  <c r="F15" i="38"/>
  <c r="G15" i="38" s="1"/>
  <c r="H15" i="38" s="1"/>
  <c r="F57" i="21"/>
  <c r="I57" i="21" s="1"/>
  <c r="F59" i="2"/>
  <c r="F277" i="38"/>
  <c r="F207" i="38"/>
  <c r="G207" i="38" s="1"/>
  <c r="H207" i="38" s="1"/>
  <c r="F272" i="38"/>
  <c r="F267" i="38"/>
  <c r="F269" i="38"/>
  <c r="F253" i="38"/>
  <c r="F245" i="38"/>
  <c r="F232" i="38"/>
  <c r="F234" i="38"/>
  <c r="F260" i="38"/>
  <c r="F250" i="38"/>
  <c r="F237" i="38"/>
  <c r="F236" i="38"/>
  <c r="F89" i="2"/>
  <c r="G89" i="2" s="1"/>
  <c r="F264" i="38"/>
  <c r="F263" i="38"/>
  <c r="F251" i="38"/>
  <c r="F247" i="38"/>
  <c r="F229" i="38"/>
  <c r="F228" i="38"/>
  <c r="F262" i="38"/>
  <c r="F249" i="38"/>
  <c r="F241" i="38"/>
  <c r="F276" i="38"/>
  <c r="F273" i="38"/>
  <c r="F268" i="38"/>
  <c r="F252" i="38"/>
  <c r="F278" i="38"/>
  <c r="F246" i="38"/>
  <c r="F233" i="38"/>
  <c r="F259" i="38"/>
  <c r="F261" i="38"/>
  <c r="F248" i="38"/>
  <c r="F243" i="38"/>
  <c r="F270" i="38"/>
  <c r="F254" i="38"/>
  <c r="F275" i="38"/>
  <c r="F244" i="38"/>
  <c r="F235" i="38"/>
  <c r="F256" i="38"/>
  <c r="F255" i="38"/>
  <c r="F240" i="38"/>
  <c r="F242" i="38"/>
  <c r="F37" i="36"/>
  <c r="G37" i="36" s="1"/>
  <c r="F212" i="38"/>
  <c r="G212" i="38" s="1"/>
  <c r="H212" i="38" s="1"/>
  <c r="F43" i="38"/>
  <c r="G43" i="38" s="1"/>
  <c r="H43" i="38" s="1"/>
  <c r="F56" i="2"/>
  <c r="F57" i="2"/>
  <c r="F209" i="38"/>
  <c r="G209" i="38" s="1"/>
  <c r="H209" i="38" s="1"/>
  <c r="F132" i="38"/>
  <c r="G132" i="38" s="1"/>
  <c r="H132" i="38" s="1"/>
  <c r="F208" i="38"/>
  <c r="G208" i="38" s="1"/>
  <c r="H208" i="38" s="1"/>
  <c r="F19" i="38"/>
  <c r="G19" i="38" s="1"/>
  <c r="H19" i="38" s="1"/>
  <c r="F14" i="38"/>
  <c r="G14" i="38" s="1"/>
  <c r="H14" i="38" s="1"/>
  <c r="F18" i="38"/>
  <c r="G18" i="38" s="1"/>
  <c r="H18" i="38" s="1"/>
  <c r="F136" i="38"/>
  <c r="G136" i="38" s="1"/>
  <c r="H136" i="38" s="1"/>
  <c r="F44" i="38"/>
  <c r="G44" i="38" s="1"/>
  <c r="H44" i="38" s="1"/>
  <c r="F17" i="38"/>
  <c r="G17" i="38" s="1"/>
  <c r="H17" i="38" s="1"/>
  <c r="F16" i="38"/>
  <c r="G16" i="38" s="1"/>
  <c r="H16" i="38" s="1"/>
  <c r="F13" i="38"/>
  <c r="G13" i="38" s="1"/>
  <c r="H13" i="38" s="1"/>
  <c r="F42" i="38"/>
  <c r="G42" i="38" s="1"/>
  <c r="H42" i="38" s="1"/>
  <c r="F41" i="38"/>
  <c r="G41" i="38" s="1"/>
  <c r="H41" i="38" s="1"/>
  <c r="D15" i="14"/>
  <c r="F15" i="14" s="1"/>
  <c r="J15" i="14" s="1"/>
  <c r="D17" i="14"/>
  <c r="F17" i="14" s="1"/>
  <c r="J17" i="14" s="1"/>
  <c r="F162" i="38"/>
  <c r="G162" i="38" s="1"/>
  <c r="D16" i="14"/>
  <c r="F16" i="14" s="1"/>
  <c r="J16" i="14" s="1"/>
  <c r="F161" i="38"/>
  <c r="G161" i="38" s="1"/>
  <c r="F192" i="38"/>
  <c r="G192" i="38" s="1"/>
  <c r="H192" i="38" s="1"/>
  <c r="F113" i="38"/>
  <c r="G113" i="38" s="1"/>
  <c r="H113" i="38" s="1"/>
  <c r="F36" i="38"/>
  <c r="G36" i="38" s="1"/>
  <c r="H36" i="38" s="1"/>
  <c r="F188" i="38"/>
  <c r="G188" i="38" s="1"/>
  <c r="H188" i="38" s="1"/>
  <c r="F109" i="38"/>
  <c r="G109" i="38" s="1"/>
  <c r="H109" i="38" s="1"/>
  <c r="F37" i="38"/>
  <c r="G37" i="38" s="1"/>
  <c r="H37" i="38" s="1"/>
  <c r="F216" i="38"/>
  <c r="G216" i="38" s="1"/>
  <c r="H216" i="38" s="1"/>
  <c r="F196" i="38"/>
  <c r="G196" i="38" s="1"/>
  <c r="H196" i="38" s="1"/>
  <c r="F175" i="38"/>
  <c r="G175" i="38" s="1"/>
  <c r="H175" i="38" s="1"/>
  <c r="F50" i="38"/>
  <c r="G50" i="38" s="1"/>
  <c r="H50" i="38" s="1"/>
  <c r="F99" i="38"/>
  <c r="G99" i="38" s="1"/>
  <c r="H99" i="38" s="1"/>
  <c r="F118" i="38"/>
  <c r="G118" i="38" s="1"/>
  <c r="H118" i="38" s="1"/>
  <c r="F20" i="38"/>
  <c r="G20" i="38" s="1"/>
  <c r="H20" i="38" s="1"/>
  <c r="F137" i="38"/>
  <c r="G137" i="38" s="1"/>
  <c r="H137" i="38" s="1"/>
  <c r="F108" i="38"/>
  <c r="G108" i="38" s="1"/>
  <c r="H108" i="38" s="1"/>
  <c r="F187" i="38"/>
  <c r="G187" i="38" s="1"/>
  <c r="H187" i="38" s="1"/>
  <c r="F189" i="38"/>
  <c r="G189" i="38" s="1"/>
  <c r="H189" i="38" s="1"/>
  <c r="F210" i="38"/>
  <c r="G210" i="38" s="1"/>
  <c r="H210" i="38" s="1"/>
  <c r="F110" i="38"/>
  <c r="G110" i="38" s="1"/>
  <c r="H110" i="38" s="1"/>
  <c r="F202" i="38"/>
  <c r="G202" i="38" s="1"/>
  <c r="H202" i="38" s="1"/>
  <c r="F181" i="38"/>
  <c r="G181" i="38" s="1"/>
  <c r="H181" i="38" s="1"/>
  <c r="F222" i="38"/>
  <c r="G222" i="38" s="1"/>
  <c r="H222" i="38" s="1"/>
  <c r="F185" i="38"/>
  <c r="G185" i="38" s="1"/>
  <c r="H185" i="38" s="1"/>
  <c r="F106" i="38"/>
  <c r="G106" i="38" s="1"/>
  <c r="H106" i="38" s="1"/>
  <c r="F218" i="38"/>
  <c r="G218" i="38" s="1"/>
  <c r="H218" i="38" s="1"/>
  <c r="F177" i="38"/>
  <c r="G177" i="38" s="1"/>
  <c r="H177" i="38" s="1"/>
  <c r="F198" i="38"/>
  <c r="G198" i="38" s="1"/>
  <c r="H198" i="38" s="1"/>
  <c r="F112" i="38"/>
  <c r="G112" i="38" s="1"/>
  <c r="H112" i="38" s="1"/>
  <c r="F45" i="38"/>
  <c r="G45" i="38" s="1"/>
  <c r="H45" i="38" s="1"/>
  <c r="F191" i="38"/>
  <c r="G191" i="38" s="1"/>
  <c r="H191" i="38" s="1"/>
  <c r="F101" i="38"/>
  <c r="G101" i="38" s="1"/>
  <c r="H101" i="38" s="1"/>
  <c r="F120" i="38"/>
  <c r="G120" i="38" s="1"/>
  <c r="H120" i="38" s="1"/>
  <c r="F129" i="38"/>
  <c r="G129" i="38" s="1"/>
  <c r="H129" i="38" s="1"/>
  <c r="F171" i="38"/>
  <c r="G171" i="38" s="1"/>
  <c r="H171" i="38" s="1"/>
  <c r="F94" i="38"/>
  <c r="G94" i="38" s="1"/>
  <c r="H94" i="38" s="1"/>
  <c r="F217" i="38"/>
  <c r="G217" i="38" s="1"/>
  <c r="H217" i="38" s="1"/>
  <c r="F100" i="38"/>
  <c r="G100" i="38" s="1"/>
  <c r="H100" i="38" s="1"/>
  <c r="F51" i="38"/>
  <c r="G51" i="38" s="1"/>
  <c r="H51" i="38" s="1"/>
  <c r="F119" i="38"/>
  <c r="G119" i="38" s="1"/>
  <c r="H119" i="38" s="1"/>
  <c r="F197" i="38"/>
  <c r="G197" i="38" s="1"/>
  <c r="H197" i="38" s="1"/>
  <c r="F21" i="38"/>
  <c r="G21" i="38" s="1"/>
  <c r="H21" i="38" s="1"/>
  <c r="F176" i="38"/>
  <c r="G176" i="38" s="1"/>
  <c r="H176" i="38" s="1"/>
  <c r="F138" i="38"/>
  <c r="G138" i="38" s="1"/>
  <c r="H138" i="38" s="1"/>
  <c r="F130" i="38"/>
  <c r="G130" i="38" s="1"/>
  <c r="H130" i="38" s="1"/>
  <c r="F29" i="38"/>
  <c r="G29" i="38" s="1"/>
  <c r="H29" i="38" s="1"/>
  <c r="F180" i="38"/>
  <c r="G180" i="38" s="1"/>
  <c r="H180" i="38" s="1"/>
  <c r="F201" i="38"/>
  <c r="G201" i="38" s="1"/>
  <c r="H201" i="38" s="1"/>
  <c r="F221" i="38"/>
  <c r="G221" i="38" s="1"/>
  <c r="H221" i="38" s="1"/>
  <c r="F178" i="38"/>
  <c r="G178" i="38" s="1"/>
  <c r="H178" i="38" s="1"/>
  <c r="F199" i="38"/>
  <c r="G199" i="38" s="1"/>
  <c r="H199" i="38" s="1"/>
  <c r="F219" i="38"/>
  <c r="G219" i="38" s="1"/>
  <c r="H219" i="38" s="1"/>
  <c r="F220" i="38"/>
  <c r="G220" i="38" s="1"/>
  <c r="H220" i="38" s="1"/>
  <c r="F179" i="38"/>
  <c r="G179" i="38" s="1"/>
  <c r="H179" i="38" s="1"/>
  <c r="F200" i="38"/>
  <c r="G200" i="38" s="1"/>
  <c r="H200" i="38" s="1"/>
  <c r="F111" i="38"/>
  <c r="G111" i="38" s="1"/>
  <c r="H111" i="38" s="1"/>
  <c r="F211" i="38"/>
  <c r="G211" i="38" s="1"/>
  <c r="H211" i="38" s="1"/>
  <c r="F190" i="38"/>
  <c r="G190" i="38" s="1"/>
  <c r="H190" i="38" s="1"/>
  <c r="F186" i="38"/>
  <c r="G186" i="38" s="1"/>
  <c r="H186" i="38" s="1"/>
  <c r="F107" i="38"/>
  <c r="G107" i="38" s="1"/>
  <c r="H107" i="38" s="1"/>
  <c r="H148" i="12"/>
  <c r="H143" i="12"/>
  <c r="H146" i="12"/>
  <c r="F63" i="5"/>
  <c r="G63" i="5" s="1"/>
  <c r="H145" i="12"/>
  <c r="F92" i="35"/>
  <c r="G92" i="35" s="1"/>
  <c r="H147" i="12"/>
  <c r="F109" i="33"/>
  <c r="G109" i="33" s="1"/>
  <c r="F112" i="33"/>
  <c r="G112" i="33" s="1"/>
  <c r="F25" i="22"/>
  <c r="H25" i="22" s="1"/>
  <c r="G25" i="22" s="1"/>
  <c r="F66" i="32"/>
  <c r="G66" i="32" s="1"/>
  <c r="F9" i="35"/>
  <c r="G9" i="35" s="1"/>
  <c r="P27" i="14"/>
  <c r="Q27" i="14" s="1"/>
  <c r="F56" i="32"/>
  <c r="G56" i="32" s="1"/>
  <c r="F27" i="22"/>
  <c r="H27" i="22" s="1"/>
  <c r="G27" i="22" s="1"/>
  <c r="F18" i="22"/>
  <c r="G18" i="22" s="1"/>
  <c r="P32" i="14"/>
  <c r="Q32" i="14" s="1"/>
  <c r="F51" i="9"/>
  <c r="H51" i="9" s="1"/>
  <c r="F21" i="15"/>
  <c r="G21" i="15" s="1"/>
  <c r="H21" i="15" s="1"/>
  <c r="F113" i="22"/>
  <c r="G113" i="22" s="1"/>
  <c r="H113" i="22" s="1"/>
  <c r="F13" i="31"/>
  <c r="G13" i="31" s="1"/>
  <c r="P40" i="14"/>
  <c r="Q40" i="14" s="1"/>
  <c r="H144" i="12"/>
  <c r="F114" i="22"/>
  <c r="G114" i="22" s="1"/>
  <c r="H114" i="22" s="1"/>
  <c r="F35" i="22"/>
  <c r="H35" i="22" s="1"/>
  <c r="G35" i="22" s="1"/>
  <c r="F21" i="3"/>
  <c r="G21" i="3" s="1"/>
  <c r="F24" i="22"/>
  <c r="H24" i="22" s="1"/>
  <c r="G24" i="22" s="1"/>
  <c r="F12" i="30"/>
  <c r="F184" i="35"/>
  <c r="G184" i="35" s="1"/>
  <c r="F7" i="29"/>
  <c r="G7" i="29" s="1"/>
  <c r="F51" i="29"/>
  <c r="G51" i="29" s="1"/>
  <c r="F17" i="36"/>
  <c r="G17" i="36" s="1"/>
  <c r="F104" i="33"/>
  <c r="G104" i="33" s="1"/>
  <c r="F29" i="35"/>
  <c r="G29" i="35" s="1"/>
  <c r="F179" i="35"/>
  <c r="G179" i="35" s="1"/>
  <c r="F136" i="35"/>
  <c r="G136" i="35" s="1"/>
  <c r="F114" i="33"/>
  <c r="G114" i="33" s="1"/>
  <c r="F189" i="35"/>
  <c r="G189" i="35" s="1"/>
  <c r="F186" i="35"/>
  <c r="G186" i="35" s="1"/>
  <c r="F19" i="35"/>
  <c r="G19" i="35" s="1"/>
  <c r="F27" i="35"/>
  <c r="G27" i="35" s="1"/>
  <c r="F55" i="35"/>
  <c r="G55" i="35" s="1"/>
  <c r="F139" i="35"/>
  <c r="G139" i="35" s="1"/>
  <c r="F135" i="35"/>
  <c r="G135" i="35" s="1"/>
  <c r="F20" i="35"/>
  <c r="G20" i="35" s="1"/>
  <c r="F12" i="31"/>
  <c r="G12" i="31" s="1"/>
  <c r="F16" i="22"/>
  <c r="G16" i="22" s="1"/>
  <c r="F56" i="21"/>
  <c r="I56" i="21" s="1"/>
  <c r="F20" i="15"/>
  <c r="G20" i="15" s="1"/>
  <c r="H20" i="15" s="1"/>
  <c r="F15" i="3"/>
  <c r="G15" i="3" s="1"/>
  <c r="F17" i="22"/>
  <c r="G17" i="22" s="1"/>
  <c r="F55" i="21"/>
  <c r="I55" i="21" s="1"/>
  <c r="P33" i="14"/>
  <c r="Q33" i="14" s="1"/>
  <c r="P25" i="14"/>
  <c r="Q25" i="14" s="1"/>
  <c r="F13" i="30"/>
  <c r="F188" i="35"/>
  <c r="G188" i="35" s="1"/>
  <c r="F183" i="35"/>
  <c r="G183" i="35" s="1"/>
  <c r="F180" i="35"/>
  <c r="G180" i="35" s="1"/>
  <c r="F91" i="35"/>
  <c r="G91" i="35" s="1"/>
  <c r="F96" i="35"/>
  <c r="G96" i="35" s="1"/>
  <c r="F79" i="29"/>
  <c r="G79" i="29" s="1"/>
  <c r="F28" i="35"/>
  <c r="G28" i="35" s="1"/>
  <c r="F10" i="33"/>
  <c r="G10" i="33" s="1"/>
  <c r="F9" i="5"/>
  <c r="F267" i="21"/>
  <c r="F259" i="21"/>
  <c r="F251" i="21"/>
  <c r="F243" i="21"/>
  <c r="F235" i="21"/>
  <c r="F227" i="21"/>
  <c r="F270" i="21"/>
  <c r="F262" i="21"/>
  <c r="F254" i="21"/>
  <c r="F246" i="21"/>
  <c r="F238" i="21"/>
  <c r="F230" i="21"/>
  <c r="F11" i="30"/>
  <c r="P34" i="14"/>
  <c r="Q34" i="14" s="1"/>
  <c r="F54" i="35"/>
  <c r="G54" i="35" s="1"/>
  <c r="F10" i="35"/>
  <c r="G10" i="35" s="1"/>
  <c r="F65" i="32"/>
  <c r="G65" i="32" s="1"/>
  <c r="F6" i="29"/>
  <c r="G6" i="29" s="1"/>
  <c r="F64" i="29"/>
  <c r="G64" i="29" s="1"/>
  <c r="F273" i="21"/>
  <c r="F265" i="21"/>
  <c r="F257" i="21"/>
  <c r="F249" i="21"/>
  <c r="F241" i="21"/>
  <c r="F233" i="21"/>
  <c r="F225" i="21"/>
  <c r="F268" i="21"/>
  <c r="F260" i="21"/>
  <c r="F252" i="21"/>
  <c r="F244" i="21"/>
  <c r="F236" i="21"/>
  <c r="F228" i="21"/>
  <c r="F10" i="32"/>
  <c r="G10" i="32" s="1"/>
  <c r="F34" i="22"/>
  <c r="H34" i="22" s="1"/>
  <c r="G34" i="22" s="1"/>
  <c r="F20" i="36"/>
  <c r="G20" i="36" s="1"/>
  <c r="P38" i="14"/>
  <c r="Q38" i="14" s="1"/>
  <c r="F11" i="32"/>
  <c r="G11" i="32" s="1"/>
  <c r="F187" i="35"/>
  <c r="G187" i="35" s="1"/>
  <c r="F191" i="35"/>
  <c r="G191" i="35" s="1"/>
  <c r="F97" i="35"/>
  <c r="G97" i="35" s="1"/>
  <c r="F271" i="21"/>
  <c r="F263" i="21"/>
  <c r="F255" i="21"/>
  <c r="F247" i="21"/>
  <c r="F239" i="21"/>
  <c r="F231" i="21"/>
  <c r="F274" i="21"/>
  <c r="F266" i="21"/>
  <c r="F258" i="21"/>
  <c r="F250" i="21"/>
  <c r="F242" i="21"/>
  <c r="F234" i="21"/>
  <c r="F226" i="21"/>
  <c r="F55" i="15"/>
  <c r="G55" i="15" s="1"/>
  <c r="H55" i="15" s="1"/>
  <c r="P35" i="14"/>
  <c r="Q35" i="14" s="1"/>
  <c r="P31" i="14"/>
  <c r="Q31" i="14" s="1"/>
  <c r="P28" i="14"/>
  <c r="Q28" i="14" s="1"/>
  <c r="F30" i="35"/>
  <c r="G30" i="35" s="1"/>
  <c r="F185" i="35"/>
  <c r="G185" i="35" s="1"/>
  <c r="F113" i="33"/>
  <c r="G113" i="33" s="1"/>
  <c r="F38" i="36"/>
  <c r="G38" i="36" s="1"/>
  <c r="F18" i="36"/>
  <c r="G18" i="36" s="1"/>
  <c r="F21" i="36"/>
  <c r="G21" i="36" s="1"/>
  <c r="F269" i="21"/>
  <c r="F261" i="21"/>
  <c r="F253" i="21"/>
  <c r="F245" i="21"/>
  <c r="F237" i="21"/>
  <c r="F229" i="21"/>
  <c r="F272" i="21"/>
  <c r="F264" i="21"/>
  <c r="F256" i="21"/>
  <c r="F248" i="21"/>
  <c r="F240" i="21"/>
  <c r="F232" i="21"/>
  <c r="F224" i="21"/>
  <c r="F11" i="33"/>
  <c r="G11" i="33" s="1"/>
  <c r="F92" i="32"/>
  <c r="G92" i="32" s="1"/>
  <c r="F121" i="35"/>
  <c r="G121" i="35" s="1"/>
  <c r="F113" i="35"/>
  <c r="G113" i="35" s="1"/>
  <c r="F36" i="35"/>
  <c r="G36" i="35" s="1"/>
  <c r="F13" i="35"/>
  <c r="G13" i="35" s="1"/>
  <c r="F79" i="35"/>
  <c r="G79" i="35" s="1"/>
  <c r="F68" i="35"/>
  <c r="G68" i="35" s="1"/>
  <c r="F43" i="35"/>
  <c r="G43" i="35" s="1"/>
  <c r="F30" i="7"/>
  <c r="G30" i="7" s="1"/>
  <c r="F16" i="36"/>
  <c r="G16" i="36" s="1"/>
  <c r="F67" i="7"/>
  <c r="G67" i="7" s="1"/>
  <c r="F57" i="36"/>
  <c r="G57" i="36" s="1"/>
  <c r="F50" i="7"/>
  <c r="G50" i="7" s="1"/>
  <c r="F36" i="36"/>
  <c r="G36" i="36" s="1"/>
  <c r="F81" i="36"/>
  <c r="G81" i="36" s="1"/>
  <c r="F147" i="35"/>
  <c r="G147" i="35" s="1"/>
  <c r="H147" i="35" s="1"/>
  <c r="F96" i="36"/>
  <c r="G96" i="36" s="1"/>
  <c r="H96" i="36" s="1"/>
  <c r="F134" i="35"/>
  <c r="G134" i="35" s="1"/>
  <c r="F112" i="35"/>
  <c r="G112" i="35" s="1"/>
  <c r="F39" i="36"/>
  <c r="G39" i="36" s="1"/>
  <c r="F19" i="36"/>
  <c r="G19" i="36" s="1"/>
  <c r="F84" i="36"/>
  <c r="G84" i="36" s="1"/>
  <c r="F60" i="36"/>
  <c r="G60" i="36" s="1"/>
  <c r="F84" i="32"/>
  <c r="G84" i="32" s="1"/>
  <c r="F93" i="33"/>
  <c r="G93" i="33" s="1"/>
  <c r="F76" i="36"/>
  <c r="G76" i="36" s="1"/>
  <c r="F86" i="35"/>
  <c r="G86" i="35" s="1"/>
  <c r="F128" i="35"/>
  <c r="G128" i="35" s="1"/>
  <c r="F106" i="35"/>
  <c r="G106" i="35" s="1"/>
  <c r="F70" i="35"/>
  <c r="G70" i="35" s="1"/>
  <c r="F87" i="35"/>
  <c r="G87" i="35" s="1"/>
  <c r="F129" i="35"/>
  <c r="G129" i="35" s="1"/>
  <c r="F107" i="35"/>
  <c r="G107" i="35" s="1"/>
  <c r="F69" i="35"/>
  <c r="G69" i="35" s="1"/>
  <c r="F51" i="35"/>
  <c r="G51" i="35" s="1"/>
  <c r="F50" i="35"/>
  <c r="G50" i="35" s="1"/>
  <c r="F15" i="35"/>
  <c r="G15" i="35" s="1"/>
  <c r="F77" i="36"/>
  <c r="G77" i="36" s="1"/>
  <c r="F32" i="36"/>
  <c r="G32" i="36" s="1"/>
  <c r="F53" i="36"/>
  <c r="G53" i="36" s="1"/>
  <c r="F16" i="35"/>
  <c r="G16" i="35" s="1"/>
  <c r="F12" i="36"/>
  <c r="G12" i="36" s="1"/>
  <c r="F135" i="32"/>
  <c r="G135" i="32" s="1"/>
  <c r="F148" i="35"/>
  <c r="G148" i="35" s="1"/>
  <c r="H148" i="35" s="1"/>
  <c r="F97" i="36"/>
  <c r="G97" i="36" s="1"/>
  <c r="H97" i="36" s="1"/>
  <c r="F72" i="35"/>
  <c r="G72" i="35" s="1"/>
  <c r="F89" i="35"/>
  <c r="G89" i="35" s="1"/>
  <c r="F53" i="35"/>
  <c r="G53" i="35" s="1"/>
  <c r="F131" i="35"/>
  <c r="G131" i="35" s="1"/>
  <c r="F109" i="35"/>
  <c r="G109" i="35" s="1"/>
  <c r="F35" i="35"/>
  <c r="G35" i="35" s="1"/>
  <c r="F56" i="36"/>
  <c r="G56" i="36" s="1"/>
  <c r="F35" i="36"/>
  <c r="G35" i="36" s="1"/>
  <c r="F15" i="36"/>
  <c r="G15" i="36" s="1"/>
  <c r="F80" i="36"/>
  <c r="G80" i="36" s="1"/>
  <c r="F18" i="35"/>
  <c r="G18" i="35" s="1"/>
  <c r="F32" i="35"/>
  <c r="G32" i="35" s="1"/>
  <c r="F33" i="35"/>
  <c r="G33" i="35" s="1"/>
  <c r="F50" i="9"/>
  <c r="G50" i="9" s="1"/>
  <c r="F56" i="35"/>
  <c r="G56" i="35" s="1"/>
  <c r="F95" i="35"/>
  <c r="G95" i="35" s="1"/>
  <c r="F67" i="35"/>
  <c r="G67" i="35" s="1"/>
  <c r="F114" i="35"/>
  <c r="G114" i="35" s="1"/>
  <c r="F88" i="36"/>
  <c r="G88" i="36" s="1"/>
  <c r="F64" i="36"/>
  <c r="G64" i="36" s="1"/>
  <c r="F57" i="33"/>
  <c r="G57" i="33" s="1"/>
  <c r="F40" i="36"/>
  <c r="G40" i="36" s="1"/>
  <c r="F90" i="35"/>
  <c r="G90" i="35" s="1"/>
  <c r="F66" i="35"/>
  <c r="G66" i="35" s="1"/>
  <c r="F123" i="35"/>
  <c r="G123" i="35" s="1"/>
  <c r="F81" i="35"/>
  <c r="G81" i="35" s="1"/>
  <c r="F116" i="35"/>
  <c r="G116" i="35" s="1"/>
  <c r="F74" i="35"/>
  <c r="G74" i="35" s="1"/>
  <c r="F27" i="36"/>
  <c r="G27" i="36" s="1"/>
  <c r="F48" i="36"/>
  <c r="G48" i="36" s="1"/>
  <c r="F71" i="36"/>
  <c r="G71" i="36" s="1"/>
  <c r="F8" i="36"/>
  <c r="G8" i="36" s="1"/>
  <c r="F126" i="35"/>
  <c r="G126" i="35" s="1"/>
  <c r="F104" i="35"/>
  <c r="G104" i="35" s="1"/>
  <c r="F84" i="35"/>
  <c r="G84" i="35" s="1"/>
  <c r="F64" i="35"/>
  <c r="G64" i="35" s="1"/>
  <c r="F48" i="35"/>
  <c r="G48" i="35" s="1"/>
  <c r="F50" i="36"/>
  <c r="G50" i="36" s="1"/>
  <c r="F10" i="36"/>
  <c r="G10" i="36" s="1"/>
  <c r="F73" i="36"/>
  <c r="G73" i="36" s="1"/>
  <c r="F11" i="35"/>
  <c r="G11" i="35" s="1"/>
  <c r="F29" i="36"/>
  <c r="G29" i="36" s="1"/>
  <c r="F38" i="35"/>
  <c r="G38" i="35" s="1"/>
  <c r="F45" i="35"/>
  <c r="G45" i="35" s="1"/>
  <c r="F54" i="36"/>
  <c r="G54" i="36" s="1"/>
  <c r="F78" i="36"/>
  <c r="G78" i="36" s="1"/>
  <c r="F33" i="36"/>
  <c r="G33" i="36" s="1"/>
  <c r="F13" i="36"/>
  <c r="G13" i="36" s="1"/>
  <c r="F133" i="32"/>
  <c r="G133" i="32" s="1"/>
  <c r="F72" i="36"/>
  <c r="G72" i="36" s="1"/>
  <c r="F28" i="36"/>
  <c r="G28" i="36" s="1"/>
  <c r="F9" i="36"/>
  <c r="G9" i="36" s="1"/>
  <c r="F49" i="36"/>
  <c r="G49" i="36" s="1"/>
  <c r="F93" i="32"/>
  <c r="G93" i="32" s="1"/>
  <c r="F134" i="32"/>
  <c r="G134" i="32" s="1"/>
  <c r="F115" i="35"/>
  <c r="G115" i="35" s="1"/>
  <c r="F80" i="35"/>
  <c r="G80" i="35" s="1"/>
  <c r="F73" i="35"/>
  <c r="G73" i="35" s="1"/>
  <c r="F122" i="35"/>
  <c r="G122" i="35" s="1"/>
  <c r="F102" i="35"/>
  <c r="G102" i="35" s="1"/>
  <c r="F62" i="35"/>
  <c r="G62" i="35" s="1"/>
  <c r="F124" i="35"/>
  <c r="G124" i="35" s="1"/>
  <c r="F44" i="35"/>
  <c r="G44" i="35" s="1"/>
  <c r="F37" i="35"/>
  <c r="G37" i="35" s="1"/>
  <c r="F132" i="35"/>
  <c r="G132" i="35" s="1"/>
  <c r="F110" i="35"/>
  <c r="G110" i="35" s="1"/>
  <c r="F46" i="35"/>
  <c r="G46" i="35" s="1"/>
  <c r="F28" i="32"/>
  <c r="G28" i="32" s="1"/>
  <c r="F107" i="32"/>
  <c r="G107" i="32" s="1"/>
  <c r="F31" i="35"/>
  <c r="G31" i="35" s="1"/>
  <c r="F14" i="35"/>
  <c r="G14" i="35" s="1"/>
  <c r="F61" i="36"/>
  <c r="G61" i="36" s="1"/>
  <c r="F85" i="36"/>
  <c r="G85" i="36" s="1"/>
  <c r="F75" i="36"/>
  <c r="G75" i="36" s="1"/>
  <c r="F31" i="36"/>
  <c r="G31" i="36" s="1"/>
  <c r="F52" i="36"/>
  <c r="G52" i="36" s="1"/>
  <c r="F125" i="32"/>
  <c r="G125" i="32" s="1"/>
  <c r="F44" i="32"/>
  <c r="G44" i="32" s="1"/>
  <c r="F86" i="36"/>
  <c r="G86" i="36" s="1"/>
  <c r="F62" i="36"/>
  <c r="G62" i="36" s="1"/>
  <c r="F88" i="35"/>
  <c r="G88" i="35" s="1"/>
  <c r="F52" i="35"/>
  <c r="G52" i="35" s="1"/>
  <c r="F130" i="35"/>
  <c r="G130" i="35" s="1"/>
  <c r="F108" i="35"/>
  <c r="G108" i="35" s="1"/>
  <c r="F71" i="35"/>
  <c r="G71" i="35" s="1"/>
  <c r="F14" i="36"/>
  <c r="G14" i="36" s="1"/>
  <c r="F79" i="36"/>
  <c r="G79" i="36" s="1"/>
  <c r="F34" i="35"/>
  <c r="G34" i="35" s="1"/>
  <c r="F17" i="35"/>
  <c r="G17" i="35" s="1"/>
  <c r="F55" i="36"/>
  <c r="G55" i="36" s="1"/>
  <c r="F34" i="36"/>
  <c r="G34" i="36" s="1"/>
  <c r="F127" i="35"/>
  <c r="G127" i="35" s="1"/>
  <c r="F105" i="35"/>
  <c r="G105" i="35" s="1"/>
  <c r="F85" i="35"/>
  <c r="G85" i="35" s="1"/>
  <c r="F65" i="35"/>
  <c r="G65" i="35" s="1"/>
  <c r="F49" i="35"/>
  <c r="G49" i="35" s="1"/>
  <c r="F11" i="36"/>
  <c r="G11" i="36" s="1"/>
  <c r="F30" i="36"/>
  <c r="G30" i="36" s="1"/>
  <c r="F12" i="35"/>
  <c r="G12" i="35" s="1"/>
  <c r="F74" i="36"/>
  <c r="G74" i="36" s="1"/>
  <c r="F51" i="36"/>
  <c r="G51" i="36" s="1"/>
  <c r="F55" i="32"/>
  <c r="G55" i="32" s="1"/>
  <c r="F137" i="35"/>
  <c r="G137" i="35" s="1"/>
  <c r="F93" i="35"/>
  <c r="G93" i="35" s="1"/>
  <c r="F125" i="35"/>
  <c r="G125" i="35" s="1"/>
  <c r="F63" i="35"/>
  <c r="G63" i="35" s="1"/>
  <c r="F83" i="35"/>
  <c r="G83" i="35" s="1"/>
  <c r="F103" i="35"/>
  <c r="G103" i="35" s="1"/>
  <c r="F82" i="35"/>
  <c r="G82" i="35" s="1"/>
  <c r="F133" i="35"/>
  <c r="G133" i="35" s="1"/>
  <c r="F111" i="35"/>
  <c r="G111" i="35" s="1"/>
  <c r="F47" i="35"/>
  <c r="G47" i="35" s="1"/>
  <c r="F108" i="32"/>
  <c r="G108" i="32" s="1"/>
  <c r="F29" i="32"/>
  <c r="G29" i="32" s="1"/>
  <c r="F82" i="36"/>
  <c r="G82" i="36" s="1"/>
  <c r="F58" i="36"/>
  <c r="G58" i="36" s="1"/>
  <c r="F138" i="35"/>
  <c r="G138" i="35" s="1"/>
  <c r="F94" i="35"/>
  <c r="G94" i="35" s="1"/>
  <c r="F63" i="36"/>
  <c r="G63" i="36" s="1"/>
  <c r="F87" i="36"/>
  <c r="G87" i="36" s="1"/>
  <c r="F59" i="36"/>
  <c r="G59" i="36" s="1"/>
  <c r="F83" i="36"/>
  <c r="G83" i="36" s="1"/>
  <c r="F56" i="33"/>
  <c r="G56" i="33" s="1"/>
  <c r="F41" i="36"/>
  <c r="G41" i="36" s="1"/>
  <c r="F105" i="33"/>
  <c r="G105" i="33" s="1"/>
  <c r="F126" i="32"/>
  <c r="G126" i="32" s="1"/>
  <c r="F83" i="32"/>
  <c r="G83" i="32" s="1"/>
  <c r="F45" i="32"/>
  <c r="G45" i="32" s="1"/>
  <c r="F137" i="32"/>
  <c r="G137" i="32" s="1"/>
  <c r="F77" i="32"/>
  <c r="G77" i="32" s="1"/>
  <c r="F91" i="33"/>
  <c r="G91" i="33" s="1"/>
  <c r="F113" i="32"/>
  <c r="G113" i="32" s="1"/>
  <c r="F51" i="32"/>
  <c r="G51" i="32" s="1"/>
  <c r="F54" i="33"/>
  <c r="G54" i="33" s="1"/>
  <c r="F129" i="32"/>
  <c r="G129" i="32" s="1"/>
  <c r="F73" i="33"/>
  <c r="G73" i="33" s="1"/>
  <c r="F37" i="33"/>
  <c r="G37" i="33" s="1"/>
  <c r="F87" i="32"/>
  <c r="G87" i="32" s="1"/>
  <c r="F71" i="32"/>
  <c r="G71" i="32" s="1"/>
  <c r="F34" i="32"/>
  <c r="G34" i="32" s="1"/>
  <c r="F18" i="32"/>
  <c r="G18" i="32" s="1"/>
  <c r="F110" i="33"/>
  <c r="G110" i="33" s="1"/>
  <c r="F18" i="33"/>
  <c r="G18" i="33" s="1"/>
  <c r="F95" i="32"/>
  <c r="G95" i="32" s="1"/>
  <c r="F119" i="32"/>
  <c r="G119" i="32" s="1"/>
  <c r="F94" i="32"/>
  <c r="G94" i="32" s="1"/>
  <c r="F118" i="32"/>
  <c r="G118" i="32" s="1"/>
  <c r="F39" i="33"/>
  <c r="G39" i="33" s="1"/>
  <c r="F47" i="32"/>
  <c r="G47" i="32" s="1"/>
  <c r="F31" i="32"/>
  <c r="G31" i="32" s="1"/>
  <c r="F32" i="33"/>
  <c r="G32" i="33" s="1"/>
  <c r="F50" i="33"/>
  <c r="G50" i="33" s="1"/>
  <c r="F88" i="33"/>
  <c r="G88" i="33" s="1"/>
  <c r="F69" i="33"/>
  <c r="G69" i="33" s="1"/>
  <c r="F107" i="33"/>
  <c r="G107" i="33" s="1"/>
  <c r="F128" i="32"/>
  <c r="G128" i="32" s="1"/>
  <c r="F49" i="32"/>
  <c r="G49" i="32" s="1"/>
  <c r="F70" i="32"/>
  <c r="G70" i="32" s="1"/>
  <c r="F68" i="32"/>
  <c r="G68" i="32" s="1"/>
  <c r="F97" i="32"/>
  <c r="G97" i="32" s="1"/>
  <c r="F77" i="33"/>
  <c r="G77" i="33" s="1"/>
  <c r="F97" i="33"/>
  <c r="G97" i="33" s="1"/>
  <c r="F117" i="33"/>
  <c r="G117" i="33" s="1"/>
  <c r="F139" i="32"/>
  <c r="G139" i="32" s="1"/>
  <c r="F110" i="32"/>
  <c r="G110" i="32" s="1"/>
  <c r="F50" i="32"/>
  <c r="G50" i="32" s="1"/>
  <c r="F91" i="32"/>
  <c r="G91" i="32" s="1"/>
  <c r="F87" i="33"/>
  <c r="G87" i="33" s="1"/>
  <c r="F68" i="33"/>
  <c r="G68" i="33" s="1"/>
  <c r="F49" i="33"/>
  <c r="G49" i="33" s="1"/>
  <c r="F31" i="33"/>
  <c r="G31" i="33" s="1"/>
  <c r="F136" i="32"/>
  <c r="G136" i="32" s="1"/>
  <c r="F76" i="32"/>
  <c r="G76" i="32" s="1"/>
  <c r="P45" i="14"/>
  <c r="Q45" i="14" s="1"/>
  <c r="F12" i="33"/>
  <c r="G12" i="33" s="1"/>
  <c r="F12" i="32"/>
  <c r="G12" i="32" s="1"/>
  <c r="F142" i="32"/>
  <c r="G142" i="32" s="1"/>
  <c r="F100" i="32"/>
  <c r="G100" i="32" s="1"/>
  <c r="F59" i="33"/>
  <c r="G59" i="33" s="1"/>
  <c r="F95" i="33"/>
  <c r="G95" i="33" s="1"/>
  <c r="F34" i="33"/>
  <c r="G34" i="33" s="1"/>
  <c r="F14" i="33"/>
  <c r="G14" i="33" s="1"/>
  <c r="F115" i="33"/>
  <c r="G115" i="33" s="1"/>
  <c r="F76" i="33"/>
  <c r="G76" i="33" s="1"/>
  <c r="F126" i="33"/>
  <c r="G126" i="33" s="1"/>
  <c r="H126" i="33" s="1"/>
  <c r="F149" i="32"/>
  <c r="G149" i="32" s="1"/>
  <c r="H149" i="32" s="1"/>
  <c r="F13" i="33"/>
  <c r="G13" i="33" s="1"/>
  <c r="F13" i="32"/>
  <c r="G13" i="32" s="1"/>
  <c r="F112" i="32"/>
  <c r="G112" i="32" s="1"/>
  <c r="F86" i="32"/>
  <c r="G86" i="32" s="1"/>
  <c r="F39" i="32"/>
  <c r="G39" i="32" s="1"/>
  <c r="F40" i="33"/>
  <c r="G40" i="33" s="1"/>
  <c r="F46" i="32"/>
  <c r="G46" i="32" s="1"/>
  <c r="F30" i="32"/>
  <c r="G30" i="32" s="1"/>
  <c r="F75" i="32"/>
  <c r="G75" i="32" s="1"/>
  <c r="F52" i="33"/>
  <c r="G52" i="33" s="1"/>
  <c r="F17" i="33"/>
  <c r="G17" i="33" s="1"/>
  <c r="F16" i="32"/>
  <c r="G16" i="32" s="1"/>
  <c r="F71" i="33"/>
  <c r="G71" i="33" s="1"/>
  <c r="F17" i="32"/>
  <c r="G17" i="32" s="1"/>
  <c r="F35" i="33"/>
  <c r="G35" i="33" s="1"/>
  <c r="F89" i="33"/>
  <c r="G89" i="33" s="1"/>
  <c r="F150" i="32"/>
  <c r="G150" i="32" s="1"/>
  <c r="H150" i="32" s="1"/>
  <c r="F127" i="33"/>
  <c r="G127" i="33" s="1"/>
  <c r="H127" i="33" s="1"/>
  <c r="F130" i="32"/>
  <c r="G130" i="32" s="1"/>
  <c r="F74" i="33"/>
  <c r="G74" i="33" s="1"/>
  <c r="F19" i="33"/>
  <c r="G19" i="33" s="1"/>
  <c r="F88" i="32"/>
  <c r="G88" i="32" s="1"/>
  <c r="F72" i="32"/>
  <c r="G72" i="32" s="1"/>
  <c r="F35" i="32"/>
  <c r="G35" i="32" s="1"/>
  <c r="F19" i="32"/>
  <c r="G19" i="32" s="1"/>
  <c r="F111" i="33"/>
  <c r="G111" i="33" s="1"/>
  <c r="F38" i="33"/>
  <c r="G38" i="33" s="1"/>
  <c r="F92" i="33"/>
  <c r="G92" i="33" s="1"/>
  <c r="F55" i="33"/>
  <c r="G55" i="33" s="1"/>
  <c r="F114" i="32"/>
  <c r="G114" i="32" s="1"/>
  <c r="F52" i="32"/>
  <c r="G52" i="32" s="1"/>
  <c r="F116" i="32"/>
  <c r="G116" i="32" s="1"/>
  <c r="F74" i="32"/>
  <c r="G74" i="32" s="1"/>
  <c r="F132" i="32"/>
  <c r="G132" i="32" s="1"/>
  <c r="F54" i="32"/>
  <c r="G54" i="32" s="1"/>
  <c r="F73" i="32"/>
  <c r="G73" i="32" s="1"/>
  <c r="F131" i="32"/>
  <c r="G131" i="32" s="1"/>
  <c r="F90" i="32"/>
  <c r="G90" i="32" s="1"/>
  <c r="F37" i="32"/>
  <c r="G37" i="32" s="1"/>
  <c r="F115" i="32"/>
  <c r="G115" i="32" s="1"/>
  <c r="F36" i="32"/>
  <c r="G36" i="32" s="1"/>
  <c r="F89" i="32"/>
  <c r="G89" i="32" s="1"/>
  <c r="F108" i="33"/>
  <c r="G108" i="33" s="1"/>
  <c r="F53" i="32"/>
  <c r="G53" i="32" s="1"/>
  <c r="F78" i="33"/>
  <c r="G78" i="33" s="1"/>
  <c r="F98" i="33"/>
  <c r="G98" i="33" s="1"/>
  <c r="F118" i="33"/>
  <c r="G118" i="33" s="1"/>
  <c r="F138" i="32"/>
  <c r="G138" i="32" s="1"/>
  <c r="F109" i="32"/>
  <c r="G109" i="32" s="1"/>
  <c r="F29" i="33"/>
  <c r="G29" i="33" s="1"/>
  <c r="F66" i="33"/>
  <c r="G66" i="33" s="1"/>
  <c r="F85" i="33"/>
  <c r="G85" i="33" s="1"/>
  <c r="F47" i="33"/>
  <c r="G47" i="33" s="1"/>
  <c r="F20" i="33"/>
  <c r="G20" i="33" s="1"/>
  <c r="F20" i="32"/>
  <c r="G20" i="32" s="1"/>
  <c r="F106" i="33"/>
  <c r="G106" i="33" s="1"/>
  <c r="F69" i="32"/>
  <c r="G69" i="32" s="1"/>
  <c r="F48" i="32"/>
  <c r="G48" i="32" s="1"/>
  <c r="F127" i="32"/>
  <c r="G127" i="32" s="1"/>
  <c r="F141" i="32"/>
  <c r="G141" i="32" s="1"/>
  <c r="F99" i="32"/>
  <c r="G99" i="32" s="1"/>
  <c r="F16" i="33"/>
  <c r="G16" i="33" s="1"/>
  <c r="F90" i="33"/>
  <c r="G90" i="33" s="1"/>
  <c r="F72" i="33"/>
  <c r="G72" i="33" s="1"/>
  <c r="F36" i="33"/>
  <c r="G36" i="33" s="1"/>
  <c r="F53" i="33"/>
  <c r="G53" i="33" s="1"/>
  <c r="F14" i="32"/>
  <c r="G14" i="32" s="1"/>
  <c r="F33" i="32"/>
  <c r="G33" i="32" s="1"/>
  <c r="F117" i="32"/>
  <c r="G117" i="32" s="1"/>
  <c r="F86" i="33"/>
  <c r="G86" i="33" s="1"/>
  <c r="F48" i="33"/>
  <c r="G48" i="33" s="1"/>
  <c r="F67" i="33"/>
  <c r="G67" i="33" s="1"/>
  <c r="F30" i="33"/>
  <c r="G30" i="33" s="1"/>
  <c r="F111" i="32"/>
  <c r="G111" i="32" s="1"/>
  <c r="F85" i="32"/>
  <c r="G85" i="32" s="1"/>
  <c r="F38" i="32"/>
  <c r="G38" i="32" s="1"/>
  <c r="F98" i="32"/>
  <c r="G98" i="32" s="1"/>
  <c r="F140" i="32"/>
  <c r="G140" i="32" s="1"/>
  <c r="F57" i="32"/>
  <c r="G57" i="32" s="1"/>
  <c r="F21" i="33"/>
  <c r="G21" i="33" s="1"/>
  <c r="F21" i="32"/>
  <c r="G21" i="32" s="1"/>
  <c r="F45" i="7"/>
  <c r="G45" i="7" s="1"/>
  <c r="F32" i="32"/>
  <c r="G32" i="32" s="1"/>
  <c r="F58" i="33"/>
  <c r="G58" i="33" s="1"/>
  <c r="F33" i="33"/>
  <c r="G33" i="33" s="1"/>
  <c r="F15" i="32"/>
  <c r="G15" i="32" s="1"/>
  <c r="F116" i="33"/>
  <c r="G116" i="33" s="1"/>
  <c r="F75" i="33"/>
  <c r="G75" i="33" s="1"/>
  <c r="F120" i="32"/>
  <c r="G120" i="32" s="1"/>
  <c r="F78" i="32"/>
  <c r="G78" i="32" s="1"/>
  <c r="F96" i="33"/>
  <c r="G96" i="33" s="1"/>
  <c r="F15" i="33"/>
  <c r="G15" i="33" s="1"/>
  <c r="F67" i="32"/>
  <c r="G67" i="32" s="1"/>
  <c r="F96" i="32"/>
  <c r="G96" i="32" s="1"/>
  <c r="F51" i="33"/>
  <c r="G51" i="33" s="1"/>
  <c r="F94" i="33"/>
  <c r="G94" i="33" s="1"/>
  <c r="F70" i="33"/>
  <c r="G70" i="33" s="1"/>
  <c r="F195" i="21"/>
  <c r="G195" i="21" s="1"/>
  <c r="F215" i="21"/>
  <c r="G215" i="21" s="1"/>
  <c r="F174" i="21"/>
  <c r="G174" i="21" s="1"/>
  <c r="D13" i="14"/>
  <c r="F13" i="14" s="1"/>
  <c r="J13" i="14" s="1"/>
  <c r="P46" i="14"/>
  <c r="Q46" i="14" s="1"/>
  <c r="F80" i="29"/>
  <c r="G80" i="29" s="1"/>
  <c r="F38" i="29"/>
  <c r="G38" i="29" s="1"/>
  <c r="F41" i="29"/>
  <c r="G41" i="29" s="1"/>
  <c r="F83" i="29"/>
  <c r="G83" i="29" s="1"/>
  <c r="F86" i="29"/>
  <c r="G86" i="29" s="1"/>
  <c r="F44" i="29"/>
  <c r="G44" i="29" s="1"/>
  <c r="F28" i="29"/>
  <c r="G28" i="29" s="1"/>
  <c r="F71" i="29"/>
  <c r="G71" i="29" s="1"/>
  <c r="F70" i="29"/>
  <c r="G70" i="29" s="1"/>
  <c r="F27" i="29"/>
  <c r="G27" i="29" s="1"/>
  <c r="F20" i="29"/>
  <c r="G20" i="29" s="1"/>
  <c r="F36" i="29"/>
  <c r="G36" i="29" s="1"/>
  <c r="F66" i="29"/>
  <c r="G66" i="29" s="1"/>
  <c r="F23" i="29"/>
  <c r="G23" i="29" s="1"/>
  <c r="F54" i="29"/>
  <c r="G54" i="29" s="1"/>
  <c r="F39" i="29"/>
  <c r="G39" i="29" s="1"/>
  <c r="F24" i="29"/>
  <c r="G24" i="29" s="1"/>
  <c r="F67" i="29"/>
  <c r="G67" i="29" s="1"/>
  <c r="F81" i="29"/>
  <c r="G81" i="29" s="1"/>
  <c r="F10" i="29"/>
  <c r="G10" i="29" s="1"/>
  <c r="P39" i="14"/>
  <c r="Q39" i="14" s="1"/>
  <c r="D12" i="14"/>
  <c r="F12" i="14" s="1"/>
  <c r="J12" i="14" s="1"/>
  <c r="P30" i="14"/>
  <c r="Q30" i="14" s="1"/>
  <c r="F37" i="29"/>
  <c r="G37" i="29" s="1"/>
  <c r="F21" i="29"/>
  <c r="G21" i="29" s="1"/>
  <c r="P50" i="14"/>
  <c r="Q50" i="14" s="1"/>
  <c r="F56" i="29"/>
  <c r="G56" i="29" s="1"/>
  <c r="F26" i="29"/>
  <c r="G26" i="29" s="1"/>
  <c r="F69" i="29"/>
  <c r="G69" i="29" s="1"/>
  <c r="F12" i="29"/>
  <c r="G12" i="29" s="1"/>
  <c r="P51" i="14"/>
  <c r="Q51" i="14" s="1"/>
  <c r="D14" i="14"/>
  <c r="F14" i="14" s="1"/>
  <c r="J14" i="14" s="1"/>
  <c r="P47" i="14"/>
  <c r="Q47" i="14" s="1"/>
  <c r="J47" i="14"/>
  <c r="K47" i="14" s="1"/>
  <c r="F82" i="29"/>
  <c r="G82" i="29" s="1"/>
  <c r="F40" i="29"/>
  <c r="G40" i="29" s="1"/>
  <c r="F52" i="29"/>
  <c r="G52" i="29" s="1"/>
  <c r="F8" i="29"/>
  <c r="G8" i="29" s="1"/>
  <c r="F72" i="29"/>
  <c r="G72" i="29" s="1"/>
  <c r="F13" i="29"/>
  <c r="G13" i="29" s="1"/>
  <c r="F57" i="29"/>
  <c r="G57" i="29" s="1"/>
  <c r="F29" i="29"/>
  <c r="G29" i="29" s="1"/>
  <c r="F43" i="29"/>
  <c r="G43" i="29" s="1"/>
  <c r="F85" i="29"/>
  <c r="G85" i="29" s="1"/>
  <c r="F84" i="29"/>
  <c r="G84" i="29" s="1"/>
  <c r="F42" i="29"/>
  <c r="G42" i="29" s="1"/>
  <c r="F22" i="29"/>
  <c r="G22" i="29" s="1"/>
  <c r="F65" i="29"/>
  <c r="G65" i="29" s="1"/>
  <c r="F53" i="29"/>
  <c r="G53" i="29" s="1"/>
  <c r="F9" i="29"/>
  <c r="G9" i="29" s="1"/>
  <c r="F68" i="29"/>
  <c r="G68" i="29" s="1"/>
  <c r="F11" i="29"/>
  <c r="G11" i="29" s="1"/>
  <c r="F55" i="29"/>
  <c r="G55" i="29" s="1"/>
  <c r="F25" i="29"/>
  <c r="G25" i="29" s="1"/>
  <c r="F91" i="10"/>
  <c r="G91" i="10" s="1"/>
  <c r="F143" i="10"/>
  <c r="G143" i="10" s="1"/>
  <c r="G56" i="2" l="1"/>
  <c r="H161" i="38"/>
  <c r="G51" i="9"/>
  <c r="I13" i="38"/>
  <c r="H50" i="9"/>
  <c r="F14" i="30"/>
  <c r="H16" i="22"/>
  <c r="H9" i="35"/>
  <c r="H27" i="35"/>
  <c r="H8" i="36"/>
  <c r="H71" i="36"/>
  <c r="H43" i="35"/>
  <c r="H62" i="35"/>
  <c r="H48" i="36"/>
  <c r="H102" i="35"/>
  <c r="H27" i="36"/>
  <c r="H79" i="35"/>
  <c r="H121" i="35"/>
  <c r="H125" i="32"/>
  <c r="H83" i="32"/>
  <c r="H65" i="32"/>
  <c r="H104" i="33"/>
  <c r="H28" i="32"/>
  <c r="H44" i="32"/>
  <c r="H10" i="32"/>
  <c r="H107" i="32"/>
  <c r="H10" i="33"/>
  <c r="H47" i="33"/>
  <c r="H85" i="33"/>
  <c r="H66" i="33"/>
  <c r="H29" i="33"/>
  <c r="H64" i="29"/>
  <c r="H6" i="29"/>
  <c r="H51" i="29"/>
  <c r="H12" i="14"/>
  <c r="H79" i="29"/>
  <c r="H20" i="29"/>
  <c r="H36" i="29"/>
  <c r="BG101" i="21"/>
  <c r="C44" i="21"/>
  <c r="C43" i="21"/>
  <c r="C42" i="21"/>
  <c r="BG29" i="21"/>
  <c r="C114" i="21" l="1"/>
  <c r="BW102" i="21"/>
  <c r="C117" i="21"/>
  <c r="C112" i="21"/>
  <c r="C113" i="21"/>
  <c r="C207" i="21"/>
  <c r="D207" i="21" s="1"/>
  <c r="C188" i="21"/>
  <c r="D188" i="21" s="1"/>
  <c r="C184" i="21"/>
  <c r="D184" i="21" s="1"/>
  <c r="C186" i="21"/>
  <c r="D186" i="21" s="1"/>
  <c r="C187" i="21"/>
  <c r="D187" i="21" s="1"/>
  <c r="C183" i="21"/>
  <c r="D183" i="21" s="1"/>
  <c r="C206" i="21"/>
  <c r="D206" i="21" s="1"/>
  <c r="C185" i="21"/>
  <c r="D185" i="21" s="1"/>
  <c r="C115" i="21"/>
  <c r="C116" i="21"/>
  <c r="BI33" i="21"/>
  <c r="BI30" i="21"/>
  <c r="BI34" i="21"/>
  <c r="BI32" i="21"/>
  <c r="BI104" i="21"/>
  <c r="BI102" i="21"/>
  <c r="BI105" i="21"/>
  <c r="BI103" i="21"/>
  <c r="BW104" i="21"/>
  <c r="BH104" i="21" s="1"/>
  <c r="BH102" i="21"/>
  <c r="BW105" i="21"/>
  <c r="BH105" i="21" s="1"/>
  <c r="BW103" i="21"/>
  <c r="BH103" i="21" s="1"/>
  <c r="BU32" i="21"/>
  <c r="BH33" i="21" s="1"/>
  <c r="BU30" i="21"/>
  <c r="BU33" i="21"/>
  <c r="BH34" i="21" s="1"/>
  <c r="BU31" i="21"/>
  <c r="BH32" i="21" s="1"/>
  <c r="BL102" i="21"/>
  <c r="C133" i="38" s="1"/>
  <c r="BO174" i="21"/>
  <c r="BM174" i="21"/>
  <c r="BN173" i="21"/>
  <c r="BL173" i="21"/>
  <c r="BJ173" i="21"/>
  <c r="BO172" i="21"/>
  <c r="BM172" i="21"/>
  <c r="BK172" i="21"/>
  <c r="BN171" i="21"/>
  <c r="BL171" i="21"/>
  <c r="BJ171" i="21"/>
  <c r="BO173" i="21"/>
  <c r="BM173" i="21"/>
  <c r="BK173" i="21"/>
  <c r="BN172" i="21"/>
  <c r="BL172" i="21"/>
  <c r="BJ172" i="21"/>
  <c r="BO171" i="21"/>
  <c r="BM171" i="21"/>
  <c r="BK171" i="21"/>
  <c r="C172" i="21" s="1"/>
  <c r="BN174" i="21"/>
  <c r="BL174" i="21"/>
  <c r="BK102" i="21"/>
  <c r="BM105" i="21"/>
  <c r="BJ102" i="21"/>
  <c r="BN105" i="21"/>
  <c r="BM104" i="21"/>
  <c r="BL104" i="21"/>
  <c r="BL103" i="21"/>
  <c r="BK103" i="21"/>
  <c r="BL105" i="21"/>
  <c r="BK104" i="21"/>
  <c r="BJ103" i="21"/>
  <c r="BK105" i="21"/>
  <c r="BJ104" i="21"/>
  <c r="BJ105" i="21"/>
  <c r="BO102" i="21"/>
  <c r="BO103" i="21"/>
  <c r="BN102" i="21"/>
  <c r="BO104" i="21"/>
  <c r="BN103" i="21"/>
  <c r="BM102" i="21"/>
  <c r="BO105" i="21"/>
  <c r="BN104" i="21"/>
  <c r="BM103" i="21"/>
  <c r="BK30" i="21"/>
  <c r="BL33" i="21"/>
  <c r="D133" i="38" l="1"/>
  <c r="E133" i="38"/>
  <c r="F133" i="38"/>
  <c r="G133" i="38" s="1"/>
  <c r="C194" i="38"/>
  <c r="C115" i="38"/>
  <c r="C214" i="38"/>
  <c r="C173" i="38"/>
  <c r="C96" i="38"/>
  <c r="C213" i="38"/>
  <c r="C172" i="38"/>
  <c r="C114" i="38"/>
  <c r="C193" i="38"/>
  <c r="C95" i="38"/>
  <c r="C174" i="38"/>
  <c r="C134" i="38"/>
  <c r="C195" i="38"/>
  <c r="C215" i="38"/>
  <c r="C98" i="38"/>
  <c r="C121" i="38"/>
  <c r="D102" i="38"/>
  <c r="E102" i="38"/>
  <c r="C97" i="38"/>
  <c r="F102" i="38"/>
  <c r="G102" i="38" s="1"/>
  <c r="C171" i="21"/>
  <c r="C170" i="21"/>
  <c r="C191" i="21"/>
  <c r="C211" i="21"/>
  <c r="C105" i="21"/>
  <c r="C124" i="21" s="1"/>
  <c r="BH30" i="21"/>
  <c r="C212" i="21"/>
  <c r="D212" i="21" s="1"/>
  <c r="C213" i="21"/>
  <c r="D213" i="21" s="1"/>
  <c r="C99" i="21"/>
  <c r="C209" i="21"/>
  <c r="D209" i="21" s="1"/>
  <c r="C210" i="21"/>
  <c r="D210" i="21" s="1"/>
  <c r="D214" i="21"/>
  <c r="D218" i="21"/>
  <c r="C192" i="21"/>
  <c r="C193" i="21"/>
  <c r="C168" i="21"/>
  <c r="C189" i="21"/>
  <c r="C190" i="21"/>
  <c r="C169" i="21"/>
  <c r="C118" i="21"/>
  <c r="C122" i="21"/>
  <c r="C103" i="21"/>
  <c r="C119" i="21"/>
  <c r="C100" i="21"/>
  <c r="C123" i="21"/>
  <c r="C104" i="21"/>
  <c r="D104" i="21" s="1"/>
  <c r="BK32" i="21"/>
  <c r="BK33" i="21"/>
  <c r="BN32" i="21"/>
  <c r="BN33" i="21"/>
  <c r="BM33" i="21"/>
  <c r="BJ34" i="21"/>
  <c r="BM34" i="21"/>
  <c r="BM32" i="21"/>
  <c r="BO30" i="21"/>
  <c r="BL34" i="21"/>
  <c r="BK34" i="21"/>
  <c r="BO33" i="21"/>
  <c r="BM30" i="21"/>
  <c r="C33" i="38" s="1"/>
  <c r="BN34" i="21"/>
  <c r="BJ30" i="21"/>
  <c r="BO32" i="21"/>
  <c r="BL30" i="21"/>
  <c r="C32" i="38" s="1"/>
  <c r="BO34" i="21"/>
  <c r="BJ32" i="21"/>
  <c r="BL32" i="21"/>
  <c r="BJ33" i="21"/>
  <c r="BN30" i="21"/>
  <c r="C30" i="38" l="1"/>
  <c r="C46" i="38"/>
  <c r="E32" i="38"/>
  <c r="D32" i="38"/>
  <c r="F32" i="38"/>
  <c r="G32" i="38" s="1"/>
  <c r="H32" i="38" s="1"/>
  <c r="D33" i="38"/>
  <c r="E33" i="38"/>
  <c r="F33" i="38"/>
  <c r="G33" i="38" s="1"/>
  <c r="H33" i="38" s="1"/>
  <c r="C31" i="38"/>
  <c r="C47" i="38"/>
  <c r="H133" i="38"/>
  <c r="H102" i="38"/>
  <c r="D105" i="21"/>
  <c r="C106" i="21" s="1"/>
  <c r="C125" i="21" s="1"/>
  <c r="C35" i="21"/>
  <c r="E195" i="38"/>
  <c r="D195" i="38"/>
  <c r="F195" i="38"/>
  <c r="G195" i="38" s="1"/>
  <c r="D193" i="38"/>
  <c r="F193" i="38"/>
  <c r="G193" i="38" s="1"/>
  <c r="H193" i="38" s="1"/>
  <c r="D96" i="38"/>
  <c r="F96" i="38"/>
  <c r="G96" i="38" s="1"/>
  <c r="H96" i="38" s="1"/>
  <c r="D194" i="38"/>
  <c r="F194" i="38"/>
  <c r="G194" i="38" s="1"/>
  <c r="H194" i="38" s="1"/>
  <c r="E121" i="38"/>
  <c r="D121" i="38"/>
  <c r="F121" i="38"/>
  <c r="G121" i="38" s="1"/>
  <c r="E134" i="38"/>
  <c r="D134" i="38"/>
  <c r="F134" i="38"/>
  <c r="G134" i="38" s="1"/>
  <c r="D114" i="38"/>
  <c r="F114" i="38"/>
  <c r="G114" i="38" s="1"/>
  <c r="H114" i="38" s="1"/>
  <c r="D173" i="38"/>
  <c r="F173" i="38"/>
  <c r="G173" i="38" s="1"/>
  <c r="H173" i="38" s="1"/>
  <c r="D97" i="38"/>
  <c r="E97" i="38"/>
  <c r="C116" i="38"/>
  <c r="F97" i="38"/>
  <c r="G97" i="38" s="1"/>
  <c r="D98" i="38"/>
  <c r="E98" i="38"/>
  <c r="C117" i="38"/>
  <c r="F98" i="38"/>
  <c r="G98" i="38" s="1"/>
  <c r="E174" i="38"/>
  <c r="D174" i="38"/>
  <c r="F174" i="38"/>
  <c r="G174" i="38" s="1"/>
  <c r="D172" i="38"/>
  <c r="F172" i="38"/>
  <c r="G172" i="38" s="1"/>
  <c r="H172" i="38" s="1"/>
  <c r="D214" i="38"/>
  <c r="F214" i="38"/>
  <c r="G214" i="38" s="1"/>
  <c r="H214" i="38" s="1"/>
  <c r="E215" i="38"/>
  <c r="D215" i="38"/>
  <c r="F215" i="38"/>
  <c r="G215" i="38" s="1"/>
  <c r="D95" i="38"/>
  <c r="F95" i="38"/>
  <c r="G95" i="38" s="1"/>
  <c r="H95" i="38" s="1"/>
  <c r="D213" i="38"/>
  <c r="F213" i="38"/>
  <c r="G213" i="38" s="1"/>
  <c r="H213" i="38" s="1"/>
  <c r="D115" i="38"/>
  <c r="F115" i="38"/>
  <c r="G115" i="38" s="1"/>
  <c r="H115" i="38" s="1"/>
  <c r="C51" i="21"/>
  <c r="D103" i="21"/>
  <c r="D123" i="21"/>
  <c r="D122" i="21"/>
  <c r="D124" i="21"/>
  <c r="E211" i="21"/>
  <c r="D211" i="21"/>
  <c r="F211" i="21"/>
  <c r="E170" i="21"/>
  <c r="D170" i="21"/>
  <c r="F170" i="21"/>
  <c r="G170" i="21" s="1"/>
  <c r="E191" i="21"/>
  <c r="D191" i="21"/>
  <c r="F191" i="21"/>
  <c r="D198" i="21"/>
  <c r="D190" i="21"/>
  <c r="D168" i="21"/>
  <c r="D193" i="21"/>
  <c r="D171" i="21"/>
  <c r="D169" i="21"/>
  <c r="D189" i="21"/>
  <c r="D172" i="21"/>
  <c r="D192" i="21"/>
  <c r="D194" i="21"/>
  <c r="C29" i="21"/>
  <c r="C46" i="21"/>
  <c r="C34" i="21"/>
  <c r="C45" i="21"/>
  <c r="C30" i="21"/>
  <c r="C50" i="21"/>
  <c r="C33" i="21"/>
  <c r="C49" i="21"/>
  <c r="W18" i="24"/>
  <c r="X18" i="24"/>
  <c r="Y18" i="24"/>
  <c r="V18" i="24"/>
  <c r="D47" i="38" l="1"/>
  <c r="F47" i="38"/>
  <c r="G47" i="38" s="1"/>
  <c r="H47" i="38" s="1"/>
  <c r="D46" i="38"/>
  <c r="F46" i="38"/>
  <c r="G46" i="38" s="1"/>
  <c r="H46" i="38" s="1"/>
  <c r="D31" i="38"/>
  <c r="F31" i="38"/>
  <c r="G31" i="38" s="1"/>
  <c r="H31" i="38" s="1"/>
  <c r="D30" i="38"/>
  <c r="F30" i="38"/>
  <c r="G30" i="38" s="1"/>
  <c r="H30" i="38" s="1"/>
  <c r="H195" i="38"/>
  <c r="I185" i="38" s="1"/>
  <c r="H121" i="38"/>
  <c r="H98" i="38"/>
  <c r="H97" i="38"/>
  <c r="H134" i="38"/>
  <c r="I129" i="38" s="1"/>
  <c r="D52" i="38"/>
  <c r="F52" i="38"/>
  <c r="G52" i="38" s="1"/>
  <c r="H52" i="38" s="1"/>
  <c r="D34" i="38"/>
  <c r="C35" i="38" s="1"/>
  <c r="C53" i="38" s="1"/>
  <c r="C49" i="38" s="1"/>
  <c r="F34" i="38"/>
  <c r="G34" i="38" s="1"/>
  <c r="H34" i="38" s="1"/>
  <c r="H174" i="38"/>
  <c r="I171" i="38" s="1"/>
  <c r="H215" i="38"/>
  <c r="I206" i="38" s="1"/>
  <c r="D117" i="38"/>
  <c r="E117" i="38"/>
  <c r="F117" i="38"/>
  <c r="G117" i="38" s="1"/>
  <c r="E116" i="38"/>
  <c r="D116" i="38"/>
  <c r="F116" i="38"/>
  <c r="G116" i="38" s="1"/>
  <c r="E106" i="21"/>
  <c r="F106" i="21"/>
  <c r="G106" i="21" s="1"/>
  <c r="D106" i="21"/>
  <c r="D125" i="21"/>
  <c r="E125" i="21"/>
  <c r="F125" i="21"/>
  <c r="G125" i="21" s="1"/>
  <c r="C102" i="21"/>
  <c r="C121" i="21" s="1"/>
  <c r="D121" i="21" s="1"/>
  <c r="C101" i="21"/>
  <c r="D101" i="21" s="1"/>
  <c r="D35" i="21"/>
  <c r="F200" i="2"/>
  <c r="G200" i="2" s="1"/>
  <c r="I94" i="38" l="1"/>
  <c r="D53" i="38"/>
  <c r="F53" i="38"/>
  <c r="G53" i="38" s="1"/>
  <c r="C48" i="38"/>
  <c r="D48" i="38" s="1"/>
  <c r="E53" i="38"/>
  <c r="D35" i="38"/>
  <c r="F35" i="38" s="1"/>
  <c r="H116" i="38"/>
  <c r="H117" i="38"/>
  <c r="E49" i="38"/>
  <c r="D49" i="38"/>
  <c r="F49" i="38"/>
  <c r="G49" i="38" s="1"/>
  <c r="C120" i="21"/>
  <c r="D120" i="21" s="1"/>
  <c r="F101" i="21"/>
  <c r="G101" i="21" s="1"/>
  <c r="E101" i="21"/>
  <c r="E102" i="21"/>
  <c r="F102" i="21"/>
  <c r="G102" i="21" s="1"/>
  <c r="D102" i="21"/>
  <c r="E121" i="21"/>
  <c r="F121" i="21"/>
  <c r="G121" i="21" s="1"/>
  <c r="C52" i="21"/>
  <c r="C48" i="21" s="1"/>
  <c r="C36" i="21"/>
  <c r="C32" i="21" s="1"/>
  <c r="E120" i="21" l="1"/>
  <c r="F120" i="21"/>
  <c r="G120" i="21" s="1"/>
  <c r="H53" i="38"/>
  <c r="I106" i="38"/>
  <c r="F48" i="38"/>
  <c r="G48" i="38" s="1"/>
  <c r="H49" i="38"/>
  <c r="E48" i="38"/>
  <c r="D36" i="21"/>
  <c r="C31" i="21"/>
  <c r="E31" i="21" s="1"/>
  <c r="C47" i="21"/>
  <c r="D32" i="21"/>
  <c r="E32" i="21"/>
  <c r="F32" i="21"/>
  <c r="G32" i="21" s="1"/>
  <c r="E36" i="21"/>
  <c r="F36" i="21"/>
  <c r="G36" i="21" s="1"/>
  <c r="F184" i="2"/>
  <c r="G184" i="2" s="1"/>
  <c r="F174" i="2"/>
  <c r="G174" i="2" s="1"/>
  <c r="F175" i="2"/>
  <c r="G175" i="2" s="1"/>
  <c r="F171" i="2"/>
  <c r="G171" i="2" s="1"/>
  <c r="F173" i="2"/>
  <c r="G173" i="2" s="1"/>
  <c r="F172" i="2"/>
  <c r="G172" i="2" s="1"/>
  <c r="F193" i="2"/>
  <c r="G193" i="2" s="1"/>
  <c r="F133" i="15"/>
  <c r="G133" i="15" s="1"/>
  <c r="F203" i="21"/>
  <c r="G203" i="21" s="1"/>
  <c r="F213" i="21"/>
  <c r="G213" i="21" s="1"/>
  <c r="F167" i="21"/>
  <c r="G167" i="21" s="1"/>
  <c r="F136" i="15"/>
  <c r="G136" i="15" s="1"/>
  <c r="F131" i="15"/>
  <c r="G131" i="15" s="1"/>
  <c r="F202" i="21"/>
  <c r="G202" i="21" s="1"/>
  <c r="F35" i="24"/>
  <c r="G35" i="24" s="1"/>
  <c r="H35" i="24" s="1"/>
  <c r="F34" i="24"/>
  <c r="G34" i="24" s="1"/>
  <c r="H34" i="24" s="1"/>
  <c r="F186" i="2"/>
  <c r="G186" i="2" s="1"/>
  <c r="F185" i="2"/>
  <c r="G185" i="2" s="1"/>
  <c r="F194" i="2"/>
  <c r="G194" i="2" s="1"/>
  <c r="F198" i="2"/>
  <c r="G198" i="2" s="1"/>
  <c r="F195" i="2"/>
  <c r="G195" i="2" s="1"/>
  <c r="F199" i="2"/>
  <c r="G199" i="2" s="1"/>
  <c r="F197" i="2"/>
  <c r="G197" i="2" s="1"/>
  <c r="F187" i="2"/>
  <c r="G187" i="2" s="1"/>
  <c r="F196" i="2"/>
  <c r="G196" i="2" s="1"/>
  <c r="F212" i="21"/>
  <c r="G212" i="21" s="1"/>
  <c r="F218" i="21"/>
  <c r="G218" i="21" s="1"/>
  <c r="D101" i="22"/>
  <c r="D102" i="22"/>
  <c r="D99" i="22"/>
  <c r="D100" i="22"/>
  <c r="D103" i="22"/>
  <c r="D104" i="22"/>
  <c r="D69" i="22"/>
  <c r="D70" i="22"/>
  <c r="D71" i="22"/>
  <c r="D60" i="22"/>
  <c r="D58" i="22"/>
  <c r="D59" i="22"/>
  <c r="D67" i="22"/>
  <c r="D68" i="22"/>
  <c r="D72" i="22"/>
  <c r="D57" i="22"/>
  <c r="D61" i="22"/>
  <c r="D62" i="22"/>
  <c r="D50" i="22"/>
  <c r="D51" i="22"/>
  <c r="D52" i="22"/>
  <c r="D94" i="22"/>
  <c r="D93" i="22"/>
  <c r="D92" i="22"/>
  <c r="D91" i="22"/>
  <c r="D90" i="22"/>
  <c r="D89" i="22"/>
  <c r="D84" i="22"/>
  <c r="D83" i="22"/>
  <c r="D82" i="22"/>
  <c r="D81" i="22"/>
  <c r="D80" i="22"/>
  <c r="D79" i="22"/>
  <c r="D43" i="22"/>
  <c r="H48" i="38" l="1"/>
  <c r="I41" i="38" s="1"/>
  <c r="D31" i="21"/>
  <c r="F31" i="21"/>
  <c r="G31" i="21" s="1"/>
  <c r="D47" i="21"/>
  <c r="E47" i="21"/>
  <c r="F47" i="21"/>
  <c r="G47" i="21" s="1"/>
  <c r="D48" i="21"/>
  <c r="F48" i="21"/>
  <c r="G48" i="21" s="1"/>
  <c r="E48" i="21"/>
  <c r="H167" i="21"/>
  <c r="H203" i="21"/>
  <c r="H202" i="21"/>
  <c r="H218" i="21"/>
  <c r="H212" i="21"/>
  <c r="H213" i="21"/>
  <c r="E28" i="27"/>
  <c r="F28" i="27" s="1"/>
  <c r="E26" i="27"/>
  <c r="F26" i="27" s="1"/>
  <c r="E24" i="27"/>
  <c r="F24" i="27" s="1"/>
  <c r="E22" i="27"/>
  <c r="F22" i="27" s="1"/>
  <c r="E76" i="27"/>
  <c r="F76" i="27" s="1"/>
  <c r="E71" i="27"/>
  <c r="F71" i="27" s="1"/>
  <c r="E69" i="27"/>
  <c r="F69" i="27" s="1"/>
  <c r="E67" i="27"/>
  <c r="F67" i="27" s="1"/>
  <c r="E65" i="27"/>
  <c r="F65" i="27" s="1"/>
  <c r="E63" i="27"/>
  <c r="F63" i="27" s="1"/>
  <c r="E61" i="27"/>
  <c r="F61" i="27" s="1"/>
  <c r="E59" i="27"/>
  <c r="F59" i="27" s="1"/>
  <c r="E57" i="27"/>
  <c r="F57" i="27" s="1"/>
  <c r="E55" i="27"/>
  <c r="F55" i="27" s="1"/>
  <c r="E73" i="27"/>
  <c r="F73" i="27" s="1"/>
  <c r="E35" i="27"/>
  <c r="F35" i="27" s="1"/>
  <c r="E51" i="27"/>
  <c r="F51" i="27" s="1"/>
  <c r="E49" i="27"/>
  <c r="F49" i="27" s="1"/>
  <c r="E43" i="27"/>
  <c r="F43" i="27" s="1"/>
  <c r="E39" i="27"/>
  <c r="F39" i="27" s="1"/>
  <c r="E37" i="27"/>
  <c r="F37" i="27" s="1"/>
  <c r="E47" i="27"/>
  <c r="F47" i="27" s="1"/>
  <c r="E45" i="27"/>
  <c r="F45" i="27" s="1"/>
  <c r="E41" i="27"/>
  <c r="F41" i="27" s="1"/>
  <c r="E7" i="27"/>
  <c r="F7" i="27" s="1"/>
  <c r="E18" i="27"/>
  <c r="F18" i="27" s="1"/>
  <c r="E9" i="27"/>
  <c r="F9" i="27" s="1"/>
  <c r="E14" i="27"/>
  <c r="F14" i="27" s="1"/>
  <c r="E15" i="27"/>
  <c r="F15" i="27" s="1"/>
  <c r="E11" i="27"/>
  <c r="F11" i="27" s="1"/>
  <c r="E75" i="27"/>
  <c r="F75" i="27" s="1"/>
  <c r="E27" i="27"/>
  <c r="F27" i="27" s="1"/>
  <c r="E25" i="27"/>
  <c r="F25" i="27" s="1"/>
  <c r="E23" i="27"/>
  <c r="F23" i="27" s="1"/>
  <c r="E21" i="27"/>
  <c r="F21" i="27" s="1"/>
  <c r="E72" i="27"/>
  <c r="F72" i="27" s="1"/>
  <c r="E70" i="27"/>
  <c r="F70" i="27" s="1"/>
  <c r="E68" i="27"/>
  <c r="F68" i="27" s="1"/>
  <c r="E66" i="27"/>
  <c r="F66" i="27" s="1"/>
  <c r="E64" i="27"/>
  <c r="F64" i="27" s="1"/>
  <c r="E62" i="27"/>
  <c r="F62" i="27" s="1"/>
  <c r="E60" i="27"/>
  <c r="F60" i="27" s="1"/>
  <c r="E58" i="27"/>
  <c r="F58" i="27" s="1"/>
  <c r="E56" i="27"/>
  <c r="F56" i="27" s="1"/>
  <c r="E74" i="27"/>
  <c r="F74" i="27" s="1"/>
  <c r="E36" i="27"/>
  <c r="F36" i="27" s="1"/>
  <c r="E52" i="27"/>
  <c r="F52" i="27" s="1"/>
  <c r="E50" i="27"/>
  <c r="F50" i="27" s="1"/>
  <c r="E44" i="27"/>
  <c r="F44" i="27" s="1"/>
  <c r="E40" i="27"/>
  <c r="F40" i="27" s="1"/>
  <c r="E38" i="27"/>
  <c r="F38" i="27" s="1"/>
  <c r="E48" i="27"/>
  <c r="F48" i="27" s="1"/>
  <c r="E46" i="27"/>
  <c r="F46" i="27" s="1"/>
  <c r="E42" i="27"/>
  <c r="F42" i="27" s="1"/>
  <c r="E10" i="27"/>
  <c r="F10" i="27" s="1"/>
  <c r="E17" i="27"/>
  <c r="F17" i="27" s="1"/>
  <c r="E8" i="27"/>
  <c r="F8" i="27" s="1"/>
  <c r="E13" i="27"/>
  <c r="F13" i="27" s="1"/>
  <c r="E16" i="27"/>
  <c r="F16" i="27" s="1"/>
  <c r="E12" i="27"/>
  <c r="F12" i="27" s="1"/>
  <c r="F207" i="21"/>
  <c r="G207" i="21" s="1"/>
  <c r="G211" i="21"/>
  <c r="F204" i="21"/>
  <c r="G204" i="21" s="1"/>
  <c r="F210" i="21"/>
  <c r="G210" i="21" s="1"/>
  <c r="F206" i="21"/>
  <c r="G206" i="21" s="1"/>
  <c r="F205" i="21"/>
  <c r="G205" i="21" s="1"/>
  <c r="F209" i="21"/>
  <c r="G209" i="21" s="1"/>
  <c r="F183" i="21"/>
  <c r="G183" i="21" s="1"/>
  <c r="F208" i="21"/>
  <c r="G208" i="21" s="1"/>
  <c r="F173" i="21"/>
  <c r="G173" i="21" s="1"/>
  <c r="F214" i="21"/>
  <c r="G214" i="21" s="1"/>
  <c r="F194" i="21"/>
  <c r="G194" i="21" s="1"/>
  <c r="F196" i="21"/>
  <c r="G196" i="21" s="1"/>
  <c r="F216" i="21"/>
  <c r="G216" i="21" s="1"/>
  <c r="F175" i="21"/>
  <c r="G175" i="21" s="1"/>
  <c r="F217" i="21"/>
  <c r="G217" i="21" s="1"/>
  <c r="F197" i="21"/>
  <c r="G197" i="21" s="1"/>
  <c r="F176" i="21"/>
  <c r="G176" i="21" s="1"/>
  <c r="F198" i="21"/>
  <c r="G198" i="21" s="1"/>
  <c r="F177" i="21"/>
  <c r="G177" i="21" s="1"/>
  <c r="F186" i="21"/>
  <c r="G186" i="21" s="1"/>
  <c r="F187" i="21"/>
  <c r="G187" i="21" s="1"/>
  <c r="F185" i="21"/>
  <c r="G185" i="21" s="1"/>
  <c r="F188" i="21"/>
  <c r="G188" i="21" s="1"/>
  <c r="F184" i="21"/>
  <c r="G184" i="21" s="1"/>
  <c r="F189" i="21"/>
  <c r="G189" i="21" s="1"/>
  <c r="F168" i="21"/>
  <c r="G168" i="21" s="1"/>
  <c r="F182" i="21"/>
  <c r="G182" i="21" s="1"/>
  <c r="F193" i="21"/>
  <c r="G193" i="21" s="1"/>
  <c r="F172" i="21"/>
  <c r="G172" i="21" s="1"/>
  <c r="F181" i="21"/>
  <c r="G181" i="21" s="1"/>
  <c r="F190" i="21"/>
  <c r="G190" i="21" s="1"/>
  <c r="F169" i="21"/>
  <c r="G169" i="21" s="1"/>
  <c r="G191" i="21"/>
  <c r="F192" i="21"/>
  <c r="G192" i="21" s="1"/>
  <c r="F171" i="21"/>
  <c r="G171" i="21" s="1"/>
  <c r="F65" i="15"/>
  <c r="G65" i="15" s="1"/>
  <c r="F76" i="15"/>
  <c r="G76" i="15" s="1"/>
  <c r="F135" i="15"/>
  <c r="G135" i="15" s="1"/>
  <c r="F130" i="15"/>
  <c r="G130" i="15" s="1"/>
  <c r="F134" i="15"/>
  <c r="G134" i="15" s="1"/>
  <c r="F188" i="2"/>
  <c r="G188" i="2" s="1"/>
  <c r="F132" i="15"/>
  <c r="G132" i="15" s="1"/>
  <c r="F121" i="15"/>
  <c r="G121" i="15" s="1"/>
  <c r="F120" i="15"/>
  <c r="G120" i="15" s="1"/>
  <c r="F122" i="15"/>
  <c r="G122" i="15" s="1"/>
  <c r="F119" i="15"/>
  <c r="G119" i="15" s="1"/>
  <c r="F123" i="15"/>
  <c r="G123" i="15" s="1"/>
  <c r="D45" i="22"/>
  <c r="H181" i="21" l="1"/>
  <c r="H182" i="21"/>
  <c r="H177" i="21"/>
  <c r="H176" i="21"/>
  <c r="H217" i="21"/>
  <c r="H216" i="21"/>
  <c r="H194" i="21"/>
  <c r="H174" i="21"/>
  <c r="H214" i="21"/>
  <c r="H208" i="21"/>
  <c r="H204" i="21"/>
  <c r="H198" i="21"/>
  <c r="H197" i="21"/>
  <c r="H175" i="21"/>
  <c r="H196" i="21"/>
  <c r="H195" i="21"/>
  <c r="H215" i="21"/>
  <c r="H173" i="21"/>
  <c r="H205" i="21"/>
  <c r="H171" i="21"/>
  <c r="H170" i="21"/>
  <c r="H169" i="21"/>
  <c r="H172" i="21"/>
  <c r="H168" i="21"/>
  <c r="H188" i="21"/>
  <c r="H187" i="21"/>
  <c r="H209" i="21"/>
  <c r="H206" i="21"/>
  <c r="H207" i="21"/>
  <c r="H192" i="21"/>
  <c r="H191" i="21"/>
  <c r="H190" i="21"/>
  <c r="H193" i="21"/>
  <c r="H189" i="21"/>
  <c r="H184" i="21"/>
  <c r="H185" i="21"/>
  <c r="H186" i="21"/>
  <c r="H183" i="21"/>
  <c r="H210" i="21"/>
  <c r="H211" i="21"/>
  <c r="H130" i="15"/>
  <c r="H119" i="15"/>
  <c r="D44" i="22"/>
  <c r="D106" i="15"/>
  <c r="D108" i="15"/>
  <c r="D107" i="15"/>
  <c r="D91" i="15"/>
  <c r="D102" i="15"/>
  <c r="C104" i="15"/>
  <c r="D103" i="15"/>
  <c r="D111" i="15"/>
  <c r="D110" i="15"/>
  <c r="I181" i="21" l="1"/>
  <c r="I202" i="21"/>
  <c r="I167" i="21"/>
  <c r="D104" i="15"/>
  <c r="F104" i="15"/>
  <c r="G104" i="15" s="1"/>
  <c r="I51" i="14"/>
  <c r="I50" i="14"/>
  <c r="F9" i="22" l="1"/>
  <c r="G9" i="22" s="1"/>
  <c r="F7" i="22"/>
  <c r="G7" i="22" s="1"/>
  <c r="F8" i="22"/>
  <c r="G8" i="22" s="1"/>
  <c r="I46" i="14"/>
  <c r="I45" i="14"/>
  <c r="I42" i="14"/>
  <c r="I41" i="14"/>
  <c r="I40" i="14"/>
  <c r="I39" i="14"/>
  <c r="I38" i="14"/>
  <c r="I37" i="14"/>
  <c r="I36" i="14"/>
  <c r="I33" i="14"/>
  <c r="I32" i="14"/>
  <c r="I31" i="14"/>
  <c r="I30" i="14"/>
  <c r="I29" i="14"/>
  <c r="I28" i="14"/>
  <c r="I27" i="14"/>
  <c r="I26" i="14"/>
  <c r="I25" i="14"/>
  <c r="E21" i="24" l="1"/>
  <c r="C21" i="24"/>
  <c r="D21" i="24" s="1"/>
  <c r="E12" i="24"/>
  <c r="C11" i="24"/>
  <c r="D11" i="24" s="1"/>
  <c r="C10" i="24"/>
  <c r="C12" i="24"/>
  <c r="E11" i="24"/>
  <c r="E10" i="24"/>
  <c r="C13" i="24"/>
  <c r="C14" i="24"/>
  <c r="E15" i="24"/>
  <c r="C16" i="24"/>
  <c r="C20" i="24"/>
  <c r="C19" i="24"/>
  <c r="C18" i="24"/>
  <c r="C17" i="24"/>
  <c r="D17" i="24" s="1"/>
  <c r="C15" i="24"/>
  <c r="C9" i="24"/>
  <c r="D9" i="24" s="1"/>
  <c r="C8" i="24"/>
  <c r="G3" i="24"/>
  <c r="F16" i="24" l="1"/>
  <c r="E16" i="24"/>
  <c r="D16" i="24"/>
  <c r="E18" i="24"/>
  <c r="D18" i="24"/>
  <c r="F18" i="24"/>
  <c r="F14" i="24"/>
  <c r="E14" i="24"/>
  <c r="D14" i="24"/>
  <c r="F12" i="24"/>
  <c r="D12" i="24"/>
  <c r="F20" i="24"/>
  <c r="E20" i="24"/>
  <c r="D20" i="24"/>
  <c r="E13" i="24"/>
  <c r="D13" i="24"/>
  <c r="F13" i="24"/>
  <c r="H7" i="22"/>
  <c r="C22" i="24"/>
  <c r="H5" i="24"/>
  <c r="D19" i="24"/>
  <c r="D10" i="24"/>
  <c r="D15" i="24"/>
  <c r="D8" i="24"/>
  <c r="C10" i="10"/>
  <c r="D10" i="10" s="1"/>
  <c r="D15" i="10"/>
  <c r="G16" i="24" l="1"/>
  <c r="D22" i="24"/>
  <c r="E22" i="24"/>
  <c r="F22" i="24"/>
  <c r="G18" i="24"/>
  <c r="G14" i="24"/>
  <c r="G22" i="24" l="1"/>
  <c r="C10" i="5"/>
  <c r="D10" i="5" l="1"/>
  <c r="M132" i="21" l="1"/>
  <c r="M11" i="21"/>
  <c r="M16" i="21" s="1"/>
  <c r="M26" i="21"/>
  <c r="M97" i="21"/>
  <c r="T107" i="21" l="1"/>
  <c r="P107" i="21"/>
  <c r="T106" i="21"/>
  <c r="P106" i="21"/>
  <c r="T105" i="21"/>
  <c r="P105" i="21"/>
  <c r="T104" i="21"/>
  <c r="P104" i="21"/>
  <c r="S103" i="21"/>
  <c r="O103" i="21"/>
  <c r="S102" i="21"/>
  <c r="O102" i="21"/>
  <c r="Q107" i="21"/>
  <c r="M107" i="21"/>
  <c r="Q106" i="21"/>
  <c r="M106" i="21"/>
  <c r="Q105" i="21"/>
  <c r="M105" i="21"/>
  <c r="Q104" i="21"/>
  <c r="T103" i="21"/>
  <c r="P103" i="21"/>
  <c r="P102" i="21"/>
  <c r="M104" i="21"/>
  <c r="S107" i="21"/>
  <c r="O107" i="21"/>
  <c r="S106" i="21"/>
  <c r="O106" i="21"/>
  <c r="S105" i="21"/>
  <c r="O105" i="21"/>
  <c r="S104" i="21"/>
  <c r="O104" i="21"/>
  <c r="R103" i="21"/>
  <c r="N103" i="21"/>
  <c r="R102" i="21"/>
  <c r="N102" i="21"/>
  <c r="T102" i="21"/>
  <c r="R107" i="21"/>
  <c r="N107" i="21"/>
  <c r="R106" i="21"/>
  <c r="N106" i="21"/>
  <c r="R105" i="21"/>
  <c r="N105" i="21"/>
  <c r="R104" i="21"/>
  <c r="N104" i="21"/>
  <c r="Q103" i="21"/>
  <c r="M103" i="21"/>
  <c r="Q102" i="21"/>
  <c r="M102" i="21"/>
  <c r="N31" i="21"/>
  <c r="M31" i="21"/>
  <c r="Q31" i="21"/>
  <c r="R31" i="21"/>
  <c r="P31" i="21"/>
  <c r="T31" i="21"/>
  <c r="O31" i="21"/>
  <c r="S31" i="21"/>
  <c r="M136" i="21"/>
  <c r="N141" i="21"/>
  <c r="Q140" i="21"/>
  <c r="S139" i="21"/>
  <c r="N139" i="21"/>
  <c r="Q138" i="21"/>
  <c r="S136" i="21"/>
  <c r="N136" i="21"/>
  <c r="N140" i="21"/>
  <c r="N138" i="21"/>
  <c r="O141" i="21"/>
  <c r="R140" i="21"/>
  <c r="O139" i="21"/>
  <c r="R138" i="21"/>
  <c r="O136" i="21"/>
  <c r="R141" i="21"/>
  <c r="M141" i="21"/>
  <c r="C138" i="21" s="1"/>
  <c r="O140" i="21"/>
  <c r="R139" i="21"/>
  <c r="M139" i="21"/>
  <c r="O138" i="21"/>
  <c r="R136" i="21"/>
  <c r="S140" i="21"/>
  <c r="Q139" i="21"/>
  <c r="S138" i="21"/>
  <c r="Q136" i="21"/>
  <c r="M140" i="21"/>
  <c r="M138" i="21"/>
  <c r="Q141" i="21"/>
  <c r="T141" i="21"/>
  <c r="C135" i="21" s="1"/>
  <c r="P138" i="21"/>
  <c r="P140" i="21"/>
  <c r="T136" i="21"/>
  <c r="S141" i="21"/>
  <c r="C134" i="21" s="1"/>
  <c r="T138" i="21"/>
  <c r="T140" i="21"/>
  <c r="T139" i="21"/>
  <c r="P136" i="21"/>
  <c r="P139" i="21"/>
  <c r="P141" i="21"/>
  <c r="T35" i="21"/>
  <c r="P35" i="21"/>
  <c r="T34" i="21"/>
  <c r="P34" i="21"/>
  <c r="T33" i="21"/>
  <c r="P33" i="21"/>
  <c r="T32" i="21"/>
  <c r="P32" i="21"/>
  <c r="T30" i="21"/>
  <c r="P30" i="21"/>
  <c r="R34" i="21"/>
  <c r="R33" i="21"/>
  <c r="R32" i="21"/>
  <c r="R30" i="21"/>
  <c r="Q35" i="21"/>
  <c r="M34" i="21"/>
  <c r="M33" i="21"/>
  <c r="M32" i="21"/>
  <c r="M30" i="21"/>
  <c r="S35" i="21"/>
  <c r="O35" i="21"/>
  <c r="S34" i="21"/>
  <c r="O34" i="21"/>
  <c r="S33" i="21"/>
  <c r="O33" i="21"/>
  <c r="S32" i="21"/>
  <c r="O32" i="21"/>
  <c r="S30" i="21"/>
  <c r="O30" i="21"/>
  <c r="N35" i="21"/>
  <c r="N34" i="21"/>
  <c r="N33" i="21"/>
  <c r="N32" i="21"/>
  <c r="N30" i="21"/>
  <c r="M35" i="21"/>
  <c r="Q34" i="21"/>
  <c r="Q33" i="21"/>
  <c r="Q32" i="21"/>
  <c r="Q30" i="21"/>
  <c r="R35" i="21"/>
  <c r="N15" i="21"/>
  <c r="P15" i="21"/>
  <c r="M15" i="21"/>
  <c r="C18" i="21" s="1"/>
  <c r="O15" i="21"/>
  <c r="Q16" i="21"/>
  <c r="R16" i="21"/>
  <c r="T177" i="21"/>
  <c r="R177" i="21"/>
  <c r="N177" i="21"/>
  <c r="T176" i="21"/>
  <c r="R176" i="21"/>
  <c r="S175" i="21"/>
  <c r="Q175" i="21"/>
  <c r="T174" i="21"/>
  <c r="R174" i="21"/>
  <c r="N174" i="21"/>
  <c r="S173" i="21"/>
  <c r="Q173" i="21"/>
  <c r="T175" i="21"/>
  <c r="R175" i="21"/>
  <c r="S174" i="21"/>
  <c r="Q174" i="21"/>
  <c r="M174" i="21"/>
  <c r="T173" i="21"/>
  <c r="R173" i="21"/>
  <c r="S177" i="21"/>
  <c r="Q177" i="21"/>
  <c r="M177" i="21"/>
  <c r="S176" i="21"/>
  <c r="Q176" i="21"/>
  <c r="C140" i="21"/>
  <c r="M28" i="21"/>
  <c r="T16" i="21"/>
  <c r="C15" i="21" s="1"/>
  <c r="D15" i="21" s="1"/>
  <c r="P16" i="21"/>
  <c r="N16" i="21"/>
  <c r="S16" i="21"/>
  <c r="C14" i="21" s="1"/>
  <c r="D14" i="21" s="1"/>
  <c r="O16" i="21"/>
  <c r="D117" i="21"/>
  <c r="S28" i="21"/>
  <c r="P28" i="21"/>
  <c r="O28" i="21"/>
  <c r="T28" i="21"/>
  <c r="R28" i="21"/>
  <c r="Q28" i="21"/>
  <c r="N28" i="21"/>
  <c r="F129" i="21" l="1"/>
  <c r="C141" i="21"/>
  <c r="D141" i="21" s="1"/>
  <c r="D140" i="21"/>
  <c r="C20" i="21"/>
  <c r="D20" i="21" s="1"/>
  <c r="C21" i="21"/>
  <c r="D21" i="21" s="1"/>
  <c r="D18" i="21"/>
  <c r="C19" i="21" s="1"/>
  <c r="D45" i="21"/>
  <c r="D114" i="21"/>
  <c r="D115" i="21"/>
  <c r="D116" i="21"/>
  <c r="D41" i="21"/>
  <c r="D42" i="21"/>
  <c r="D40" i="21"/>
  <c r="D43" i="21"/>
  <c r="D44" i="21"/>
  <c r="D138" i="21" l="1"/>
  <c r="C139" i="21" s="1"/>
  <c r="D19" i="21"/>
  <c r="F19" i="21" s="1"/>
  <c r="G19" i="21" s="1"/>
  <c r="C17" i="21"/>
  <c r="C16" i="21"/>
  <c r="E19" i="21"/>
  <c r="D33" i="21"/>
  <c r="D132" i="21"/>
  <c r="D133" i="21"/>
  <c r="D134" i="21"/>
  <c r="D135" i="21"/>
  <c r="D146" i="21"/>
  <c r="F146" i="21"/>
  <c r="H146" i="21" s="1"/>
  <c r="D147" i="21"/>
  <c r="F147" i="21"/>
  <c r="H147" i="21" s="1"/>
  <c r="D148" i="21"/>
  <c r="F148" i="21"/>
  <c r="H148" i="21" s="1"/>
  <c r="D149" i="21"/>
  <c r="F149" i="21"/>
  <c r="H149" i="21" s="1"/>
  <c r="D150" i="21"/>
  <c r="F150" i="21"/>
  <c r="H150" i="21" s="1"/>
  <c r="D151" i="21"/>
  <c r="F151" i="21"/>
  <c r="H151" i="21" s="1"/>
  <c r="D152" i="21"/>
  <c r="F152" i="21"/>
  <c r="H152" i="21" s="1"/>
  <c r="D153" i="21"/>
  <c r="F153" i="21"/>
  <c r="H153" i="21" s="1"/>
  <c r="D154" i="21"/>
  <c r="F154" i="21"/>
  <c r="H154" i="21" s="1"/>
  <c r="D155" i="21"/>
  <c r="F155" i="21"/>
  <c r="H155" i="21" s="1"/>
  <c r="D156" i="21"/>
  <c r="F156" i="21"/>
  <c r="H156" i="21" s="1"/>
  <c r="D157" i="21"/>
  <c r="F157" i="21"/>
  <c r="H157" i="21" s="1"/>
  <c r="D158" i="21"/>
  <c r="F158" i="21"/>
  <c r="H158" i="21" s="1"/>
  <c r="D119" i="21"/>
  <c r="D118" i="21"/>
  <c r="D113" i="21"/>
  <c r="D111" i="21"/>
  <c r="D110" i="21"/>
  <c r="D100" i="21"/>
  <c r="D99" i="21"/>
  <c r="D98" i="21"/>
  <c r="F91" i="21"/>
  <c r="H91" i="21" s="1"/>
  <c r="D91" i="21"/>
  <c r="F90" i="21"/>
  <c r="H90" i="21" s="1"/>
  <c r="D90" i="21"/>
  <c r="F89" i="21"/>
  <c r="H89" i="21" s="1"/>
  <c r="D89" i="21"/>
  <c r="F88" i="21"/>
  <c r="H88" i="21" s="1"/>
  <c r="D88" i="21"/>
  <c r="F87" i="21"/>
  <c r="H87" i="21" s="1"/>
  <c r="D87" i="21"/>
  <c r="F86" i="21"/>
  <c r="H86" i="21" s="1"/>
  <c r="D86" i="21"/>
  <c r="F85" i="21"/>
  <c r="H85" i="21" s="1"/>
  <c r="D85" i="21"/>
  <c r="F84" i="21"/>
  <c r="H84" i="21" s="1"/>
  <c r="D84" i="21"/>
  <c r="F83" i="21"/>
  <c r="H83" i="21" s="1"/>
  <c r="D83" i="21"/>
  <c r="F82" i="21"/>
  <c r="H82" i="21" s="1"/>
  <c r="D82" i="21"/>
  <c r="F81" i="21"/>
  <c r="H81" i="21" s="1"/>
  <c r="D81" i="21"/>
  <c r="F80" i="21"/>
  <c r="H80" i="21" s="1"/>
  <c r="D80" i="21"/>
  <c r="D79" i="21"/>
  <c r="F79" i="21"/>
  <c r="H79" i="21" s="1"/>
  <c r="F74" i="21"/>
  <c r="H74" i="21" s="1"/>
  <c r="D74" i="21"/>
  <c r="F73" i="21"/>
  <c r="H73" i="21" s="1"/>
  <c r="D73" i="21"/>
  <c r="F72" i="21"/>
  <c r="H72" i="21" s="1"/>
  <c r="D72" i="21"/>
  <c r="F71" i="21"/>
  <c r="H71" i="21" s="1"/>
  <c r="D71" i="21"/>
  <c r="F70" i="21"/>
  <c r="H70" i="21" s="1"/>
  <c r="D70" i="21"/>
  <c r="F69" i="21"/>
  <c r="H69" i="21" s="1"/>
  <c r="D69" i="21"/>
  <c r="D68" i="21"/>
  <c r="F68" i="21"/>
  <c r="H68" i="21" s="1"/>
  <c r="F67" i="21"/>
  <c r="H67" i="21" s="1"/>
  <c r="D66" i="21"/>
  <c r="F66" i="21"/>
  <c r="H66" i="21" s="1"/>
  <c r="F65" i="21"/>
  <c r="H65" i="21" s="1"/>
  <c r="D51" i="21"/>
  <c r="D50" i="21"/>
  <c r="D49" i="21"/>
  <c r="D46" i="21"/>
  <c r="D29" i="21"/>
  <c r="C136" i="21" l="1"/>
  <c r="C137" i="21"/>
  <c r="D139" i="21"/>
  <c r="E139" i="21"/>
  <c r="F139" i="21"/>
  <c r="F52" i="21"/>
  <c r="G52" i="21" s="1"/>
  <c r="E52" i="21"/>
  <c r="D52" i="21"/>
  <c r="F16" i="21"/>
  <c r="G16" i="21" s="1"/>
  <c r="D16" i="21"/>
  <c r="E16" i="21"/>
  <c r="F17" i="21"/>
  <c r="G17" i="21" s="1"/>
  <c r="D17" i="21"/>
  <c r="E17" i="21"/>
  <c r="I146" i="21"/>
  <c r="D34" i="21"/>
  <c r="I79" i="21"/>
  <c r="I65" i="21"/>
  <c r="D28" i="21"/>
  <c r="D65" i="21"/>
  <c r="D30" i="21"/>
  <c r="D67" i="21"/>
  <c r="D112" i="21"/>
  <c r="C47" i="20"/>
  <c r="D47" i="20" s="1"/>
  <c r="D48" i="20"/>
  <c r="D49" i="20"/>
  <c r="D50" i="20"/>
  <c r="C27" i="20"/>
  <c r="D27" i="20" s="1"/>
  <c r="D29" i="20"/>
  <c r="D30" i="20"/>
  <c r="D12" i="20"/>
  <c r="D10" i="20"/>
  <c r="D11" i="20"/>
  <c r="D16" i="9"/>
  <c r="C9" i="20"/>
  <c r="D9" i="20" s="1"/>
  <c r="D60" i="20"/>
  <c r="D59" i="20"/>
  <c r="C58" i="20"/>
  <c r="C57" i="20"/>
  <c r="D57" i="20" s="1"/>
  <c r="D56" i="20"/>
  <c r="D55" i="20"/>
  <c r="C54" i="20"/>
  <c r="C53" i="20"/>
  <c r="D53" i="20" s="1"/>
  <c r="C52" i="20"/>
  <c r="C51" i="20"/>
  <c r="D40" i="20"/>
  <c r="D39" i="20"/>
  <c r="C38" i="20"/>
  <c r="C37" i="20"/>
  <c r="D37" i="20" s="1"/>
  <c r="D36" i="20"/>
  <c r="D35" i="20"/>
  <c r="C34" i="20"/>
  <c r="C33" i="20"/>
  <c r="C32" i="20"/>
  <c r="C31" i="20"/>
  <c r="D20" i="20"/>
  <c r="D19" i="20"/>
  <c r="D18" i="20"/>
  <c r="D17" i="20"/>
  <c r="C16" i="20"/>
  <c r="C15" i="20"/>
  <c r="C14" i="20"/>
  <c r="C13" i="20"/>
  <c r="D13" i="20" s="1"/>
  <c r="F137" i="21" l="1"/>
  <c r="D137" i="21"/>
  <c r="E137" i="21"/>
  <c r="E136" i="21"/>
  <c r="F136" i="21"/>
  <c r="D136" i="21"/>
  <c r="D28" i="20"/>
  <c r="D32" i="20"/>
  <c r="D14" i="20"/>
  <c r="D51" i="20"/>
  <c r="D38" i="20"/>
  <c r="D16" i="20"/>
  <c r="D52" i="20"/>
  <c r="D34" i="20"/>
  <c r="D54" i="20"/>
  <c r="D58" i="20"/>
  <c r="D31" i="20"/>
  <c r="D15" i="20"/>
  <c r="D33" i="20"/>
  <c r="O7" i="19"/>
  <c r="C12" i="10"/>
  <c r="O18" i="19" l="1"/>
  <c r="I18" i="19"/>
  <c r="J18" i="19" s="1"/>
  <c r="O16" i="19"/>
  <c r="I16" i="19"/>
  <c r="J16" i="19" s="1"/>
  <c r="O14" i="19"/>
  <c r="I14" i="19"/>
  <c r="J14" i="19" s="1"/>
  <c r="O12" i="19"/>
  <c r="K12" i="19"/>
  <c r="I12" i="19"/>
  <c r="AA76" i="19" s="1"/>
  <c r="O10" i="19"/>
  <c r="K10" i="19"/>
  <c r="I10" i="19"/>
  <c r="I8" i="19"/>
  <c r="J8" i="19" s="1"/>
  <c r="I7" i="19"/>
  <c r="J7" i="19" s="1"/>
  <c r="L16" i="19" l="1"/>
  <c r="L14" i="19"/>
  <c r="L18" i="19"/>
  <c r="L7" i="19"/>
  <c r="Z179" i="19"/>
  <c r="Z178" i="19"/>
  <c r="Z177" i="19"/>
  <c r="Z176" i="19"/>
  <c r="Z175" i="19"/>
  <c r="Z174" i="19"/>
  <c r="Z173" i="19"/>
  <c r="Z172" i="19"/>
  <c r="Z171" i="19"/>
  <c r="Z170" i="19"/>
  <c r="Z169" i="19"/>
  <c r="Z168" i="19"/>
  <c r="Z167" i="19"/>
  <c r="Z166" i="19"/>
  <c r="Z165" i="19"/>
  <c r="Z164" i="19"/>
  <c r="Z163" i="19"/>
  <c r="Z162" i="19"/>
  <c r="Z161" i="19"/>
  <c r="Z160" i="19"/>
  <c r="Z159" i="19"/>
  <c r="Z158" i="19"/>
  <c r="Z157" i="19"/>
  <c r="Z156" i="19"/>
  <c r="Z155" i="19"/>
  <c r="Z154" i="19"/>
  <c r="Z153" i="19"/>
  <c r="Z152" i="19"/>
  <c r="Z151" i="19"/>
  <c r="Z150" i="19"/>
  <c r="Z149" i="19"/>
  <c r="Z148" i="19"/>
  <c r="Z147" i="19"/>
  <c r="Z146" i="19"/>
  <c r="Z145" i="19"/>
  <c r="Z144" i="19"/>
  <c r="Z142" i="19"/>
  <c r="Z141" i="19"/>
  <c r="Z140" i="19"/>
  <c r="Z139" i="19"/>
  <c r="Z138" i="19"/>
  <c r="Z137" i="19"/>
  <c r="Z136" i="19"/>
  <c r="Z135" i="19"/>
  <c r="Z134" i="19"/>
  <c r="Z133" i="19"/>
  <c r="Z132" i="19"/>
  <c r="Z131" i="19"/>
  <c r="Z130" i="19"/>
  <c r="Z129" i="19"/>
  <c r="Z128" i="19"/>
  <c r="Z127" i="19"/>
  <c r="Z126" i="19"/>
  <c r="Z125" i="19"/>
  <c r="Z124" i="19"/>
  <c r="Z123" i="19"/>
  <c r="Z122" i="19"/>
  <c r="Z121" i="19"/>
  <c r="Z120" i="19"/>
  <c r="Z119" i="19"/>
  <c r="Z118" i="19"/>
  <c r="Z117" i="19"/>
  <c r="Z116" i="19"/>
  <c r="Z115" i="19"/>
  <c r="Z114" i="19"/>
  <c r="Z113" i="19"/>
  <c r="Z112" i="19"/>
  <c r="Z110" i="19"/>
  <c r="Z109" i="19"/>
  <c r="Z108" i="19"/>
  <c r="Z107" i="19"/>
  <c r="Z106" i="19"/>
  <c r="Z105" i="19"/>
  <c r="Z104" i="19"/>
  <c r="Z103" i="19"/>
  <c r="Z102" i="19"/>
  <c r="Z101" i="19"/>
  <c r="Z100" i="19"/>
  <c r="Z99" i="19"/>
  <c r="Z98" i="19"/>
  <c r="Z97" i="19"/>
  <c r="Z96" i="19"/>
  <c r="Z95" i="19"/>
  <c r="Z94" i="19"/>
  <c r="Z93" i="19"/>
  <c r="AA73" i="19"/>
  <c r="AA74" i="19"/>
  <c r="AA75" i="19"/>
  <c r="Z85" i="19"/>
  <c r="Z86" i="19"/>
  <c r="Z87" i="19"/>
  <c r="Z88" i="19"/>
  <c r="Z89" i="19"/>
  <c r="Z90" i="19"/>
  <c r="Z91" i="19"/>
  <c r="Z92" i="19"/>
  <c r="K7" i="19" l="1"/>
  <c r="N7" i="19"/>
  <c r="N18" i="19"/>
  <c r="K18" i="19"/>
  <c r="K14" i="19"/>
  <c r="N14" i="19"/>
  <c r="K16" i="19"/>
  <c r="N16" i="19"/>
  <c r="D134" i="12"/>
  <c r="D133" i="12"/>
  <c r="D132" i="12"/>
  <c r="D131" i="12"/>
  <c r="D130" i="12"/>
  <c r="D129" i="12"/>
  <c r="D128" i="12"/>
  <c r="D127" i="12"/>
  <c r="D126" i="12"/>
  <c r="D125" i="12"/>
  <c r="D124" i="12"/>
  <c r="D123" i="12"/>
  <c r="D122" i="12"/>
  <c r="D121" i="12"/>
  <c r="D120" i="12"/>
  <c r="D119" i="12"/>
  <c r="D118" i="12"/>
  <c r="D117" i="12"/>
  <c r="D116" i="12"/>
  <c r="D115" i="12"/>
  <c r="D114" i="12"/>
  <c r="D113" i="12"/>
  <c r="D112" i="12"/>
  <c r="D111" i="12"/>
  <c r="D110" i="12"/>
  <c r="D109" i="12"/>
  <c r="D108" i="12"/>
  <c r="D107" i="12"/>
  <c r="D106" i="12"/>
  <c r="D105" i="12"/>
  <c r="D104" i="12"/>
  <c r="D103" i="12"/>
  <c r="D102" i="12"/>
  <c r="D101" i="12"/>
  <c r="D100" i="12"/>
  <c r="D99" i="12"/>
  <c r="D98" i="12"/>
  <c r="D97" i="12"/>
  <c r="D96" i="12"/>
  <c r="D95" i="12"/>
  <c r="D94" i="12"/>
  <c r="D93" i="12"/>
  <c r="D140" i="12"/>
  <c r="D141" i="12"/>
  <c r="D142" i="12"/>
  <c r="C26" i="12" l="1"/>
  <c r="C25" i="12"/>
  <c r="D25" i="12" s="1"/>
  <c r="E25" i="12" s="1"/>
  <c r="F24" i="12"/>
  <c r="O16" i="12"/>
  <c r="C11" i="12"/>
  <c r="C10" i="12"/>
  <c r="F9" i="12"/>
  <c r="C12" i="5" l="1"/>
  <c r="C11" i="5"/>
  <c r="D189" i="2" l="1"/>
  <c r="D192" i="2"/>
  <c r="D180" i="2"/>
  <c r="D182" i="2"/>
  <c r="D183" i="2"/>
  <c r="D179" i="2"/>
  <c r="D176" i="2"/>
  <c r="D177" i="2"/>
  <c r="D170" i="2"/>
  <c r="C36" i="8"/>
  <c r="C35" i="8"/>
  <c r="C29" i="8"/>
  <c r="C28" i="8"/>
  <c r="C40" i="8"/>
  <c r="D39" i="8"/>
  <c r="D38" i="8"/>
  <c r="D37" i="8"/>
  <c r="D34" i="8"/>
  <c r="D33" i="8"/>
  <c r="C32" i="8"/>
  <c r="D31" i="8"/>
  <c r="D30" i="8"/>
  <c r="C87" i="5"/>
  <c r="D87" i="5" s="1"/>
  <c r="C85" i="5"/>
  <c r="D85" i="5" s="1"/>
  <c r="C72" i="5"/>
  <c r="D72" i="5" s="1"/>
  <c r="C70" i="5"/>
  <c r="D70" i="5" s="1"/>
  <c r="C57" i="5"/>
  <c r="D57" i="5" s="1"/>
  <c r="C55" i="5"/>
  <c r="D55" i="5" s="1"/>
  <c r="C42" i="5"/>
  <c r="D42" i="5" s="1"/>
  <c r="C40" i="5"/>
  <c r="D40" i="5" s="1"/>
  <c r="C27" i="5"/>
  <c r="D27" i="5" s="1"/>
  <c r="C25" i="5"/>
  <c r="D25" i="5" s="1"/>
  <c r="D28" i="8" l="1"/>
  <c r="D29" i="8"/>
  <c r="D32" i="8"/>
  <c r="D35" i="8"/>
  <c r="D36" i="8"/>
  <c r="D40" i="8"/>
  <c r="D81" i="2"/>
  <c r="D25" i="3"/>
  <c r="D24" i="3"/>
  <c r="D23" i="3"/>
  <c r="D22" i="3"/>
  <c r="D20" i="3"/>
  <c r="D17" i="3"/>
  <c r="D16" i="3"/>
  <c r="D14" i="3"/>
  <c r="D13" i="3"/>
  <c r="D12" i="3"/>
  <c r="D11" i="3"/>
  <c r="D10" i="3"/>
  <c r="D9" i="3"/>
  <c r="D8" i="3"/>
  <c r="D7" i="3"/>
  <c r="D6" i="3"/>
  <c r="D159" i="2"/>
  <c r="D160" i="2"/>
  <c r="D161" i="2"/>
  <c r="D162" i="2"/>
  <c r="D37" i="17"/>
  <c r="D38" i="17"/>
  <c r="D39" i="17"/>
  <c r="D20" i="17"/>
  <c r="D19" i="17"/>
  <c r="D40" i="17"/>
  <c r="D36" i="17"/>
  <c r="D7" i="17"/>
  <c r="D6" i="17"/>
  <c r="D27" i="17"/>
  <c r="D26" i="17"/>
  <c r="D25" i="17"/>
  <c r="D24" i="17"/>
  <c r="D21" i="17"/>
  <c r="D18" i="17"/>
  <c r="D17" i="17"/>
  <c r="D16" i="17"/>
  <c r="D15" i="17"/>
  <c r="D14" i="17"/>
  <c r="C52" i="8"/>
  <c r="D52" i="8" s="1"/>
  <c r="D113" i="9"/>
  <c r="D112" i="9"/>
  <c r="D108" i="9"/>
  <c r="D107" i="9"/>
  <c r="D106" i="9"/>
  <c r="D105" i="9"/>
  <c r="D94" i="9"/>
  <c r="D93" i="9"/>
  <c r="D92" i="9"/>
  <c r="D91" i="9"/>
  <c r="D73" i="9"/>
  <c r="D72" i="9"/>
  <c r="D59" i="9"/>
  <c r="D58" i="9"/>
  <c r="D61" i="9"/>
  <c r="D60" i="9"/>
  <c r="D80" i="9"/>
  <c r="D79" i="9"/>
  <c r="D98" i="9"/>
  <c r="D97" i="9"/>
  <c r="D65" i="9"/>
  <c r="D75" i="9"/>
  <c r="D74" i="9"/>
  <c r="D64" i="9"/>
  <c r="D24" i="9"/>
  <c r="D117" i="9"/>
  <c r="D116" i="9"/>
  <c r="D115" i="9"/>
  <c r="D114" i="9"/>
  <c r="D111" i="9"/>
  <c r="D110" i="9"/>
  <c r="D109" i="9"/>
  <c r="D100" i="9"/>
  <c r="D99" i="9"/>
  <c r="D96" i="9"/>
  <c r="D95" i="9"/>
  <c r="D84" i="9"/>
  <c r="D83" i="9"/>
  <c r="D82" i="9"/>
  <c r="D81" i="9"/>
  <c r="D78" i="9"/>
  <c r="D77" i="9"/>
  <c r="D76" i="9"/>
  <c r="D67" i="9"/>
  <c r="D66" i="9"/>
  <c r="D63" i="9"/>
  <c r="D62" i="9"/>
  <c r="D45" i="9"/>
  <c r="D44" i="9"/>
  <c r="D43" i="9"/>
  <c r="D42" i="9"/>
  <c r="D41" i="9"/>
  <c r="D40" i="9"/>
  <c r="D39" i="9"/>
  <c r="D38" i="9"/>
  <c r="D37" i="9"/>
  <c r="D36" i="9"/>
  <c r="D31" i="9"/>
  <c r="D30" i="9"/>
  <c r="D29" i="9"/>
  <c r="D28" i="9"/>
  <c r="D27" i="9"/>
  <c r="D26" i="9"/>
  <c r="D25" i="9"/>
  <c r="D17" i="9"/>
  <c r="D15" i="9"/>
  <c r="D14" i="9"/>
  <c r="D13" i="9"/>
  <c r="D12" i="9"/>
  <c r="D10" i="9"/>
  <c r="D150" i="2"/>
  <c r="D151" i="2"/>
  <c r="D152" i="2"/>
  <c r="D153" i="2"/>
  <c r="D154" i="2"/>
  <c r="D155" i="2"/>
  <c r="D163" i="2"/>
  <c r="D158" i="2"/>
  <c r="D157" i="2"/>
  <c r="D156" i="2"/>
  <c r="D149" i="2"/>
  <c r="D148" i="2"/>
  <c r="C45" i="14"/>
  <c r="C41" i="14"/>
  <c r="C36" i="14"/>
  <c r="C29" i="14"/>
  <c r="C31" i="14"/>
  <c r="C47" i="14"/>
  <c r="C46" i="14"/>
  <c r="C37" i="14"/>
  <c r="C38" i="14"/>
  <c r="C39" i="14"/>
  <c r="C40" i="14"/>
  <c r="C42" i="14"/>
  <c r="C26" i="14"/>
  <c r="C27" i="14"/>
  <c r="C28" i="14"/>
  <c r="C30" i="14"/>
  <c r="C32" i="14"/>
  <c r="C33" i="14"/>
  <c r="C25" i="14"/>
  <c r="C15" i="15"/>
  <c r="F15" i="15" s="1"/>
  <c r="C16" i="15"/>
  <c r="D16" i="15" s="1"/>
  <c r="C17" i="15"/>
  <c r="E17" i="15" s="1"/>
  <c r="C12" i="15"/>
  <c r="D12" i="15" s="1"/>
  <c r="C13" i="15"/>
  <c r="D13" i="15" s="1"/>
  <c r="C7" i="15"/>
  <c r="D7" i="15" s="1"/>
  <c r="C93" i="15"/>
  <c r="D93" i="15" s="1"/>
  <c r="D92" i="15"/>
  <c r="E77" i="15"/>
  <c r="C77" i="15"/>
  <c r="D77" i="15" s="1"/>
  <c r="E66" i="15"/>
  <c r="C66" i="15"/>
  <c r="D66" i="15" s="1"/>
  <c r="E44" i="15"/>
  <c r="C44" i="15"/>
  <c r="D44" i="15" s="1"/>
  <c r="E36" i="15"/>
  <c r="C36" i="15"/>
  <c r="D36" i="15" s="1"/>
  <c r="E8" i="2"/>
  <c r="E10" i="2" s="1"/>
  <c r="C119" i="10"/>
  <c r="D119" i="10" s="1"/>
  <c r="C118" i="10"/>
  <c r="D118" i="10" s="1"/>
  <c r="C117" i="10"/>
  <c r="D117" i="10" s="1"/>
  <c r="C116" i="10"/>
  <c r="D116" i="10" s="1"/>
  <c r="D105" i="18"/>
  <c r="D106" i="18"/>
  <c r="D107" i="18"/>
  <c r="D108" i="18"/>
  <c r="D109" i="18"/>
  <c r="D98" i="18"/>
  <c r="D99" i="18"/>
  <c r="D100" i="18"/>
  <c r="D101" i="18"/>
  <c r="D94" i="18"/>
  <c r="D95" i="18"/>
  <c r="D96" i="18"/>
  <c r="D97" i="18"/>
  <c r="D102" i="18"/>
  <c r="D93" i="18"/>
  <c r="D84" i="18"/>
  <c r="D72" i="18"/>
  <c r="D65" i="18"/>
  <c r="D55" i="18"/>
  <c r="D45" i="18"/>
  <c r="D38" i="18"/>
  <c r="D29" i="18"/>
  <c r="D22" i="18"/>
  <c r="D14" i="18"/>
  <c r="D6" i="18"/>
  <c r="C28" i="7"/>
  <c r="D28" i="7" s="1"/>
  <c r="C27" i="7"/>
  <c r="D27" i="7" s="1"/>
  <c r="C25" i="7"/>
  <c r="D25" i="7" s="1"/>
  <c r="C24" i="7"/>
  <c r="D24" i="7" s="1"/>
  <c r="C23" i="7"/>
  <c r="D23" i="7" s="1"/>
  <c r="D26" i="7"/>
  <c r="C65" i="7"/>
  <c r="D65" i="7" s="1"/>
  <c r="C64" i="7"/>
  <c r="D64" i="7" s="1"/>
  <c r="C63" i="7"/>
  <c r="D63" i="7" s="1"/>
  <c r="C62" i="7"/>
  <c r="D62" i="7" s="1"/>
  <c r="C61" i="7"/>
  <c r="D61" i="7" s="1"/>
  <c r="D66" i="7"/>
  <c r="D68" i="7"/>
  <c r="D82" i="15"/>
  <c r="D81" i="15"/>
  <c r="D65" i="13"/>
  <c r="D64" i="13"/>
  <c r="K25" i="13"/>
  <c r="K24" i="13"/>
  <c r="D103" i="5"/>
  <c r="D102" i="5"/>
  <c r="D89" i="5"/>
  <c r="C88" i="5"/>
  <c r="D88" i="5" s="1"/>
  <c r="C86" i="5"/>
  <c r="D86" i="5" s="1"/>
  <c r="C84" i="5"/>
  <c r="D84" i="5" s="1"/>
  <c r="D90" i="5"/>
  <c r="D91" i="5"/>
  <c r="D92" i="5"/>
  <c r="D93" i="5"/>
  <c r="D94" i="5"/>
  <c r="D83" i="4"/>
  <c r="D84" i="4"/>
  <c r="D85" i="4"/>
  <c r="D232" i="2"/>
  <c r="D231" i="2"/>
  <c r="D230" i="2"/>
  <c r="D229" i="2"/>
  <c r="D228" i="2"/>
  <c r="D227" i="2"/>
  <c r="D226" i="2"/>
  <c r="D225" i="2"/>
  <c r="D224" i="2"/>
  <c r="D223" i="2"/>
  <c r="D222" i="2"/>
  <c r="D221" i="2"/>
  <c r="D220" i="2"/>
  <c r="D213" i="2"/>
  <c r="D212" i="2"/>
  <c r="D211" i="2"/>
  <c r="D210" i="2"/>
  <c r="D209" i="2"/>
  <c r="D208" i="2"/>
  <c r="D207" i="2"/>
  <c r="D206" i="2"/>
  <c r="D190" i="2"/>
  <c r="D178" i="2"/>
  <c r="D169" i="2"/>
  <c r="D141" i="2"/>
  <c r="D140" i="2"/>
  <c r="D139" i="2"/>
  <c r="D138" i="2"/>
  <c r="D137" i="2"/>
  <c r="D136" i="2"/>
  <c r="D135" i="2"/>
  <c r="D134" i="2"/>
  <c r="D133" i="2"/>
  <c r="D132" i="2"/>
  <c r="D131" i="2"/>
  <c r="D130" i="2"/>
  <c r="D129" i="2"/>
  <c r="D128" i="2"/>
  <c r="D127" i="2"/>
  <c r="D126" i="2"/>
  <c r="D125" i="2"/>
  <c r="D124" i="2"/>
  <c r="D123" i="2"/>
  <c r="D122" i="2"/>
  <c r="D121" i="2"/>
  <c r="D120" i="2"/>
  <c r="D119" i="2"/>
  <c r="D118" i="2"/>
  <c r="D117" i="2"/>
  <c r="D116" i="2"/>
  <c r="D115" i="2"/>
  <c r="D114" i="2"/>
  <c r="D113" i="2"/>
  <c r="D112" i="2"/>
  <c r="D111" i="2"/>
  <c r="D110" i="2"/>
  <c r="D109" i="2"/>
  <c r="D108" i="2"/>
  <c r="D107" i="2"/>
  <c r="D106" i="2"/>
  <c r="D105" i="2"/>
  <c r="D104" i="2"/>
  <c r="D103" i="2"/>
  <c r="D102" i="2"/>
  <c r="D101" i="2"/>
  <c r="D100" i="2"/>
  <c r="D99" i="2"/>
  <c r="D91" i="2"/>
  <c r="D90" i="2"/>
  <c r="D88" i="2"/>
  <c r="D87" i="2"/>
  <c r="D82" i="2"/>
  <c r="D80" i="2"/>
  <c r="D79" i="2"/>
  <c r="D78" i="2"/>
  <c r="D77" i="2"/>
  <c r="D76" i="2"/>
  <c r="D75" i="2"/>
  <c r="D74" i="2"/>
  <c r="D73" i="2"/>
  <c r="D72" i="2"/>
  <c r="D71" i="2"/>
  <c r="D70" i="2"/>
  <c r="D69" i="2"/>
  <c r="D68" i="2"/>
  <c r="D67" i="2"/>
  <c r="AD8" i="11"/>
  <c r="AC8" i="11"/>
  <c r="AD5" i="11"/>
  <c r="Z15" i="11"/>
  <c r="Z16" i="11"/>
  <c r="Z17" i="11"/>
  <c r="AC5" i="11"/>
  <c r="S15" i="11"/>
  <c r="S16" i="11"/>
  <c r="S17" i="11"/>
  <c r="E15" i="11"/>
  <c r="L15" i="11"/>
  <c r="C10" i="11"/>
  <c r="E29" i="11" s="1"/>
  <c r="C36" i="11"/>
  <c r="C33" i="11"/>
  <c r="C35" i="11"/>
  <c r="C34" i="11"/>
  <c r="X27" i="11"/>
  <c r="X26" i="11"/>
  <c r="X25" i="11"/>
  <c r="X24" i="11"/>
  <c r="X23" i="11"/>
  <c r="X22" i="11"/>
  <c r="X21" i="11"/>
  <c r="X20" i="11"/>
  <c r="Q27" i="11"/>
  <c r="Q26" i="11"/>
  <c r="Q25" i="11"/>
  <c r="Q24" i="11"/>
  <c r="Q23" i="11"/>
  <c r="Q22" i="11"/>
  <c r="Q21" i="11"/>
  <c r="Q20" i="11"/>
  <c r="J27" i="11"/>
  <c r="J26" i="11"/>
  <c r="J25" i="11"/>
  <c r="J24" i="11"/>
  <c r="J23" i="11"/>
  <c r="J22" i="11"/>
  <c r="J21" i="11"/>
  <c r="J20" i="11"/>
  <c r="C27" i="11"/>
  <c r="C26" i="11"/>
  <c r="C25" i="11"/>
  <c r="C24" i="11"/>
  <c r="C23" i="11"/>
  <c r="C22" i="11"/>
  <c r="C21" i="11"/>
  <c r="C20" i="11"/>
  <c r="C32" i="11"/>
  <c r="C31" i="11"/>
  <c r="C30" i="11"/>
  <c r="C29" i="11"/>
  <c r="C7" i="16"/>
  <c r="E26" i="16" s="1"/>
  <c r="L19" i="16"/>
  <c r="L20" i="16"/>
  <c r="L22" i="16"/>
  <c r="L23" i="16"/>
  <c r="E25" i="16"/>
  <c r="S19" i="16"/>
  <c r="S20" i="16"/>
  <c r="S22" i="16"/>
  <c r="E19" i="16"/>
  <c r="E20" i="16"/>
  <c r="W11" i="16"/>
  <c r="Z11" i="16"/>
  <c r="Z12" i="16"/>
  <c r="Z13" i="16"/>
  <c r="Z14" i="16"/>
  <c r="Z15" i="16"/>
  <c r="E11" i="16"/>
  <c r="B11" i="16"/>
  <c r="C11" i="16" s="1"/>
  <c r="E12" i="16"/>
  <c r="E13" i="16"/>
  <c r="E14" i="16"/>
  <c r="E15" i="16"/>
  <c r="E16" i="16"/>
  <c r="E17" i="16"/>
  <c r="L11" i="16"/>
  <c r="I11" i="16"/>
  <c r="L12" i="16"/>
  <c r="L13" i="16"/>
  <c r="L14" i="16"/>
  <c r="L15" i="16"/>
  <c r="L16" i="16"/>
  <c r="S11" i="16"/>
  <c r="P11" i="16"/>
  <c r="S12" i="16"/>
  <c r="S13" i="16"/>
  <c r="S14" i="16"/>
  <c r="S15" i="16"/>
  <c r="S16" i="16"/>
  <c r="S17" i="16"/>
  <c r="C25" i="16"/>
  <c r="C26" i="16"/>
  <c r="C27" i="16"/>
  <c r="C28" i="16"/>
  <c r="C29" i="16"/>
  <c r="C32" i="16"/>
  <c r="C30" i="16"/>
  <c r="C31" i="16"/>
  <c r="D114" i="10"/>
  <c r="D115" i="10"/>
  <c r="D120" i="10"/>
  <c r="D121" i="10"/>
  <c r="D122" i="10"/>
  <c r="D123" i="10"/>
  <c r="D124" i="10"/>
  <c r="D125" i="10"/>
  <c r="D126" i="10"/>
  <c r="D127" i="10"/>
  <c r="D113" i="10"/>
  <c r="C82" i="10"/>
  <c r="D82" i="10" s="1"/>
  <c r="C83" i="10"/>
  <c r="C84" i="10"/>
  <c r="D84" i="10" s="1"/>
  <c r="C85" i="10"/>
  <c r="D85" i="10" s="1"/>
  <c r="C86" i="10"/>
  <c r="D86" i="10" s="1"/>
  <c r="C87" i="10"/>
  <c r="C66" i="10"/>
  <c r="D66" i="10" s="1"/>
  <c r="C67" i="10"/>
  <c r="D67" i="10" s="1"/>
  <c r="C68" i="10"/>
  <c r="D68" i="10" s="1"/>
  <c r="C69" i="10"/>
  <c r="D69" i="10" s="1"/>
  <c r="C70" i="10"/>
  <c r="C41" i="10"/>
  <c r="D41" i="10" s="1"/>
  <c r="C40" i="10"/>
  <c r="D40" i="10" s="1"/>
  <c r="C39" i="10"/>
  <c r="D39" i="10" s="1"/>
  <c r="C38" i="10"/>
  <c r="D38" i="10" s="1"/>
  <c r="D137" i="10"/>
  <c r="C136" i="10"/>
  <c r="D136" i="10" s="1"/>
  <c r="C135" i="10"/>
  <c r="D135" i="10" s="1"/>
  <c r="C134" i="10"/>
  <c r="D134" i="10" s="1"/>
  <c r="C133" i="10"/>
  <c r="D133" i="10" s="1"/>
  <c r="C132" i="10"/>
  <c r="D132" i="10" s="1"/>
  <c r="C101" i="10"/>
  <c r="D101" i="10" s="1"/>
  <c r="C100" i="10"/>
  <c r="D100" i="10" s="1"/>
  <c r="C99" i="10"/>
  <c r="D99" i="10" s="1"/>
  <c r="C98" i="10"/>
  <c r="D98" i="10" s="1"/>
  <c r="D108" i="10"/>
  <c r="D107" i="10"/>
  <c r="D106" i="10"/>
  <c r="D105" i="10"/>
  <c r="D104" i="10"/>
  <c r="D103" i="10"/>
  <c r="D102" i="10"/>
  <c r="D93" i="10"/>
  <c r="D92" i="10"/>
  <c r="D90" i="10"/>
  <c r="D89" i="10"/>
  <c r="D88" i="10"/>
  <c r="D141" i="10"/>
  <c r="D142" i="10"/>
  <c r="D144" i="10"/>
  <c r="D145" i="10"/>
  <c r="C48" i="7"/>
  <c r="D48" i="7" s="1"/>
  <c r="C47" i="7"/>
  <c r="D47" i="7" s="1"/>
  <c r="C46" i="7"/>
  <c r="D46" i="7" s="1"/>
  <c r="C44" i="7"/>
  <c r="D44" i="7" s="1"/>
  <c r="C43" i="7"/>
  <c r="D43" i="7" s="1"/>
  <c r="C42" i="7"/>
  <c r="D42" i="7" s="1"/>
  <c r="C41" i="7"/>
  <c r="D41" i="7" s="1"/>
  <c r="C12" i="7"/>
  <c r="D12" i="7" s="1"/>
  <c r="C11" i="7"/>
  <c r="D11" i="7" s="1"/>
  <c r="C10" i="7"/>
  <c r="D10" i="7" s="1"/>
  <c r="C9" i="7"/>
  <c r="D9" i="7" s="1"/>
  <c r="D140" i="10"/>
  <c r="D139" i="10"/>
  <c r="D138" i="10"/>
  <c r="D190" i="10"/>
  <c r="D191" i="10"/>
  <c r="D192" i="10"/>
  <c r="D193" i="10"/>
  <c r="D194" i="10"/>
  <c r="D195" i="10"/>
  <c r="D196" i="10"/>
  <c r="D197" i="10"/>
  <c r="D189" i="10"/>
  <c r="D186" i="10"/>
  <c r="D185" i="10"/>
  <c r="C54" i="10"/>
  <c r="D54" i="10" s="1"/>
  <c r="C53" i="10"/>
  <c r="D53" i="10" s="1"/>
  <c r="C52" i="10"/>
  <c r="C51" i="10"/>
  <c r="D51" i="10" s="1"/>
  <c r="C50" i="10"/>
  <c r="C26" i="10"/>
  <c r="D26" i="10" s="1"/>
  <c r="C25" i="10"/>
  <c r="D25" i="10" s="1"/>
  <c r="C24" i="10"/>
  <c r="D24" i="10" s="1"/>
  <c r="C23" i="10"/>
  <c r="D23" i="10" s="1"/>
  <c r="C11" i="10"/>
  <c r="D11" i="10" s="1"/>
  <c r="C9" i="10"/>
  <c r="D9" i="10" s="1"/>
  <c r="D58" i="10"/>
  <c r="D57" i="10"/>
  <c r="D56" i="10"/>
  <c r="D55" i="10"/>
  <c r="D30" i="10"/>
  <c r="D29" i="10"/>
  <c r="D28" i="10"/>
  <c r="D27" i="10"/>
  <c r="D16" i="10"/>
  <c r="D14" i="10"/>
  <c r="D13" i="10"/>
  <c r="D12" i="10"/>
  <c r="D63" i="4"/>
  <c r="C68" i="6"/>
  <c r="D68" i="6" s="1"/>
  <c r="C66" i="6"/>
  <c r="D66" i="6" s="1"/>
  <c r="C70" i="6"/>
  <c r="D70" i="6" s="1"/>
  <c r="C69" i="6"/>
  <c r="D69" i="6" s="1"/>
  <c r="C67" i="6"/>
  <c r="D67" i="6" s="1"/>
  <c r="C65" i="6"/>
  <c r="D65" i="6" s="1"/>
  <c r="C49" i="6"/>
  <c r="D49" i="6" s="1"/>
  <c r="C47" i="6"/>
  <c r="D47" i="6" s="1"/>
  <c r="C50" i="6"/>
  <c r="D50" i="6" s="1"/>
  <c r="C48" i="6"/>
  <c r="D48" i="6" s="1"/>
  <c r="C46" i="6"/>
  <c r="D46" i="6" s="1"/>
  <c r="C32" i="6"/>
  <c r="D32" i="6" s="1"/>
  <c r="C30" i="6"/>
  <c r="D30" i="6" s="1"/>
  <c r="C33" i="6"/>
  <c r="D33" i="6" s="1"/>
  <c r="C31" i="6"/>
  <c r="D31" i="6" s="1"/>
  <c r="C29" i="6"/>
  <c r="D29" i="6" s="1"/>
  <c r="C11" i="6"/>
  <c r="D11" i="6" s="1"/>
  <c r="C9" i="6"/>
  <c r="D9" i="6" s="1"/>
  <c r="C10" i="6"/>
  <c r="D10" i="6" s="1"/>
  <c r="C8" i="6"/>
  <c r="D8" i="6" s="1"/>
  <c r="D40" i="4"/>
  <c r="D39" i="4"/>
  <c r="D38" i="4"/>
  <c r="D42" i="4"/>
  <c r="D41" i="4"/>
  <c r="C74" i="5"/>
  <c r="D74" i="5" s="1"/>
  <c r="C73" i="5"/>
  <c r="D73" i="5" s="1"/>
  <c r="C71" i="5"/>
  <c r="D71" i="5" s="1"/>
  <c r="C69" i="5"/>
  <c r="D69" i="5" s="1"/>
  <c r="C58" i="5"/>
  <c r="D58" i="5" s="1"/>
  <c r="C56" i="5"/>
  <c r="D56" i="5" s="1"/>
  <c r="C54" i="5"/>
  <c r="D54" i="5" s="1"/>
  <c r="C43" i="5"/>
  <c r="D43" i="5" s="1"/>
  <c r="C41" i="5"/>
  <c r="D41" i="5" s="1"/>
  <c r="C39" i="5"/>
  <c r="D39" i="5" s="1"/>
  <c r="C26" i="5"/>
  <c r="D26" i="5" s="1"/>
  <c r="C24" i="5"/>
  <c r="D24" i="5" s="1"/>
  <c r="F26" i="12"/>
  <c r="D26" i="12"/>
  <c r="F10" i="12"/>
  <c r="F11" i="12"/>
  <c r="F12" i="12"/>
  <c r="C12" i="12" s="1"/>
  <c r="D12" i="12" s="1"/>
  <c r="E12" i="12" s="1"/>
  <c r="D10" i="12"/>
  <c r="D11" i="12"/>
  <c r="C56" i="8"/>
  <c r="D56" i="8" s="1"/>
  <c r="C55" i="8"/>
  <c r="C49" i="8"/>
  <c r="D49" i="8" s="1"/>
  <c r="C48" i="8"/>
  <c r="D48" i="8" s="1"/>
  <c r="C16" i="8"/>
  <c r="D16" i="8" s="1"/>
  <c r="C15" i="8"/>
  <c r="C10" i="8"/>
  <c r="D10" i="8" s="1"/>
  <c r="C9" i="8"/>
  <c r="D9" i="8" s="1"/>
  <c r="C60" i="8"/>
  <c r="D60" i="8" s="1"/>
  <c r="D43" i="12"/>
  <c r="D42" i="12"/>
  <c r="D79" i="15"/>
  <c r="D78" i="15"/>
  <c r="D75" i="15"/>
  <c r="D74" i="15"/>
  <c r="D73" i="15"/>
  <c r="C72" i="15"/>
  <c r="D72" i="15" s="1"/>
  <c r="D64" i="15"/>
  <c r="D63" i="15"/>
  <c r="D62" i="15"/>
  <c r="C61" i="15"/>
  <c r="D61" i="15" s="1"/>
  <c r="D51" i="15"/>
  <c r="D50" i="15"/>
  <c r="C43" i="15"/>
  <c r="D43" i="15" s="1"/>
  <c r="D49" i="15"/>
  <c r="D48" i="15"/>
  <c r="D47" i="15"/>
  <c r="D46" i="15"/>
  <c r="D45" i="15"/>
  <c r="D35" i="15"/>
  <c r="C28" i="15"/>
  <c r="D28" i="15" s="1"/>
  <c r="D34" i="15"/>
  <c r="D33" i="15"/>
  <c r="D32" i="15"/>
  <c r="D31" i="15"/>
  <c r="D30" i="15"/>
  <c r="D29" i="15"/>
  <c r="D8" i="15"/>
  <c r="D9" i="15"/>
  <c r="D10" i="15"/>
  <c r="D11" i="15"/>
  <c r="D14" i="15"/>
  <c r="D50" i="4"/>
  <c r="D27" i="4"/>
  <c r="D26" i="4"/>
  <c r="D25" i="4"/>
  <c r="D24" i="4"/>
  <c r="D14" i="4"/>
  <c r="D13" i="4"/>
  <c r="D12" i="4"/>
  <c r="D11" i="4"/>
  <c r="D71" i="6"/>
  <c r="D72" i="6"/>
  <c r="D73" i="6"/>
  <c r="D74" i="6"/>
  <c r="D75" i="6"/>
  <c r="D76" i="6"/>
  <c r="D77" i="6"/>
  <c r="D78" i="6"/>
  <c r="D76" i="5"/>
  <c r="D77" i="5"/>
  <c r="D78" i="5"/>
  <c r="D75" i="5"/>
  <c r="D51" i="6"/>
  <c r="D52" i="6"/>
  <c r="D53" i="6"/>
  <c r="D54" i="6"/>
  <c r="D55" i="6"/>
  <c r="D56" i="6"/>
  <c r="D57" i="6"/>
  <c r="D58" i="6"/>
  <c r="D39" i="6"/>
  <c r="D38" i="6"/>
  <c r="D37" i="6"/>
  <c r="D36" i="6"/>
  <c r="D35" i="6"/>
  <c r="D34" i="6"/>
  <c r="D17" i="6"/>
  <c r="D16" i="6"/>
  <c r="D15" i="6"/>
  <c r="D14" i="6"/>
  <c r="D13" i="6"/>
  <c r="D12" i="6"/>
  <c r="D59" i="5"/>
  <c r="D60" i="5"/>
  <c r="D61" i="5"/>
  <c r="D62" i="5"/>
  <c r="D44" i="5"/>
  <c r="D45" i="5"/>
  <c r="D46" i="5"/>
  <c r="D47" i="5"/>
  <c r="D28" i="5"/>
  <c r="D29" i="5"/>
  <c r="D30" i="5"/>
  <c r="D31" i="5"/>
  <c r="D11" i="5"/>
  <c r="D12" i="5"/>
  <c r="D13" i="5"/>
  <c r="D14" i="5"/>
  <c r="D15" i="5"/>
  <c r="D16" i="5"/>
  <c r="C20" i="8"/>
  <c r="D20" i="8" s="1"/>
  <c r="D57" i="8"/>
  <c r="D58" i="8"/>
  <c r="D59" i="8"/>
  <c r="D50" i="8"/>
  <c r="D51" i="8"/>
  <c r="D53" i="8"/>
  <c r="D54" i="8"/>
  <c r="D55" i="8"/>
  <c r="D12" i="8"/>
  <c r="D17" i="8"/>
  <c r="D18" i="8"/>
  <c r="D19" i="8"/>
  <c r="D11" i="8"/>
  <c r="D13" i="8"/>
  <c r="D14" i="8"/>
  <c r="D15" i="8"/>
  <c r="D77" i="4"/>
  <c r="D64" i="4"/>
  <c r="D55" i="4"/>
  <c r="D54" i="4"/>
  <c r="D53" i="4"/>
  <c r="D52" i="4"/>
  <c r="D29" i="4"/>
  <c r="D28" i="4"/>
  <c r="D15" i="4"/>
  <c r="D16" i="4"/>
  <c r="D51" i="4"/>
  <c r="D37" i="4"/>
  <c r="C8" i="2" l="1"/>
  <c r="E36" i="11"/>
  <c r="E33" i="11"/>
  <c r="E35" i="11" s="1"/>
  <c r="F93" i="15"/>
  <c r="G93" i="15" s="1"/>
  <c r="D15" i="15"/>
  <c r="E30" i="11"/>
  <c r="E31" i="16"/>
  <c r="E30" i="16" s="1"/>
  <c r="E32" i="16"/>
  <c r="E15" i="15"/>
  <c r="G15" i="15" s="1"/>
  <c r="F17" i="15"/>
  <c r="G17" i="15" s="1"/>
  <c r="E16" i="15"/>
  <c r="F16" i="15"/>
  <c r="D17" i="15"/>
  <c r="D50" i="10"/>
  <c r="D52" i="10"/>
  <c r="D83" i="10"/>
  <c r="D87" i="10"/>
  <c r="G12" i="12"/>
  <c r="C9" i="2" l="1"/>
  <c r="D9" i="2" s="1"/>
  <c r="C10" i="2"/>
  <c r="D10" i="2" s="1"/>
  <c r="C11" i="2"/>
  <c r="D11" i="2" s="1"/>
  <c r="D8" i="2"/>
  <c r="G16" i="15"/>
  <c r="G24" i="12"/>
  <c r="G25" i="12"/>
  <c r="H117" i="12"/>
  <c r="H103" i="12"/>
  <c r="H121" i="12" l="1"/>
  <c r="H119" i="12"/>
  <c r="F144" i="10"/>
  <c r="G144" i="10" s="1"/>
  <c r="F92" i="10"/>
  <c r="G92" i="10" s="1"/>
  <c r="F84" i="18" l="1"/>
  <c r="G84" i="18" s="1"/>
  <c r="H84" i="18" s="1"/>
  <c r="F93" i="18"/>
  <c r="G93" i="18" s="1"/>
  <c r="H93" i="18" s="1"/>
  <c r="F55" i="18"/>
  <c r="G55" i="18" s="1"/>
  <c r="H55" i="18" s="1"/>
  <c r="F45" i="18"/>
  <c r="G45" i="18" s="1"/>
  <c r="H45" i="18" s="1"/>
  <c r="H93" i="12"/>
  <c r="H101" i="12"/>
  <c r="H131" i="12"/>
  <c r="H113" i="12"/>
  <c r="H133" i="12"/>
  <c r="H94" i="12"/>
  <c r="H102" i="12"/>
  <c r="H115" i="12"/>
  <c r="H120" i="12"/>
  <c r="H106" i="12"/>
  <c r="H132" i="12"/>
  <c r="H95" i="12"/>
  <c r="H118" i="12"/>
  <c r="H123" i="12"/>
  <c r="H109" i="12"/>
  <c r="H96" i="12"/>
  <c r="H116" i="12"/>
  <c r="H126" i="12"/>
  <c r="H112" i="12"/>
  <c r="H97" i="12"/>
  <c r="H124" i="12"/>
  <c r="H129" i="12"/>
  <c r="H105" i="12"/>
  <c r="H98" i="12"/>
  <c r="H122" i="12"/>
  <c r="H127" i="12"/>
  <c r="H104" i="12"/>
  <c r="H108" i="12"/>
  <c r="H141" i="12"/>
  <c r="H99" i="12"/>
  <c r="H125" i="12"/>
  <c r="H130" i="12"/>
  <c r="H107" i="12"/>
  <c r="H111" i="12"/>
  <c r="H142" i="12"/>
  <c r="H100" i="12"/>
  <c r="H128" i="12"/>
  <c r="H114" i="12"/>
  <c r="H110" i="12"/>
  <c r="H134" i="12"/>
  <c r="F92" i="22"/>
  <c r="G92" i="22" s="1"/>
  <c r="H92" i="22" s="1"/>
  <c r="J29" i="14"/>
  <c r="K29" i="14" s="1"/>
  <c r="F195" i="10"/>
  <c r="G195" i="10" s="1"/>
  <c r="F74" i="15"/>
  <c r="G74" i="15" s="1"/>
  <c r="F93" i="22"/>
  <c r="G93" i="22" s="1"/>
  <c r="H93" i="22" s="1"/>
  <c r="F90" i="22"/>
  <c r="G90" i="22" s="1"/>
  <c r="H90" i="22" s="1"/>
  <c r="F68" i="22"/>
  <c r="G68" i="22" s="1"/>
  <c r="H68" i="22" s="1"/>
  <c r="F73" i="2"/>
  <c r="G73" i="2" s="1"/>
  <c r="F44" i="22"/>
  <c r="G44" i="22" s="1"/>
  <c r="H44" i="22" s="1"/>
  <c r="J33" i="14"/>
  <c r="K33" i="14" s="1"/>
  <c r="F59" i="22"/>
  <c r="G59" i="22" s="1"/>
  <c r="H59" i="22" s="1"/>
  <c r="F74" i="2"/>
  <c r="G74" i="2" s="1"/>
  <c r="F170" i="2"/>
  <c r="G170" i="2" s="1"/>
  <c r="F80" i="22"/>
  <c r="G80" i="22" s="1"/>
  <c r="H80" i="22" s="1"/>
  <c r="F62" i="22"/>
  <c r="G62" i="22" s="1"/>
  <c r="H62" i="22" s="1"/>
  <c r="F21" i="24"/>
  <c r="G21" i="24" s="1"/>
  <c r="F76" i="2"/>
  <c r="G76" i="2" s="1"/>
  <c r="F67" i="22"/>
  <c r="G67" i="22" s="1"/>
  <c r="H67" i="22" s="1"/>
  <c r="T11" i="16"/>
  <c r="U11" i="16" s="1"/>
  <c r="F72" i="15"/>
  <c r="G72" i="15" s="1"/>
  <c r="F84" i="22"/>
  <c r="G84" i="22" s="1"/>
  <c r="H84" i="22" s="1"/>
  <c r="G13" i="24"/>
  <c r="E48" i="13"/>
  <c r="F48" i="13" s="1"/>
  <c r="J42" i="14"/>
  <c r="K42" i="14" s="1"/>
  <c r="J28" i="14"/>
  <c r="K28" i="14" s="1"/>
  <c r="F81" i="22"/>
  <c r="G81" i="22" s="1"/>
  <c r="H81" i="22" s="1"/>
  <c r="F43" i="22"/>
  <c r="G43" i="22" s="1"/>
  <c r="H43" i="22" s="1"/>
  <c r="F13" i="21"/>
  <c r="J36" i="14"/>
  <c r="K36" i="14" s="1"/>
  <c r="G9" i="12"/>
  <c r="F111" i="15"/>
  <c r="G111" i="15" s="1"/>
  <c r="H111" i="15" s="1"/>
  <c r="AA15" i="11"/>
  <c r="AB15" i="11" s="1"/>
  <c r="M22" i="16"/>
  <c r="N22" i="16" s="1"/>
  <c r="M11" i="16"/>
  <c r="N11" i="16" s="1"/>
  <c r="F69" i="22"/>
  <c r="G69" i="22" s="1"/>
  <c r="H69" i="22" s="1"/>
  <c r="F50" i="22"/>
  <c r="G50" i="22" s="1"/>
  <c r="H50" i="22" s="1"/>
  <c r="E52" i="13"/>
  <c r="F52" i="13" s="1"/>
  <c r="F102" i="22"/>
  <c r="G102" i="22" s="1"/>
  <c r="H102" i="22" s="1"/>
  <c r="F43" i="15"/>
  <c r="G43" i="15" s="1"/>
  <c r="F45" i="22"/>
  <c r="G45" i="22" s="1"/>
  <c r="H45" i="22" s="1"/>
  <c r="F101" i="18"/>
  <c r="G101" i="18" s="1"/>
  <c r="H101" i="18" s="1"/>
  <c r="F101" i="22"/>
  <c r="G101" i="22" s="1"/>
  <c r="H101" i="22" s="1"/>
  <c r="L6" i="13"/>
  <c r="M6" i="13" s="1"/>
  <c r="F138" i="21"/>
  <c r="G138" i="21" s="1"/>
  <c r="H138" i="21" s="1"/>
  <c r="F102" i="18"/>
  <c r="G102" i="18" s="1"/>
  <c r="H102" i="18" s="1"/>
  <c r="F98" i="21"/>
  <c r="F96" i="18"/>
  <c r="G96" i="18" s="1"/>
  <c r="H96" i="18" s="1"/>
  <c r="F18" i="17"/>
  <c r="G18" i="17" s="1"/>
  <c r="F134" i="21"/>
  <c r="G134" i="21" s="1"/>
  <c r="H134" i="21" s="1"/>
  <c r="F120" i="2"/>
  <c r="G120" i="2" s="1"/>
  <c r="E50" i="13"/>
  <c r="F50" i="13" s="1"/>
  <c r="F220" i="2"/>
  <c r="G220" i="2" s="1"/>
  <c r="F141" i="2"/>
  <c r="G141" i="2" s="1"/>
  <c r="F231" i="2"/>
  <c r="G231" i="2" s="1"/>
  <c r="F72" i="22"/>
  <c r="G72" i="22" s="1"/>
  <c r="H72" i="22" s="1"/>
  <c r="F10" i="2"/>
  <c r="F97" i="18"/>
  <c r="G97" i="18" s="1"/>
  <c r="H97" i="18" s="1"/>
  <c r="F70" i="22"/>
  <c r="G70" i="22" s="1"/>
  <c r="H70" i="22" s="1"/>
  <c r="F99" i="21"/>
  <c r="G99" i="21" s="1"/>
  <c r="F223" i="2"/>
  <c r="G223" i="2" s="1"/>
  <c r="H74" i="12"/>
  <c r="G12" i="24"/>
  <c r="F159" i="2"/>
  <c r="G159" i="2" s="1"/>
  <c r="F230" i="2"/>
  <c r="G230" i="2" s="1"/>
  <c r="F70" i="2"/>
  <c r="G70" i="2" s="1"/>
  <c r="F89" i="22"/>
  <c r="G89" i="22" s="1"/>
  <c r="H89" i="22" s="1"/>
  <c r="F6" i="3"/>
  <c r="G6" i="3" s="1"/>
  <c r="E57" i="13"/>
  <c r="F57" i="13" s="1"/>
  <c r="J30" i="14"/>
  <c r="K30" i="14" s="1"/>
  <c r="L7" i="13"/>
  <c r="M7" i="13" s="1"/>
  <c r="F78" i="2"/>
  <c r="G78" i="2" s="1"/>
  <c r="F135" i="21"/>
  <c r="G135" i="21" s="1"/>
  <c r="H135" i="21" s="1"/>
  <c r="F55" i="4"/>
  <c r="G55" i="4" s="1"/>
  <c r="F28" i="4"/>
  <c r="G28" i="4" s="1"/>
  <c r="F180" i="2"/>
  <c r="G180" i="2" s="1"/>
  <c r="E35" i="13"/>
  <c r="F35" i="13" s="1"/>
  <c r="F197" i="10"/>
  <c r="G197" i="10" s="1"/>
  <c r="H43" i="12"/>
  <c r="H81" i="12"/>
  <c r="F28" i="15"/>
  <c r="G28" i="15" s="1"/>
  <c r="F16" i="5"/>
  <c r="G16" i="5" s="1"/>
  <c r="F52" i="8"/>
  <c r="G52" i="8" s="1"/>
  <c r="E12" i="13"/>
  <c r="F12" i="13" s="1"/>
  <c r="F14" i="6"/>
  <c r="G14" i="6" s="1"/>
  <c r="F94" i="22"/>
  <c r="G94" i="22" s="1"/>
  <c r="H94" i="22" s="1"/>
  <c r="F38" i="10"/>
  <c r="G38" i="10" s="1"/>
  <c r="E7" i="13"/>
  <c r="F7" i="13" s="1"/>
  <c r="F14" i="8"/>
  <c r="G14" i="8" s="1"/>
  <c r="F16" i="6"/>
  <c r="G16" i="6" s="1"/>
  <c r="F51" i="7"/>
  <c r="G51" i="7" s="1"/>
  <c r="F103" i="5"/>
  <c r="G103" i="5" s="1"/>
  <c r="H103" i="5" s="1"/>
  <c r="H59" i="12"/>
  <c r="F25" i="11"/>
  <c r="G25" i="11" s="1"/>
  <c r="F17" i="3"/>
  <c r="G17" i="3" s="1"/>
  <c r="J26" i="14"/>
  <c r="K26" i="14" s="1"/>
  <c r="D27" i="14"/>
  <c r="E27" i="14" s="1"/>
  <c r="H54" i="12"/>
  <c r="T19" i="16"/>
  <c r="U19" i="16" s="1"/>
  <c r="F49" i="8"/>
  <c r="G49" i="8" s="1"/>
  <c r="F105" i="15"/>
  <c r="G105" i="15" s="1"/>
  <c r="F26" i="11"/>
  <c r="G26" i="11" s="1"/>
  <c r="F37" i="20"/>
  <c r="G37" i="20" s="1"/>
  <c r="F17" i="24"/>
  <c r="G17" i="24" s="1"/>
  <c r="F15" i="8"/>
  <c r="G15" i="8" s="1"/>
  <c r="E11" i="13"/>
  <c r="F11" i="13" s="1"/>
  <c r="F108" i="18"/>
  <c r="G108" i="18" s="1"/>
  <c r="H108" i="18" s="1"/>
  <c r="F10" i="8"/>
  <c r="G10" i="8" s="1"/>
  <c r="F106" i="15"/>
  <c r="G106" i="15" s="1"/>
  <c r="F176" i="2"/>
  <c r="G176" i="2" s="1"/>
  <c r="F8" i="24"/>
  <c r="G8" i="24" s="1"/>
  <c r="E8" i="13"/>
  <c r="F8" i="13" s="1"/>
  <c r="F21" i="11"/>
  <c r="G21" i="11" s="1"/>
  <c r="G98" i="21" l="1"/>
  <c r="H98" i="21" s="1"/>
  <c r="H99" i="21"/>
  <c r="G13" i="21"/>
  <c r="H13" i="21" s="1"/>
  <c r="F117" i="9"/>
  <c r="G117" i="9" s="1"/>
  <c r="J41" i="14"/>
  <c r="K41" i="14" s="1"/>
  <c r="F19" i="24"/>
  <c r="G19" i="24" s="1"/>
  <c r="F57" i="22"/>
  <c r="G57" i="22" s="1"/>
  <c r="H57" i="22" s="1"/>
  <c r="F71" i="22"/>
  <c r="G71" i="22" s="1"/>
  <c r="H71" i="22" s="1"/>
  <c r="J37" i="14"/>
  <c r="K37" i="14" s="1"/>
  <c r="F77" i="2"/>
  <c r="G77" i="2" s="1"/>
  <c r="H42" i="12"/>
  <c r="L25" i="13"/>
  <c r="M25" i="13" s="1"/>
  <c r="F102" i="15"/>
  <c r="G102" i="15" s="1"/>
  <c r="F23" i="6"/>
  <c r="H23" i="6" s="1"/>
  <c r="F104" i="22"/>
  <c r="G104" i="22" s="1"/>
  <c r="H104" i="22" s="1"/>
  <c r="F75" i="2"/>
  <c r="G75" i="2" s="1"/>
  <c r="F82" i="2"/>
  <c r="G82" i="2" s="1"/>
  <c r="F194" i="10"/>
  <c r="G194" i="10" s="1"/>
  <c r="F80" i="2"/>
  <c r="G80" i="2" s="1"/>
  <c r="F189" i="10"/>
  <c r="G189" i="10" s="1"/>
  <c r="G9" i="5"/>
  <c r="F190" i="10"/>
  <c r="G190" i="10" s="1"/>
  <c r="L16" i="13"/>
  <c r="M16" i="13" s="1"/>
  <c r="E56" i="13"/>
  <c r="F56" i="13" s="1"/>
  <c r="F83" i="4"/>
  <c r="G83" i="4" s="1"/>
  <c r="H83" i="4" s="1"/>
  <c r="F79" i="22"/>
  <c r="G79" i="22" s="1"/>
  <c r="H79" i="22" s="1"/>
  <c r="F82" i="22"/>
  <c r="G82" i="22" s="1"/>
  <c r="H82" i="22" s="1"/>
  <c r="J39" i="14"/>
  <c r="K39" i="14" s="1"/>
  <c r="F119" i="2"/>
  <c r="G119" i="2" s="1"/>
  <c r="F61" i="22"/>
  <c r="G61" i="22" s="1"/>
  <c r="H61" i="22" s="1"/>
  <c r="J27" i="14"/>
  <c r="K27" i="14" s="1"/>
  <c r="F99" i="22"/>
  <c r="G99" i="22" s="1"/>
  <c r="H99" i="22" s="1"/>
  <c r="J25" i="14"/>
  <c r="K25" i="14" s="1"/>
  <c r="L24" i="13"/>
  <c r="M24" i="13" s="1"/>
  <c r="F108" i="15"/>
  <c r="G108" i="15" s="1"/>
  <c r="F71" i="2"/>
  <c r="G71" i="2" s="1"/>
  <c r="J45" i="14"/>
  <c r="K45" i="14" s="1"/>
  <c r="F91" i="2"/>
  <c r="G91" i="2" s="1"/>
  <c r="J46" i="14"/>
  <c r="K46" i="14" s="1"/>
  <c r="F100" i="22"/>
  <c r="G100" i="22" s="1"/>
  <c r="H100" i="22" s="1"/>
  <c r="E51" i="13"/>
  <c r="F51" i="13" s="1"/>
  <c r="J32" i="14"/>
  <c r="K32" i="14" s="1"/>
  <c r="F72" i="2"/>
  <c r="G72" i="2" s="1"/>
  <c r="F60" i="22"/>
  <c r="G60" i="22" s="1"/>
  <c r="H60" i="22" s="1"/>
  <c r="F107" i="15"/>
  <c r="G107" i="15" s="1"/>
  <c r="F117" i="2"/>
  <c r="G117" i="2" s="1"/>
  <c r="F103" i="15"/>
  <c r="G103" i="15" s="1"/>
  <c r="F87" i="2"/>
  <c r="G87" i="2" s="1"/>
  <c r="J31" i="14"/>
  <c r="K31" i="14" s="1"/>
  <c r="F58" i="22"/>
  <c r="G58" i="22" s="1"/>
  <c r="H58" i="22" s="1"/>
  <c r="G20" i="24"/>
  <c r="F191" i="10"/>
  <c r="G191" i="10" s="1"/>
  <c r="J51" i="14"/>
  <c r="K51" i="14" s="1"/>
  <c r="J38" i="14"/>
  <c r="K38" i="14" s="1"/>
  <c r="F77" i="4"/>
  <c r="G77" i="4" s="1"/>
  <c r="H77" i="4" s="1"/>
  <c r="L15" i="13"/>
  <c r="M15" i="13" s="1"/>
  <c r="F79" i="2"/>
  <c r="G79" i="2" s="1"/>
  <c r="J40" i="14"/>
  <c r="K40" i="14" s="1"/>
  <c r="F83" i="22"/>
  <c r="G83" i="22" s="1"/>
  <c r="H83" i="22" s="1"/>
  <c r="F196" i="10"/>
  <c r="G196" i="10" s="1"/>
  <c r="J50" i="14"/>
  <c r="K50" i="14" s="1"/>
  <c r="F116" i="2"/>
  <c r="G116" i="2" s="1"/>
  <c r="F103" i="22"/>
  <c r="G103" i="22" s="1"/>
  <c r="H103" i="22" s="1"/>
  <c r="F91" i="22"/>
  <c r="G91" i="22" s="1"/>
  <c r="H91" i="22" s="1"/>
  <c r="F51" i="22"/>
  <c r="G51" i="22" s="1"/>
  <c r="H51" i="22" s="1"/>
  <c r="F193" i="10"/>
  <c r="G193" i="10" s="1"/>
  <c r="F121" i="2"/>
  <c r="G121" i="2" s="1"/>
  <c r="D38" i="14"/>
  <c r="E38" i="14" s="1"/>
  <c r="F192" i="10"/>
  <c r="G192" i="10" s="1"/>
  <c r="F70" i="5"/>
  <c r="G70" i="5" s="1"/>
  <c r="F24" i="5"/>
  <c r="G24" i="5" s="1"/>
  <c r="F38" i="4"/>
  <c r="G38" i="4" s="1"/>
  <c r="F90" i="2"/>
  <c r="G90" i="2" s="1"/>
  <c r="F52" i="22"/>
  <c r="G52" i="22" s="1"/>
  <c r="H52" i="22" s="1"/>
  <c r="F14" i="4"/>
  <c r="G14" i="4" s="1"/>
  <c r="F92" i="15"/>
  <c r="G92" i="15" s="1"/>
  <c r="F113" i="21"/>
  <c r="H19" i="21"/>
  <c r="F15" i="21"/>
  <c r="H31" i="21"/>
  <c r="F11" i="15"/>
  <c r="G11" i="15" s="1"/>
  <c r="F78" i="9"/>
  <c r="G78" i="9" s="1"/>
  <c r="E49" i="13"/>
  <c r="F49" i="13" s="1"/>
  <c r="F110" i="15"/>
  <c r="G110" i="15" s="1"/>
  <c r="H110" i="15" s="1"/>
  <c r="F150" i="2"/>
  <c r="G150" i="2" s="1"/>
  <c r="AA27" i="11"/>
  <c r="AB27" i="11" s="1"/>
  <c r="F10" i="24"/>
  <c r="G10" i="24" s="1"/>
  <c r="F132" i="2"/>
  <c r="G132" i="2" s="1"/>
  <c r="F66" i="7"/>
  <c r="G66" i="7" s="1"/>
  <c r="F51" i="10"/>
  <c r="G51" i="10" s="1"/>
  <c r="F29" i="18"/>
  <c r="G29" i="18" s="1"/>
  <c r="H29" i="18" s="1"/>
  <c r="E9" i="13"/>
  <c r="F9" i="13" s="1"/>
  <c r="F17" i="16"/>
  <c r="G17" i="16" s="1"/>
  <c r="F226" i="2"/>
  <c r="G226" i="2" s="1"/>
  <c r="F9" i="24"/>
  <c r="G9" i="24" s="1"/>
  <c r="F95" i="9"/>
  <c r="G95" i="9" s="1"/>
  <c r="F15" i="24"/>
  <c r="G15" i="24" s="1"/>
  <c r="F50" i="21"/>
  <c r="F11" i="24"/>
  <c r="G11" i="24" s="1"/>
  <c r="F123" i="21"/>
  <c r="F103" i="21"/>
  <c r="G103" i="21" s="1"/>
  <c r="F86" i="10"/>
  <c r="G86" i="10" s="1"/>
  <c r="F142" i="10"/>
  <c r="G142" i="10" s="1"/>
  <c r="F60" i="8"/>
  <c r="G60" i="8" s="1"/>
  <c r="F112" i="2"/>
  <c r="G112" i="2" s="1"/>
  <c r="H63" i="12"/>
  <c r="F53" i="8"/>
  <c r="G53" i="8" s="1"/>
  <c r="F169" i="2"/>
  <c r="G169" i="2" s="1"/>
  <c r="F13" i="20"/>
  <c r="G13" i="20" s="1"/>
  <c r="F185" i="10"/>
  <c r="G185" i="10" s="1"/>
  <c r="F122" i="2"/>
  <c r="G122" i="2" s="1"/>
  <c r="F123" i="2"/>
  <c r="G123" i="2" s="1"/>
  <c r="F68" i="2"/>
  <c r="G68" i="2" s="1"/>
  <c r="H17" i="21"/>
  <c r="F183" i="2"/>
  <c r="G183" i="2" s="1"/>
  <c r="F127" i="10"/>
  <c r="G127" i="10" s="1"/>
  <c r="F98" i="9"/>
  <c r="G98" i="9" s="1"/>
  <c r="F110" i="9"/>
  <c r="G110" i="9" s="1"/>
  <c r="F58" i="20"/>
  <c r="G58" i="20" s="1"/>
  <c r="M20" i="16"/>
  <c r="N20" i="16" s="1"/>
  <c r="F110" i="21"/>
  <c r="H58" i="12"/>
  <c r="F72" i="18"/>
  <c r="G72" i="18" s="1"/>
  <c r="H72" i="18" s="1"/>
  <c r="F6" i="17"/>
  <c r="G6" i="17" s="1"/>
  <c r="M16" i="16"/>
  <c r="N16" i="16" s="1"/>
  <c r="T21" i="11"/>
  <c r="U21" i="11" s="1"/>
  <c r="AA21" i="11"/>
  <c r="AB21" i="11" s="1"/>
  <c r="F30" i="11"/>
  <c r="G30" i="11" s="1"/>
  <c r="M21" i="11"/>
  <c r="N21" i="11" s="1"/>
  <c r="H87" i="12"/>
  <c r="F134" i="2"/>
  <c r="G134" i="2" s="1"/>
  <c r="F103" i="2"/>
  <c r="G103" i="2" s="1"/>
  <c r="F50" i="15"/>
  <c r="G50" i="15" s="1"/>
  <c r="F102" i="5"/>
  <c r="G102" i="5" s="1"/>
  <c r="H102" i="5" s="1"/>
  <c r="G139" i="21"/>
  <c r="H139" i="21" s="1"/>
  <c r="F20" i="17"/>
  <c r="G20" i="17" s="1"/>
  <c r="F111" i="21"/>
  <c r="F126" i="10"/>
  <c r="G126" i="10" s="1"/>
  <c r="F109" i="18"/>
  <c r="G109" i="18" s="1"/>
  <c r="H109" i="18" s="1"/>
  <c r="F104" i="2"/>
  <c r="G104" i="2" s="1"/>
  <c r="F117" i="21"/>
  <c r="F91" i="5"/>
  <c r="G91" i="5" s="1"/>
  <c r="T22" i="16"/>
  <c r="U22" i="16" s="1"/>
  <c r="M23" i="16"/>
  <c r="N23" i="16" s="1"/>
  <c r="D30" i="14"/>
  <c r="E30" i="14" s="1"/>
  <c r="F70" i="10"/>
  <c r="G70" i="10" s="1"/>
  <c r="F10" i="3"/>
  <c r="G10" i="3" s="1"/>
  <c r="F38" i="17"/>
  <c r="G38" i="17" s="1"/>
  <c r="F13" i="4"/>
  <c r="G13" i="4" s="1"/>
  <c r="E45" i="13"/>
  <c r="F45" i="13" s="1"/>
  <c r="H50" i="12"/>
  <c r="F49" i="15"/>
  <c r="G49" i="15" s="1"/>
  <c r="F35" i="6"/>
  <c r="G35" i="6" s="1"/>
  <c r="H39" i="12"/>
  <c r="F145" i="10"/>
  <c r="G145" i="10" s="1"/>
  <c r="F69" i="2"/>
  <c r="G69" i="2" s="1"/>
  <c r="F89" i="5"/>
  <c r="G89" i="5" s="1"/>
  <c r="F119" i="21"/>
  <c r="F102" i="10"/>
  <c r="G102" i="10" s="1"/>
  <c r="F15" i="17"/>
  <c r="G15" i="17" s="1"/>
  <c r="F18" i="21"/>
  <c r="E18" i="13"/>
  <c r="F18" i="13" s="1"/>
  <c r="F148" i="2"/>
  <c r="G148" i="2" s="1"/>
  <c r="H16" i="21"/>
  <c r="F157" i="2"/>
  <c r="G157" i="2" s="1"/>
  <c r="F213" i="2"/>
  <c r="G213" i="2" s="1"/>
  <c r="F77" i="10"/>
  <c r="G77" i="10" s="1"/>
  <c r="F34" i="15"/>
  <c r="G34" i="15" s="1"/>
  <c r="F122" i="10"/>
  <c r="G122" i="10" s="1"/>
  <c r="E20" i="13"/>
  <c r="F20" i="13" s="1"/>
  <c r="F189" i="2"/>
  <c r="G189" i="2" s="1"/>
  <c r="F50" i="4"/>
  <c r="G50" i="4" s="1"/>
  <c r="F46" i="15"/>
  <c r="G46" i="15" s="1"/>
  <c r="F152" i="2"/>
  <c r="G152" i="2" s="1"/>
  <c r="F224" i="2"/>
  <c r="G224" i="2" s="1"/>
  <c r="F9" i="15"/>
  <c r="G9" i="15" s="1"/>
  <c r="F40" i="8"/>
  <c r="G40" i="8" s="1"/>
  <c r="H53" i="12"/>
  <c r="F14" i="3"/>
  <c r="G14" i="3" s="1"/>
  <c r="D33" i="14"/>
  <c r="E33" i="14" s="1"/>
  <c r="F53" i="4"/>
  <c r="G53" i="4" s="1"/>
  <c r="D47" i="14"/>
  <c r="E47" i="14" s="1"/>
  <c r="F155" i="2"/>
  <c r="G155" i="2" s="1"/>
  <c r="F33" i="15"/>
  <c r="G33" i="15" s="1"/>
  <c r="F85" i="4"/>
  <c r="G85" i="4" s="1"/>
  <c r="F126" i="2"/>
  <c r="G126" i="2" s="1"/>
  <c r="H71" i="12"/>
  <c r="F22" i="18"/>
  <c r="G22" i="18" s="1"/>
  <c r="H22" i="18" s="1"/>
  <c r="F97" i="9"/>
  <c r="G97" i="9" s="1"/>
  <c r="H41" i="12"/>
  <c r="F100" i="2"/>
  <c r="G100" i="2" s="1"/>
  <c r="D32" i="14"/>
  <c r="E32" i="14" s="1"/>
  <c r="F10" i="10"/>
  <c r="G10" i="10" s="1"/>
  <c r="F11" i="9"/>
  <c r="G11" i="9" s="1"/>
  <c r="F39" i="8"/>
  <c r="G39" i="8" s="1"/>
  <c r="E32" i="13"/>
  <c r="F32" i="13" s="1"/>
  <c r="F37" i="17"/>
  <c r="G37" i="17" s="1"/>
  <c r="F99" i="2"/>
  <c r="G99" i="2" s="1"/>
  <c r="F20" i="16"/>
  <c r="G20" i="16" s="1"/>
  <c r="F12" i="15"/>
  <c r="G12" i="15" s="1"/>
  <c r="F111" i="2"/>
  <c r="G111" i="2" s="1"/>
  <c r="F40" i="17"/>
  <c r="G40" i="17" s="1"/>
  <c r="F115" i="2"/>
  <c r="G115" i="2" s="1"/>
  <c r="F49" i="20"/>
  <c r="G49" i="20" s="1"/>
  <c r="F16" i="10"/>
  <c r="G16" i="10" s="1"/>
  <c r="F63" i="4"/>
  <c r="G63" i="4" s="1"/>
  <c r="E44" i="13"/>
  <c r="F44" i="13" s="1"/>
  <c r="F19" i="16"/>
  <c r="G19" i="16" s="1"/>
  <c r="H62" i="12"/>
  <c r="F28" i="7"/>
  <c r="G28" i="7" s="1"/>
  <c r="F20" i="8"/>
  <c r="G20" i="8" s="1"/>
  <c r="F19" i="17"/>
  <c r="G19" i="17" s="1"/>
  <c r="F132" i="21"/>
  <c r="G132" i="21" s="1"/>
  <c r="H132" i="21" s="1"/>
  <c r="F83" i="9"/>
  <c r="G83" i="9" s="1"/>
  <c r="F75" i="6"/>
  <c r="G75" i="6" s="1"/>
  <c r="F98" i="18"/>
  <c r="G98" i="18" s="1"/>
  <c r="H98" i="18" s="1"/>
  <c r="F10" i="9"/>
  <c r="G10" i="9" s="1"/>
  <c r="F58" i="8"/>
  <c r="G58" i="8" s="1"/>
  <c r="F125" i="10"/>
  <c r="G125" i="10" s="1"/>
  <c r="F190" i="2"/>
  <c r="G190" i="2" s="1"/>
  <c r="T24" i="11"/>
  <c r="U24" i="11" s="1"/>
  <c r="M14" i="16"/>
  <c r="N14" i="16" s="1"/>
  <c r="F47" i="15"/>
  <c r="G47" i="15" s="1"/>
  <c r="F15" i="10"/>
  <c r="G15" i="10" s="1"/>
  <c r="M13" i="16"/>
  <c r="N13" i="16" s="1"/>
  <c r="F27" i="17"/>
  <c r="G27" i="17" s="1"/>
  <c r="F36" i="15"/>
  <c r="G36" i="15" s="1"/>
  <c r="F154" i="2"/>
  <c r="G154" i="2" s="1"/>
  <c r="F95" i="15"/>
  <c r="G95" i="15" s="1"/>
  <c r="T16" i="11"/>
  <c r="U16" i="11" s="1"/>
  <c r="H69" i="12"/>
  <c r="E10" i="12"/>
  <c r="G10" i="12" s="1"/>
  <c r="F10" i="5"/>
  <c r="G10" i="5" s="1"/>
  <c r="F108" i="2"/>
  <c r="G108" i="2" s="1"/>
  <c r="F94" i="18"/>
  <c r="G94" i="18" s="1"/>
  <c r="H94" i="18" s="1"/>
  <c r="F12" i="3"/>
  <c r="G12" i="3" s="1"/>
  <c r="F149" i="2"/>
  <c r="G149" i="2" s="1"/>
  <c r="M19" i="16"/>
  <c r="N19" i="16" s="1"/>
  <c r="M15" i="16"/>
  <c r="N15" i="16" s="1"/>
  <c r="F99" i="18"/>
  <c r="G99" i="18" s="1"/>
  <c r="H99" i="18" s="1"/>
  <c r="F209" i="2"/>
  <c r="G209" i="2" s="1"/>
  <c r="H72" i="12"/>
  <c r="F73" i="6"/>
  <c r="G73" i="6" s="1"/>
  <c r="F36" i="17"/>
  <c r="G36" i="17" s="1"/>
  <c r="F129" i="2"/>
  <c r="G129" i="2" s="1"/>
  <c r="F24" i="17"/>
  <c r="G24" i="17" s="1"/>
  <c r="M23" i="11"/>
  <c r="N23" i="11" s="1"/>
  <c r="F67" i="2"/>
  <c r="G67" i="2" s="1"/>
  <c r="H78" i="12"/>
  <c r="F186" i="10"/>
  <c r="G186" i="10" s="1"/>
  <c r="F102" i="2"/>
  <c r="G102" i="2" s="1"/>
  <c r="D28" i="14"/>
  <c r="E28" i="14" s="1"/>
  <c r="F140" i="2"/>
  <c r="G140" i="2" s="1"/>
  <c r="F135" i="2"/>
  <c r="G135" i="2" s="1"/>
  <c r="F107" i="10"/>
  <c r="G107" i="10" s="1"/>
  <c r="F45" i="9"/>
  <c r="G45" i="9" s="1"/>
  <c r="H40" i="12"/>
  <c r="F17" i="17"/>
  <c r="G17" i="17" s="1"/>
  <c r="F14" i="9"/>
  <c r="G14" i="9" s="1"/>
  <c r="F55" i="8"/>
  <c r="G55" i="8" s="1"/>
  <c r="F136" i="2"/>
  <c r="G136" i="2" s="1"/>
  <c r="F38" i="18"/>
  <c r="G38" i="18" s="1"/>
  <c r="H38" i="18" s="1"/>
  <c r="F27" i="4"/>
  <c r="G27" i="4" s="1"/>
  <c r="F107" i="2"/>
  <c r="G107" i="2" s="1"/>
  <c r="F40" i="21"/>
  <c r="F21" i="17"/>
  <c r="G21" i="17" s="1"/>
  <c r="F16" i="17"/>
  <c r="G16" i="17" s="1"/>
  <c r="F179" i="2"/>
  <c r="G179" i="2" s="1"/>
  <c r="F114" i="2"/>
  <c r="G114" i="2" s="1"/>
  <c r="F158" i="2"/>
  <c r="G158" i="2" s="1"/>
  <c r="F7" i="15"/>
  <c r="G7" i="15" s="1"/>
  <c r="F160" i="2"/>
  <c r="G160" i="2" s="1"/>
  <c r="F114" i="21"/>
  <c r="F130" i="2"/>
  <c r="G130" i="2" s="1"/>
  <c r="F14" i="18"/>
  <c r="G14" i="18" s="1"/>
  <c r="H14" i="18" s="1"/>
  <c r="F26" i="4"/>
  <c r="G26" i="4" s="1"/>
  <c r="F106" i="18"/>
  <c r="G106" i="18" s="1"/>
  <c r="H106" i="18" s="1"/>
  <c r="F138" i="2"/>
  <c r="G138" i="2" s="1"/>
  <c r="F44" i="9"/>
  <c r="G44" i="9" s="1"/>
  <c r="F24" i="10"/>
  <c r="G24" i="10" s="1"/>
  <c r="E42" i="13"/>
  <c r="F42" i="13" s="1"/>
  <c r="F13" i="9"/>
  <c r="G13" i="9" s="1"/>
  <c r="F13" i="16"/>
  <c r="G13" i="16" s="1"/>
  <c r="H65" i="12"/>
  <c r="F206" i="2"/>
  <c r="G206" i="2" s="1"/>
  <c r="H51" i="12"/>
  <c r="F106" i="2"/>
  <c r="G106" i="2" s="1"/>
  <c r="H77" i="12"/>
  <c r="F95" i="18"/>
  <c r="G95" i="18" s="1"/>
  <c r="H95" i="18" s="1"/>
  <c r="E26" i="12"/>
  <c r="G26" i="12" s="1"/>
  <c r="H24" i="12" s="1"/>
  <c r="E34" i="13"/>
  <c r="F34" i="13" s="1"/>
  <c r="F35" i="8"/>
  <c r="G35" i="8" s="1"/>
  <c r="F111" i="9"/>
  <c r="G111" i="9" s="1"/>
  <c r="F53" i="7"/>
  <c r="G53" i="7" s="1"/>
  <c r="F25" i="16"/>
  <c r="G25" i="16" s="1"/>
  <c r="F25" i="17"/>
  <c r="G25" i="17" s="1"/>
  <c r="F98" i="10"/>
  <c r="G98" i="10" s="1"/>
  <c r="F26" i="16"/>
  <c r="G26" i="16" s="1"/>
  <c r="F45" i="15"/>
  <c r="G45" i="15" s="1"/>
  <c r="F56" i="8"/>
  <c r="G56" i="8" s="1"/>
  <c r="F182" i="2"/>
  <c r="G182" i="2" s="1"/>
  <c r="F25" i="3"/>
  <c r="G25" i="3" s="1"/>
  <c r="F153" i="2"/>
  <c r="G153" i="2" s="1"/>
  <c r="F22" i="3"/>
  <c r="G22" i="3" s="1"/>
  <c r="H84" i="12"/>
  <c r="F16" i="16"/>
  <c r="G16" i="16" s="1"/>
  <c r="F24" i="4"/>
  <c r="G24" i="4" s="1"/>
  <c r="F109" i="2"/>
  <c r="G109" i="2" s="1"/>
  <c r="F8" i="3"/>
  <c r="G8" i="3" s="1"/>
  <c r="E36" i="13"/>
  <c r="F36" i="13" s="1"/>
  <c r="F11" i="3"/>
  <c r="G11" i="3" s="1"/>
  <c r="H80" i="12"/>
  <c r="F6" i="18"/>
  <c r="G6" i="18" s="1"/>
  <c r="H6" i="18" s="1"/>
  <c r="F14" i="17"/>
  <c r="G14" i="17" s="1"/>
  <c r="H61" i="12"/>
  <c r="F39" i="17"/>
  <c r="G39" i="17" s="1"/>
  <c r="H83" i="12"/>
  <c r="F103" i="10"/>
  <c r="G103" i="10" s="1"/>
  <c r="E43" i="13"/>
  <c r="F43" i="13" s="1"/>
  <c r="F36" i="8"/>
  <c r="G36" i="8" s="1"/>
  <c r="E37" i="13"/>
  <c r="F37" i="13" s="1"/>
  <c r="F112" i="21"/>
  <c r="F227" i="2"/>
  <c r="G227" i="2" s="1"/>
  <c r="F54" i="10"/>
  <c r="G54" i="10" s="1"/>
  <c r="F110" i="2"/>
  <c r="G110" i="2" s="1"/>
  <c r="F24" i="3"/>
  <c r="G24" i="3" s="1"/>
  <c r="F100" i="18"/>
  <c r="G100" i="18" s="1"/>
  <c r="H100" i="18" s="1"/>
  <c r="H64" i="12"/>
  <c r="F105" i="2"/>
  <c r="G105" i="2" s="1"/>
  <c r="F84" i="9"/>
  <c r="G84" i="9" s="1"/>
  <c r="F80" i="9"/>
  <c r="G80" i="9" s="1"/>
  <c r="F156" i="2"/>
  <c r="G156" i="2" s="1"/>
  <c r="T20" i="16"/>
  <c r="U20" i="16" s="1"/>
  <c r="F136" i="10"/>
  <c r="G136" i="10" s="1"/>
  <c r="E33" i="13"/>
  <c r="F33" i="13" s="1"/>
  <c r="F113" i="2"/>
  <c r="G113" i="2" s="1"/>
  <c r="F13" i="6"/>
  <c r="G13" i="6" s="1"/>
  <c r="F36" i="6"/>
  <c r="G36" i="6" s="1"/>
  <c r="H60" i="12"/>
  <c r="F26" i="17"/>
  <c r="G26" i="17" s="1"/>
  <c r="F66" i="10"/>
  <c r="G66" i="10" s="1"/>
  <c r="F222" i="2"/>
  <c r="G222" i="2" s="1"/>
  <c r="F39" i="9"/>
  <c r="G39" i="9" s="1"/>
  <c r="F42" i="21"/>
  <c r="F84" i="4"/>
  <c r="G84" i="4" s="1"/>
  <c r="F27" i="7"/>
  <c r="G27" i="7" s="1"/>
  <c r="D46" i="14"/>
  <c r="E46" i="14" s="1"/>
  <c r="D37" i="14"/>
  <c r="E37" i="14" s="1"/>
  <c r="F37" i="4"/>
  <c r="G37" i="4" s="1"/>
  <c r="D40" i="14"/>
  <c r="E40" i="14" s="1"/>
  <c r="M20" i="11"/>
  <c r="N20" i="11" s="1"/>
  <c r="E53" i="13"/>
  <c r="F53" i="13" s="1"/>
  <c r="F28" i="16"/>
  <c r="G28" i="16" s="1"/>
  <c r="F14" i="16"/>
  <c r="G14" i="16" s="1"/>
  <c r="M15" i="11"/>
  <c r="N15" i="11" s="1"/>
  <c r="E47" i="13"/>
  <c r="F47" i="13" s="1"/>
  <c r="F9" i="8"/>
  <c r="G9" i="8" s="1"/>
  <c r="E64" i="13"/>
  <c r="F64" i="13" s="1"/>
  <c r="F53" i="6"/>
  <c r="G53" i="6" s="1"/>
  <c r="F48" i="8"/>
  <c r="G48" i="8" s="1"/>
  <c r="F11" i="16"/>
  <c r="G11" i="16" s="1"/>
  <c r="F120" i="10"/>
  <c r="G120" i="10" s="1"/>
  <c r="D39" i="14"/>
  <c r="E39" i="14" s="1"/>
  <c r="E6" i="13"/>
  <c r="F6" i="13" s="1"/>
  <c r="F76" i="6"/>
  <c r="G76" i="6" s="1"/>
  <c r="F7" i="3"/>
  <c r="G7" i="3" s="1"/>
  <c r="F100" i="9"/>
  <c r="G100" i="9" s="1"/>
  <c r="F208" i="2"/>
  <c r="G208" i="2" s="1"/>
  <c r="N6" i="13"/>
  <c r="F70" i="6"/>
  <c r="G70" i="6" s="1"/>
  <c r="F68" i="7"/>
  <c r="G68" i="7" s="1"/>
  <c r="H68" i="12"/>
  <c r="F81" i="2"/>
  <c r="G81" i="2" s="1"/>
  <c r="H55" i="12"/>
  <c r="H86" i="12"/>
  <c r="F16" i="4"/>
  <c r="G16" i="4" s="1"/>
  <c r="F192" i="2"/>
  <c r="G192" i="2" s="1"/>
  <c r="F43" i="9"/>
  <c r="G43" i="9" s="1"/>
  <c r="F67" i="6"/>
  <c r="G67" i="6" s="1"/>
  <c r="F20" i="3"/>
  <c r="G20" i="3" s="1"/>
  <c r="F7" i="17"/>
  <c r="G7" i="17" s="1"/>
  <c r="D25" i="14"/>
  <c r="E25" i="14" s="1"/>
  <c r="F139" i="2"/>
  <c r="G139" i="2" s="1"/>
  <c r="F49" i="21"/>
  <c r="F16" i="3"/>
  <c r="G16" i="3" s="1"/>
  <c r="F118" i="2"/>
  <c r="G118" i="2" s="1"/>
  <c r="H52" i="12"/>
  <c r="F11" i="4"/>
  <c r="G11" i="4" s="1"/>
  <c r="F75" i="15"/>
  <c r="G75" i="15" s="1"/>
  <c r="H57" i="12"/>
  <c r="F105" i="21"/>
  <c r="G105" i="21" s="1"/>
  <c r="F210" i="2"/>
  <c r="G210" i="2" s="1"/>
  <c r="F51" i="4"/>
  <c r="G51" i="4" s="1"/>
  <c r="AA17" i="11"/>
  <c r="AB17" i="11" s="1"/>
  <c r="F25" i="4"/>
  <c r="G25" i="4" s="1"/>
  <c r="F22" i="6"/>
  <c r="H22" i="6" s="1"/>
  <c r="F151" i="2"/>
  <c r="G151" i="2" s="1"/>
  <c r="F178" i="2"/>
  <c r="G178" i="2" s="1"/>
  <c r="F77" i="9"/>
  <c r="G77" i="9" s="1"/>
  <c r="F39" i="4"/>
  <c r="G39" i="4" s="1"/>
  <c r="F12" i="4"/>
  <c r="G12" i="4" s="1"/>
  <c r="F163" i="2"/>
  <c r="G163" i="2" s="1"/>
  <c r="H56" i="12"/>
  <c r="E41" i="13"/>
  <c r="F41" i="13" s="1"/>
  <c r="E21" i="13"/>
  <c r="F21" i="13" s="1"/>
  <c r="F101" i="2"/>
  <c r="G101" i="2" s="1"/>
  <c r="F87" i="10"/>
  <c r="G87" i="10" s="1"/>
  <c r="D36" i="14"/>
  <c r="E36" i="14" s="1"/>
  <c r="H38" i="12"/>
  <c r="F32" i="15"/>
  <c r="G32" i="15" s="1"/>
  <c r="F60" i="9"/>
  <c r="G60" i="9" s="1"/>
  <c r="E19" i="13"/>
  <c r="F19" i="13" s="1"/>
  <c r="F91" i="15"/>
  <c r="G91" i="15" s="1"/>
  <c r="F77" i="15"/>
  <c r="G77" i="15" s="1"/>
  <c r="F45" i="21"/>
  <c r="F138" i="10"/>
  <c r="G138" i="10" s="1"/>
  <c r="F124" i="10"/>
  <c r="G124" i="10" s="1"/>
  <c r="F81" i="15"/>
  <c r="G81" i="15" s="1"/>
  <c r="H81" i="15" s="1"/>
  <c r="F124" i="21"/>
  <c r="F124" i="2"/>
  <c r="G124" i="2" s="1"/>
  <c r="F14" i="21"/>
  <c r="F100" i="21"/>
  <c r="G100" i="21" s="1"/>
  <c r="F51" i="20"/>
  <c r="G51" i="20" s="1"/>
  <c r="F10" i="15"/>
  <c r="G10" i="15" s="1"/>
  <c r="F9" i="10"/>
  <c r="G9" i="10" s="1"/>
  <c r="F109" i="9"/>
  <c r="G109" i="9" s="1"/>
  <c r="F122" i="21"/>
  <c r="F31" i="15"/>
  <c r="G31" i="15" s="1"/>
  <c r="F33" i="21"/>
  <c r="F43" i="21"/>
  <c r="M24" i="11"/>
  <c r="N24" i="11" s="1"/>
  <c r="F55" i="6"/>
  <c r="G55" i="6" s="1"/>
  <c r="F114" i="10"/>
  <c r="G114" i="10" s="1"/>
  <c r="F54" i="4"/>
  <c r="G54" i="4" s="1"/>
  <c r="G136" i="21"/>
  <c r="H136" i="21" s="1"/>
  <c r="T17" i="11"/>
  <c r="U17" i="11" s="1"/>
  <c r="F104" i="21"/>
  <c r="G104" i="21" s="1"/>
  <c r="E65" i="13"/>
  <c r="F65" i="13" s="1"/>
  <c r="M26" i="11"/>
  <c r="N26" i="11" s="1"/>
  <c r="T25" i="11"/>
  <c r="U25" i="11" s="1"/>
  <c r="D42" i="14"/>
  <c r="E42" i="14" s="1"/>
  <c r="F19" i="8"/>
  <c r="G19" i="8" s="1"/>
  <c r="T14" i="16"/>
  <c r="U14" i="16" s="1"/>
  <c r="F57" i="10"/>
  <c r="G57" i="10" s="1"/>
  <c r="F161" i="2"/>
  <c r="G161" i="2" s="1"/>
  <c r="F118" i="21"/>
  <c r="F232" i="2"/>
  <c r="G232" i="2" s="1"/>
  <c r="F17" i="9"/>
  <c r="G17" i="9" s="1"/>
  <c r="D45" i="14"/>
  <c r="E45" i="14" s="1"/>
  <c r="F29" i="20"/>
  <c r="G29" i="20" s="1"/>
  <c r="F30" i="20"/>
  <c r="G30" i="20" s="1"/>
  <c r="F82" i="10"/>
  <c r="G82" i="10" s="1"/>
  <c r="F56" i="20"/>
  <c r="G56" i="20" s="1"/>
  <c r="F12" i="20"/>
  <c r="G12" i="20" s="1"/>
  <c r="H120" i="21"/>
  <c r="F116" i="9"/>
  <c r="G116" i="9" s="1"/>
  <c r="F17" i="8"/>
  <c r="G17" i="8" s="1"/>
  <c r="F73" i="10"/>
  <c r="G73" i="10" s="1"/>
  <c r="F113" i="9"/>
  <c r="G113" i="9" s="1"/>
  <c r="F52" i="4"/>
  <c r="G52" i="4" s="1"/>
  <c r="F115" i="10"/>
  <c r="G115" i="10" s="1"/>
  <c r="F35" i="21"/>
  <c r="F82" i="15"/>
  <c r="G82" i="15" s="1"/>
  <c r="H82" i="15" s="1"/>
  <c r="F139" i="10"/>
  <c r="G139" i="10" s="1"/>
  <c r="E17" i="13"/>
  <c r="F17" i="13" s="1"/>
  <c r="D41" i="14"/>
  <c r="E41" i="14" s="1"/>
  <c r="F65" i="9"/>
  <c r="G65" i="9" s="1"/>
  <c r="F72" i="10"/>
  <c r="G72" i="10" s="1"/>
  <c r="F14" i="15"/>
  <c r="G14" i="15" s="1"/>
  <c r="F229" i="2"/>
  <c r="G229" i="2" s="1"/>
  <c r="F48" i="7"/>
  <c r="G48" i="7" s="1"/>
  <c r="F131" i="2"/>
  <c r="G131" i="2" s="1"/>
  <c r="F94" i="15"/>
  <c r="G94" i="15" s="1"/>
  <c r="F133" i="2"/>
  <c r="G133" i="2" s="1"/>
  <c r="F15" i="11"/>
  <c r="G15" i="11" s="1"/>
  <c r="F69" i="10"/>
  <c r="G69" i="10" s="1"/>
  <c r="F57" i="8"/>
  <c r="G57" i="8" s="1"/>
  <c r="F32" i="16"/>
  <c r="G32" i="16" s="1"/>
  <c r="F78" i="15"/>
  <c r="G78" i="15" s="1"/>
  <c r="F123" i="10"/>
  <c r="G123" i="10" s="1"/>
  <c r="F13" i="3"/>
  <c r="G13" i="3" s="1"/>
  <c r="F36" i="11"/>
  <c r="G36" i="11" s="1"/>
  <c r="F44" i="10"/>
  <c r="G44" i="10" s="1"/>
  <c r="F76" i="9"/>
  <c r="G76" i="9" s="1"/>
  <c r="F105" i="9"/>
  <c r="G105" i="9" s="1"/>
  <c r="F91" i="9"/>
  <c r="G91" i="9" s="1"/>
  <c r="F107" i="18"/>
  <c r="G107" i="18" s="1"/>
  <c r="H107" i="18" s="1"/>
  <c r="F45" i="5"/>
  <c r="G45" i="5" s="1"/>
  <c r="F34" i="8"/>
  <c r="G34" i="8" s="1"/>
  <c r="F128" i="2"/>
  <c r="G128" i="2" s="1"/>
  <c r="F67" i="9"/>
  <c r="G67" i="9" s="1"/>
  <c r="F82" i="9"/>
  <c r="G82" i="9" s="1"/>
  <c r="F99" i="10"/>
  <c r="G99" i="10" s="1"/>
  <c r="T15" i="16"/>
  <c r="U15" i="16" s="1"/>
  <c r="F49" i="7"/>
  <c r="G49" i="7" s="1"/>
  <c r="F72" i="6"/>
  <c r="G72" i="6" s="1"/>
  <c r="F52" i="6"/>
  <c r="G52" i="6" s="1"/>
  <c r="F42" i="5"/>
  <c r="G42" i="5" s="1"/>
  <c r="F87" i="5"/>
  <c r="G87" i="5" s="1"/>
  <c r="F42" i="9"/>
  <c r="G42" i="9" s="1"/>
  <c r="F135" i="10"/>
  <c r="G135" i="10" s="1"/>
  <c r="F68" i="6"/>
  <c r="G68" i="6" s="1"/>
  <c r="F11" i="6"/>
  <c r="G11" i="6" s="1"/>
  <c r="F64" i="7"/>
  <c r="G64" i="7" s="1"/>
  <c r="F32" i="6"/>
  <c r="G32" i="6" s="1"/>
  <c r="F75" i="9"/>
  <c r="G75" i="9" s="1"/>
  <c r="F41" i="10"/>
  <c r="G41" i="10" s="1"/>
  <c r="F101" i="10"/>
  <c r="G101" i="10" s="1"/>
  <c r="F12" i="7"/>
  <c r="G12" i="7" s="1"/>
  <c r="F26" i="10"/>
  <c r="G26" i="10" s="1"/>
  <c r="F72" i="5"/>
  <c r="G72" i="5" s="1"/>
  <c r="F57" i="5"/>
  <c r="G57" i="5" s="1"/>
  <c r="F108" i="9"/>
  <c r="G108" i="9" s="1"/>
  <c r="F93" i="9"/>
  <c r="G93" i="9" s="1"/>
  <c r="F12" i="10"/>
  <c r="G12" i="10" s="1"/>
  <c r="F26" i="7"/>
  <c r="G26" i="7" s="1"/>
  <c r="F49" i="6"/>
  <c r="G49" i="6" s="1"/>
  <c r="F27" i="9"/>
  <c r="G27" i="9" s="1"/>
  <c r="F44" i="7"/>
  <c r="G44" i="7" s="1"/>
  <c r="F119" i="10"/>
  <c r="G119" i="10" s="1"/>
  <c r="F61" i="9"/>
  <c r="G61" i="9" s="1"/>
  <c r="F27" i="5"/>
  <c r="G27" i="5" s="1"/>
  <c r="F30" i="16"/>
  <c r="G30" i="16" s="1"/>
  <c r="F35" i="11"/>
  <c r="G35" i="11" s="1"/>
  <c r="F8" i="15"/>
  <c r="G8" i="15" s="1"/>
  <c r="F12" i="16"/>
  <c r="G12" i="16" s="1"/>
  <c r="T13" i="16"/>
  <c r="U13" i="16" s="1"/>
  <c r="F54" i="20"/>
  <c r="G54" i="20" s="1"/>
  <c r="F12" i="9"/>
  <c r="G12" i="9" s="1"/>
  <c r="F84" i="10"/>
  <c r="G84" i="10" s="1"/>
  <c r="F15" i="20"/>
  <c r="G15" i="20" s="1"/>
  <c r="F33" i="20"/>
  <c r="G33" i="20" s="1"/>
  <c r="F11" i="5"/>
  <c r="G11" i="5" s="1"/>
  <c r="F15" i="5"/>
  <c r="G15" i="5" s="1"/>
  <c r="F31" i="7"/>
  <c r="G31" i="7" s="1"/>
  <c r="F76" i="10"/>
  <c r="G76" i="10" s="1"/>
  <c r="F38" i="9"/>
  <c r="G38" i="9" s="1"/>
  <c r="F12" i="5"/>
  <c r="G12" i="5" s="1"/>
  <c r="F85" i="10"/>
  <c r="G85" i="10" s="1"/>
  <c r="F16" i="20"/>
  <c r="G16" i="20" s="1"/>
  <c r="F34" i="20"/>
  <c r="G34" i="20" s="1"/>
  <c r="F53" i="20"/>
  <c r="G53" i="20" s="1"/>
  <c r="F68" i="10"/>
  <c r="G68" i="10" s="1"/>
  <c r="F30" i="15"/>
  <c r="G30" i="15" s="1"/>
  <c r="F18" i="8"/>
  <c r="G18" i="8" s="1"/>
  <c r="F38" i="8"/>
  <c r="G38" i="8" s="1"/>
  <c r="E10" i="13"/>
  <c r="F10" i="13" s="1"/>
  <c r="F42" i="10"/>
  <c r="G42" i="10" s="1"/>
  <c r="F89" i="10"/>
  <c r="G89" i="10" s="1"/>
  <c r="F18" i="20"/>
  <c r="G18" i="20" s="1"/>
  <c r="F56" i="10"/>
  <c r="G56" i="10" s="1"/>
  <c r="F28" i="10"/>
  <c r="G28" i="10" s="1"/>
  <c r="F53" i="10"/>
  <c r="G53" i="10" s="1"/>
  <c r="F36" i="20"/>
  <c r="G36" i="20" s="1"/>
  <c r="F90" i="5"/>
  <c r="G90" i="5" s="1"/>
  <c r="F112" i="9"/>
  <c r="G112" i="9" s="1"/>
  <c r="F79" i="9"/>
  <c r="G79" i="9" s="1"/>
  <c r="F16" i="9"/>
  <c r="G16" i="9" s="1"/>
  <c r="F38" i="20"/>
  <c r="G38" i="20" s="1"/>
  <c r="F23" i="3"/>
  <c r="G23" i="3" s="1"/>
  <c r="H48" i="21"/>
  <c r="H102" i="21"/>
  <c r="H32" i="21"/>
  <c r="T26" i="11"/>
  <c r="U26" i="11" s="1"/>
  <c r="F51" i="15"/>
  <c r="G51" i="15" s="1"/>
  <c r="F114" i="9"/>
  <c r="G114" i="9" s="1"/>
  <c r="F29" i="9"/>
  <c r="G29" i="9" s="1"/>
  <c r="F141" i="10"/>
  <c r="G141" i="10" s="1"/>
  <c r="F16" i="8"/>
  <c r="G16" i="8" s="1"/>
  <c r="T17" i="16"/>
  <c r="U17" i="16" s="1"/>
  <c r="F74" i="10"/>
  <c r="G74" i="10" s="1"/>
  <c r="H121" i="21"/>
  <c r="F225" i="2"/>
  <c r="G225" i="2" s="1"/>
  <c r="F105" i="10"/>
  <c r="G105" i="10" s="1"/>
  <c r="F65" i="18"/>
  <c r="G65" i="18" s="1"/>
  <c r="H65" i="18" s="1"/>
  <c r="E16" i="13"/>
  <c r="F16" i="13" s="1"/>
  <c r="M12" i="16"/>
  <c r="N12" i="16" s="1"/>
  <c r="F66" i="15"/>
  <c r="G66" i="15" s="1"/>
  <c r="F29" i="7"/>
  <c r="G29" i="7" s="1"/>
  <c r="F105" i="18"/>
  <c r="G105" i="18" s="1"/>
  <c r="H105" i="18" s="1"/>
  <c r="F29" i="16"/>
  <c r="G29" i="16" s="1"/>
  <c r="AA25" i="11"/>
  <c r="AB25" i="11" s="1"/>
  <c r="M25" i="11"/>
  <c r="N25" i="11" s="1"/>
  <c r="AA24" i="11"/>
  <c r="AB24" i="11" s="1"/>
  <c r="F24" i="11"/>
  <c r="G24" i="11" s="1"/>
  <c r="F31" i="16"/>
  <c r="G31" i="16" s="1"/>
  <c r="F29" i="21"/>
  <c r="F93" i="10"/>
  <c r="G93" i="10" s="1"/>
  <c r="F35" i="15"/>
  <c r="G35" i="15" s="1"/>
  <c r="F96" i="9"/>
  <c r="G96" i="9" s="1"/>
  <c r="F52" i="7"/>
  <c r="G52" i="7" s="1"/>
  <c r="F32" i="7"/>
  <c r="G32" i="7" s="1"/>
  <c r="F71" i="10"/>
  <c r="G71" i="10" s="1"/>
  <c r="F75" i="10"/>
  <c r="G75" i="10" s="1"/>
  <c r="F15" i="16"/>
  <c r="G15" i="16" s="1"/>
  <c r="F221" i="2"/>
  <c r="G221" i="2" s="1"/>
  <c r="F55" i="10"/>
  <c r="G55" i="10" s="1"/>
  <c r="E46" i="13"/>
  <c r="F46" i="13" s="1"/>
  <c r="F15" i="6"/>
  <c r="G15" i="6" s="1"/>
  <c r="F74" i="6"/>
  <c r="G74" i="6" s="1"/>
  <c r="F54" i="6"/>
  <c r="G54" i="6" s="1"/>
  <c r="F37" i="6"/>
  <c r="G37" i="6" s="1"/>
  <c r="F117" i="10"/>
  <c r="G117" i="10" s="1"/>
  <c r="F37" i="9"/>
  <c r="G37" i="9" s="1"/>
  <c r="F15" i="7"/>
  <c r="G15" i="7" s="1"/>
  <c r="F31" i="5"/>
  <c r="G31" i="5" s="1"/>
  <c r="F17" i="6"/>
  <c r="G17" i="6" s="1"/>
  <c r="F92" i="5"/>
  <c r="G92" i="5" s="1"/>
  <c r="F17" i="20"/>
  <c r="G17" i="20" s="1"/>
  <c r="F14" i="5"/>
  <c r="G14" i="5" s="1"/>
  <c r="F59" i="5"/>
  <c r="G59" i="5" s="1"/>
  <c r="F12" i="8"/>
  <c r="G12" i="8" s="1"/>
  <c r="F27" i="10"/>
  <c r="G27" i="10" s="1"/>
  <c r="F55" i="20"/>
  <c r="G55" i="20" s="1"/>
  <c r="F51" i="8"/>
  <c r="G51" i="8" s="1"/>
  <c r="F76" i="5"/>
  <c r="G76" i="5" s="1"/>
  <c r="F35" i="20"/>
  <c r="G35" i="20" s="1"/>
  <c r="AA26" i="11"/>
  <c r="AB26" i="11" s="1"/>
  <c r="M27" i="11"/>
  <c r="N27" i="11" s="1"/>
  <c r="F30" i="5"/>
  <c r="G30" i="5" s="1"/>
  <c r="F13" i="8"/>
  <c r="G13" i="8" s="1"/>
  <c r="F16" i="7"/>
  <c r="G16" i="7" s="1"/>
  <c r="E15" i="13"/>
  <c r="F15" i="13" s="1"/>
  <c r="F43" i="10"/>
  <c r="G43" i="10" s="1"/>
  <c r="F21" i="21"/>
  <c r="F30" i="8"/>
  <c r="G30" i="8" s="1"/>
  <c r="F12" i="6"/>
  <c r="G12" i="6" s="1"/>
  <c r="F51" i="6"/>
  <c r="G51" i="6" s="1"/>
  <c r="F11" i="8"/>
  <c r="G11" i="8" s="1"/>
  <c r="F34" i="6"/>
  <c r="G34" i="6" s="1"/>
  <c r="F29" i="5"/>
  <c r="G29" i="5" s="1"/>
  <c r="F75" i="5"/>
  <c r="G75" i="5" s="1"/>
  <c r="F60" i="5"/>
  <c r="G60" i="5" s="1"/>
  <c r="F71" i="6"/>
  <c r="G71" i="6" s="1"/>
  <c r="F50" i="8"/>
  <c r="G50" i="8" s="1"/>
  <c r="F47" i="5"/>
  <c r="G47" i="5" s="1"/>
  <c r="F13" i="5"/>
  <c r="G13" i="5" s="1"/>
  <c r="F14" i="7"/>
  <c r="G14" i="7" s="1"/>
  <c r="F13" i="10"/>
  <c r="G13" i="10" s="1"/>
  <c r="F77" i="5"/>
  <c r="G77" i="5" s="1"/>
  <c r="F54" i="7"/>
  <c r="G54" i="7" s="1"/>
  <c r="F34" i="7"/>
  <c r="G34" i="7" s="1"/>
  <c r="F61" i="5"/>
  <c r="G61" i="5" s="1"/>
  <c r="F70" i="7"/>
  <c r="G70" i="7" s="1"/>
  <c r="F93" i="5"/>
  <c r="G93" i="5" s="1"/>
  <c r="F57" i="6"/>
  <c r="G57" i="6" s="1"/>
  <c r="F77" i="6"/>
  <c r="G77" i="6" s="1"/>
  <c r="F133" i="10"/>
  <c r="G133" i="10" s="1"/>
  <c r="F57" i="20"/>
  <c r="G57" i="20" s="1"/>
  <c r="T27" i="11"/>
  <c r="U27" i="11" s="1"/>
  <c r="AA15" i="16"/>
  <c r="AB15" i="16" s="1"/>
  <c r="E24" i="13"/>
  <c r="F24" i="13" s="1"/>
  <c r="F40" i="4"/>
  <c r="G40" i="4" s="1"/>
  <c r="F37" i="8"/>
  <c r="G37" i="8" s="1"/>
  <c r="F104" i="10"/>
  <c r="G104" i="10" s="1"/>
  <c r="F63" i="9"/>
  <c r="G63" i="9" s="1"/>
  <c r="F79" i="15"/>
  <c r="G79" i="15" s="1"/>
  <c r="F27" i="11"/>
  <c r="G27" i="11" s="1"/>
  <c r="F83" i="10"/>
  <c r="G83" i="10" s="1"/>
  <c r="F50" i="20"/>
  <c r="G50" i="20" s="1"/>
  <c r="F15" i="4"/>
  <c r="G15" i="4" s="1"/>
  <c r="F47" i="7"/>
  <c r="G47" i="7" s="1"/>
  <c r="F74" i="5"/>
  <c r="G74" i="5" s="1"/>
  <c r="F44" i="5"/>
  <c r="G44" i="5" s="1"/>
  <c r="F33" i="8"/>
  <c r="G33" i="8" s="1"/>
  <c r="F39" i="6"/>
  <c r="G39" i="6" s="1"/>
  <c r="F32" i="11"/>
  <c r="G32" i="11" s="1"/>
  <c r="F23" i="11"/>
  <c r="G23" i="11" s="1"/>
  <c r="AA23" i="11"/>
  <c r="AB23" i="11" s="1"/>
  <c r="T23" i="11"/>
  <c r="U23" i="11" s="1"/>
  <c r="F90" i="10"/>
  <c r="G90" i="10" s="1"/>
  <c r="F64" i="10"/>
  <c r="G64" i="10" s="1"/>
  <c r="F59" i="20"/>
  <c r="G59" i="20" s="1"/>
  <c r="F25" i="9"/>
  <c r="G25" i="9" s="1"/>
  <c r="F59" i="9"/>
  <c r="G59" i="9" s="1"/>
  <c r="F40" i="9"/>
  <c r="G40" i="9" s="1"/>
  <c r="F73" i="9"/>
  <c r="G73" i="9" s="1"/>
  <c r="F106" i="9"/>
  <c r="G106" i="9" s="1"/>
  <c r="F39" i="10"/>
  <c r="G39" i="10" s="1"/>
  <c r="F92" i="9"/>
  <c r="G92" i="9" s="1"/>
  <c r="F59" i="8"/>
  <c r="G59" i="8" s="1"/>
  <c r="F85" i="5"/>
  <c r="G85" i="5" s="1"/>
  <c r="F40" i="5"/>
  <c r="G40" i="5" s="1"/>
  <c r="F62" i="7"/>
  <c r="G62" i="7" s="1"/>
  <c r="F9" i="6"/>
  <c r="G9" i="6" s="1"/>
  <c r="F66" i="6"/>
  <c r="G66" i="6" s="1"/>
  <c r="F47" i="6"/>
  <c r="G47" i="6" s="1"/>
  <c r="F25" i="5"/>
  <c r="G25" i="5" s="1"/>
  <c r="F55" i="5"/>
  <c r="G55" i="5" s="1"/>
  <c r="F24" i="7"/>
  <c r="G24" i="7" s="1"/>
  <c r="F42" i="7"/>
  <c r="G42" i="7" s="1"/>
  <c r="F29" i="8"/>
  <c r="G29" i="8" s="1"/>
  <c r="F30" i="6"/>
  <c r="G30" i="6" s="1"/>
  <c r="F10" i="7"/>
  <c r="G10" i="7" s="1"/>
  <c r="G137" i="21"/>
  <c r="H137" i="21" s="1"/>
  <c r="F121" i="10"/>
  <c r="G121" i="10" s="1"/>
  <c r="F38" i="6"/>
  <c r="G38" i="6" s="1"/>
  <c r="F40" i="20"/>
  <c r="G40" i="20" s="1"/>
  <c r="F33" i="11"/>
  <c r="G33" i="11" s="1"/>
  <c r="F99" i="9"/>
  <c r="G99" i="9" s="1"/>
  <c r="AA16" i="11"/>
  <c r="AB16" i="11" s="1"/>
  <c r="E38" i="13"/>
  <c r="F38" i="13" s="1"/>
  <c r="F52" i="20"/>
  <c r="G52" i="20" s="1"/>
  <c r="F32" i="20"/>
  <c r="G32" i="20" s="1"/>
  <c r="F14" i="20"/>
  <c r="G14" i="20" s="1"/>
  <c r="F44" i="21"/>
  <c r="F116" i="21"/>
  <c r="F28" i="21"/>
  <c r="D29" i="14"/>
  <c r="E29" i="14" s="1"/>
  <c r="F29" i="15"/>
  <c r="G29" i="15" s="1"/>
  <c r="F34" i="21"/>
  <c r="F64" i="9"/>
  <c r="G64" i="9" s="1"/>
  <c r="F31" i="20"/>
  <c r="G31" i="20" s="1"/>
  <c r="F42" i="4"/>
  <c r="G42" i="4" s="1"/>
  <c r="F41" i="21"/>
  <c r="F162" i="2"/>
  <c r="G162" i="2" s="1"/>
  <c r="F39" i="5"/>
  <c r="G39" i="5" s="1"/>
  <c r="F9" i="2"/>
  <c r="F62" i="5"/>
  <c r="G62" i="5" s="1"/>
  <c r="F11" i="2"/>
  <c r="F24" i="9"/>
  <c r="G24" i="9" s="1"/>
  <c r="F28" i="9"/>
  <c r="G28" i="9" s="1"/>
  <c r="F28" i="8"/>
  <c r="G28" i="8" s="1"/>
  <c r="F137" i="2"/>
  <c r="G137" i="2" s="1"/>
  <c r="H47" i="21"/>
  <c r="F115" i="21"/>
  <c r="F78" i="5"/>
  <c r="G78" i="5" s="1"/>
  <c r="F8" i="2"/>
  <c r="F64" i="15"/>
  <c r="G64" i="15" s="1"/>
  <c r="E11" i="12"/>
  <c r="G11" i="12" s="1"/>
  <c r="F108" i="10"/>
  <c r="G108" i="10" s="1"/>
  <c r="F88" i="2"/>
  <c r="G88" i="2" s="1"/>
  <c r="F207" i="2"/>
  <c r="G207" i="2" s="1"/>
  <c r="E25" i="13"/>
  <c r="F25" i="13" s="1"/>
  <c r="F125" i="2"/>
  <c r="G125" i="2" s="1"/>
  <c r="F211" i="2"/>
  <c r="G211" i="2" s="1"/>
  <c r="F66" i="9"/>
  <c r="G66" i="9" s="1"/>
  <c r="F212" i="2"/>
  <c r="G212" i="2" s="1"/>
  <c r="F33" i="7"/>
  <c r="G33" i="7" s="1"/>
  <c r="D31" i="14"/>
  <c r="E31" i="14" s="1"/>
  <c r="F54" i="8"/>
  <c r="G54" i="8" s="1"/>
  <c r="F50" i="10"/>
  <c r="G50" i="10" s="1"/>
  <c r="F137" i="10"/>
  <c r="G137" i="10" s="1"/>
  <c r="F94" i="5"/>
  <c r="G94" i="5" s="1"/>
  <c r="F228" i="2"/>
  <c r="G228" i="2" s="1"/>
  <c r="F29" i="4"/>
  <c r="G29" i="4" s="1"/>
  <c r="F115" i="9"/>
  <c r="G115" i="9" s="1"/>
  <c r="F140" i="21"/>
  <c r="G140" i="21" s="1"/>
  <c r="H140" i="21" s="1"/>
  <c r="H37" i="12"/>
  <c r="F27" i="20"/>
  <c r="G27" i="20" s="1"/>
  <c r="F127" i="2"/>
  <c r="G127" i="2" s="1"/>
  <c r="F78" i="6"/>
  <c r="G78" i="6" s="1"/>
  <c r="F113" i="10"/>
  <c r="G113" i="10" s="1"/>
  <c r="F34" i="11"/>
  <c r="G34" i="11" s="1"/>
  <c r="H75" i="12"/>
  <c r="F9" i="3"/>
  <c r="G9" i="3" s="1"/>
  <c r="F177" i="2"/>
  <c r="G177" i="2" s="1"/>
  <c r="H101" i="21"/>
  <c r="F41" i="4"/>
  <c r="G41" i="4" s="1"/>
  <c r="F11" i="20"/>
  <c r="G11" i="20" s="1"/>
  <c r="F46" i="6"/>
  <c r="G46" i="6" s="1"/>
  <c r="F65" i="10"/>
  <c r="G65" i="10" s="1"/>
  <c r="D26" i="14"/>
  <c r="E26" i="14" s="1"/>
  <c r="F58" i="6"/>
  <c r="G58" i="6" s="1"/>
  <c r="F13" i="15"/>
  <c r="G13" i="15" s="1"/>
  <c r="F39" i="20"/>
  <c r="G39" i="20" s="1"/>
  <c r="F64" i="4"/>
  <c r="G64" i="4" s="1"/>
  <c r="F51" i="21"/>
  <c r="F116" i="10"/>
  <c r="G116" i="10" s="1"/>
  <c r="F58" i="10"/>
  <c r="G58" i="10" s="1"/>
  <c r="F20" i="21"/>
  <c r="F60" i="20"/>
  <c r="G60" i="20" s="1"/>
  <c r="F56" i="6"/>
  <c r="G56" i="6" s="1"/>
  <c r="F69" i="7"/>
  <c r="G69" i="7" s="1"/>
  <c r="T12" i="16"/>
  <c r="U12" i="16" s="1"/>
  <c r="F81" i="9"/>
  <c r="G81" i="9" s="1"/>
  <c r="F132" i="10"/>
  <c r="G132" i="10" s="1"/>
  <c r="F134" i="10"/>
  <c r="G134" i="10" s="1"/>
  <c r="F36" i="10"/>
  <c r="G36" i="10" s="1"/>
  <c r="F100" i="10"/>
  <c r="G100" i="10" s="1"/>
  <c r="F106" i="10"/>
  <c r="G106" i="10" s="1"/>
  <c r="H125" i="21"/>
  <c r="F94" i="9"/>
  <c r="G94" i="9" s="1"/>
  <c r="F43" i="7"/>
  <c r="G43" i="7" s="1"/>
  <c r="F86" i="5"/>
  <c r="G86" i="5" s="1"/>
  <c r="F25" i="10"/>
  <c r="G25" i="10" s="1"/>
  <c r="F10" i="6"/>
  <c r="G10" i="6" s="1"/>
  <c r="AA12" i="16"/>
  <c r="AB12" i="16" s="1"/>
  <c r="F62" i="15"/>
  <c r="G62" i="15" s="1"/>
  <c r="F73" i="15"/>
  <c r="G73" i="15" s="1"/>
  <c r="F141" i="21"/>
  <c r="G141" i="21" s="1"/>
  <c r="H141" i="21" s="1"/>
  <c r="F29" i="10"/>
  <c r="G29" i="10" s="1"/>
  <c r="F31" i="6"/>
  <c r="G31" i="6" s="1"/>
  <c r="F52" i="10"/>
  <c r="G52" i="10" s="1"/>
  <c r="F133" i="21"/>
  <c r="G133" i="21" s="1"/>
  <c r="H133" i="21" s="1"/>
  <c r="F118" i="10"/>
  <c r="G118" i="10" s="1"/>
  <c r="F140" i="10"/>
  <c r="G140" i="10" s="1"/>
  <c r="F67" i="10"/>
  <c r="G67" i="10" s="1"/>
  <c r="F88" i="10"/>
  <c r="G88" i="10" s="1"/>
  <c r="F41" i="5"/>
  <c r="G41" i="5" s="1"/>
  <c r="F48" i="15"/>
  <c r="G48" i="15" s="1"/>
  <c r="T16" i="16"/>
  <c r="U16" i="16" s="1"/>
  <c r="F11" i="7"/>
  <c r="G11" i="7" s="1"/>
  <c r="F25" i="7"/>
  <c r="G25" i="7" s="1"/>
  <c r="F107" i="9"/>
  <c r="G107" i="9" s="1"/>
  <c r="F63" i="7"/>
  <c r="G63" i="7" s="1"/>
  <c r="F20" i="20"/>
  <c r="G20" i="20" s="1"/>
  <c r="F19" i="20"/>
  <c r="G19" i="20" s="1"/>
  <c r="F74" i="9"/>
  <c r="G74" i="9" s="1"/>
  <c r="F30" i="21"/>
  <c r="F46" i="21"/>
  <c r="F26" i="9"/>
  <c r="G26" i="9" s="1"/>
  <c r="F26" i="5"/>
  <c r="G26" i="5" s="1"/>
  <c r="F48" i="6"/>
  <c r="G48" i="6" s="1"/>
  <c r="F30" i="9"/>
  <c r="G30" i="9" s="1"/>
  <c r="F30" i="10"/>
  <c r="G30" i="10" s="1"/>
  <c r="F40" i="10"/>
  <c r="G40" i="10" s="1"/>
  <c r="F41" i="9"/>
  <c r="G41" i="9" s="1"/>
  <c r="F37" i="10"/>
  <c r="G37" i="10" s="1"/>
  <c r="F71" i="5"/>
  <c r="G71" i="5" s="1"/>
  <c r="H36" i="21"/>
  <c r="F33" i="6"/>
  <c r="G33" i="6" s="1"/>
  <c r="F73" i="5"/>
  <c r="G73" i="5" s="1"/>
  <c r="F46" i="7"/>
  <c r="G46" i="7" s="1"/>
  <c r="F58" i="5"/>
  <c r="G58" i="5" s="1"/>
  <c r="F43" i="5"/>
  <c r="G43" i="5" s="1"/>
  <c r="F69" i="6"/>
  <c r="G69" i="6" s="1"/>
  <c r="F50" i="6"/>
  <c r="G50" i="6" s="1"/>
  <c r="F65" i="7"/>
  <c r="G65" i="7" s="1"/>
  <c r="F32" i="8"/>
  <c r="G32" i="8" s="1"/>
  <c r="F88" i="5"/>
  <c r="G88" i="5" s="1"/>
  <c r="F28" i="20"/>
  <c r="G28" i="20" s="1"/>
  <c r="F10" i="20"/>
  <c r="G10" i="20" s="1"/>
  <c r="F48" i="20"/>
  <c r="G48" i="20" s="1"/>
  <c r="F31" i="9"/>
  <c r="G31" i="9" s="1"/>
  <c r="F11" i="10"/>
  <c r="G11" i="10" s="1"/>
  <c r="F56" i="5"/>
  <c r="G56" i="5" s="1"/>
  <c r="F31" i="11"/>
  <c r="G31" i="11" s="1"/>
  <c r="F22" i="11"/>
  <c r="G22" i="11" s="1"/>
  <c r="AA22" i="11"/>
  <c r="AB22" i="11" s="1"/>
  <c r="T22" i="11"/>
  <c r="U22" i="11" s="1"/>
  <c r="F27" i="16"/>
  <c r="G27" i="16" s="1"/>
  <c r="M22" i="11"/>
  <c r="N22" i="11" s="1"/>
  <c r="H52" i="21"/>
  <c r="H106" i="21"/>
  <c r="F46" i="5"/>
  <c r="G46" i="5" s="1"/>
  <c r="F61" i="15"/>
  <c r="G61" i="15" s="1"/>
  <c r="AA11" i="16"/>
  <c r="AB11" i="16" s="1"/>
  <c r="F69" i="5"/>
  <c r="G69" i="5" s="1"/>
  <c r="F44" i="15"/>
  <c r="G44" i="15" s="1"/>
  <c r="F29" i="6"/>
  <c r="G29" i="6" s="1"/>
  <c r="F62" i="9"/>
  <c r="G62" i="9" s="1"/>
  <c r="F31" i="8"/>
  <c r="G31" i="8" s="1"/>
  <c r="T15" i="11"/>
  <c r="U15" i="11" s="1"/>
  <c r="AA14" i="16"/>
  <c r="AB14" i="16" s="1"/>
  <c r="F9" i="7"/>
  <c r="G9" i="7" s="1"/>
  <c r="AA20" i="11"/>
  <c r="AB20" i="11" s="1"/>
  <c r="F14" i="10"/>
  <c r="G14" i="10" s="1"/>
  <c r="F20" i="11"/>
  <c r="G20" i="11" s="1"/>
  <c r="T20" i="11"/>
  <c r="U20" i="11" s="1"/>
  <c r="F72" i="9"/>
  <c r="G72" i="9" s="1"/>
  <c r="F84" i="5"/>
  <c r="G84" i="5" s="1"/>
  <c r="F13" i="7"/>
  <c r="G13" i="7" s="1"/>
  <c r="F63" i="15"/>
  <c r="G63" i="15" s="1"/>
  <c r="AA13" i="16"/>
  <c r="AB13" i="16" s="1"/>
  <c r="F23" i="10"/>
  <c r="G23" i="10" s="1"/>
  <c r="F61" i="7"/>
  <c r="G61" i="7" s="1"/>
  <c r="F9" i="20"/>
  <c r="G9" i="20" s="1"/>
  <c r="F36" i="9"/>
  <c r="G36" i="9" s="1"/>
  <c r="F8" i="6"/>
  <c r="G8" i="6" s="1"/>
  <c r="F41" i="7"/>
  <c r="G41" i="7" s="1"/>
  <c r="F58" i="9"/>
  <c r="G58" i="9" s="1"/>
  <c r="F54" i="5"/>
  <c r="G54" i="5" s="1"/>
  <c r="F65" i="6"/>
  <c r="G65" i="6" s="1"/>
  <c r="F29" i="11"/>
  <c r="G29" i="11" s="1"/>
  <c r="F47" i="20"/>
  <c r="G47" i="20" s="1"/>
  <c r="F23" i="7"/>
  <c r="G23" i="7" s="1"/>
  <c r="F63" i="10"/>
  <c r="G63" i="10" s="1"/>
  <c r="F35" i="10"/>
  <c r="G35" i="10" s="1"/>
  <c r="F28" i="5"/>
  <c r="G28" i="5" s="1"/>
  <c r="F15" i="9"/>
  <c r="G15" i="9" s="1"/>
  <c r="G111" i="21" l="1"/>
  <c r="H111" i="21" s="1"/>
  <c r="G110" i="21"/>
  <c r="H110" i="21" s="1"/>
  <c r="H105" i="21"/>
  <c r="H100" i="21"/>
  <c r="H104" i="21"/>
  <c r="H103" i="21"/>
  <c r="I132" i="21"/>
  <c r="G115" i="21"/>
  <c r="H115" i="21" s="1"/>
  <c r="G118" i="21"/>
  <c r="H118" i="21" s="1"/>
  <c r="G112" i="21"/>
  <c r="H112" i="21" s="1"/>
  <c r="G114" i="21"/>
  <c r="H114" i="21" s="1"/>
  <c r="G117" i="21"/>
  <c r="H117" i="21" s="1"/>
  <c r="G113" i="21"/>
  <c r="H113" i="21" s="1"/>
  <c r="G119" i="21"/>
  <c r="H119" i="21" s="1"/>
  <c r="G123" i="21"/>
  <c r="H123" i="21" s="1"/>
  <c r="G116" i="21"/>
  <c r="H116" i="21" s="1"/>
  <c r="G122" i="21"/>
  <c r="H122" i="21" s="1"/>
  <c r="G124" i="21"/>
  <c r="H124" i="21" s="1"/>
  <c r="G40" i="21"/>
  <c r="H40" i="21" s="1"/>
  <c r="G28" i="21"/>
  <c r="H28" i="21" s="1"/>
  <c r="G41" i="21"/>
  <c r="H41" i="21" s="1"/>
  <c r="G44" i="21"/>
  <c r="H44" i="21" s="1"/>
  <c r="G43" i="21"/>
  <c r="H43" i="21" s="1"/>
  <c r="G50" i="21"/>
  <c r="H50" i="21" s="1"/>
  <c r="G51" i="21"/>
  <c r="H51" i="21" s="1"/>
  <c r="G49" i="21"/>
  <c r="H49" i="21" s="1"/>
  <c r="G42" i="21"/>
  <c r="H42" i="21" s="1"/>
  <c r="G46" i="21"/>
  <c r="H46" i="21" s="1"/>
  <c r="G45" i="21"/>
  <c r="H45" i="21" s="1"/>
  <c r="G33" i="21"/>
  <c r="H33" i="21" s="1"/>
  <c r="G35" i="21"/>
  <c r="H35" i="21" s="1"/>
  <c r="G30" i="21"/>
  <c r="H30" i="21" s="1"/>
  <c r="G34" i="21"/>
  <c r="H34" i="21" s="1"/>
  <c r="G29" i="21"/>
  <c r="H29" i="21" s="1"/>
  <c r="G20" i="21"/>
  <c r="H20" i="21" s="1"/>
  <c r="G14" i="21"/>
  <c r="H14" i="21" s="1"/>
  <c r="G18" i="21"/>
  <c r="H18" i="21" s="1"/>
  <c r="G21" i="21"/>
  <c r="H21" i="21" s="1"/>
  <c r="G15" i="21"/>
  <c r="H15" i="21" s="1"/>
  <c r="H7" i="15"/>
  <c r="H132" i="10"/>
  <c r="G23" i="6"/>
  <c r="N24" i="13"/>
  <c r="N15" i="13"/>
  <c r="H102" i="15"/>
  <c r="H8" i="24"/>
  <c r="G37" i="11"/>
  <c r="G28" i="11"/>
  <c r="C7" i="11" s="1"/>
  <c r="N28" i="11"/>
  <c r="J7" i="11" s="1"/>
  <c r="U28" i="11"/>
  <c r="Q7" i="11" s="1"/>
  <c r="AB28" i="11"/>
  <c r="X7" i="11" s="1"/>
  <c r="H9" i="12"/>
  <c r="H63" i="4"/>
  <c r="C35" i="16"/>
  <c r="C40" i="16" s="1"/>
  <c r="H24" i="4"/>
  <c r="N34" i="16"/>
  <c r="H84" i="4"/>
  <c r="H11" i="4"/>
  <c r="H50" i="4"/>
  <c r="H91" i="15"/>
  <c r="U18" i="11"/>
  <c r="G22" i="6"/>
  <c r="H9" i="8"/>
  <c r="AB18" i="11"/>
  <c r="J41" i="11" s="1"/>
  <c r="H36" i="9"/>
  <c r="G8" i="2"/>
  <c r="H37" i="4"/>
  <c r="C33" i="16"/>
  <c r="J42" i="16" s="1"/>
  <c r="H50" i="10"/>
  <c r="H72" i="9"/>
  <c r="H61" i="7"/>
  <c r="H98" i="10"/>
  <c r="H43" i="15"/>
  <c r="H28" i="8"/>
  <c r="H23" i="7"/>
  <c r="H9" i="5"/>
  <c r="H48" i="8"/>
  <c r="H72" i="15"/>
  <c r="H91" i="9"/>
  <c r="H28" i="15"/>
  <c r="U34" i="16"/>
  <c r="H65" i="6"/>
  <c r="H24" i="9"/>
  <c r="H105" i="9"/>
  <c r="H82" i="10"/>
  <c r="H47" i="20"/>
  <c r="H29" i="6"/>
  <c r="H10" i="9"/>
  <c r="H9" i="20"/>
  <c r="H46" i="6"/>
  <c r="H27" i="20"/>
  <c r="H23" i="10"/>
  <c r="H24" i="5"/>
  <c r="H58" i="9"/>
  <c r="H35" i="10"/>
  <c r="H41" i="7"/>
  <c r="H9" i="10"/>
  <c r="G34" i="16"/>
  <c r="H113" i="10"/>
  <c r="H39" i="5"/>
  <c r="H63" i="10"/>
  <c r="H8" i="6"/>
  <c r="H84" i="5"/>
  <c r="H61" i="15"/>
  <c r="H54" i="5"/>
  <c r="H69" i="5"/>
  <c r="H9" i="7"/>
  <c r="AB34" i="16"/>
  <c r="I98" i="21" l="1"/>
  <c r="I110" i="21"/>
  <c r="I40" i="21"/>
  <c r="I13" i="21"/>
  <c r="I28" i="21"/>
  <c r="C39" i="11"/>
  <c r="C34" i="16"/>
  <c r="C38" i="16" s="1"/>
  <c r="H140" i="12"/>
  <c r="G35" i="38"/>
  <c r="H35" i="38" l="1"/>
  <c r="I29" i="38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Горшков Кирилл</author>
  </authors>
  <commentList>
    <comment ref="AU26" authorId="0" shapeId="0" xr:uid="{00000000-0006-0000-0A00-000001000000}">
      <text>
        <r>
          <rPr>
            <b/>
            <sz val="9"/>
            <color indexed="81"/>
            <rFont val="Tahoma"/>
            <family val="2"/>
            <charset val="204"/>
          </rPr>
          <t>Горшков Кирилл:</t>
        </r>
        <r>
          <rPr>
            <sz val="9"/>
            <color indexed="81"/>
            <rFont val="Tahoma"/>
            <family val="2"/>
            <charset val="204"/>
          </rPr>
          <t xml:space="preserve">
смена артикулов 15.07.15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Горшков Кирилл</author>
  </authors>
  <commentList>
    <comment ref="AU30" authorId="0" shapeId="0" xr:uid="{00000000-0006-0000-1100-000001000000}">
      <text>
        <r>
          <rPr>
            <b/>
            <sz val="9"/>
            <color indexed="81"/>
            <rFont val="Tahoma"/>
            <family val="2"/>
            <charset val="204"/>
          </rPr>
          <t>Горшков Кирилл:</t>
        </r>
        <r>
          <rPr>
            <sz val="9"/>
            <color indexed="81"/>
            <rFont val="Tahoma"/>
            <family val="2"/>
            <charset val="204"/>
          </rPr>
          <t xml:space="preserve">
смена артикулов 15.07.15
</t>
        </r>
      </text>
    </comment>
  </commentList>
</comments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name="Подключение" type="4" refreshedVersion="6" background="1" refreshOnLoad="1" saveData="1">
    <webPr sourceData="1" parsePre="1" consecutive="1" xl2000="1" url="https://news.yandex.ru/quotes/23.html" htmlTables="1"/>
  </connection>
</connections>
</file>

<file path=xl/sharedStrings.xml><?xml version="1.0" encoding="utf-8"?>
<sst xmlns="http://schemas.openxmlformats.org/spreadsheetml/2006/main" count="17081" uniqueCount="9045">
  <si>
    <t>5306499/</t>
  </si>
  <si>
    <t>5343193/</t>
  </si>
  <si>
    <t>5363877/</t>
  </si>
  <si>
    <t>5393489/</t>
  </si>
  <si>
    <t>5458272/</t>
  </si>
  <si>
    <t>5589451/</t>
  </si>
  <si>
    <t>5664397/</t>
  </si>
  <si>
    <t>5745454/</t>
  </si>
  <si>
    <t>5846135/</t>
  </si>
  <si>
    <t>5924130/</t>
  </si>
  <si>
    <t>TBX, Углов. задн. крепл M, сер, лев</t>
  </si>
  <si>
    <t>5924210/</t>
  </si>
  <si>
    <t>TBX, Углов. задн. крепл M, сер, прав</t>
  </si>
  <si>
    <t>5966640/</t>
  </si>
  <si>
    <t>TBX, Углов. задн. крепл D, сер, лев</t>
  </si>
  <si>
    <t>5966700/</t>
  </si>
  <si>
    <t>TBX, Углов. задн. крепл D, сер, прав</t>
  </si>
  <si>
    <t>6093928/</t>
  </si>
  <si>
    <t>6094483/</t>
  </si>
  <si>
    <t>6094563/</t>
  </si>
  <si>
    <t>6094703/</t>
  </si>
  <si>
    <t>6094993/</t>
  </si>
  <si>
    <t>6108902/</t>
  </si>
  <si>
    <t>6127676/</t>
  </si>
  <si>
    <t>6149921/</t>
  </si>
  <si>
    <t>6175638/</t>
  </si>
  <si>
    <t>6191701/</t>
  </si>
  <si>
    <t>6224952/</t>
  </si>
  <si>
    <t>6263086/</t>
  </si>
  <si>
    <t>6284164/</t>
  </si>
  <si>
    <t>6426344/</t>
  </si>
  <si>
    <t>6427131/</t>
  </si>
  <si>
    <t>6457513/</t>
  </si>
  <si>
    <t>6639570/</t>
  </si>
  <si>
    <t>6714190/</t>
  </si>
  <si>
    <t>TBX-AA, Передн держ стекл вст, нижн, сим</t>
  </si>
  <si>
    <t>6728912/</t>
  </si>
  <si>
    <t>TBX-AA, Рел прод д/вн, 350 мм, бел, прав</t>
  </si>
  <si>
    <t>6742740/</t>
  </si>
  <si>
    <t>6745170/</t>
  </si>
  <si>
    <t>ORG, Набор ст/пр, 900/550 мм, ZSI.90VEI7</t>
  </si>
  <si>
    <t>6745900/</t>
  </si>
  <si>
    <t>6749300/</t>
  </si>
  <si>
    <t>ORG, Набор с разд, 900/550мм, ZSI.90VUI7</t>
  </si>
  <si>
    <t>6751060/</t>
  </si>
  <si>
    <t>ORG, Набор с разд, 900/500мм, ZSI.90VUI6</t>
  </si>
  <si>
    <t>6841479/</t>
  </si>
  <si>
    <t>6933736/</t>
  </si>
  <si>
    <t>TBX-AA, Рел прод д/вн, 350 мм, сер, прав</t>
  </si>
  <si>
    <t>6951713/</t>
  </si>
  <si>
    <t>ORG, Набор д/бут нерж 500 мм ZFI.30BZI6N</t>
  </si>
  <si>
    <t>7052081/</t>
  </si>
  <si>
    <t>7095391/</t>
  </si>
  <si>
    <t>7124104/</t>
  </si>
  <si>
    <t>TBX-AA, Задн держ стекл вст D черн, прав</t>
  </si>
  <si>
    <t>7144380/</t>
  </si>
  <si>
    <t>Syncromotion D, сер, кмп, Z33D00E0A6</t>
  </si>
  <si>
    <t>7144460/</t>
  </si>
  <si>
    <t>Syncromotion M, сер, кмп, Z33M00E0A6</t>
  </si>
  <si>
    <t>7271392/</t>
  </si>
  <si>
    <t>TBX-AA, Рел прод д/вн, 500 мм, бел, прав</t>
  </si>
  <si>
    <t>7339983/</t>
  </si>
  <si>
    <t>7403462/</t>
  </si>
  <si>
    <t>7479372/</t>
  </si>
  <si>
    <t>7764690/</t>
  </si>
  <si>
    <t>1392634/</t>
  </si>
  <si>
    <t>1392804/</t>
  </si>
  <si>
    <t>1410984/</t>
  </si>
  <si>
    <t>1411104/</t>
  </si>
  <si>
    <t>1438981/</t>
  </si>
  <si>
    <t>1482979/</t>
  </si>
  <si>
    <t>7285440/</t>
  </si>
  <si>
    <t>8744582/</t>
  </si>
  <si>
    <t>8744412/</t>
  </si>
  <si>
    <t>6450372/</t>
  </si>
  <si>
    <t>2125050/</t>
  </si>
  <si>
    <t>2124830/</t>
  </si>
  <si>
    <t>6135772/</t>
  </si>
  <si>
    <t>6135692/</t>
  </si>
  <si>
    <t>2213400/</t>
  </si>
  <si>
    <t>2213690/</t>
  </si>
  <si>
    <t>6135852/</t>
  </si>
  <si>
    <t>6135932/</t>
  </si>
  <si>
    <t>2139780/</t>
  </si>
  <si>
    <t>2139860/</t>
  </si>
  <si>
    <t>5555262/</t>
  </si>
  <si>
    <t>5556802/</t>
  </si>
  <si>
    <t>4412000/</t>
  </si>
  <si>
    <t>4411990/</t>
  </si>
  <si>
    <t>4411640/</t>
  </si>
  <si>
    <t>8966030/</t>
  </si>
  <si>
    <t>7389063/</t>
  </si>
  <si>
    <t>7388900/</t>
  </si>
  <si>
    <t>7712104/</t>
  </si>
  <si>
    <t>EUR</t>
  </si>
  <si>
    <t>RUR</t>
  </si>
  <si>
    <t>Артикул</t>
  </si>
  <si>
    <t>TBX, Адаптеры к Z30N под мойку, кмп.</t>
  </si>
  <si>
    <t>Наименование</t>
  </si>
  <si>
    <t>TBX, Ручка с пов. д/внутр. ящ, ZIF.7007</t>
  </si>
  <si>
    <t>6639060/</t>
  </si>
  <si>
    <t>ORG, Держат. тарелок D 180-320, ZTH.0350</t>
  </si>
  <si>
    <t>7174871/</t>
  </si>
  <si>
    <t>5619859/</t>
  </si>
  <si>
    <t xml:space="preserve">  Раскрой: внутр. ширина корпуса - 86мм</t>
  </si>
  <si>
    <t>Направляющие для деревянных ящиков</t>
  </si>
  <si>
    <t>TANDEM plus BLUMOTION</t>
  </si>
  <si>
    <t>Стабилизатор</t>
  </si>
  <si>
    <t>Рекомендация: для ширины корпуса свыше 600мм</t>
  </si>
  <si>
    <t>TBX, Двухст. BOXSIDE, 650 мм, нерж, кмп.</t>
  </si>
  <si>
    <t>7771377/</t>
  </si>
  <si>
    <t>7910167/</t>
  </si>
  <si>
    <t>7910247/</t>
  </si>
  <si>
    <t>6863103/</t>
  </si>
  <si>
    <t>6800443/</t>
  </si>
  <si>
    <t>6484600/</t>
  </si>
  <si>
    <t>4203370/</t>
  </si>
  <si>
    <t>3225551/</t>
  </si>
  <si>
    <t>3458316/</t>
  </si>
  <si>
    <t>4340601/</t>
  </si>
  <si>
    <t>5436671/</t>
  </si>
  <si>
    <t>5436676/</t>
  </si>
  <si>
    <t>5436677/</t>
  </si>
  <si>
    <t>5436679/</t>
  </si>
  <si>
    <t>6653981/</t>
  </si>
  <si>
    <t>7167583/</t>
  </si>
  <si>
    <t>7167586/</t>
  </si>
  <si>
    <t>3441770/</t>
  </si>
  <si>
    <t>3521457/</t>
  </si>
  <si>
    <t>3896690/</t>
  </si>
  <si>
    <t>ORG, Раздел поп сталь 1200мм серZ40H1077</t>
  </si>
  <si>
    <t>4202990/</t>
  </si>
  <si>
    <t>AVS HF, Монт пл б/в175H5100.05 (8002803)</t>
  </si>
  <si>
    <t>TBX, Держат. задн. ст, 191 мм, сер, лев.</t>
  </si>
  <si>
    <t>7072533/</t>
  </si>
  <si>
    <t>7283150/</t>
  </si>
  <si>
    <t>7283070/</t>
  </si>
  <si>
    <t>7282180/</t>
  </si>
  <si>
    <t>7402930/</t>
  </si>
  <si>
    <t>7281450/</t>
  </si>
  <si>
    <t>7472980/</t>
  </si>
  <si>
    <t>СКЛАДНОЙ</t>
  </si>
  <si>
    <t>ОТКИДНОЙ</t>
  </si>
  <si>
    <t>ВЕРТИКАЛЬНЫЙ</t>
  </si>
  <si>
    <t>ПОВОРОТНЫЙ</t>
  </si>
  <si>
    <t>7655553/</t>
  </si>
  <si>
    <t>1635112/</t>
  </si>
  <si>
    <t>1672912/</t>
  </si>
  <si>
    <t>3366022/</t>
  </si>
  <si>
    <t>3368152/</t>
  </si>
  <si>
    <t>3397252/</t>
  </si>
  <si>
    <t>3415332/</t>
  </si>
  <si>
    <t>5977502/</t>
  </si>
  <si>
    <t>5977682/</t>
  </si>
  <si>
    <t>6008402/</t>
  </si>
  <si>
    <t>6008582/</t>
  </si>
  <si>
    <t>6268142/</t>
  </si>
  <si>
    <t>6303402/</t>
  </si>
  <si>
    <t>6303582/</t>
  </si>
  <si>
    <t>6305952/</t>
  </si>
  <si>
    <t>6306092/</t>
  </si>
  <si>
    <t>6306332/</t>
  </si>
  <si>
    <t>6306502/</t>
  </si>
  <si>
    <t>6641802/</t>
  </si>
  <si>
    <t>8177212/</t>
  </si>
  <si>
    <t>TD без ВМ, полн.выдв, 30 кг, 360 мм, лев</t>
  </si>
  <si>
    <t>8177382/</t>
  </si>
  <si>
    <t>TD без ВМ, полн.выдв, 30 кг, 360 мм, пра</t>
  </si>
  <si>
    <t>8177692/</t>
  </si>
  <si>
    <t>TD без ВМ, полн.выдв, 30 кг, 410 мм, лев</t>
  </si>
  <si>
    <t>8177762/</t>
  </si>
  <si>
    <t>TD без ВМ, полн.выдв, 30 кг, 410 мм, пра</t>
  </si>
  <si>
    <t>8178202/</t>
  </si>
  <si>
    <t>TD без ВМ, полн.выдв, 30 кг, 460 мм, лев</t>
  </si>
  <si>
    <t>8178372/</t>
  </si>
  <si>
    <t>TD без ВМ, полн.выдв, 30 кг, 460 мм, пра</t>
  </si>
  <si>
    <t>8178682/</t>
  </si>
  <si>
    <t>TD без ВМ, полн.выдв, 30 кг, 510 мм, лев</t>
  </si>
  <si>
    <t>8178752/</t>
  </si>
  <si>
    <t>TD без ВМ, полн.выдв, 30 кг, 510 мм, пра</t>
  </si>
  <si>
    <t>8845492/</t>
  </si>
  <si>
    <t>1004383/</t>
  </si>
  <si>
    <t>1640683/</t>
  </si>
  <si>
    <t>3836745/</t>
  </si>
  <si>
    <t>3981897/</t>
  </si>
  <si>
    <t>4134616/</t>
  </si>
  <si>
    <t>5202593/</t>
  </si>
  <si>
    <t>1071328/</t>
  </si>
  <si>
    <t>2692501/</t>
  </si>
  <si>
    <t>2836794/</t>
  </si>
  <si>
    <t>2946493/</t>
  </si>
  <si>
    <t>2974210/</t>
  </si>
  <si>
    <t>2993637/</t>
  </si>
  <si>
    <t>3086840/</t>
  </si>
  <si>
    <t>5626020/</t>
  </si>
  <si>
    <t>6395115/</t>
  </si>
  <si>
    <t>7189634/</t>
  </si>
  <si>
    <t>7408942/</t>
  </si>
  <si>
    <t>7868950/</t>
  </si>
  <si>
    <t>7977482/</t>
  </si>
  <si>
    <t>8057150/</t>
  </si>
  <si>
    <t>8885556/</t>
  </si>
  <si>
    <t>8932397/</t>
  </si>
  <si>
    <t>9103109/</t>
  </si>
  <si>
    <t>9391402/</t>
  </si>
  <si>
    <t>9391572/</t>
  </si>
  <si>
    <t>Петли НАДВИЖНОГО монтажа</t>
  </si>
  <si>
    <t>6639734/</t>
  </si>
  <si>
    <t>6250872/</t>
  </si>
  <si>
    <t>6250952/</t>
  </si>
  <si>
    <t>6251092/</t>
  </si>
  <si>
    <t>Ручка</t>
  </si>
  <si>
    <t>кг</t>
  </si>
  <si>
    <t>300-349</t>
  </si>
  <si>
    <t>350-399</t>
  </si>
  <si>
    <t>400-550</t>
  </si>
  <si>
    <t>450-580</t>
  </si>
  <si>
    <t>рычаг</t>
  </si>
  <si>
    <t>8572220/</t>
  </si>
  <si>
    <t>8572390/</t>
  </si>
  <si>
    <t>8726690/</t>
  </si>
  <si>
    <t>TBX-A, Задн. ст 224/450, бел, Z30D389S.6</t>
  </si>
  <si>
    <t>TBX-A, Задн. ст 224/400, бел, Z30D339S.6</t>
  </si>
  <si>
    <t>TBX-A, Задн. ст 224/600, бел, Z30D539S.6</t>
  </si>
  <si>
    <t>TBX-A, Задн. ст 224/800, бел, Z30D739S.6</t>
  </si>
  <si>
    <t>TBX-A, Задн. ст 224/900, бел, Z30D839S.6</t>
  </si>
  <si>
    <t>8617242/</t>
  </si>
  <si>
    <t>1166460/</t>
  </si>
  <si>
    <t>1166540/</t>
  </si>
  <si>
    <t>1166600/</t>
  </si>
  <si>
    <t>1166890/</t>
  </si>
  <si>
    <t>1220180/</t>
  </si>
  <si>
    <t>7265844/</t>
  </si>
  <si>
    <t>8001674/</t>
  </si>
  <si>
    <t>8190534/</t>
  </si>
  <si>
    <t>7673704/</t>
  </si>
  <si>
    <t>7673884/</t>
  </si>
  <si>
    <t>TBX-A, Держат задн ст, 96 мм, черн, прав</t>
  </si>
  <si>
    <t>7266734/</t>
  </si>
  <si>
    <t>8046154/</t>
  </si>
  <si>
    <t>8559904/</t>
  </si>
  <si>
    <t>7205693/</t>
  </si>
  <si>
    <t>8002973/</t>
  </si>
  <si>
    <t>7632330/</t>
  </si>
  <si>
    <t>7282000/</t>
  </si>
  <si>
    <t>7283231/</t>
  </si>
  <si>
    <t>Тип подъемников с SD:</t>
  </si>
  <si>
    <t>HF</t>
  </si>
  <si>
    <t>Силовой механизм:</t>
  </si>
  <si>
    <t>HS</t>
  </si>
  <si>
    <t>HL</t>
  </si>
  <si>
    <t>TD с BM, полн.выдв, 50 кг, 450 мм, кмп.</t>
  </si>
  <si>
    <t>TIP-on д/напр частичн выдв, лев T55.1151</t>
  </si>
  <si>
    <t>TIP-on д/напр частичн выдв, прв T55.1151</t>
  </si>
  <si>
    <t>2193644/</t>
  </si>
  <si>
    <t>3037561/</t>
  </si>
  <si>
    <t>3039009/</t>
  </si>
  <si>
    <t>3093040/</t>
  </si>
  <si>
    <t>3094101/</t>
  </si>
  <si>
    <t>3094281/</t>
  </si>
  <si>
    <t>3149281/</t>
  </si>
  <si>
    <t>3280079/</t>
  </si>
  <si>
    <t>1630587/</t>
  </si>
  <si>
    <t>Глухой фасад</t>
  </si>
  <si>
    <t>Рамка узкий аллюм.</t>
  </si>
  <si>
    <t>HS/HL/HK</t>
  </si>
  <si>
    <t>HKS</t>
  </si>
  <si>
    <t>8970293/</t>
  </si>
  <si>
    <t>3387506/</t>
  </si>
  <si>
    <t>7795482/</t>
  </si>
  <si>
    <t>8559902/</t>
  </si>
  <si>
    <t>TBX-A, Крепл п/пан вн, 224мм, бел, лев</t>
  </si>
  <si>
    <t>8559832/</t>
  </si>
  <si>
    <t>TBX-A, Крепл п/пан вн, 224мм, бел, прав</t>
  </si>
  <si>
    <t>8560032/</t>
  </si>
  <si>
    <t>TBX-A, Крепл п/пан вн, 96мм, бел, лев</t>
  </si>
  <si>
    <t>8559762/</t>
  </si>
  <si>
    <t>силовой механизм:</t>
  </si>
  <si>
    <t>MBX, Царга, 118/350мм, 30 кг, сер, прав.</t>
  </si>
  <si>
    <t>9396213/</t>
  </si>
  <si>
    <t>MBX, Царга, 118/350мм, 30 кг, крем, прав</t>
  </si>
  <si>
    <t>9396383/</t>
  </si>
  <si>
    <t>MBX, Царга, 118/350мм, 30 кг, крем, лев.</t>
  </si>
  <si>
    <t>MBX, Направл, 30 кг, 350 мм, крем, прав.</t>
  </si>
  <si>
    <t>5902832/</t>
  </si>
  <si>
    <t>*Только для направляющих без BM</t>
  </si>
  <si>
    <t>Система TIP-ON*</t>
  </si>
  <si>
    <t>7953192/</t>
  </si>
  <si>
    <t>7953194/</t>
  </si>
  <si>
    <t>7953332/</t>
  </si>
  <si>
    <t>7953334/</t>
  </si>
  <si>
    <t>7952582/</t>
  </si>
  <si>
    <t>7952584/</t>
  </si>
  <si>
    <t>TBX-A, Раздел прод 100 мм, черн Z43L100S</t>
  </si>
  <si>
    <t>8746252/</t>
  </si>
  <si>
    <t>8746182/</t>
  </si>
  <si>
    <t>8746254/</t>
  </si>
  <si>
    <t>8746184/</t>
  </si>
  <si>
    <t>1850951/</t>
  </si>
  <si>
    <t>3927160/</t>
  </si>
  <si>
    <t>2312080/</t>
  </si>
  <si>
    <t>2311940/</t>
  </si>
  <si>
    <t>6450292/</t>
  </si>
  <si>
    <t>AVS HL, Загл. осн. сер. прав. 20L8001.02</t>
  </si>
  <si>
    <t>7260639/</t>
  </si>
  <si>
    <t>TD без BM, полн.выдв, 30 кг, 500 мм, кмп</t>
  </si>
  <si>
    <t>TD без BM, полн.выдв, 30 кг, 400 мм, кмп</t>
  </si>
  <si>
    <t>Для нестандартной ширины корпуса</t>
  </si>
  <si>
    <t>руб.</t>
  </si>
  <si>
    <t>8946093/</t>
  </si>
  <si>
    <t>9000963/</t>
  </si>
  <si>
    <t>9001193/</t>
  </si>
  <si>
    <t>2518373/</t>
  </si>
  <si>
    <t>2518453/</t>
  </si>
  <si>
    <t>2518533/</t>
  </si>
  <si>
    <t>2575683/</t>
  </si>
  <si>
    <t>9130272/</t>
  </si>
  <si>
    <t>1910360/</t>
  </si>
  <si>
    <t>8455023/</t>
  </si>
  <si>
    <t>TBX-A, Раздел поп 1077мм, нерж Z40L1077A</t>
  </si>
  <si>
    <t>MBX, Направл, 30 кг, 400 мм, крем, прав.</t>
  </si>
  <si>
    <t>MBX, Направл, 30 кг, 270 мм, крем, прав.</t>
  </si>
  <si>
    <t>MBX, Царга, 86/400мм, 30 кг, крем, прав.</t>
  </si>
  <si>
    <t>9095702/</t>
  </si>
  <si>
    <t>9130722/</t>
  </si>
  <si>
    <t>7205604/</t>
  </si>
  <si>
    <t>7205784/</t>
  </si>
  <si>
    <t>7286504/</t>
  </si>
  <si>
    <t>7288466/</t>
  </si>
  <si>
    <t>7288546/</t>
  </si>
  <si>
    <t>8548942/</t>
  </si>
  <si>
    <t>8548872/</t>
  </si>
  <si>
    <t>8549172/</t>
  </si>
  <si>
    <t>8549002/</t>
  </si>
  <si>
    <t>TANDEMBOX plus BLUMOTION с Boxside внутренний</t>
  </si>
  <si>
    <r>
      <t xml:space="preserve">ВЫСОТА </t>
    </r>
    <r>
      <rPr>
        <b/>
        <i/>
        <sz val="22"/>
        <color indexed="9"/>
        <rFont val="Arial Cyr"/>
        <charset val="204"/>
      </rPr>
      <t>N</t>
    </r>
    <r>
      <rPr>
        <b/>
        <i/>
        <sz val="16"/>
        <rFont val="Arial Cyr"/>
        <charset val="204"/>
      </rPr>
      <t xml:space="preserve"> </t>
    </r>
    <r>
      <rPr>
        <b/>
        <i/>
        <sz val="12"/>
        <rFont val="Arial Cyr"/>
        <charset val="204"/>
      </rPr>
      <t>(54)</t>
    </r>
  </si>
  <si>
    <r>
      <t xml:space="preserve">ВЫСОТА </t>
    </r>
    <r>
      <rPr>
        <b/>
        <i/>
        <sz val="22"/>
        <color indexed="9"/>
        <rFont val="Arial Cyr"/>
        <charset val="204"/>
      </rPr>
      <t>М</t>
    </r>
    <r>
      <rPr>
        <b/>
        <i/>
        <sz val="16"/>
        <rFont val="Arial Cyr"/>
        <charset val="204"/>
      </rPr>
      <t xml:space="preserve"> </t>
    </r>
    <r>
      <rPr>
        <b/>
        <i/>
        <sz val="12"/>
        <rFont val="Arial Cyr"/>
        <charset val="204"/>
      </rPr>
      <t>(86)</t>
    </r>
  </si>
  <si>
    <r>
      <t xml:space="preserve">ВЫСОТА </t>
    </r>
    <r>
      <rPr>
        <b/>
        <i/>
        <sz val="22"/>
        <color indexed="9"/>
        <rFont val="Arial Cyr"/>
        <charset val="204"/>
      </rPr>
      <t>H</t>
    </r>
    <r>
      <rPr>
        <b/>
        <i/>
        <sz val="16"/>
        <rFont val="Arial Cyr"/>
        <charset val="204"/>
      </rPr>
      <t xml:space="preserve"> </t>
    </r>
    <r>
      <rPr>
        <b/>
        <i/>
        <sz val="12"/>
        <rFont val="Arial Cyr"/>
        <charset val="204"/>
      </rPr>
      <t>(150)</t>
    </r>
  </si>
  <si>
    <t>8155122/</t>
  </si>
  <si>
    <t>8155052/</t>
  </si>
  <si>
    <t>8450454/</t>
  </si>
  <si>
    <t>8450522/</t>
  </si>
  <si>
    <t>7260002/</t>
  </si>
  <si>
    <t>7260292/</t>
  </si>
  <si>
    <t>9008743/</t>
  </si>
  <si>
    <t>9008983/</t>
  </si>
  <si>
    <t>9383582/</t>
  </si>
  <si>
    <t>9383588/</t>
  </si>
  <si>
    <t>9383652/</t>
  </si>
  <si>
    <t>9383658/</t>
  </si>
  <si>
    <t>9390102/</t>
  </si>
  <si>
    <t>1201390/</t>
  </si>
  <si>
    <t>CLIP Top BLUMOTION</t>
  </si>
  <si>
    <t>Петли со встроенным доводчиком быстрого монтажа</t>
  </si>
  <si>
    <t xml:space="preserve">CLIP Top </t>
  </si>
  <si>
    <t>Петли быстрого монтажа</t>
  </si>
  <si>
    <t>CLIP Top + Tip On</t>
  </si>
  <si>
    <t>Открытие от нажатия</t>
  </si>
  <si>
    <t>1201470/</t>
  </si>
  <si>
    <t>1220183/</t>
  </si>
  <si>
    <t>METABOX</t>
  </si>
  <si>
    <t>TANDEM</t>
  </si>
  <si>
    <t>A</t>
  </si>
  <si>
    <t>TBX, Держат. задн. ст, 160 мм, сер, лев.</t>
  </si>
  <si>
    <t>2121063/</t>
  </si>
  <si>
    <t>TBX, Держат. задн. ст, 160 мм, нерж, лев</t>
  </si>
  <si>
    <t>2121203/</t>
  </si>
  <si>
    <t>TBX, Держат. задн. ст, 160 мм, нерж, пр.</t>
  </si>
  <si>
    <t>шт.</t>
  </si>
  <si>
    <t>6800453/</t>
  </si>
  <si>
    <t>6823230/</t>
  </si>
  <si>
    <t>7087993/</t>
  </si>
  <si>
    <t>7087703/</t>
  </si>
  <si>
    <t>7086303/</t>
  </si>
  <si>
    <t>6823663/</t>
  </si>
  <si>
    <t>6874573/</t>
  </si>
  <si>
    <t>6919693/</t>
  </si>
  <si>
    <t>6779663/</t>
  </si>
  <si>
    <t>7029873/</t>
  </si>
  <si>
    <t>7167587/</t>
  </si>
  <si>
    <t>7167663/</t>
  </si>
  <si>
    <t>ОRGA-LINE и принадлежности</t>
  </si>
  <si>
    <t>TD без BM, полн.выдв, 30 кг, 300 мм, кмп</t>
  </si>
  <si>
    <t>TD без BM, полн.выдв, 30 кг, 550 мм, кмп</t>
  </si>
  <si>
    <t>TD без BM, полн.выдв, 30 кг, 350 мм, кмп</t>
  </si>
  <si>
    <t>3031604/</t>
  </si>
  <si>
    <t>3031606/</t>
  </si>
  <si>
    <t>3031607/</t>
  </si>
  <si>
    <t>3032162/</t>
  </si>
  <si>
    <t>3160596/</t>
  </si>
  <si>
    <t>3160597/</t>
  </si>
  <si>
    <t>8672073/</t>
  </si>
  <si>
    <t>8672453/</t>
  </si>
  <si>
    <t>8672383/</t>
  </si>
  <si>
    <t>8671602/</t>
  </si>
  <si>
    <t>8671772/</t>
  </si>
  <si>
    <t>8671608/</t>
  </si>
  <si>
    <t>7935405/</t>
  </si>
  <si>
    <t>7935585/</t>
  </si>
  <si>
    <t>7937615/</t>
  </si>
  <si>
    <t>7937795/</t>
  </si>
  <si>
    <t>7976180/</t>
  </si>
  <si>
    <t>7976260/</t>
  </si>
  <si>
    <t>7799552/</t>
  </si>
  <si>
    <t>7734000/</t>
  </si>
  <si>
    <t>TIP-ON, д/вклад петель и колон, 955A1002</t>
  </si>
  <si>
    <t>7667480/</t>
  </si>
  <si>
    <t>7779953/</t>
  </si>
  <si>
    <t>7779873/</t>
  </si>
  <si>
    <t>7657333/</t>
  </si>
  <si>
    <t>7664031/</t>
  </si>
  <si>
    <t>7855329/</t>
  </si>
  <si>
    <t>8207384/</t>
  </si>
  <si>
    <t>TIP-ON, д/наклад петель б/пруж, 955.1002</t>
  </si>
  <si>
    <t>Tip-on, держатель прямой, 955.1201, V250</t>
  </si>
  <si>
    <t>Tip-on, планка д/вдавл, сталь, 955.1008D</t>
  </si>
  <si>
    <t>9347253/</t>
  </si>
  <si>
    <t>9348243/</t>
  </si>
  <si>
    <t>9348623/</t>
  </si>
  <si>
    <t>9349923/</t>
  </si>
  <si>
    <t>45003000010-0059/</t>
  </si>
  <si>
    <t>45003007150-0317/</t>
  </si>
  <si>
    <t>45003009010-0135/</t>
  </si>
  <si>
    <t>5222102001020-01/</t>
  </si>
  <si>
    <t>5222103001020-02/</t>
  </si>
  <si>
    <t>5222103419020-01/</t>
  </si>
  <si>
    <t>5222302001020-01/</t>
  </si>
  <si>
    <t>5222303001020-01/</t>
  </si>
  <si>
    <t>5222303419020-01/</t>
  </si>
  <si>
    <t>5222402001020-02/</t>
  </si>
  <si>
    <t>5222403001020-02/</t>
  </si>
  <si>
    <t>5222403419020-01/</t>
  </si>
  <si>
    <t>5222502001020-01/</t>
  </si>
  <si>
    <t>5222503001020-01/</t>
  </si>
  <si>
    <t>5226003419020-01/</t>
  </si>
  <si>
    <t>5226203419020-01/</t>
  </si>
  <si>
    <t>5226303419020-01/</t>
  </si>
  <si>
    <t>5226403419020-02/</t>
  </si>
  <si>
    <t>5226603419020-02/</t>
  </si>
  <si>
    <t>5226803419020-02/</t>
  </si>
  <si>
    <t>5226003001020-05/</t>
  </si>
  <si>
    <t>5226203001020-04/</t>
  </si>
  <si>
    <t>5226303001020-06/</t>
  </si>
  <si>
    <t>5226403001020-04/</t>
  </si>
  <si>
    <t>5226603001020-05/</t>
  </si>
  <si>
    <t>5226803001020-05/</t>
  </si>
  <si>
    <t>5226002001020-01/</t>
  </si>
  <si>
    <t>5226202001020-02/</t>
  </si>
  <si>
    <t>5226302001020-01/</t>
  </si>
  <si>
    <t>5226402001020-02/</t>
  </si>
  <si>
    <t>5226602001020-02/</t>
  </si>
  <si>
    <t>5226802001020-01/</t>
  </si>
  <si>
    <t>5222503419020-01/</t>
  </si>
  <si>
    <t>5222703419020-01/</t>
  </si>
  <si>
    <t>5222903419020-01/</t>
  </si>
  <si>
    <t>5223003419020-01/</t>
  </si>
  <si>
    <t>5222703001020-02/</t>
  </si>
  <si>
    <t>5222903001020-01/</t>
  </si>
  <si>
    <t>5223003001020-01/</t>
  </si>
  <si>
    <t>5222702001020-01/</t>
  </si>
  <si>
    <t>5222902001020-01/</t>
  </si>
  <si>
    <t>5223002001020-01/</t>
  </si>
  <si>
    <t>5226903419020-01/</t>
  </si>
  <si>
    <t>5226903001020-04/</t>
  </si>
  <si>
    <t>5226902001020-01/</t>
  </si>
  <si>
    <t>ЛОТКИ и ORGA-LINE для высоты М пластиковые AGOFORM</t>
  </si>
  <si>
    <t>3681723/</t>
  </si>
  <si>
    <t>MBX, Царга, 150/400мм, 30 кг, крем, прав</t>
  </si>
  <si>
    <t>3681813/</t>
  </si>
  <si>
    <t>7976722/</t>
  </si>
  <si>
    <t>3646070/</t>
  </si>
  <si>
    <t>3834150/</t>
  </si>
  <si>
    <t>4202486/</t>
  </si>
  <si>
    <t>4436630/</t>
  </si>
  <si>
    <t>4721836/</t>
  </si>
  <si>
    <t>4722056/</t>
  </si>
  <si>
    <t>7466150/</t>
  </si>
  <si>
    <t>7552660/</t>
  </si>
  <si>
    <t>ORG, Пруж. гол д/кр поп. рел,  ZRU.10B1E</t>
  </si>
  <si>
    <t>TBX, Перед. панель 1081мм сер, Z31A1081A</t>
  </si>
  <si>
    <t>TBX, Крепл п/пан вн, 96мм, лев, ZIF.70M0</t>
  </si>
  <si>
    <t>TBX, Крепл п/пан вн, 224мм, пр. ZIF.73D0</t>
  </si>
  <si>
    <t>TBX, Держат. задн. ст, 224 мм, нерж, лев</t>
  </si>
  <si>
    <t>TBX, Держат. задн. ст, 224 мм, бел, лев.</t>
  </si>
  <si>
    <t>8931832/</t>
  </si>
  <si>
    <t>8745192/</t>
  </si>
  <si>
    <t>8745022/</t>
  </si>
  <si>
    <t>8745194/</t>
  </si>
  <si>
    <t>8745024/</t>
  </si>
  <si>
    <t>8450452/</t>
  </si>
  <si>
    <t>8450524/</t>
  </si>
  <si>
    <t>* Шаблон для сверления отверстий для крепления крестообразных ответных планок (5мм)
* Шаблон для сверления отверстий для крепления крестообразных держателей (BLUMOTION/TIP-ON для дверей)
* С помощью штыря возможно точное сверление под систему 32
* Возможна установка по разметке
* Материал: сталь/пластмасса</t>
  </si>
  <si>
    <t>Шаблон для BLUMOTION/TIP-ON</t>
  </si>
  <si>
    <t>Шаблон для BLUMOTION</t>
  </si>
  <si>
    <t>* Шаблон для сверления торцевых отверстий для крепления BLUMOTION для дверей со стороны ручки
* Шаблон для сверления отверстий для крепления прямых и крестообразных держателей (BLUMOTION/TIP-ON для дверей)
* Повторяющиеся позиции сверления предварительно устанавливаются с помощью стержня-упора
* Возможна установка по разметке
* Материал: пластмасса/сталь</t>
  </si>
  <si>
    <t>Угломер</t>
  </si>
  <si>
    <t>* Шаблон для определения угла установки
* Определение подходящей петли
* Материал: пластмасса</t>
  </si>
  <si>
    <t>* Шаблон для сверления торцевых отверстий под BLUMOTION для сверления со стороны ручки и со стороны петли, а так же под TIP-ON для дверей
* Возможна установка под разметку
* Материал: пластмасса/сталь</t>
  </si>
  <si>
    <t>Универсальный штанговый кондуктор</t>
  </si>
  <si>
    <t>7613463/</t>
  </si>
  <si>
    <t>3866940/</t>
  </si>
  <si>
    <t>3894560/</t>
  </si>
  <si>
    <t>1929700/</t>
  </si>
  <si>
    <t>2794034/</t>
  </si>
  <si>
    <t>3118483/</t>
  </si>
  <si>
    <t>3316479/</t>
  </si>
  <si>
    <t>3736690/</t>
  </si>
  <si>
    <t>4095738/</t>
  </si>
  <si>
    <t>4699975/</t>
  </si>
  <si>
    <t>4827593/</t>
  </si>
  <si>
    <t>4943881/</t>
  </si>
  <si>
    <t>5161267/</t>
  </si>
  <si>
    <t>5282499/</t>
  </si>
  <si>
    <t>5330115/</t>
  </si>
  <si>
    <t>5811452/</t>
  </si>
  <si>
    <t>6184580/</t>
  </si>
  <si>
    <t>6449983/</t>
  </si>
  <si>
    <t>6600470/</t>
  </si>
  <si>
    <t>6616738/</t>
  </si>
  <si>
    <t>7646995/</t>
  </si>
  <si>
    <t>9368334/</t>
  </si>
  <si>
    <t>MOVENTO</t>
  </si>
  <si>
    <t>ОТКРЫВАНИЕ</t>
  </si>
  <si>
    <t xml:space="preserve">Новые направляющие MOVENTO отличает открывание без лишних усилий и мягкий переход к плавному движению. </t>
  </si>
  <si>
    <t>ДВИЖЕНИЕ</t>
  </si>
  <si>
    <t>Высочайшая плавность хода благодаря синхронизированному движению направляющих.</t>
  </si>
  <si>
    <t>ЗАКРЫВАНИЕ</t>
  </si>
  <si>
    <t>Мягкое и бесшумное - благодаря проверенной временем технологии BLUMOTION. Размер, вес ящика, а также сила закрывание не имеют значения</t>
  </si>
  <si>
    <t>ВЫСОКАЯ НАГРУЗКА</t>
  </si>
  <si>
    <t>Нагрузка 40кг и 60кг, низкие показатели провисания и высокая стабильность делают возможным использования самых разных конструкций. Это качество на весь срок службы кухни.</t>
  </si>
  <si>
    <t>ИДЕАЛЬНЫЕ ЗАЗОРЫ</t>
  </si>
  <si>
    <t>Новая удобная 4-мерная регулировка (по высоте, ширине, наклону, глубине) гарантирует ровные зазоры между фасадами.</t>
  </si>
  <si>
    <t>2118600/</t>
  </si>
  <si>
    <t>TBX, Держат. задн. ст, 81 мм, сер, лев.</t>
  </si>
  <si>
    <t>2118780/</t>
  </si>
  <si>
    <t>TBX, Держат. задн. ст, 81 мм, сер, пр.</t>
  </si>
  <si>
    <t>4783940/</t>
  </si>
  <si>
    <t>1862960/</t>
  </si>
  <si>
    <t>2246270/</t>
  </si>
  <si>
    <t>1894140/</t>
  </si>
  <si>
    <t>2002700/</t>
  </si>
  <si>
    <t>2608950/</t>
  </si>
  <si>
    <t>2609090/</t>
  </si>
  <si>
    <t>3142003/</t>
  </si>
  <si>
    <t>2259760/</t>
  </si>
  <si>
    <t>2259840/</t>
  </si>
  <si>
    <t>2058264/</t>
  </si>
  <si>
    <t>2084946/</t>
  </si>
  <si>
    <t>2085086/</t>
  </si>
  <si>
    <t>2119836/</t>
  </si>
  <si>
    <t>2120176/</t>
  </si>
  <si>
    <t>6070030/</t>
  </si>
  <si>
    <t>6070200/</t>
  </si>
  <si>
    <t>6096418/</t>
  </si>
  <si>
    <t>6145107/</t>
  </si>
  <si>
    <t>6639732/</t>
  </si>
  <si>
    <t>TANDEMBOX plus BLUMOTION высота D с Boxside</t>
  </si>
  <si>
    <t>ЯЩИК ПОД МОЙКУ TANDEMBOX plus BLUMOTION высота D с Boxside</t>
  </si>
  <si>
    <t>2237196/</t>
  </si>
  <si>
    <t>2237356/</t>
  </si>
  <si>
    <t>Ст-трапец п/саморез, бел, гнездо,40.2010</t>
  </si>
  <si>
    <t>2237357/</t>
  </si>
  <si>
    <t>Ст-трапец п/саморез, кор, гнездо,40.2010</t>
  </si>
  <si>
    <t>2237431/</t>
  </si>
  <si>
    <t>2253560/</t>
  </si>
  <si>
    <t>2253640/</t>
  </si>
  <si>
    <t>2350753/</t>
  </si>
  <si>
    <t>MDL, Петля п/фальшпан п/п 95 гр. 99M9580</t>
  </si>
  <si>
    <t>3031514/</t>
  </si>
  <si>
    <t>7384931/</t>
  </si>
  <si>
    <t>7250570/</t>
  </si>
  <si>
    <t>7205434/</t>
  </si>
  <si>
    <t>7822890/</t>
  </si>
  <si>
    <t>7822970/</t>
  </si>
  <si>
    <t>8430342/</t>
  </si>
  <si>
    <t>8185134/</t>
  </si>
  <si>
    <t>8190392/</t>
  </si>
  <si>
    <t>8190394/</t>
  </si>
  <si>
    <t>8430344/</t>
  </si>
  <si>
    <t>8207382/</t>
  </si>
  <si>
    <t>TBX-A, BOXCAP LI+RE, 500 мм, бел, кмп</t>
  </si>
  <si>
    <t>7265902/</t>
  </si>
  <si>
    <t>TBX-A, BOXCOVER задн, бел, лев</t>
  </si>
  <si>
    <t>7265842/</t>
  </si>
  <si>
    <t>4849040/</t>
  </si>
  <si>
    <t>4862652/</t>
  </si>
  <si>
    <t>4865089/</t>
  </si>
  <si>
    <t>4865169/</t>
  </si>
  <si>
    <t>4961399/</t>
  </si>
  <si>
    <t>ZBH, Матр.с шип.к MBX с рел. ZML.8000.02</t>
  </si>
  <si>
    <t>5034011/</t>
  </si>
  <si>
    <t>5034101/</t>
  </si>
  <si>
    <t>5054981/</t>
  </si>
  <si>
    <t>5055011/</t>
  </si>
  <si>
    <t>5055281/</t>
  </si>
  <si>
    <t>5095914/</t>
  </si>
  <si>
    <t>5387361/</t>
  </si>
  <si>
    <t>5387611/</t>
  </si>
  <si>
    <t>5388171/</t>
  </si>
  <si>
    <t>5388331/</t>
  </si>
  <si>
    <t>5389141/</t>
  </si>
  <si>
    <t>5389221/</t>
  </si>
  <si>
    <t>5389311/</t>
  </si>
  <si>
    <t>5389491/</t>
  </si>
  <si>
    <t>ZBH, Осн.линейка 1700мм,к Pro-C MZL.2000</t>
  </si>
  <si>
    <t>5389571/</t>
  </si>
  <si>
    <t>5390821/</t>
  </si>
  <si>
    <t>ZBH, Линейка 1250мм, к Pro-Cent MZL.2010</t>
  </si>
  <si>
    <t>5445741/</t>
  </si>
  <si>
    <t>5749371/</t>
  </si>
  <si>
    <t>6002451/</t>
  </si>
  <si>
    <t>6010059/</t>
  </si>
  <si>
    <t>6049171/</t>
  </si>
  <si>
    <t>6143434/</t>
  </si>
  <si>
    <t>6253209/</t>
  </si>
  <si>
    <t>6378581/</t>
  </si>
  <si>
    <t>6378821/</t>
  </si>
  <si>
    <t>6378915/</t>
  </si>
  <si>
    <t>6379391/</t>
  </si>
  <si>
    <t>6461644/</t>
  </si>
  <si>
    <t>6478294/</t>
  </si>
  <si>
    <t>6563131/</t>
  </si>
  <si>
    <t>6640802/</t>
  </si>
  <si>
    <t>6640809/</t>
  </si>
  <si>
    <t>ZBH, Станок Minipress P,1ф 230v M53.1050</t>
  </si>
  <si>
    <t>6642794/</t>
  </si>
  <si>
    <t>6650704/</t>
  </si>
  <si>
    <t>6735954/</t>
  </si>
  <si>
    <t>6773034/</t>
  </si>
  <si>
    <t>ZBH, Раб стол д/Minipr MZA.5300 /9090444</t>
  </si>
  <si>
    <t>6773209/</t>
  </si>
  <si>
    <t>6773464/</t>
  </si>
  <si>
    <t>6789200/</t>
  </si>
  <si>
    <t>6811209/</t>
  </si>
  <si>
    <t>6852671/</t>
  </si>
  <si>
    <t>450,500.</t>
  </si>
  <si>
    <t>7167666/</t>
  </si>
  <si>
    <t>7167667/</t>
  </si>
  <si>
    <t>7167916/</t>
  </si>
  <si>
    <t>7167917/</t>
  </si>
  <si>
    <t>7168046/</t>
  </si>
  <si>
    <t>TBX-A, Держат задн ст, 224 мм, бел, лев</t>
  </si>
  <si>
    <t>4722054/</t>
  </si>
  <si>
    <t>TBX-A, Держат задн ст, 224 мм, черн, лев</t>
  </si>
  <si>
    <t>4724000/</t>
  </si>
  <si>
    <t>4787930/</t>
  </si>
  <si>
    <t>6746650/</t>
  </si>
  <si>
    <t>6738893/</t>
  </si>
  <si>
    <t>6578842/</t>
  </si>
  <si>
    <t>5618012/</t>
  </si>
  <si>
    <t>5618602/</t>
  </si>
  <si>
    <t>4857650/</t>
  </si>
  <si>
    <t>5612313/</t>
  </si>
  <si>
    <t>5795732/</t>
  </si>
  <si>
    <t>5796702/</t>
  </si>
  <si>
    <t>7795132/</t>
  </si>
  <si>
    <t>7259502/</t>
  </si>
  <si>
    <t>7259442/</t>
  </si>
  <si>
    <t>2713903/</t>
  </si>
  <si>
    <t>2733933/</t>
  </si>
  <si>
    <t>Заглушки / Ограничители угла</t>
  </si>
  <si>
    <t>ORG, Набор д/ст. приб, нерж, ZSI.450KI2N</t>
  </si>
  <si>
    <t>6700580/</t>
  </si>
  <si>
    <t>ORG, Набор д/ст. приб, нерж, ZSI.500KI2N</t>
  </si>
  <si>
    <t>6700230/</t>
  </si>
  <si>
    <t>6700800/</t>
  </si>
  <si>
    <t>6701630/</t>
  </si>
  <si>
    <t>6700070/</t>
  </si>
  <si>
    <t>6702360/</t>
  </si>
  <si>
    <t>TBX, Двухст. Boxside, 500 мм, нерж, кмп.</t>
  </si>
  <si>
    <t>TBX, Двухст. Boxside, 600 мм, сер, кмп.</t>
  </si>
  <si>
    <t>TD с BM, полн.выдв, 30 кг, 500 мм, кмп.</t>
  </si>
  <si>
    <t>ORG, Каркас подв. архива, крем, ZRM.5500</t>
  </si>
  <si>
    <t>BLUMOTION</t>
  </si>
  <si>
    <t>Крепление к петлям Clip TOP</t>
  </si>
  <si>
    <t>8923222/</t>
  </si>
  <si>
    <t>8923392/</t>
  </si>
  <si>
    <t>7196933/</t>
  </si>
  <si>
    <t>ЛОТКИ и ORGA-LINE высоты М сталь НЕРЖАВЕЮЩАЯ</t>
  </si>
  <si>
    <t>Ширина корпуса 450</t>
  </si>
  <si>
    <t>BM, Держатель крест, с винтами, 970.15E1</t>
  </si>
  <si>
    <t>TBX, Релинг укор. д/ал. фас, 500 мм, сер</t>
  </si>
  <si>
    <t>1955547/</t>
  </si>
  <si>
    <t>6701390/</t>
  </si>
  <si>
    <t>ORG, Набор ст/пр, 800/600 мм, ZSI.80VEI8</t>
  </si>
  <si>
    <t>TBX, R-Двухст. BOXSIDE, 500 мм, сер, кмп</t>
  </si>
  <si>
    <t>6991290/</t>
  </si>
  <si>
    <t>TD с BM, полн.выдв, 30 кг, 550 мм, кмп.</t>
  </si>
  <si>
    <t>TD с BM, полн.выдв, 50 кг, 500 мм, кмп.</t>
  </si>
  <si>
    <t>TBX, Ручка д/внутр. ящ, ZIF.7005</t>
  </si>
  <si>
    <t>6484350/</t>
  </si>
  <si>
    <t>6448980/</t>
  </si>
  <si>
    <t>6639064/</t>
  </si>
  <si>
    <t>1667300/</t>
  </si>
  <si>
    <t>1667303/</t>
  </si>
  <si>
    <t>MBX, Царга, 118/400мм, 30 кг, крем, прав</t>
  </si>
  <si>
    <t>1667590/</t>
  </si>
  <si>
    <t>1667593/</t>
  </si>
  <si>
    <t>2093170/</t>
  </si>
  <si>
    <t>2093500/</t>
  </si>
  <si>
    <t>3681720/</t>
  </si>
  <si>
    <t>3681810/</t>
  </si>
  <si>
    <t>4971420/</t>
  </si>
  <si>
    <t>4971423/</t>
  </si>
  <si>
    <t>MBX, Царга, 150/350мм, 30 кг, крем, прав</t>
  </si>
  <si>
    <t>4971770/</t>
  </si>
  <si>
    <t>4705390/</t>
  </si>
  <si>
    <t>Ст-трапец п/пресс, бел, отв.ч,40.2120.02</t>
  </si>
  <si>
    <t>Ст-трапеция п/пресс, бел, кмп,40.2100.02</t>
  </si>
  <si>
    <t>Корпусн стяжка (гнездо) св/сер42.0110.01</t>
  </si>
  <si>
    <t>Навес д/шк п/шуруп, крем, R, 48N0510.02S</t>
  </si>
  <si>
    <t>Навес д/шк п/шуруп, крем, L, 48N0510.03S</t>
  </si>
  <si>
    <t>7976412/</t>
  </si>
  <si>
    <t>8454582/</t>
  </si>
  <si>
    <t>TBX-A, ORG 300/500 с МС, набор д/бут,бел</t>
  </si>
  <si>
    <t>8456322/</t>
  </si>
  <si>
    <t>8420752/</t>
  </si>
  <si>
    <t>8420754/</t>
  </si>
  <si>
    <t>8455952/</t>
  </si>
  <si>
    <t>8455954/</t>
  </si>
  <si>
    <t>9391262/</t>
  </si>
  <si>
    <t>9391332/</t>
  </si>
  <si>
    <t>2734244/</t>
  </si>
  <si>
    <t>2742340/</t>
  </si>
  <si>
    <t>2824318/</t>
  </si>
  <si>
    <t>2840044/</t>
  </si>
  <si>
    <t>2844068/</t>
  </si>
  <si>
    <t>2865453/</t>
  </si>
  <si>
    <t>2877913/</t>
  </si>
  <si>
    <t>2913111/</t>
  </si>
  <si>
    <t>2964035/</t>
  </si>
  <si>
    <t>TBX-AA, Задн держ стекл вст D  черн, лев</t>
  </si>
  <si>
    <t>2998074/</t>
  </si>
  <si>
    <t>TBX-AA, Держат. задн. ст, 191 мм, бел, R</t>
  </si>
  <si>
    <t>TBX-AA, Держат. задн. ст, 191мм, черн, п</t>
  </si>
  <si>
    <t>TBX-AA, Держат. задн. ст, 191 мм, бел, L</t>
  </si>
  <si>
    <t>TBX-AA, Держат. задн. ст, 191мм, черн, л</t>
  </si>
  <si>
    <t>3350802/</t>
  </si>
  <si>
    <t>3361919/</t>
  </si>
  <si>
    <t>3425990/</t>
  </si>
  <si>
    <t>3459484/</t>
  </si>
  <si>
    <t>3528278/</t>
  </si>
  <si>
    <t>3624073/</t>
  </si>
  <si>
    <t>3719331/</t>
  </si>
  <si>
    <t>3994432/</t>
  </si>
  <si>
    <t>4032976/</t>
  </si>
  <si>
    <t>4124163/</t>
  </si>
  <si>
    <t>4131800/</t>
  </si>
  <si>
    <t>4168106/</t>
  </si>
  <si>
    <t>ORG, Раздел прод сталь 100мм белZ43H100S</t>
  </si>
  <si>
    <t>4170850/</t>
  </si>
  <si>
    <t>4172027/</t>
  </si>
  <si>
    <t>4200006/</t>
  </si>
  <si>
    <t>4203290/</t>
  </si>
  <si>
    <t>4263480/</t>
  </si>
  <si>
    <t>4265611/</t>
  </si>
  <si>
    <t>4276837/</t>
  </si>
  <si>
    <t>4292244/</t>
  </si>
  <si>
    <t>4345179/</t>
  </si>
  <si>
    <t>4405731/</t>
  </si>
  <si>
    <t>4411646/</t>
  </si>
  <si>
    <t>TBX, Перед. панель 1081мм бел, Z31A1081A</t>
  </si>
  <si>
    <t>4462648/</t>
  </si>
  <si>
    <t>4536661/</t>
  </si>
  <si>
    <t>4586797/</t>
  </si>
  <si>
    <t>4595034/</t>
  </si>
  <si>
    <t>4653792/</t>
  </si>
  <si>
    <t>4768140/</t>
  </si>
  <si>
    <t>4783860/</t>
  </si>
  <si>
    <t>TBX, Царги 68/400 мм, сер, кмп 358N4002S</t>
  </si>
  <si>
    <t>4783866/</t>
  </si>
  <si>
    <t>TBX, Царги 68/400 мм, бел, кмп 358N4002S</t>
  </si>
  <si>
    <t>4784830/</t>
  </si>
  <si>
    <t>4786880/</t>
  </si>
  <si>
    <t>4787400/</t>
  </si>
  <si>
    <t>4830538/</t>
  </si>
  <si>
    <t>4878321/</t>
  </si>
  <si>
    <t>4963657/</t>
  </si>
  <si>
    <t>5025678/</t>
  </si>
  <si>
    <t>5043505/</t>
  </si>
  <si>
    <t>5062109/</t>
  </si>
  <si>
    <t>5246628/</t>
  </si>
  <si>
    <t>5279055/</t>
  </si>
  <si>
    <t>7822894/</t>
  </si>
  <si>
    <t>наименование</t>
  </si>
  <si>
    <t>кол-во</t>
  </si>
  <si>
    <t>1735261/</t>
  </si>
  <si>
    <t>1758981/</t>
  </si>
  <si>
    <t>1759284/</t>
  </si>
  <si>
    <t>1784104/</t>
  </si>
  <si>
    <t>1944691/</t>
  </si>
  <si>
    <t>8190082/</t>
  </si>
  <si>
    <t>8190084/</t>
  </si>
  <si>
    <t>8190532/</t>
  </si>
  <si>
    <t>8765820/</t>
  </si>
  <si>
    <t>7673702/</t>
  </si>
  <si>
    <t>TBX-A, Держат задн ст, 96 мм, бел, лев</t>
  </si>
  <si>
    <t>7673882/</t>
  </si>
  <si>
    <t>TBX-A, Держат задн ст, 96 мм, бел, прав</t>
  </si>
  <si>
    <t>8113852/</t>
  </si>
  <si>
    <t>8113854/</t>
  </si>
  <si>
    <t>8478962/</t>
  </si>
  <si>
    <t>TBX-A, Держат рел д/пер ст вн, бел</t>
  </si>
  <si>
    <t>8478964/</t>
  </si>
  <si>
    <t>7706642/</t>
  </si>
  <si>
    <t>ORG, Набор с разд, 600/500мм, ZSI.60VUI6</t>
  </si>
  <si>
    <t>ORG, Набор с разд, 600/450мм, ZSI.60VUI4</t>
  </si>
  <si>
    <t>ORG, Набор комбинированный, ZSI.450BI3N</t>
  </si>
  <si>
    <t>TD с BM, полн.выдв, 50 кг, 600 мм, кмп.</t>
  </si>
  <si>
    <t>TD с BM, полн.выдв, 50 кг, 650 мм, кмп.</t>
  </si>
  <si>
    <t>TD с BM, полн.выдв, 50 кг, 700 мм, кмп.</t>
  </si>
  <si>
    <t>TD с BM, полн.выдв, 30 кг, 400 мм, кмп.</t>
  </si>
  <si>
    <t>2003290/</t>
  </si>
  <si>
    <t>2003530/</t>
  </si>
  <si>
    <t>2056300/</t>
  </si>
  <si>
    <t>2058260/</t>
  </si>
  <si>
    <t>2093173/</t>
  </si>
  <si>
    <t>MBX, Царга, 150/450мм, 30 кг, крем, прав</t>
  </si>
  <si>
    <t>2093503/</t>
  </si>
  <si>
    <t>2125130/</t>
  </si>
  <si>
    <t>2125300/</t>
  </si>
  <si>
    <t>2133230/</t>
  </si>
  <si>
    <t>2171083/</t>
  </si>
  <si>
    <t>2260343/</t>
  </si>
  <si>
    <t>2266031/</t>
  </si>
  <si>
    <t>2284503/</t>
  </si>
  <si>
    <t>2331603/</t>
  </si>
  <si>
    <t>2364043/</t>
  </si>
  <si>
    <t>2375240/</t>
  </si>
  <si>
    <t>2412110/</t>
  </si>
  <si>
    <t>2540543/</t>
  </si>
  <si>
    <t>7260882/</t>
  </si>
  <si>
    <t>7260962/</t>
  </si>
  <si>
    <t>8979698/</t>
  </si>
  <si>
    <t>8978600/</t>
  </si>
  <si>
    <t>7243500/</t>
  </si>
  <si>
    <t>9008813/</t>
  </si>
  <si>
    <t>9009043/</t>
  </si>
  <si>
    <t>7800662/</t>
  </si>
  <si>
    <t>8992392/</t>
  </si>
  <si>
    <t>8992462/</t>
  </si>
  <si>
    <t>6458607/</t>
  </si>
  <si>
    <t>6458947/</t>
  </si>
  <si>
    <t>6317872/</t>
  </si>
  <si>
    <t>6317874/</t>
  </si>
  <si>
    <t>CLIP top, Заглушка п/ст кру хром 84.4140</t>
  </si>
  <si>
    <t>6317878/</t>
  </si>
  <si>
    <t>6458353/</t>
  </si>
  <si>
    <t>6458003/</t>
  </si>
  <si>
    <t>6457893/</t>
  </si>
  <si>
    <t>CLIP top, МИНИ, Накл петля, 94гр 71T0550</t>
  </si>
  <si>
    <t>6458437/</t>
  </si>
  <si>
    <t>6285154/</t>
  </si>
  <si>
    <t>6458787/</t>
  </si>
  <si>
    <t>CLIP top, Д/стекл.дв, вкл, 94гр, 75T4300</t>
  </si>
  <si>
    <t>6466533/</t>
  </si>
  <si>
    <t>CLIP top, Петля д/складн дв 60гр 79T8500</t>
  </si>
  <si>
    <t>7108153/</t>
  </si>
  <si>
    <t>CLIP top, Петля с"0" вхождением/ПОМЕНЯТЬ</t>
  </si>
  <si>
    <t>7030373/</t>
  </si>
  <si>
    <t>6325543/</t>
  </si>
  <si>
    <t>TD с BM, полн.выдв, 30 кг, 450 мм, кмп.</t>
  </si>
  <si>
    <t>7484703/</t>
  </si>
  <si>
    <t>4597053/</t>
  </si>
  <si>
    <t>TBX-A, Передн панель, 1036 мм, черн, с/п</t>
  </si>
  <si>
    <t>7978494/</t>
  </si>
  <si>
    <t>TBX-A, Профиль приема д/ORG, 500 мм, чер</t>
  </si>
  <si>
    <t>AVS HK, Загл. осн. бел. прав. 20K8001.02</t>
  </si>
  <si>
    <t>AVS HK, Загл. осн. сер. прав. 20K8001.02</t>
  </si>
  <si>
    <t>TD без BM, част.выдв, 30 кг, 350 мм, кмп</t>
  </si>
  <si>
    <t>TD без BM, част.выдв, 30 кг, 550 мм, кмп</t>
  </si>
  <si>
    <t>TD без BM, част.выдв, 30 кг, 500 мм, кмп</t>
  </si>
  <si>
    <t>Полного выдвижения</t>
  </si>
  <si>
    <t>TD без BM, полн.выдв, 30 кг, 450 мм, кмп</t>
  </si>
  <si>
    <t>350,400,450,500</t>
  </si>
  <si>
    <t>270,350,400,450,500</t>
  </si>
  <si>
    <t>boxcap</t>
  </si>
  <si>
    <t>8478032/</t>
  </si>
  <si>
    <t>*Цена без вставок!</t>
  </si>
  <si>
    <t>Стандартные вставки СТЕКЛО</t>
  </si>
  <si>
    <t>вставки из КОЖИ</t>
  </si>
  <si>
    <r>
      <t xml:space="preserve">ВСТАВКИ ДЛЯ </t>
    </r>
    <r>
      <rPr>
        <b/>
        <i/>
        <sz val="22"/>
        <color indexed="9"/>
        <rFont val="Arial Cyr"/>
        <charset val="204"/>
      </rPr>
      <t>BOXCOVER</t>
    </r>
  </si>
  <si>
    <t>вставки с ЛОГОТИПОМ СТЕКЛО</t>
  </si>
  <si>
    <t>9155714/</t>
  </si>
  <si>
    <t>9155404/</t>
  </si>
  <si>
    <t>9155264/</t>
  </si>
  <si>
    <t>9408633/</t>
  </si>
  <si>
    <t>9155026/</t>
  </si>
  <si>
    <t>TBX-A, Ручка с пов. д/вн ящ бел ZIF.80M7</t>
  </si>
  <si>
    <t>8566833/</t>
  </si>
  <si>
    <t>3695280/</t>
  </si>
  <si>
    <t>8992532/</t>
  </si>
  <si>
    <t>7801042/</t>
  </si>
  <si>
    <t>8992602/</t>
  </si>
  <si>
    <t>8992772/</t>
  </si>
  <si>
    <t>8037790/</t>
  </si>
  <si>
    <t>7261002/</t>
  </si>
  <si>
    <t>7647700/</t>
  </si>
  <si>
    <t>7867370/</t>
  </si>
  <si>
    <t>7922191/</t>
  </si>
  <si>
    <t>8762470/</t>
  </si>
  <si>
    <t>8996114/</t>
  </si>
  <si>
    <t>8996284/</t>
  </si>
  <si>
    <t>3680333/</t>
  </si>
  <si>
    <t>7700100/</t>
  </si>
  <si>
    <t>7744649/</t>
  </si>
  <si>
    <t>7748480/</t>
  </si>
  <si>
    <t>7748560/</t>
  </si>
  <si>
    <t>7918789/</t>
  </si>
  <si>
    <t>800000/</t>
  </si>
  <si>
    <t>8091771/</t>
  </si>
  <si>
    <t>8097710/</t>
  </si>
  <si>
    <t>8120230/</t>
  </si>
  <si>
    <t>8120619/</t>
  </si>
  <si>
    <t>ZBH,SD, Шабл д/держ нес проф ZML.1150.02</t>
  </si>
  <si>
    <t>8601309/</t>
  </si>
  <si>
    <t>8620669/</t>
  </si>
  <si>
    <t>9008433/</t>
  </si>
  <si>
    <t>9008673/</t>
  </si>
  <si>
    <t>CLIP top BM, Петля д/проф дв накл71B9550</t>
  </si>
  <si>
    <t>9347633/</t>
  </si>
  <si>
    <t>*TiP-ON - механическое открывание без ручек (от нажатия)</t>
  </si>
  <si>
    <t>! Исключает Доводчик !</t>
  </si>
  <si>
    <t>TBX, Переходник укор. релинга д/ал. фас.</t>
  </si>
  <si>
    <t>TBX-A, Задн. ст 224/300, бел, Z30D239S.6</t>
  </si>
  <si>
    <t>TBX, Релинг д/пер. панели, 1094 мм, сер.</t>
  </si>
  <si>
    <t>TBX, Релинг д/пер. панели, 1094 мм, хром</t>
  </si>
  <si>
    <t>* Шаблон для сверления отверстий для крепления ответных планок
* Шаблон для переноса размеров с двери на корпус
* При постоянных позициях крепления планок, несколько шаблонов можно прикрепить саморезами к деревянной штанге 
* Установка по разметке
* Материал: сталь</t>
  </si>
  <si>
    <t>ШАБЛОНЫ</t>
  </si>
  <si>
    <t>Шаблон-уголок</t>
  </si>
  <si>
    <t>Шаблон для ответных планок</t>
  </si>
  <si>
    <t>8473392/</t>
  </si>
  <si>
    <t>TBX-А, Релинг д/пер. панели, 1046мм, бел</t>
  </si>
  <si>
    <t>8473394/</t>
  </si>
  <si>
    <t>2607803/</t>
  </si>
  <si>
    <t>4127163/</t>
  </si>
  <si>
    <t>4168100/</t>
  </si>
  <si>
    <t>4319670/</t>
  </si>
  <si>
    <t>4320680/</t>
  </si>
  <si>
    <t>4323350/</t>
  </si>
  <si>
    <t>4444492/</t>
  </si>
  <si>
    <t>4444572/</t>
  </si>
  <si>
    <t>4486733/</t>
  </si>
  <si>
    <t>TBX, Перед панель 1081мм нерж, Z31A1081A</t>
  </si>
  <si>
    <t>4492460/</t>
  </si>
  <si>
    <t>4492540/</t>
  </si>
  <si>
    <t>9348933/</t>
  </si>
  <si>
    <t>8726760/</t>
  </si>
  <si>
    <t>8324892/</t>
  </si>
  <si>
    <t>8386032/</t>
  </si>
  <si>
    <t>8515102/</t>
  </si>
  <si>
    <t>7834990/</t>
  </si>
  <si>
    <t>8979458/</t>
  </si>
  <si>
    <t>8978460/</t>
  </si>
  <si>
    <t>8002803/</t>
  </si>
  <si>
    <t>для всех глубин</t>
  </si>
  <si>
    <t>8115693/</t>
  </si>
  <si>
    <t>5996712/</t>
  </si>
  <si>
    <t>5985602/</t>
  </si>
  <si>
    <t>5985432/</t>
  </si>
  <si>
    <t>5985352/</t>
  </si>
  <si>
    <t>5985272/</t>
  </si>
  <si>
    <t>6008742/</t>
  </si>
  <si>
    <t>6008662/</t>
  </si>
  <si>
    <t>9130032/</t>
  </si>
  <si>
    <t>6305872/</t>
  </si>
  <si>
    <t>6305792/</t>
  </si>
  <si>
    <t>6305502/</t>
  </si>
  <si>
    <t>6305442/</t>
  </si>
  <si>
    <t>6305102/</t>
  </si>
  <si>
    <t>6304982/</t>
  </si>
  <si>
    <t>6304552/</t>
  </si>
  <si>
    <t>6304472/</t>
  </si>
  <si>
    <t>6304392/</t>
  </si>
  <si>
    <t>6304102/</t>
  </si>
  <si>
    <t>6304042/</t>
  </si>
  <si>
    <t>6303802/</t>
  </si>
  <si>
    <t>3363942/</t>
  </si>
  <si>
    <t>3364082/</t>
  </si>
  <si>
    <t>1492172/</t>
  </si>
  <si>
    <t>1483772/</t>
  </si>
  <si>
    <t>TD без ВМ, част.выдв, 30 кг, 360 мм, лев</t>
  </si>
  <si>
    <t>8608884/</t>
  </si>
  <si>
    <t>8608714/</t>
  </si>
  <si>
    <t>8608882/</t>
  </si>
  <si>
    <t>8608712/</t>
  </si>
  <si>
    <t>8597902/</t>
  </si>
  <si>
    <t>8597832/</t>
  </si>
  <si>
    <t>8597834/</t>
  </si>
  <si>
    <t>9060364/</t>
  </si>
  <si>
    <t>9060294/</t>
  </si>
  <si>
    <t>8597904/</t>
  </si>
  <si>
    <t>8768724/</t>
  </si>
  <si>
    <t>8768894/</t>
  </si>
  <si>
    <t>8768892/</t>
  </si>
  <si>
    <t>8768722/</t>
  </si>
  <si>
    <t>9060292/</t>
  </si>
  <si>
    <t>9060362/</t>
  </si>
  <si>
    <t>9063193/</t>
  </si>
  <si>
    <t>9063884/</t>
  </si>
  <si>
    <t>8784254/</t>
  </si>
  <si>
    <t>8784324/</t>
  </si>
  <si>
    <t>9063714/</t>
  </si>
  <si>
    <t>8784012/</t>
  </si>
  <si>
    <t>8679864/</t>
  </si>
  <si>
    <t>8679794/</t>
  </si>
  <si>
    <t>8679792/</t>
  </si>
  <si>
    <t>8679862/</t>
  </si>
  <si>
    <t>8784182/</t>
  </si>
  <si>
    <t>3257904/</t>
  </si>
  <si>
    <t>MBX, Царга, 150/500мм, 30 кг, сер, прав.</t>
  </si>
  <si>
    <t>8515342/</t>
  </si>
  <si>
    <t>TBX-A, Загл к крепл вн, 224мм, бел, лев</t>
  </si>
  <si>
    <t>8515272/</t>
  </si>
  <si>
    <t>TBX-A, Загл к крепл вн, 224мм, бел, прав</t>
  </si>
  <si>
    <t>8515344/</t>
  </si>
  <si>
    <t>8515274/</t>
  </si>
  <si>
    <t>ORG, Набор ст/пр, 600/450 мм, ZSI.60VEI4</t>
  </si>
  <si>
    <t>ORG, Набор ст/пр, 600/500 мм, ZSI.60VEI6</t>
  </si>
  <si>
    <t>ORG, Набор ст/пр, 800/450 мм, ZSI.80VEI4</t>
  </si>
  <si>
    <t>ORG, Набор ст/пр, 800/500 мм, ZSI.80VEI6</t>
  </si>
  <si>
    <t>8046152/</t>
  </si>
  <si>
    <t>8660264/</t>
  </si>
  <si>
    <t>8473604/</t>
  </si>
  <si>
    <t>TBX-A, Задн ст 224/120, черн, п/м L, кмп</t>
  </si>
  <si>
    <t>1900302/</t>
  </si>
  <si>
    <t>1905870/</t>
  </si>
  <si>
    <t>1917443/</t>
  </si>
  <si>
    <t>1925383/</t>
  </si>
  <si>
    <t>1950400/</t>
  </si>
  <si>
    <t>2946900/</t>
  </si>
  <si>
    <t>7260372/</t>
  </si>
  <si>
    <t>7260702/</t>
  </si>
  <si>
    <t>7655633/</t>
  </si>
  <si>
    <t>7801102/</t>
  </si>
  <si>
    <t>7393762/</t>
  </si>
  <si>
    <t>6659250/</t>
  </si>
  <si>
    <t>TBX, Царги под мойку, 500 мм, никел, кмп</t>
  </si>
  <si>
    <t>6639062/</t>
  </si>
  <si>
    <t>5634802/</t>
  </si>
  <si>
    <t>5635372/</t>
  </si>
  <si>
    <t>5877600/</t>
  </si>
  <si>
    <t>5888233/</t>
  </si>
  <si>
    <t>CLIP top, П/фальшп, накл 95г  79T9950.37</t>
  </si>
  <si>
    <t>Частичного выдвижения</t>
  </si>
  <si>
    <t>ORG, Раздел поп сталь 600мм сер Z40H477S</t>
  </si>
  <si>
    <t>ORG, Раздел поп сталь 800мм сер Z40H677S</t>
  </si>
  <si>
    <t>ORG, Раздел поп сталь 900мм сер Z40H777S</t>
  </si>
  <si>
    <t>ORG, Раздел прод сталь 100мм серZ43H100S</t>
  </si>
  <si>
    <t>ORG, Набор комбинированный, ZSI.450KI4N</t>
  </si>
  <si>
    <t>ORG, Набор комбинированный, ZSI.450MI3</t>
  </si>
  <si>
    <t>ORG, Набор комбинированный, ZSI.500KI4</t>
  </si>
  <si>
    <t>ORG, Набор комбинированный, ZSI.500MI3</t>
  </si>
  <si>
    <t>TBX, Держат. задн. ст, 128 мм, сер, лев.</t>
  </si>
  <si>
    <t>1952870/</t>
  </si>
  <si>
    <t>1952950/</t>
  </si>
  <si>
    <t>1953090/</t>
  </si>
  <si>
    <t>1953170/</t>
  </si>
  <si>
    <t>1983750/</t>
  </si>
  <si>
    <t>1717101/</t>
  </si>
  <si>
    <t>1862966/</t>
  </si>
  <si>
    <t>1936676/</t>
  </si>
  <si>
    <t>1936756/</t>
  </si>
  <si>
    <t>1990449/</t>
  </si>
  <si>
    <t>7000030/</t>
  </si>
  <si>
    <t>6908650/</t>
  </si>
  <si>
    <t>6745760/</t>
  </si>
  <si>
    <t>7883170/</t>
  </si>
  <si>
    <t>9390032/</t>
  </si>
  <si>
    <t>8420372/</t>
  </si>
  <si>
    <t>8420374/</t>
  </si>
  <si>
    <t>8456012/</t>
  </si>
  <si>
    <t>8456014/</t>
  </si>
  <si>
    <t>8185132/</t>
  </si>
  <si>
    <t>2849563/</t>
  </si>
  <si>
    <t>2849703/</t>
  </si>
  <si>
    <t>2894343/</t>
  </si>
  <si>
    <t>8988292/</t>
  </si>
  <si>
    <t>8988362/</t>
  </si>
  <si>
    <t>9007443/</t>
  </si>
  <si>
    <t>8978398/</t>
  </si>
  <si>
    <t>8039392/</t>
  </si>
  <si>
    <t>TBX-A, Профиль приема д/ORG, 450 мм, бел</t>
  </si>
  <si>
    <t>8039394/</t>
  </si>
  <si>
    <t>TBX-A, Профиль приема д/ORG, 450 мм, чер</t>
  </si>
  <si>
    <t>7978492/</t>
  </si>
  <si>
    <t>TBX-A, Профиль приема д/ORG, 500 мм, бел</t>
  </si>
  <si>
    <t>8113612/</t>
  </si>
  <si>
    <t>8113614/</t>
  </si>
  <si>
    <t>TBX-A, Раздел поп 1077мм, черн Z40L1077A</t>
  </si>
  <si>
    <t>7952962/</t>
  </si>
  <si>
    <t>7480063/</t>
  </si>
  <si>
    <t>TANDEMBOX plus BLUMOTION высота N</t>
  </si>
  <si>
    <t>TANDEMBOX plus BLUMOTION высота B</t>
  </si>
  <si>
    <t>AVS HF, Держ. Clip к сред/петле 175H5A00</t>
  </si>
  <si>
    <t>9048274/</t>
  </si>
  <si>
    <t>9351043/</t>
  </si>
  <si>
    <t>CLIP top BM, Петля д/алю рам вкл 71B970A</t>
  </si>
  <si>
    <t>9350813/</t>
  </si>
  <si>
    <t>TD с BM, част.выдв, 30 кг, 270 мм, кмп</t>
  </si>
  <si>
    <t>TD с BM, част.выдв, 30 кг, 350 мм, кмп.</t>
  </si>
  <si>
    <t>3805303/</t>
  </si>
  <si>
    <t>3805993/</t>
  </si>
  <si>
    <t>Высота двери (мм).</t>
  </si>
  <si>
    <t>Множитель</t>
  </si>
  <si>
    <t>Толщина фасада</t>
  </si>
  <si>
    <t>ТИП</t>
  </si>
  <si>
    <t>ФАСАДЫ</t>
  </si>
  <si>
    <t>Механизм</t>
  </si>
  <si>
    <t>Рычаг</t>
  </si>
  <si>
    <t>HK TIP-ON</t>
  </si>
  <si>
    <t>HK-S</t>
  </si>
  <si>
    <t>откидной</t>
  </si>
  <si>
    <t>вертикальный</t>
  </si>
  <si>
    <t>поворотный</t>
  </si>
  <si>
    <t>Ширина (мм)</t>
  </si>
  <si>
    <t>ДСП 19</t>
  </si>
  <si>
    <t>дсп</t>
  </si>
  <si>
    <t>мдф</t>
  </si>
  <si>
    <t>7396950/</t>
  </si>
  <si>
    <t>AVS HF, Петля б/пруж, накл д/ал, 72T550A</t>
  </si>
  <si>
    <t>7981744/</t>
  </si>
  <si>
    <t>8452290/</t>
  </si>
  <si>
    <t>8494944/</t>
  </si>
  <si>
    <t>ORG, Набор ст/пр, 500/450 мм, ZSI.50VEI4</t>
  </si>
  <si>
    <t>ORG, Набор ст/пр, 500/500 мм, ZSI.50VEI6</t>
  </si>
  <si>
    <r>
      <t xml:space="preserve">ВЫСОТА </t>
    </r>
    <r>
      <rPr>
        <b/>
        <i/>
        <sz val="22"/>
        <color indexed="9"/>
        <rFont val="Arial Cyr"/>
        <charset val="204"/>
      </rPr>
      <t xml:space="preserve">K </t>
    </r>
    <r>
      <rPr>
        <b/>
        <i/>
        <sz val="12"/>
        <rFont val="Arial Cyr"/>
        <charset val="204"/>
      </rPr>
      <t>(118)</t>
    </r>
  </si>
  <si>
    <t>1373250/</t>
  </si>
  <si>
    <t>1373330/</t>
  </si>
  <si>
    <t>1431622/</t>
  </si>
  <si>
    <t>1730203/</t>
  </si>
  <si>
    <t>1730383/</t>
  </si>
  <si>
    <t>1730463/</t>
  </si>
  <si>
    <t>1730543/</t>
  </si>
  <si>
    <t>1772540/</t>
  </si>
  <si>
    <t>1802043/</t>
  </si>
  <si>
    <t>ORG, Набор ст/пр, 450/450 мм, ZSI.45VEI4</t>
  </si>
  <si>
    <t>ORG, Набор ст/пр, 450/500 мм, ZSI.45VEI6</t>
  </si>
  <si>
    <t>MBX, Царга, 86/350мм, 30 кг, крем, прав.</t>
  </si>
  <si>
    <t>2521080/</t>
  </si>
  <si>
    <t>2827597/</t>
  </si>
  <si>
    <t>1635049/</t>
  </si>
  <si>
    <t>7160400/</t>
  </si>
  <si>
    <t>2051000/</t>
  </si>
  <si>
    <t>5635612/</t>
  </si>
  <si>
    <t>5635882/</t>
  </si>
  <si>
    <t>CLIP top, Петля накл 30+ 95гр 79A9556.T1</t>
  </si>
  <si>
    <t>7108743/</t>
  </si>
  <si>
    <t>7500180/</t>
  </si>
  <si>
    <t>7499820/</t>
  </si>
  <si>
    <t>7883253/</t>
  </si>
  <si>
    <t>7883173/</t>
  </si>
  <si>
    <t>7883250/</t>
  </si>
  <si>
    <t>FH, мм</t>
  </si>
  <si>
    <t>FB, мм</t>
  </si>
  <si>
    <t>FS, мм</t>
  </si>
  <si>
    <t>FG, кг</t>
  </si>
  <si>
    <t>вводим параметры ваших фасадов</t>
  </si>
  <si>
    <t>получаем</t>
  </si>
  <si>
    <t>РАСЧЕТ механизмов AVENTOS</t>
  </si>
  <si>
    <t>MBX, Царга, 118/450мм, 30 кг, сер, прав.</t>
  </si>
  <si>
    <t>1201393/</t>
  </si>
  <si>
    <t>MBX, Царга, 118/450мм, 30 кг, крем, прав</t>
  </si>
  <si>
    <t>1201473/</t>
  </si>
  <si>
    <t>MBX, Царга, 118/450мм, 30 кг, крем, лев.</t>
  </si>
  <si>
    <t>MBX, Царга, 118/500мм, 30 кг, крем, лев.</t>
  </si>
  <si>
    <t>1231030/</t>
  </si>
  <si>
    <t>1348903/</t>
  </si>
  <si>
    <t>1349033/</t>
  </si>
  <si>
    <t>1555265/</t>
  </si>
  <si>
    <t>2015707/</t>
  </si>
  <si>
    <t>1898983/</t>
  </si>
  <si>
    <t>2066363/</t>
  </si>
  <si>
    <t>3031513/</t>
  </si>
  <si>
    <t>3031516/</t>
  </si>
  <si>
    <t>3031517/</t>
  </si>
  <si>
    <t>3031603/</t>
  </si>
  <si>
    <t>Стяжка-полкод(гнездо) светлобеж  40.4001</t>
  </si>
  <si>
    <t>Стяжка-полкодерж (гнездо) коричн 40.4001</t>
  </si>
  <si>
    <t>3032242/</t>
  </si>
  <si>
    <t>4176967/</t>
  </si>
  <si>
    <t>TANDEMBOX:</t>
  </si>
  <si>
    <t>под духовку</t>
  </si>
  <si>
    <t>внутренний</t>
  </si>
  <si>
    <t>Новые предложения:</t>
  </si>
  <si>
    <t>C/D</t>
  </si>
  <si>
    <t>рейл л</t>
  </si>
  <si>
    <t>рейл п</t>
  </si>
  <si>
    <t>рейл вн л</t>
  </si>
  <si>
    <t>рейл вн п</t>
  </si>
  <si>
    <t>6698580/</t>
  </si>
  <si>
    <t>6699800/</t>
  </si>
  <si>
    <t>8324652/</t>
  </si>
  <si>
    <t>Замки для крепления ящика к фасаду</t>
  </si>
  <si>
    <t>TD, замок, оранж, лев.</t>
  </si>
  <si>
    <t>TD, замок, оранж, пр.</t>
  </si>
  <si>
    <t>7799390/</t>
  </si>
  <si>
    <t>ORG, Держат. д/ножей,  ZSZ.02M0</t>
  </si>
  <si>
    <t>6484430/</t>
  </si>
  <si>
    <t>ORG, Держат. д/специй 300мм, ZFZ.30G0I</t>
  </si>
  <si>
    <t>6565350/</t>
  </si>
  <si>
    <t>ORG, Держат. д/специй 400мм, ZFZ.40G0I</t>
  </si>
  <si>
    <t>6565430/</t>
  </si>
  <si>
    <t>ORG, Держат. д/специй 450мм, ZFZ.45G0I</t>
  </si>
  <si>
    <t>6548690/</t>
  </si>
  <si>
    <t>6548770/</t>
  </si>
  <si>
    <t>6990990/</t>
  </si>
  <si>
    <t>6699980/</t>
  </si>
  <si>
    <t>ORG, Набор д/ст. приб, ZSI.450MI3E</t>
  </si>
  <si>
    <t>6698150/</t>
  </si>
  <si>
    <t>3439793/</t>
  </si>
  <si>
    <t>3444953/</t>
  </si>
  <si>
    <t>3445333/</t>
  </si>
  <si>
    <t>3445682/</t>
  </si>
  <si>
    <t>3521000/</t>
  </si>
  <si>
    <t>3564773/</t>
  </si>
  <si>
    <t>3565153/</t>
  </si>
  <si>
    <t>3679303/</t>
  </si>
  <si>
    <t>AVS HL, Рычаг 400-550 мм, прав,(9008813)</t>
  </si>
  <si>
    <t>AVS HL, Рычаг 400-550 мм, лев, (9008743)</t>
  </si>
  <si>
    <t>AVS HL, Рычаг 450-580 мм, прав,(9009043)</t>
  </si>
  <si>
    <t>TBX, Крепл п/пан вн, 224мм, лев,ZIF.73D0</t>
  </si>
  <si>
    <t>TD с BM, полн.выдв, 30 кг, 270 мм, кмп.</t>
  </si>
  <si>
    <t>TD с BM, полн.выдв, 30 кг, 300 мм, кмп.</t>
  </si>
  <si>
    <t>TD с BM, полн.выдв, 30 кг, 350 мм, кмп.</t>
  </si>
  <si>
    <t>1622067/</t>
  </si>
  <si>
    <t>8995740/</t>
  </si>
  <si>
    <t>8995810/</t>
  </si>
  <si>
    <t>8323732/</t>
  </si>
  <si>
    <t>8995050/</t>
  </si>
  <si>
    <t>8995671/</t>
  </si>
  <si>
    <t>8885543/</t>
  </si>
  <si>
    <t>CLIP top BM, Петля смежн, 110гр, 71B3650</t>
  </si>
  <si>
    <t>8913183/</t>
  </si>
  <si>
    <t>8514042/</t>
  </si>
  <si>
    <t>7830903/</t>
  </si>
  <si>
    <t>AVS HL, Рычаг 300-350 мм, прав,  20L3201</t>
  </si>
  <si>
    <t>7831893/</t>
  </si>
  <si>
    <t>7831203/</t>
  </si>
  <si>
    <t>7831603/</t>
  </si>
  <si>
    <t>8744414/</t>
  </si>
  <si>
    <t>ZBH, Шт.кондуктор д/пет Сlip, 65.7500.02</t>
  </si>
  <si>
    <t>8620979/</t>
  </si>
  <si>
    <t>9027621/</t>
  </si>
  <si>
    <t>9027861/</t>
  </si>
  <si>
    <t>9347873/</t>
  </si>
  <si>
    <t>9348003/</t>
  </si>
  <si>
    <t>9347493/</t>
  </si>
  <si>
    <t>9348483/</t>
  </si>
  <si>
    <t>9350503/</t>
  </si>
  <si>
    <t>4168280/</t>
  </si>
  <si>
    <t>ORG, Раздел прод 100мм, нерж Z43H100I.01</t>
  </si>
  <si>
    <t>AVS HF, Держ/рычага Clip, прав  175H5B00</t>
  </si>
  <si>
    <t>6796303/</t>
  </si>
  <si>
    <t>6796593/</t>
  </si>
  <si>
    <t>6797303/</t>
  </si>
  <si>
    <t>AVS HF, Петля средн б/пруж, алю 78Z550AT</t>
  </si>
  <si>
    <t>6802662/</t>
  </si>
  <si>
    <t>ORG, Набор комбинированный, ZSI.500BI1N</t>
  </si>
  <si>
    <t>ORG, Набор комбинированный, ZSI.450BI1N</t>
  </si>
  <si>
    <t>ORG, Набор комбинированный, ZSI.450KI3N</t>
  </si>
  <si>
    <t>ORG, Набор разделителей, ZSI.450FI2N</t>
  </si>
  <si>
    <t>TD без BM, полн.выдв, 30 кг, 270 мм, кмп</t>
  </si>
  <si>
    <t>Частичного выдвижения с доводчиком</t>
  </si>
  <si>
    <t>TD с BM, част.выдв, 30 кг, 300 мм, кмп.</t>
  </si>
  <si>
    <t>4856767/</t>
  </si>
  <si>
    <t>Общие комплектующие:</t>
  </si>
  <si>
    <t>Общее число ящиков с SD:</t>
  </si>
  <si>
    <t>цены за одну тумбу:</t>
  </si>
  <si>
    <t>4030090/</t>
  </si>
  <si>
    <t>4030250/</t>
  </si>
  <si>
    <t>4030500/</t>
  </si>
  <si>
    <t>4034240/</t>
  </si>
  <si>
    <t>Ширина корпуса 900</t>
  </si>
  <si>
    <t>Ширина корпуса 600</t>
  </si>
  <si>
    <t>Ширина корпуса 800</t>
  </si>
  <si>
    <t>Ширина корпуса 550</t>
  </si>
  <si>
    <t>Ширина корпуса 500</t>
  </si>
  <si>
    <t>7481463/</t>
  </si>
  <si>
    <t>CLIP top, Д/алю рам, 45+ тип I,79A9608AТ</t>
  </si>
  <si>
    <t>7774474/</t>
  </si>
  <si>
    <t>7368653/</t>
  </si>
  <si>
    <t>3825083/</t>
  </si>
  <si>
    <t>3825243/</t>
  </si>
  <si>
    <t>3866860/</t>
  </si>
  <si>
    <t>8559834/</t>
  </si>
  <si>
    <t>8479264/</t>
  </si>
  <si>
    <t>8560034/</t>
  </si>
  <si>
    <t>8559764/</t>
  </si>
  <si>
    <t>8479024/</t>
  </si>
  <si>
    <t>TBX-A, Передн панель, 1036 мм, черн, б/п</t>
  </si>
  <si>
    <t>8479194/</t>
  </si>
  <si>
    <t>7799472/</t>
  </si>
  <si>
    <t>8923228/</t>
  </si>
  <si>
    <t>8923398/</t>
  </si>
  <si>
    <t>7831033/</t>
  </si>
  <si>
    <t>Параметры кухни:</t>
  </si>
  <si>
    <t>Перечень необходимых комплектующих:</t>
  </si>
  <si>
    <r>
      <t>Servo-Drive</t>
    </r>
    <r>
      <rPr>
        <b/>
        <sz val="10"/>
        <rFont val="Arial Cyr"/>
        <charset val="204"/>
      </rPr>
      <t xml:space="preserve"> + к Aventos</t>
    </r>
  </si>
  <si>
    <t>TBX INTIVO высота М внутренний</t>
  </si>
  <si>
    <t>CLIP top BM, Петля д/алю рам накл 71B950</t>
  </si>
  <si>
    <t>артикул</t>
  </si>
  <si>
    <t>1936670/</t>
  </si>
  <si>
    <t>1936750/</t>
  </si>
  <si>
    <t>5385402/</t>
  </si>
  <si>
    <t>7393332/</t>
  </si>
  <si>
    <t>7393502/</t>
  </si>
  <si>
    <t>7609100/</t>
  </si>
  <si>
    <t>7609280/</t>
  </si>
  <si>
    <t>Вес двери = табличный вес  х  множитель.</t>
  </si>
  <si>
    <t>8611680/</t>
  </si>
  <si>
    <t>8618728/</t>
  </si>
  <si>
    <t>4802830/</t>
  </si>
  <si>
    <t>4838933/</t>
  </si>
  <si>
    <t>4150150/</t>
  </si>
  <si>
    <t>3187880/</t>
  </si>
  <si>
    <t>3490461/</t>
  </si>
  <si>
    <t>AVS HF, Прям планка с эксц Эксп 177H5400</t>
  </si>
  <si>
    <t>ORG, Набор д/ст. приб, ZSI.500BI3</t>
  </si>
  <si>
    <t>3696680/</t>
  </si>
  <si>
    <t>ORG, Набор д/ст. приб, ZSI.450FI3</t>
  </si>
  <si>
    <t>3697643/</t>
  </si>
  <si>
    <t>3699263/</t>
  </si>
  <si>
    <t>3703563/</t>
  </si>
  <si>
    <t>3703643/</t>
  </si>
  <si>
    <t>3733983/</t>
  </si>
  <si>
    <t>3776500/</t>
  </si>
  <si>
    <t>3777090/</t>
  </si>
  <si>
    <t>6144904/</t>
  </si>
  <si>
    <t>1172431/</t>
  </si>
  <si>
    <t>1388284/</t>
  </si>
  <si>
    <t>1391804/</t>
  </si>
  <si>
    <t>TANDEMBOX plus BLUMOTION высота D</t>
  </si>
  <si>
    <t>M</t>
  </si>
  <si>
    <t>B</t>
  </si>
  <si>
    <t>D</t>
  </si>
  <si>
    <t>ширина</t>
  </si>
  <si>
    <t>л</t>
  </si>
  <si>
    <t>п</t>
  </si>
  <si>
    <t>H</t>
  </si>
  <si>
    <t>цл</t>
  </si>
  <si>
    <t>цп</t>
  </si>
  <si>
    <t>нл</t>
  </si>
  <si>
    <t>нп</t>
  </si>
  <si>
    <t>C</t>
  </si>
  <si>
    <t>E</t>
  </si>
  <si>
    <t>F</t>
  </si>
  <si>
    <t>G</t>
  </si>
  <si>
    <t>I</t>
  </si>
  <si>
    <t>ЯЩИК ПОД МОЙКУ ВЫСОТА М</t>
  </si>
  <si>
    <t>ЯЩИК ПОД МОЙКУ ВЫСОТА D</t>
  </si>
  <si>
    <t>8997102/</t>
  </si>
  <si>
    <t>6008072/</t>
  </si>
  <si>
    <t>6007932/</t>
  </si>
  <si>
    <t>5978062/</t>
  </si>
  <si>
    <t>5977902/</t>
  </si>
  <si>
    <t>5977842/</t>
  </si>
  <si>
    <t>5977762/</t>
  </si>
  <si>
    <t>5996802/</t>
  </si>
  <si>
    <t>Широкие, узкие алюминиевые рамки</t>
  </si>
  <si>
    <t>алюминий</t>
  </si>
  <si>
    <t>ст. 4 мм</t>
  </si>
  <si>
    <t>материал</t>
  </si>
  <si>
    <t>Коэф.</t>
  </si>
  <si>
    <t>LF</t>
  </si>
  <si>
    <t>6251172/</t>
  </si>
  <si>
    <t>6251252/</t>
  </si>
  <si>
    <t>6252492/</t>
  </si>
  <si>
    <t>6252652/</t>
  </si>
  <si>
    <t>6319152/</t>
  </si>
  <si>
    <t>6510373/</t>
  </si>
  <si>
    <t>6974603/</t>
  </si>
  <si>
    <t>7085783/</t>
  </si>
  <si>
    <t>6268062/</t>
  </si>
  <si>
    <t>6148663/</t>
  </si>
  <si>
    <t>6148583/</t>
  </si>
  <si>
    <t>MBX, Царга, 150/500мм, 30 кг, крем, прав</t>
  </si>
  <si>
    <t>6148823/</t>
  </si>
  <si>
    <t>6148743/</t>
  </si>
  <si>
    <t>6148660/</t>
  </si>
  <si>
    <t>MBX, Царга, 150/500мм, 30 кг, крем, лев.</t>
  </si>
  <si>
    <t>MBX, Царга, 54/500мм, 30 кг, крем, прав.</t>
  </si>
  <si>
    <t>▲</t>
  </si>
  <si>
    <t>▼</t>
  </si>
  <si>
    <t>3777170/</t>
  </si>
  <si>
    <t>ORG, Набор разделителей, ZSI.500FI2N</t>
  </si>
  <si>
    <t>ORG, Набор разделителей, ZSI.500FI3</t>
  </si>
  <si>
    <t>3187372/</t>
  </si>
  <si>
    <t>3187450/</t>
  </si>
  <si>
    <t>3187530/</t>
  </si>
  <si>
    <t>3187532/</t>
  </si>
  <si>
    <t>3187882/</t>
  </si>
  <si>
    <t>3187960/</t>
  </si>
  <si>
    <t>3187962/</t>
  </si>
  <si>
    <t>6803145/</t>
  </si>
  <si>
    <t>7116844/</t>
  </si>
  <si>
    <t>7167585/</t>
  </si>
  <si>
    <t>7167665/</t>
  </si>
  <si>
    <t>7186889/</t>
  </si>
  <si>
    <t>7373730/</t>
  </si>
  <si>
    <t>7373904/</t>
  </si>
  <si>
    <t>HK</t>
  </si>
  <si>
    <t>Aventos:</t>
  </si>
  <si>
    <r>
      <t xml:space="preserve">AVENTOS </t>
    </r>
    <r>
      <rPr>
        <b/>
        <i/>
        <sz val="20"/>
        <color indexed="9"/>
        <rFont val="Arial"/>
        <family val="2"/>
        <charset val="204"/>
      </rPr>
      <t>SERVO-DRIVE</t>
    </r>
  </si>
  <si>
    <t>общие комплектующие:</t>
  </si>
  <si>
    <t>Общее число SD:</t>
  </si>
  <si>
    <t>вставки из Стекла</t>
  </si>
  <si>
    <t xml:space="preserve">под заказ </t>
  </si>
  <si>
    <t>500, под раскрой 1180мм</t>
  </si>
  <si>
    <t>TBX INTIVO под духовку</t>
  </si>
  <si>
    <t>TBX INTIVO высота М</t>
  </si>
  <si>
    <t>ц/л</t>
  </si>
  <si>
    <t>М/D</t>
  </si>
  <si>
    <r>
      <t xml:space="preserve">ВЫСОТА </t>
    </r>
    <r>
      <rPr>
        <b/>
        <i/>
        <sz val="22"/>
        <color indexed="9"/>
        <rFont val="Arial Cyr"/>
        <charset val="204"/>
      </rPr>
      <t xml:space="preserve">D </t>
    </r>
    <r>
      <rPr>
        <b/>
        <i/>
        <sz val="16"/>
        <rFont val="Arial Cyr"/>
        <charset val="204"/>
      </rPr>
      <t>внутренний</t>
    </r>
  </si>
  <si>
    <t>3257900/</t>
  </si>
  <si>
    <t>3258060/</t>
  </si>
  <si>
    <t>3283090/</t>
  </si>
  <si>
    <t>3283763/</t>
  </si>
  <si>
    <t>2900400/</t>
  </si>
  <si>
    <t>3004034/</t>
  </si>
  <si>
    <t>8988432/</t>
  </si>
  <si>
    <t>5389662/</t>
  </si>
  <si>
    <t>8784492/</t>
  </si>
  <si>
    <t>7777762/</t>
  </si>
  <si>
    <t>8695462/</t>
  </si>
  <si>
    <t>6395002/</t>
  </si>
  <si>
    <t>8695392/</t>
  </si>
  <si>
    <t>4816281/</t>
  </si>
  <si>
    <t>8695222/</t>
  </si>
  <si>
    <t>8532000/</t>
  </si>
  <si>
    <t>8225030/</t>
  </si>
  <si>
    <t>1123573/</t>
  </si>
  <si>
    <t>1123653/</t>
  </si>
  <si>
    <t>7656103/</t>
  </si>
  <si>
    <t>3198303/</t>
  </si>
  <si>
    <t>1907126/</t>
  </si>
  <si>
    <t>TIP-on д/напр полного выдв, лев T55.7151</t>
  </si>
  <si>
    <t>TIP-on д/напр полного выдв, прв T55.7151</t>
  </si>
  <si>
    <t>Экономия при установке более 1 комплекта SD:</t>
  </si>
  <si>
    <t>верхний</t>
  </si>
  <si>
    <t>нижний</t>
  </si>
  <si>
    <t>Кол-во ящ. в 1 тумбе:</t>
  </si>
  <si>
    <t>Специальные комплектующие:</t>
  </si>
  <si>
    <t>1402102/</t>
  </si>
  <si>
    <t>1431462/</t>
  </si>
  <si>
    <t>1431542/</t>
  </si>
  <si>
    <r>
      <t xml:space="preserve">ВЫСОТА  </t>
    </r>
    <r>
      <rPr>
        <b/>
        <i/>
        <sz val="22"/>
        <color indexed="9"/>
        <rFont val="Arial Cyr"/>
        <charset val="204"/>
      </rPr>
      <t xml:space="preserve">N </t>
    </r>
    <r>
      <rPr>
        <b/>
        <i/>
        <sz val="12"/>
        <color indexed="9"/>
        <rFont val="Arial Cyr"/>
        <charset val="204"/>
      </rPr>
      <t>(68)</t>
    </r>
  </si>
  <si>
    <t>Комплект петли</t>
  </si>
  <si>
    <t>Clip Top</t>
  </si>
  <si>
    <t>угловая</t>
  </si>
  <si>
    <t>Ответная планка:</t>
  </si>
  <si>
    <t>евровинт</t>
  </si>
  <si>
    <t>заглушки</t>
  </si>
  <si>
    <t>саморез</t>
  </si>
  <si>
    <t>накладная</t>
  </si>
  <si>
    <t>полунакладная</t>
  </si>
  <si>
    <t>Clip Top BM</t>
  </si>
  <si>
    <t>вкладная</t>
  </si>
  <si>
    <t>ф/панель</t>
  </si>
  <si>
    <t>170гр.</t>
  </si>
  <si>
    <t>155гр.</t>
  </si>
  <si>
    <t>кол.</t>
  </si>
  <si>
    <t>Петля</t>
  </si>
  <si>
    <t>Тип петли</t>
  </si>
  <si>
    <t>Угол</t>
  </si>
  <si>
    <t>3752341/</t>
  </si>
  <si>
    <t>4226282/</t>
  </si>
  <si>
    <t>4740619/</t>
  </si>
  <si>
    <t>4847699/</t>
  </si>
  <si>
    <t>4848581/</t>
  </si>
  <si>
    <t>8611682/</t>
  </si>
  <si>
    <t>TBX-A, Ручка б/пов. д/вн ящ бел ZIF.80M5</t>
  </si>
  <si>
    <t>8629361/</t>
  </si>
  <si>
    <t>TBX-AA, Крепл п/пан вн, 191мм, черн, лев</t>
  </si>
  <si>
    <t>8679796/</t>
  </si>
  <si>
    <t>TBX-AA, Крепл п/пан вн, 191мм, бел, прав</t>
  </si>
  <si>
    <t>8679866/</t>
  </si>
  <si>
    <t>8680066/</t>
  </si>
  <si>
    <t>8680136/</t>
  </si>
  <si>
    <t>8751102/</t>
  </si>
  <si>
    <t>8751342/</t>
  </si>
  <si>
    <t>8751410/</t>
  </si>
  <si>
    <t>8755090/</t>
  </si>
  <si>
    <t>TBX-A, Вставка "intivo" мат, 500 мм прав</t>
  </si>
  <si>
    <t>8762540/</t>
  </si>
  <si>
    <t>TBX-A, Вставка "intivo" мат, 500 мм, лев</t>
  </si>
  <si>
    <t>8765750/</t>
  </si>
  <si>
    <t>TBX-A, Вставка "intivo" мат, 450 мм, лев</t>
  </si>
  <si>
    <t>TBX-A, Вставка "intivo" мат, 450 мм прав</t>
  </si>
  <si>
    <t>8768342/</t>
  </si>
  <si>
    <t>TBX-AA, Рел прод д/вн 400 бел L(2259679)</t>
  </si>
  <si>
    <t>8768344/</t>
  </si>
  <si>
    <t>TBX-AA, Рел прод д/вн 400 черн L(2734244</t>
  </si>
  <si>
    <t>8768412/</t>
  </si>
  <si>
    <t>TBX-AA, Рел прод д/вн 400 бел R(3361919)</t>
  </si>
  <si>
    <t>8768414/</t>
  </si>
  <si>
    <t>TBX-AA, Рел прод д/вн 400 черн R(6426344</t>
  </si>
  <si>
    <t>8768582/</t>
  </si>
  <si>
    <t>TBX-AA, Рел прод д/вн 450бел лев(5846135</t>
  </si>
  <si>
    <t>8768584/</t>
  </si>
  <si>
    <t>TBX-AA, Рел прод д/вн450черн лев(2650587</t>
  </si>
  <si>
    <t>8768652/</t>
  </si>
  <si>
    <t>TBX-AA, Рел прод д/вн 450 бел пр(9171265</t>
  </si>
  <si>
    <t>8768654/</t>
  </si>
  <si>
    <t>TBX-AA, Рел прод д/вн 450черн пр(4172027</t>
  </si>
  <si>
    <t>TBX-AA, Рел прод д/вн 500 бел L(1511532)</t>
  </si>
  <si>
    <t>TBX-AA, Рел прод д/вн 500 черн L(4292244</t>
  </si>
  <si>
    <t>TBX-AA, Рел прод д/вн 500 бел R(7271392)</t>
  </si>
  <si>
    <t>TBX-AA, Рел прод д/вн 500 черн R(6284164</t>
  </si>
  <si>
    <t>TBX-AA, Крепл п/пан вн, 224мм, бел, прав</t>
  </si>
  <si>
    <t>8784016/</t>
  </si>
  <si>
    <t>8784186/</t>
  </si>
  <si>
    <t>TBX-AA, Крепл п/пан вн, 224мм, черн, лев</t>
  </si>
  <si>
    <t>8784632/</t>
  </si>
  <si>
    <t>8784634/</t>
  </si>
  <si>
    <t>8832318/</t>
  </si>
  <si>
    <t>8890185/</t>
  </si>
  <si>
    <t>8900549/</t>
  </si>
  <si>
    <t>TBX-AA, Передн держ стекл вст, верх, сим</t>
  </si>
  <si>
    <t>TBX-AA, Рел прод д/вн, 350 бел L/1758282</t>
  </si>
  <si>
    <t>TBX-AA, Рел прод д/вн350 черн L(7822694)</t>
  </si>
  <si>
    <t>TBX-AA, Рел прод д/вн, 350 бел R/6728912</t>
  </si>
  <si>
    <t>TBX-AA, Рел прод д/вн 350черн R(7952124)</t>
  </si>
  <si>
    <t>TBX-A, креп п/п д/рел бел левZIF.82D0.01</t>
  </si>
  <si>
    <t>9148333/</t>
  </si>
  <si>
    <t>TBX-A, Креп п/п с рел нер левZIF.82D0.01</t>
  </si>
  <si>
    <t>9148334/</t>
  </si>
  <si>
    <t>TBX-A, Креп п/п с рел чер левZIF.82D0.01</t>
  </si>
  <si>
    <t>TBX-A, креп п/п д/рел бел пр ZIF.82D0.01</t>
  </si>
  <si>
    <t>9148403/</t>
  </si>
  <si>
    <t>TBX-A, Креп п/п с рел нер пр ZIF.82D0.01</t>
  </si>
  <si>
    <t>9148404/</t>
  </si>
  <si>
    <t>TBX-A, Креп п/п с рел чер пр ZIF.82D0.01</t>
  </si>
  <si>
    <t>9155196/</t>
  </si>
  <si>
    <t>9155334/</t>
  </si>
  <si>
    <t>9155574/</t>
  </si>
  <si>
    <t>9155577/</t>
  </si>
  <si>
    <t>9155578/</t>
  </si>
  <si>
    <t>9155884/</t>
  </si>
  <si>
    <t>9171265/</t>
  </si>
  <si>
    <t>TBX-A, КРЕП П/П С ВСТ ЧЕР ПР ZIF.81D0.01</t>
  </si>
  <si>
    <t>TBX-A, креп п/п д/вст бел левZIF.81D0.01</t>
  </si>
  <si>
    <t>TBX-A, КРЕП П/П С ВСТ ЧЕР ЛЕВZIF.81D0.01</t>
  </si>
  <si>
    <t>TBX-A, Креп п/п с вст нер кмпZIF.81D0.01</t>
  </si>
  <si>
    <t>9408560/</t>
  </si>
  <si>
    <t>9408561/</t>
  </si>
  <si>
    <t>9408703/</t>
  </si>
  <si>
    <t>9771912/</t>
  </si>
  <si>
    <t>9803766/</t>
  </si>
  <si>
    <t>9805303/</t>
  </si>
  <si>
    <t>9925851/</t>
  </si>
  <si>
    <t>TBX, Релинг продольн, 600 мм, сер.</t>
  </si>
  <si>
    <t>4050440/</t>
  </si>
  <si>
    <t>TBX-A, Держат задн ст, 224 мм, чер, прав</t>
  </si>
  <si>
    <t>4722052/</t>
  </si>
  <si>
    <t>4909392/</t>
  </si>
  <si>
    <t>4909632/</t>
  </si>
  <si>
    <t>4910702/</t>
  </si>
  <si>
    <t>4931702/</t>
  </si>
  <si>
    <t>4932372/</t>
  </si>
  <si>
    <t>4932452/</t>
  </si>
  <si>
    <t>4932532/</t>
  </si>
  <si>
    <t>4932702/</t>
  </si>
  <si>
    <t>4934802/</t>
  </si>
  <si>
    <t>4971773/</t>
  </si>
  <si>
    <t>4971853/</t>
  </si>
  <si>
    <t>4972583/</t>
  </si>
  <si>
    <t>4972663/</t>
  </si>
  <si>
    <t>4974013/</t>
  </si>
  <si>
    <t>9396210/</t>
  </si>
  <si>
    <t>9396380/</t>
  </si>
  <si>
    <t>8010962/</t>
  </si>
  <si>
    <t>AVS HF, Петля средн б/пруж, ДСП 78Z5500T</t>
  </si>
  <si>
    <t>6800533/</t>
  </si>
  <si>
    <t>6844238/</t>
  </si>
  <si>
    <t>6844408/</t>
  </si>
  <si>
    <t>6796243/</t>
  </si>
  <si>
    <t>TBX, Направл. без BM, 30 кг, 450 мм, пр.</t>
  </si>
  <si>
    <t>TBX, Направл. без BM, 30 кг, 450 мм, лев</t>
  </si>
  <si>
    <t>4545680/</t>
  </si>
  <si>
    <t>TBX, Крепл п/пан вн, 160мм, пр. ZIF.72B0</t>
  </si>
  <si>
    <t>TBX, Крепл п/пан вн, 160мм, лев,ZIF.72B0</t>
  </si>
  <si>
    <t>4721833/</t>
  </si>
  <si>
    <t>TBX, Держат. задн. ст, 224 мм, нерж, пр.</t>
  </si>
  <si>
    <t>TBX, Держат. задн. ст, 224 мм, бел, прав</t>
  </si>
  <si>
    <t>4722053/</t>
  </si>
  <si>
    <t>8992566/</t>
  </si>
  <si>
    <t>9008363/</t>
  </si>
  <si>
    <t>902300/</t>
  </si>
  <si>
    <t>9044780/</t>
  </si>
  <si>
    <t>9076130/</t>
  </si>
  <si>
    <t>CLIP top, Ограничит откр 110гр  70T7503N</t>
  </si>
  <si>
    <t>9327076/</t>
  </si>
  <si>
    <t>* Шаблон для предварительного сверления позиций креплений под направляющие к корпусу, силовой механизм, ответные планки и держатели
* Шаблон можно использовать на собранном и на разобранном изделии
* Установка требуемой высоты и глубины по шкале
* Подходит для накладной и вкладной конструкции
* Под евровинты и саморезы
* Возможна установка по разметке
* Материал: пластмасса/алюминий</t>
  </si>
  <si>
    <t>Универсальный шаблон</t>
  </si>
  <si>
    <t>* Шаблон для предварительного сверления позиций креплений под направляющие к корпусу, силовой механизм, ответные планки и держатели
* Шаблон можно использовать на собранном и на разобранном изделии
* Установка требуемой глубины по шкале
* Подходит для накладной и вкладной конструкции
* Под евровинты и саморезы
* Возможна установка по разметке
* Материал: пластмасса/алюминий</t>
  </si>
  <si>
    <t>MINIFIX</t>
  </si>
  <si>
    <t>* Шаблон для крепления направляющих к корпусу (возможно непосредственно на шаблоне) перпендикулярно передней кромке корпуса
* Установка по разметке
* Материал: пластмасса</t>
  </si>
  <si>
    <t>* Шаблон для разметки или предварительного сверления отверстий под крепление фасада и релингов, задней стенки ящика и дня ящика, а так же под крепление фасада для Aventos
* Установка упора по шкале
* Материал: пластмасса</t>
  </si>
  <si>
    <t>СТАНКИ</t>
  </si>
  <si>
    <t>MINIPRESS P</t>
  </si>
  <si>
    <t>Необходимые опции</t>
  </si>
  <si>
    <r>
      <t xml:space="preserve">Базовая комплектация:
</t>
    </r>
    <r>
      <rPr>
        <sz val="10"/>
        <rFont val="Arial Cyr"/>
        <charset val="204"/>
      </rPr>
      <t>- Пневмопривод
- Рукоятка для установки размеров сверления
- Пятишпиндельная головка</t>
    </r>
    <r>
      <rPr>
        <b/>
        <sz val="10"/>
        <rFont val="Arial Cyr"/>
        <charset val="204"/>
      </rPr>
      <t xml:space="preserve">
</t>
    </r>
    <r>
      <rPr>
        <sz val="10"/>
        <rFont val="Arial Cyr"/>
        <charset val="204"/>
      </rPr>
      <t>- Центральная линейка</t>
    </r>
  </si>
  <si>
    <t>Дополнительные опции</t>
  </si>
  <si>
    <t>Приспособления</t>
  </si>
  <si>
    <t>TBX-A, Крепл п/пан вн, 96мм, бел, прав</t>
  </si>
  <si>
    <t>7934520/</t>
  </si>
  <si>
    <t>7934524/</t>
  </si>
  <si>
    <t>7934760/</t>
  </si>
  <si>
    <t>7934764/</t>
  </si>
  <si>
    <t>8479022/</t>
  </si>
  <si>
    <t>TBX-A, Передн панель, 1036 мм, бел, б/п</t>
  </si>
  <si>
    <t>8479192/</t>
  </si>
  <si>
    <t>8744584/</t>
  </si>
  <si>
    <t>8544122/</t>
  </si>
  <si>
    <t>8554332/</t>
  </si>
  <si>
    <t>8554402/</t>
  </si>
  <si>
    <t>8554572/</t>
  </si>
  <si>
    <t>8559690/</t>
  </si>
  <si>
    <t>8726450/</t>
  </si>
  <si>
    <t>7981980/</t>
  </si>
  <si>
    <t>7982040/</t>
  </si>
  <si>
    <t>7982110/</t>
  </si>
  <si>
    <t>4412450/</t>
  </si>
  <si>
    <t>4412700/</t>
  </si>
  <si>
    <t>3679300/</t>
  </si>
  <si>
    <t>4170770/</t>
  </si>
  <si>
    <t>4318600/</t>
  </si>
  <si>
    <t>2120170/</t>
  </si>
  <si>
    <t>TBX, Держат. задн. ст, 96 мм, сер, пр.</t>
  </si>
  <si>
    <t>2119830/</t>
  </si>
  <si>
    <t>TBX, Держат. задн. ст, 96 мм, сер, лев.</t>
  </si>
  <si>
    <t>2121140/</t>
  </si>
  <si>
    <t>2120900/</t>
  </si>
  <si>
    <t>4721830/</t>
  </si>
  <si>
    <t>TBX, Держат. задн. ст, 224 мм, сер, пр.</t>
  </si>
  <si>
    <t>4722050/</t>
  </si>
  <si>
    <t>TBX, Держат. задн. ст, 224 мм, сер, лев.</t>
  </si>
  <si>
    <t>TBX, Загл. с лого, сер, симм ZAA.330C.BL</t>
  </si>
  <si>
    <t>глубина</t>
  </si>
  <si>
    <t>N</t>
  </si>
  <si>
    <t>направ л</t>
  </si>
  <si>
    <t>направ п</t>
  </si>
  <si>
    <t>рейлинг</t>
  </si>
  <si>
    <t>царга п</t>
  </si>
  <si>
    <t>царга л</t>
  </si>
  <si>
    <t>М</t>
  </si>
  <si>
    <t>ORG, Набор ст/пр, 550/450 мм, ZSI.55VEI4</t>
  </si>
  <si>
    <t>ORG, Набор ст/пр, 550/500 мм, ZSI.55VEI6</t>
  </si>
  <si>
    <t>6148580/</t>
  </si>
  <si>
    <t>Ручка для внутреннего ящика</t>
  </si>
  <si>
    <t>1123493/</t>
  </si>
  <si>
    <t>1165570/</t>
  </si>
  <si>
    <t>1165650/</t>
  </si>
  <si>
    <t>1165730/</t>
  </si>
  <si>
    <t>1165900/</t>
  </si>
  <si>
    <t>1166200/</t>
  </si>
  <si>
    <t>1166380/</t>
  </si>
  <si>
    <t>8931902/</t>
  </si>
  <si>
    <t>7265904/</t>
  </si>
  <si>
    <t>6787250/</t>
  </si>
  <si>
    <t>6834270/</t>
  </si>
  <si>
    <t>6484270/</t>
  </si>
  <si>
    <t>1829151/</t>
  </si>
  <si>
    <t>1867833/</t>
  </si>
  <si>
    <t>1900300/</t>
  </si>
  <si>
    <t>Для ящков с фасадами без ручки</t>
  </si>
  <si>
    <t>MODUL</t>
  </si>
  <si>
    <t>Петли MODUL</t>
  </si>
  <si>
    <t>Ответные планки</t>
  </si>
  <si>
    <t>TD без BM, част.выдв, 30 кг, 300 мм, кмп</t>
  </si>
  <si>
    <t>TD без BM, част.выдв, 30 кг, 400 мм, кмп</t>
  </si>
  <si>
    <t>TD без BM, част.выдв, 30 кг, 450 мм, кмп</t>
  </si>
  <si>
    <t>2471630/</t>
  </si>
  <si>
    <t>2471800/</t>
  </si>
  <si>
    <t>2520940/</t>
  </si>
  <si>
    <t>Стяжки</t>
  </si>
  <si>
    <t>Специальные изделия</t>
  </si>
  <si>
    <t>POCKET DOOR</t>
  </si>
  <si>
    <t>НАВЕСКА</t>
  </si>
  <si>
    <t>НА САМОРЕЗЫ</t>
  </si>
  <si>
    <t>ПОД ПРЕСС</t>
  </si>
  <si>
    <t>TD без BM, полн.выдв, 30 кг, 250 мм, кмп</t>
  </si>
  <si>
    <t>CLIP, Петля накл, INSERTA 100 гр 71M2590</t>
  </si>
  <si>
    <t>6913733/</t>
  </si>
  <si>
    <t>CLIP, Петля вкл, INSERTA 100 гр 71M2790B</t>
  </si>
  <si>
    <t>7979613/</t>
  </si>
  <si>
    <t>7979793/</t>
  </si>
  <si>
    <t>6766593/</t>
  </si>
  <si>
    <t>мм</t>
  </si>
  <si>
    <t>7799631/</t>
  </si>
  <si>
    <t>7799800/</t>
  </si>
  <si>
    <t>7800742/</t>
  </si>
  <si>
    <t>7259956/</t>
  </si>
  <si>
    <t>7272890/</t>
  </si>
  <si>
    <t>7831463/</t>
  </si>
  <si>
    <t>7831543/</t>
  </si>
  <si>
    <t>7243440/</t>
  </si>
  <si>
    <t>Ящик для бутылок/разделочных досок</t>
  </si>
  <si>
    <t>н/бут</t>
  </si>
  <si>
    <t>Ящик для запасов/кострюль/крышек/сковородок</t>
  </si>
  <si>
    <t>м/с/с</t>
  </si>
  <si>
    <t>8038929/</t>
  </si>
  <si>
    <t>1984053/</t>
  </si>
  <si>
    <t>6913573/</t>
  </si>
  <si>
    <t>+</t>
  </si>
  <si>
    <t>9068450/</t>
  </si>
  <si>
    <t>4971850/</t>
  </si>
  <si>
    <t>4972580/</t>
  </si>
  <si>
    <t>4972660/</t>
  </si>
  <si>
    <t>6120063/</t>
  </si>
  <si>
    <t>6148820/</t>
  </si>
  <si>
    <t>6148740/</t>
  </si>
  <si>
    <t>6120060/</t>
  </si>
  <si>
    <t>6119995/</t>
  </si>
  <si>
    <t>6119815/</t>
  </si>
  <si>
    <t>7480493/</t>
  </si>
  <si>
    <t>7804563/</t>
  </si>
  <si>
    <t>9349093/</t>
  </si>
  <si>
    <t>9350293/</t>
  </si>
  <si>
    <t>CLIP top BM, Петля д/проф дв вкл 71B9750</t>
  </si>
  <si>
    <t>9349303/</t>
  </si>
  <si>
    <t>MBX, Царга, 118/400мм, 30 кг, сер, прав.</t>
  </si>
  <si>
    <t>6852831/</t>
  </si>
  <si>
    <t>6863361/</t>
  </si>
  <si>
    <t>6863611/</t>
  </si>
  <si>
    <t>6864317/</t>
  </si>
  <si>
    <t>6936184/</t>
  </si>
  <si>
    <t>6937581/</t>
  </si>
  <si>
    <t>6937741/</t>
  </si>
  <si>
    <t>6938712/</t>
  </si>
  <si>
    <t>6961541/</t>
  </si>
  <si>
    <t>6997304/</t>
  </si>
  <si>
    <t>ZBH, Сверло 2,5х57 мм, прав M01.ZB02.D2 </t>
  </si>
  <si>
    <t>7046521/</t>
  </si>
  <si>
    <t>7100680/</t>
  </si>
  <si>
    <t>7101909/</t>
  </si>
  <si>
    <t>7121839/</t>
  </si>
  <si>
    <t>7407491/</t>
  </si>
  <si>
    <t>6702440/</t>
  </si>
  <si>
    <t>6748430/</t>
  </si>
  <si>
    <t>6747970/</t>
  </si>
  <si>
    <t>6742400/</t>
  </si>
  <si>
    <t>6715000/</t>
  </si>
  <si>
    <t>6744500/</t>
  </si>
  <si>
    <t>6744950/</t>
  </si>
  <si>
    <t>6715260/</t>
  </si>
  <si>
    <t>6745090/</t>
  </si>
  <si>
    <t>6742800/</t>
  </si>
  <si>
    <t>6715400/</t>
  </si>
  <si>
    <t>6743390/</t>
  </si>
  <si>
    <t>6720850/</t>
  </si>
  <si>
    <t>6720400/</t>
  </si>
  <si>
    <t>6814590/</t>
  </si>
  <si>
    <t>6819470/</t>
  </si>
  <si>
    <t>7168047/</t>
  </si>
  <si>
    <t>2017594/</t>
  </si>
  <si>
    <t>2021271/</t>
  </si>
  <si>
    <t>2059161/</t>
  </si>
  <si>
    <t>9063712/</t>
  </si>
  <si>
    <t>9063882/</t>
  </si>
  <si>
    <t>9148332/</t>
  </si>
  <si>
    <t>9148402/</t>
  </si>
  <si>
    <t>9411980/</t>
  </si>
  <si>
    <t>7795302/</t>
  </si>
  <si>
    <t>низ</t>
  </si>
  <si>
    <t>верх</t>
  </si>
  <si>
    <t>4024443/</t>
  </si>
  <si>
    <t>7976263/</t>
  </si>
  <si>
    <t>7937793/</t>
  </si>
  <si>
    <t>7937613/</t>
  </si>
  <si>
    <t>7935583/</t>
  </si>
  <si>
    <t>4596833/</t>
  </si>
  <si>
    <t>4696613/</t>
  </si>
  <si>
    <t>4721832/</t>
  </si>
  <si>
    <t>Колличество шкафов с SD:</t>
  </si>
  <si>
    <t>Общая цена:</t>
  </si>
  <si>
    <t>общ.ст.</t>
  </si>
  <si>
    <t>ст. SD</t>
  </si>
  <si>
    <t>Цена за SD:</t>
  </si>
  <si>
    <t>ORGA-LINE</t>
  </si>
  <si>
    <t>AVENTOS</t>
  </si>
  <si>
    <t>AVS Servo-Drive</t>
  </si>
  <si>
    <t>4126943/</t>
  </si>
  <si>
    <t>4127083/</t>
  </si>
  <si>
    <t>8987992/</t>
  </si>
  <si>
    <t>8988122/</t>
  </si>
  <si>
    <t>Для частичного выдвижения</t>
  </si>
  <si>
    <t>Для полного выдвижения</t>
  </si>
  <si>
    <t>3824193/</t>
  </si>
  <si>
    <t>3824863/</t>
  </si>
  <si>
    <t>8988502/</t>
  </si>
  <si>
    <t>8992152/</t>
  </si>
  <si>
    <t>8992222/</t>
  </si>
  <si>
    <t>7484640/</t>
  </si>
  <si>
    <t>7502550/</t>
  </si>
  <si>
    <t>7931243/</t>
  </si>
  <si>
    <t>7931163/</t>
  </si>
  <si>
    <t>7931245/</t>
  </si>
  <si>
    <t>7931165/</t>
  </si>
  <si>
    <t>7883503/</t>
  </si>
  <si>
    <t>8671778/</t>
  </si>
  <si>
    <t>8979528/</t>
  </si>
  <si>
    <t>3123150/</t>
  </si>
  <si>
    <t>3356885/</t>
  </si>
  <si>
    <t>MDL, Петля п/фальшпан п/с 95 гр. 99M9550</t>
  </si>
  <si>
    <t>4933589/</t>
  </si>
  <si>
    <t>5025903/</t>
  </si>
  <si>
    <t>5562160/</t>
  </si>
  <si>
    <t>5966662/</t>
  </si>
  <si>
    <t>7424571/</t>
  </si>
  <si>
    <t>ОТВЕТНЫЕ ПЛАНКИ</t>
  </si>
  <si>
    <t>ЗАГЛУШКИ для METABOX</t>
  </si>
  <si>
    <t>→</t>
  </si>
  <si>
    <t>↓</t>
  </si>
  <si>
    <t>←</t>
  </si>
  <si>
    <r>
      <t xml:space="preserve">ВЫСОТА  </t>
    </r>
    <r>
      <rPr>
        <b/>
        <i/>
        <sz val="22"/>
        <color indexed="9"/>
        <rFont val="Arial Cyr"/>
        <charset val="204"/>
      </rPr>
      <t>D</t>
    </r>
    <r>
      <rPr>
        <b/>
        <i/>
        <sz val="16"/>
        <rFont val="Arial Cyr"/>
        <charset val="204"/>
      </rPr>
      <t xml:space="preserve"> </t>
    </r>
    <r>
      <rPr>
        <b/>
        <i/>
        <sz val="20"/>
        <color indexed="9"/>
        <rFont val="Arial Cyr"/>
        <charset val="204"/>
      </rPr>
      <t xml:space="preserve">+ </t>
    </r>
    <r>
      <rPr>
        <b/>
        <i/>
        <sz val="14"/>
        <color indexed="9"/>
        <rFont val="Arial Cyr"/>
        <charset val="204"/>
      </rPr>
      <t xml:space="preserve">стекл. </t>
    </r>
    <r>
      <rPr>
        <b/>
        <i/>
        <sz val="20"/>
        <color indexed="9"/>
        <rFont val="Arial Cyr"/>
        <charset val="204"/>
      </rPr>
      <t xml:space="preserve">Boxside </t>
    </r>
    <r>
      <rPr>
        <b/>
        <i/>
        <sz val="12"/>
        <rFont val="Arial Cyr"/>
        <charset val="204"/>
      </rPr>
      <t>(224)</t>
    </r>
  </si>
  <si>
    <t>Все метабоксы возможны серого и кремового цвета.</t>
  </si>
  <si>
    <t>Для сверхшироких ящиков</t>
  </si>
  <si>
    <t>* Рекомендации: ширина корпуса от 900 до 1200</t>
  </si>
  <si>
    <t>9008503/</t>
  </si>
  <si>
    <t>9408491/</t>
  </si>
  <si>
    <t>9408490/</t>
  </si>
  <si>
    <t>9155407/</t>
  </si>
  <si>
    <t>9155408/</t>
  </si>
  <si>
    <t>MBX, Царга, 118/400мм, 30 кг, крем, лев.</t>
  </si>
  <si>
    <t>Ручка д/внутр ящика ZIF.7008 !НЕ ЗАКАЗЫВ</t>
  </si>
  <si>
    <t>TBX, Направл. с BM, 30 кг, 550 мм, прав.</t>
  </si>
  <si>
    <t>TBX, Направл. с BM, 50 кг, 550 мм, прав.</t>
  </si>
  <si>
    <t>ORG, Набор поп. разд. п/мойку(НЕ ПРОИЗВ)</t>
  </si>
  <si>
    <t>TD без BM, част.выдв, 30 кг, 270 мм, кмп</t>
  </si>
  <si>
    <t>6199583/</t>
  </si>
  <si>
    <t>3806373/</t>
  </si>
  <si>
    <t>3809633/</t>
  </si>
  <si>
    <t>3810053/</t>
  </si>
  <si>
    <t>3810303/</t>
  </si>
  <si>
    <t>3810483/</t>
  </si>
  <si>
    <t>CLIP top, Д/алю рам, накл, 120гр 73T550A</t>
  </si>
  <si>
    <t>3810643/</t>
  </si>
  <si>
    <t>CLIP top, Петля накл 45- 110гр 79A5450.T</t>
  </si>
  <si>
    <t>3810993/</t>
  </si>
  <si>
    <t>CLIP top, Угл петля 30-, 79A5451.T MB30-</t>
  </si>
  <si>
    <t>3823383/</t>
  </si>
  <si>
    <t>CLIP top, Угл петля 15-, 79A5453.T MB15-</t>
  </si>
  <si>
    <t>3823543/</t>
  </si>
  <si>
    <t>3823893/</t>
  </si>
  <si>
    <t>6876433/</t>
  </si>
  <si>
    <t>CLIP top, Д/алю рам, накл, д/ВМ,71T950AB</t>
  </si>
  <si>
    <t>ORG, Набор ст/пр, 900/450 мм, ZSI.90VEI4</t>
  </si>
  <si>
    <t>ORG, Набор ст/пр, 900/500 мм, ZSI.90VEI6</t>
  </si>
  <si>
    <t>RUB</t>
  </si>
  <si>
    <t>1123203/</t>
  </si>
  <si>
    <t>TANDEMBOX plus BLUMOTION высота M</t>
  </si>
  <si>
    <t>7883413/</t>
  </si>
  <si>
    <t>7883505/</t>
  </si>
  <si>
    <t>7883415/</t>
  </si>
  <si>
    <t>7822694/</t>
  </si>
  <si>
    <t>TBX-AA, Рел прод д/вн, 350 мм, черн, лев</t>
  </si>
  <si>
    <t>7837582/</t>
  </si>
  <si>
    <t>7934830/</t>
  </si>
  <si>
    <t>7952124/</t>
  </si>
  <si>
    <t>TBX-AA, Рел прод д/вн, 350 мм,черн, прав</t>
  </si>
  <si>
    <t>7953262/</t>
  </si>
  <si>
    <t>7953264/</t>
  </si>
  <si>
    <t>7978562/</t>
  </si>
  <si>
    <t>TBX-A, Профиль приема д/ORG, 650 мм, бел</t>
  </si>
  <si>
    <t>8102650/</t>
  </si>
  <si>
    <t>8155050/</t>
  </si>
  <si>
    <t>8155120/</t>
  </si>
  <si>
    <t>8155290/</t>
  </si>
  <si>
    <t>8155292/</t>
  </si>
  <si>
    <t>8155360/</t>
  </si>
  <si>
    <t>8155362/</t>
  </si>
  <si>
    <t>8185293/</t>
  </si>
  <si>
    <t>8192172/</t>
  </si>
  <si>
    <t>8207692/</t>
  </si>
  <si>
    <t>TBX-A, Профиль приема д/ORG, 550 мм, бел</t>
  </si>
  <si>
    <t>8224136/</t>
  </si>
  <si>
    <t>8260092/</t>
  </si>
  <si>
    <t>8274000/</t>
  </si>
  <si>
    <t>TBX-AA, Задн держ стекл вст D  сер, прав</t>
  </si>
  <si>
    <t>8325554/</t>
  </si>
  <si>
    <t>8443382/</t>
  </si>
  <si>
    <t>8456252/</t>
  </si>
  <si>
    <t>8456324/</t>
  </si>
  <si>
    <t>8456492/</t>
  </si>
  <si>
    <t>8466683/</t>
  </si>
  <si>
    <t>8473390/</t>
  </si>
  <si>
    <t>8478342/</t>
  </si>
  <si>
    <t>TBX-A, Держат рел д/креп п/п белZIF.82D8</t>
  </si>
  <si>
    <t>TBX-A, Держат рел д/креп п/п черZIF.82D8</t>
  </si>
  <si>
    <t>8479020/</t>
  </si>
  <si>
    <t>TBX-AA, Передн пан п/релинг сер, 1036 мм</t>
  </si>
  <si>
    <t>TBX-A, КРЕП П/П 96мм черн кмпZIF.80M0.01</t>
  </si>
  <si>
    <t>8493192/</t>
  </si>
  <si>
    <t>8514040/</t>
  </si>
  <si>
    <t>TBX-A, Загл к креп п/п zif.81d0 черн лев</t>
  </si>
  <si>
    <t>8517944/</t>
  </si>
  <si>
    <t>8556170/</t>
  </si>
  <si>
    <t>TBX-A, КРЕП П/П 96мм черн левZIF.80M0.01</t>
  </si>
  <si>
    <t>8570623/</t>
  </si>
  <si>
    <t>TBX-A, Передн панель, 1036 мм, нерж, б/п</t>
  </si>
  <si>
    <t>8570793/</t>
  </si>
  <si>
    <t>TBX-A, Передн панель, 1036 мм, нерж, с/п</t>
  </si>
  <si>
    <t>8570933/</t>
  </si>
  <si>
    <t>TBX-A, КРЕП П/П 96мм нерж кмпZIF.80M0.01</t>
  </si>
  <si>
    <t>8597072/</t>
  </si>
  <si>
    <t>TBX-AA, Рел прод 270 мм бел лев(4536661)</t>
  </si>
  <si>
    <t>8597074/</t>
  </si>
  <si>
    <t>TBX-AA, Рел прод 270мм черн лев(1522138)</t>
  </si>
  <si>
    <t>8597142/</t>
  </si>
  <si>
    <t>TBX-AA, Рел прод 270мм бел прав(6191701)</t>
  </si>
  <si>
    <t>8597144/</t>
  </si>
  <si>
    <t>TBX-AA, Рел прод 270мм черн, пр(3528278)</t>
  </si>
  <si>
    <t>TBX-AA, Рел прод 350мм, бел лев(5343193)</t>
  </si>
  <si>
    <t>TBX-AA, Рел прод 350мм черн лев(3719331)</t>
  </si>
  <si>
    <t>TBX-AA, Рел прод 350мм, бел, пр(6457513)</t>
  </si>
  <si>
    <t>8601542/</t>
  </si>
  <si>
    <t>8601544/</t>
  </si>
  <si>
    <t>TBX-AA, Рел прод 400мм черн лев(4830538)</t>
  </si>
  <si>
    <t>8601612/</t>
  </si>
  <si>
    <t>8601614/</t>
  </si>
  <si>
    <t>8601782/</t>
  </si>
  <si>
    <t>TBX-AA, Рел прод 450 мм бел лев(2913111)</t>
  </si>
  <si>
    <t>8601784/</t>
  </si>
  <si>
    <t>8601852/</t>
  </si>
  <si>
    <t>TBX-AA, Рел прод 450мм бел прав(6427131)</t>
  </si>
  <si>
    <t>8601854/</t>
  </si>
  <si>
    <t>TBX-AA, Рел прод 450 мм черн пр(8517944)</t>
  </si>
  <si>
    <t>TBX-AA, Рел прод 500мм, бел лев(1785452)</t>
  </si>
  <si>
    <t>TBX-AA, Рел прод 500мм черн лев(6263086)</t>
  </si>
  <si>
    <t>TBX-AA, Рел прод 500мм, бел, пр(7403462)</t>
  </si>
  <si>
    <t>TBX-A, BOXCOVER задн, бел, прав</t>
  </si>
  <si>
    <t>8001672/</t>
  </si>
  <si>
    <t>TBX-A, BOXCOVER передн, бел, симм</t>
  </si>
  <si>
    <t>8030070/</t>
  </si>
  <si>
    <t>8030380/</t>
  </si>
  <si>
    <t>8030520/</t>
  </si>
  <si>
    <t>TBX-A, Раздел прод 100 мм, нерж Z43L100I</t>
  </si>
  <si>
    <t>8113850/</t>
  </si>
  <si>
    <t>7323033/</t>
  </si>
  <si>
    <t>8494942/</t>
  </si>
  <si>
    <t>ZBH, Презент. чемодан AVS-HK, 20K PRAE-K</t>
  </si>
  <si>
    <t>7585169/</t>
  </si>
  <si>
    <t>Боковой стабилизатор для TANDEM</t>
  </si>
  <si>
    <t>Для широких ящиков</t>
  </si>
  <si>
    <t>ОГРАНИЧИТЕЛИ угла</t>
  </si>
  <si>
    <t>ЯЩИК ПОД МОЙКУ TANDEMBOX plus BLUMOTION высота D</t>
  </si>
  <si>
    <t>2849130/</t>
  </si>
  <si>
    <t>2849300/</t>
  </si>
  <si>
    <t>6639730/</t>
  </si>
  <si>
    <t>6689160/</t>
  </si>
  <si>
    <t>TANDEMBOX plus BLUMOTION внутренний</t>
  </si>
  <si>
    <t>TANDEMBOX plus BLUMOTION с двойным РЕЙЛИНГОМ внутренний</t>
  </si>
  <si>
    <t>7738167/</t>
  </si>
  <si>
    <t>7744997/</t>
  </si>
  <si>
    <t>0023870/</t>
  </si>
  <si>
    <t>5403375/</t>
  </si>
  <si>
    <t>5440963/</t>
  </si>
  <si>
    <t>5512402/</t>
  </si>
  <si>
    <t>7530009/</t>
  </si>
  <si>
    <t>7542854/</t>
  </si>
  <si>
    <t>0034900/</t>
  </si>
  <si>
    <t>0035133/</t>
  </si>
  <si>
    <t>CLIP top, Заглушка ARLONI, 70.1503 (рис)</t>
  </si>
  <si>
    <t>0035200/</t>
  </si>
  <si>
    <t>1299433/</t>
  </si>
  <si>
    <t>CLIP top, Заглушка Mandarin, 70.1503 рис</t>
  </si>
  <si>
    <t>1483124/</t>
  </si>
  <si>
    <t>2055432/</t>
  </si>
  <si>
    <t>2275560/</t>
  </si>
  <si>
    <t>2930222/</t>
  </si>
  <si>
    <t>3255761/</t>
  </si>
  <si>
    <t>3308389/</t>
  </si>
  <si>
    <t>3771859/</t>
  </si>
  <si>
    <t>4210172/</t>
  </si>
  <si>
    <t>4373019/</t>
  </si>
  <si>
    <t>5690056/</t>
  </si>
  <si>
    <t>6691490/</t>
  </si>
  <si>
    <t>TBX, Загл. с лого Giulia Novars ZAA.330С</t>
  </si>
  <si>
    <t>6934140/</t>
  </si>
  <si>
    <t>TBX, Загл. с лого, АДМ, симм ZAA.330C1M5</t>
  </si>
  <si>
    <t>7042893/</t>
  </si>
  <si>
    <t>7272281/</t>
  </si>
  <si>
    <t>7372173/</t>
  </si>
  <si>
    <t>7411201/</t>
  </si>
  <si>
    <t>7540659/</t>
  </si>
  <si>
    <t>7839333/</t>
  </si>
  <si>
    <t>CLIP TOP, Загл штамп Kuchenberg, 70.1503</t>
  </si>
  <si>
    <t>7852042/</t>
  </si>
  <si>
    <t>AVS HF, Заглушка круглая Дельта+ 20F9001</t>
  </si>
  <si>
    <t>8404390/</t>
  </si>
  <si>
    <t>8488550/</t>
  </si>
  <si>
    <t>8540923/</t>
  </si>
  <si>
    <t>CLIP top, Заглушка Stil La' Rus, 70.1503</t>
  </si>
  <si>
    <t>8541080/</t>
  </si>
  <si>
    <t>TBX, Загл. с лого Stil La' Rus, ZAA.330C</t>
  </si>
  <si>
    <t>8869681/</t>
  </si>
  <si>
    <t>9838676/</t>
  </si>
  <si>
    <t>7940743/</t>
  </si>
  <si>
    <t>7941043/</t>
  </si>
  <si>
    <t>2127978/</t>
  </si>
  <si>
    <t>7077330/</t>
  </si>
  <si>
    <t>7077500/</t>
  </si>
  <si>
    <t>7374033/</t>
  </si>
  <si>
    <t>MDL, Винт д/муфты, 4,8 х 13 мм, 621.1300</t>
  </si>
  <si>
    <t>3444793/</t>
  </si>
  <si>
    <t>3930543/</t>
  </si>
  <si>
    <t>CLIP top, Загл. с лого ст, L  70.1563.BL</t>
  </si>
  <si>
    <t>3930603/</t>
  </si>
  <si>
    <t>CLIP top, Загл. с лого ст, R  70.1563.BL</t>
  </si>
  <si>
    <t>5439828/</t>
  </si>
  <si>
    <t>8913943/</t>
  </si>
  <si>
    <t>9106133/</t>
  </si>
  <si>
    <t>5948803/</t>
  </si>
  <si>
    <t>7070083/</t>
  </si>
  <si>
    <t>9141613/</t>
  </si>
  <si>
    <t>1153569/</t>
  </si>
  <si>
    <t>1224358/</t>
  </si>
  <si>
    <t>1243013/</t>
  </si>
  <si>
    <t>1251122/</t>
  </si>
  <si>
    <t>1470540/</t>
  </si>
  <si>
    <t>1495784/</t>
  </si>
  <si>
    <t>1511532/</t>
  </si>
  <si>
    <t>1522138/</t>
  </si>
  <si>
    <t>1616904/</t>
  </si>
  <si>
    <t>1644383/</t>
  </si>
  <si>
    <t>1758282/</t>
  </si>
  <si>
    <t>1785452/</t>
  </si>
  <si>
    <t>2053479/</t>
  </si>
  <si>
    <t>2093283/</t>
  </si>
  <si>
    <t>TBX-AA, Задн держ стекл вст С черн, прав</t>
  </si>
  <si>
    <t>2118602/</t>
  </si>
  <si>
    <t>2118782/</t>
  </si>
  <si>
    <t>2120906/</t>
  </si>
  <si>
    <t>2121146/</t>
  </si>
  <si>
    <t>TBX, Держат. задн. ст, 160 мм, бел, прав</t>
  </si>
  <si>
    <t>2259679/</t>
  </si>
  <si>
    <t>2566064/</t>
  </si>
  <si>
    <t>2650587/</t>
  </si>
  <si>
    <t>2655280/</t>
  </si>
  <si>
    <t>2655360/</t>
  </si>
  <si>
    <t>2698500/</t>
  </si>
  <si>
    <t>9450668/</t>
  </si>
  <si>
    <t>2846603/</t>
  </si>
  <si>
    <t>2846893/</t>
  </si>
  <si>
    <t>6489215/</t>
  </si>
  <si>
    <t>AVS HL, Загл. осн. бел. прав. 20L8001.02</t>
  </si>
  <si>
    <t>7093277/</t>
  </si>
  <si>
    <t>AVS HK-S, Держ фасада алю прав (8970293)</t>
  </si>
  <si>
    <t>8860933/</t>
  </si>
  <si>
    <t>AVS HS/HK/HL Крепл фас симм Эксп 20S42E1</t>
  </si>
  <si>
    <t>2119753/</t>
  </si>
  <si>
    <t>TBX, Держат. задн. ст, 96 мм, нерж, лев.</t>
  </si>
  <si>
    <t>2120093/</t>
  </si>
  <si>
    <t>8744722/</t>
  </si>
  <si>
    <t>8744652/</t>
  </si>
  <si>
    <t>8744724/</t>
  </si>
  <si>
    <t>9054041/</t>
  </si>
  <si>
    <t>9087199/</t>
  </si>
  <si>
    <t>9087649/</t>
  </si>
  <si>
    <t>9090444/</t>
  </si>
  <si>
    <t>ZBH, Раб. стол д/нов. Minipress MZA.5300</t>
  </si>
  <si>
    <t>9169679/</t>
  </si>
  <si>
    <t>9170259/</t>
  </si>
  <si>
    <t>1220260/</t>
  </si>
  <si>
    <t>1269600/</t>
  </si>
  <si>
    <t>1269602/</t>
  </si>
  <si>
    <t>TANDEMBOX с открыванием от НАЖАТИЯ</t>
  </si>
  <si>
    <t>9023001/</t>
  </si>
  <si>
    <t>6036793/</t>
  </si>
  <si>
    <t>6037763/</t>
  </si>
  <si>
    <t>6392660/</t>
  </si>
  <si>
    <t>6392740/</t>
  </si>
  <si>
    <t>6459160/</t>
  </si>
  <si>
    <t>6445702/</t>
  </si>
  <si>
    <t>BX</t>
  </si>
  <si>
    <t>поперечные</t>
  </si>
  <si>
    <t>7259448/</t>
  </si>
  <si>
    <t>7259508/</t>
  </si>
  <si>
    <t>7259793/</t>
  </si>
  <si>
    <t>7259873/</t>
  </si>
  <si>
    <t>7432170/</t>
  </si>
  <si>
    <t>8208750/</t>
  </si>
  <si>
    <t>7392870/</t>
  </si>
  <si>
    <t>7480203/</t>
  </si>
  <si>
    <t>9003173/</t>
  </si>
  <si>
    <t>7935403/</t>
  </si>
  <si>
    <t>8884623/</t>
  </si>
  <si>
    <t>8544052/</t>
  </si>
  <si>
    <t>9130412/</t>
  </si>
  <si>
    <t>9130582/</t>
  </si>
  <si>
    <t>9075903/</t>
  </si>
  <si>
    <t>9064563/</t>
  </si>
  <si>
    <t>8514044/</t>
  </si>
  <si>
    <t>8975873/</t>
  </si>
  <si>
    <t>9130892/</t>
  </si>
  <si>
    <t>8671840/</t>
  </si>
  <si>
    <t>8671910/</t>
  </si>
  <si>
    <t>AVS HK-S, Ограничитель открывания 100 гр</t>
  </si>
  <si>
    <t>9390342/</t>
  </si>
  <si>
    <t>9390272/</t>
  </si>
  <si>
    <t>9007203/</t>
  </si>
  <si>
    <t>TBX-A, Держат задн ст, 224 мм, бел, прав</t>
  </si>
  <si>
    <t>4721834/</t>
  </si>
  <si>
    <t>TBX-A, Загл. с логотипом, белая, симметричная</t>
  </si>
  <si>
    <t>6510533/</t>
  </si>
  <si>
    <t>AVS HF, Петля б/пруж, накл д/ДСП 70T5550</t>
  </si>
  <si>
    <t>6796673/</t>
  </si>
  <si>
    <r>
      <t xml:space="preserve">ВЫСОТА  </t>
    </r>
    <r>
      <rPr>
        <b/>
        <i/>
        <sz val="22"/>
        <color indexed="9"/>
        <rFont val="Arial Cyr"/>
        <charset val="204"/>
      </rPr>
      <t xml:space="preserve">N </t>
    </r>
    <r>
      <rPr>
        <b/>
        <i/>
        <sz val="12"/>
        <rFont val="Arial Cyr"/>
        <charset val="204"/>
      </rPr>
      <t>(68)</t>
    </r>
  </si>
  <si>
    <r>
      <t xml:space="preserve">ВЫСОТА  </t>
    </r>
    <r>
      <rPr>
        <b/>
        <i/>
        <sz val="22"/>
        <color indexed="9"/>
        <rFont val="Arial Cyr"/>
        <charset val="204"/>
      </rPr>
      <t xml:space="preserve">М </t>
    </r>
    <r>
      <rPr>
        <b/>
        <i/>
        <sz val="12"/>
        <rFont val="Arial Cyr"/>
        <charset val="204"/>
      </rPr>
      <t>(83)</t>
    </r>
  </si>
  <si>
    <r>
      <t xml:space="preserve">ВЫСОТА  </t>
    </r>
    <r>
      <rPr>
        <b/>
        <i/>
        <sz val="22"/>
        <color indexed="9"/>
        <rFont val="Arial Cyr"/>
        <charset val="204"/>
      </rPr>
      <t xml:space="preserve">В </t>
    </r>
    <r>
      <rPr>
        <b/>
        <i/>
        <sz val="12"/>
        <rFont val="Arial Cyr"/>
        <charset val="204"/>
      </rPr>
      <t>(160)</t>
    </r>
  </si>
  <si>
    <r>
      <t xml:space="preserve">ВЫСОТА  </t>
    </r>
    <r>
      <rPr>
        <b/>
        <i/>
        <sz val="22"/>
        <color indexed="9"/>
        <rFont val="Arial Cyr"/>
        <charset val="204"/>
      </rPr>
      <t xml:space="preserve">D </t>
    </r>
    <r>
      <rPr>
        <b/>
        <i/>
        <sz val="12"/>
        <rFont val="Arial Cyr"/>
        <charset val="204"/>
      </rPr>
      <t>(224)</t>
    </r>
  </si>
  <si>
    <t>400,450,500,550,600</t>
  </si>
  <si>
    <r>
      <t xml:space="preserve">ВЫСОТА  </t>
    </r>
    <r>
      <rPr>
        <b/>
        <i/>
        <sz val="22"/>
        <color indexed="9"/>
        <rFont val="Arial Cyr"/>
        <charset val="204"/>
      </rPr>
      <t>D</t>
    </r>
    <r>
      <rPr>
        <b/>
        <i/>
        <sz val="16"/>
        <rFont val="Arial Cyr"/>
        <charset val="204"/>
      </rPr>
      <t xml:space="preserve"> </t>
    </r>
    <r>
      <rPr>
        <b/>
        <i/>
        <sz val="20"/>
        <color indexed="9"/>
        <rFont val="Arial Cyr"/>
        <charset val="204"/>
      </rPr>
      <t xml:space="preserve">+ Boxside </t>
    </r>
    <r>
      <rPr>
        <b/>
        <i/>
        <sz val="12"/>
        <rFont val="Arial Cyr"/>
        <charset val="204"/>
      </rPr>
      <t>(224)</t>
    </r>
  </si>
  <si>
    <t>K</t>
  </si>
  <si>
    <t>цена</t>
  </si>
  <si>
    <t>кол</t>
  </si>
  <si>
    <r>
      <t xml:space="preserve">ВЫСОТА </t>
    </r>
    <r>
      <rPr>
        <b/>
        <i/>
        <sz val="22"/>
        <color indexed="9"/>
        <rFont val="Arial Cyr"/>
        <charset val="204"/>
      </rPr>
      <t>М</t>
    </r>
    <r>
      <rPr>
        <b/>
        <i/>
        <sz val="16"/>
        <rFont val="Arial Cyr"/>
        <charset val="204"/>
      </rPr>
      <t xml:space="preserve"> </t>
    </r>
    <r>
      <rPr>
        <b/>
        <i/>
        <sz val="14"/>
        <rFont val="Arial Cyr"/>
        <charset val="204"/>
      </rPr>
      <t>внутренний</t>
    </r>
  </si>
  <si>
    <r>
      <t xml:space="preserve">ВЫСОТА </t>
    </r>
    <r>
      <rPr>
        <b/>
        <i/>
        <sz val="22"/>
        <color indexed="9"/>
        <rFont val="Arial Cyr"/>
        <charset val="204"/>
      </rPr>
      <t>B</t>
    </r>
    <r>
      <rPr>
        <b/>
        <i/>
        <sz val="16"/>
        <rFont val="Arial Cyr"/>
        <charset val="204"/>
      </rPr>
      <t xml:space="preserve"> внутренний</t>
    </r>
  </si>
  <si>
    <r>
      <t xml:space="preserve">ВЫСОТА </t>
    </r>
    <r>
      <rPr>
        <b/>
        <i/>
        <sz val="22"/>
        <color indexed="9"/>
        <rFont val="Arial Cyr"/>
        <charset val="204"/>
      </rPr>
      <t>D с Boxside</t>
    </r>
    <r>
      <rPr>
        <b/>
        <i/>
        <sz val="16"/>
        <rFont val="Arial Cyr"/>
        <charset val="204"/>
      </rPr>
      <t xml:space="preserve"> внутренний</t>
    </r>
  </si>
  <si>
    <t>4785050/</t>
  </si>
  <si>
    <t>4786960/</t>
  </si>
  <si>
    <t>4799353/</t>
  </si>
  <si>
    <t>TBX, Держат. задн. ст, 81 мм, нерж, кмп.</t>
  </si>
  <si>
    <t>Крепл. п/пан. вн, 160мм, кмп.!НЕ ЗАКАЗЫВ</t>
  </si>
  <si>
    <t>Крепл. п/пан. вн, 224мм, кмп !НЕ ЗАКАЗЫВ</t>
  </si>
  <si>
    <t>4805937/</t>
  </si>
  <si>
    <t>TD с BM, част.выдв, 30 кг, 550 мм, кмп.</t>
  </si>
  <si>
    <t>Полного выдвижения с доводчиком</t>
  </si>
  <si>
    <t>TD с BM, полн.выдв, 30 кг, 250 мм, кмп.</t>
  </si>
  <si>
    <t>TD с BM, част.выдв, 30 кг, 400 мм, кмп.</t>
  </si>
  <si>
    <t>TD с BM, част.выдв, 30 кг, 450 мм, кмп.</t>
  </si>
  <si>
    <t>TD с BM, част.выдв, 30 кг, 500 мм, кмп.</t>
  </si>
  <si>
    <t>8931762/</t>
  </si>
  <si>
    <t>5902912/</t>
  </si>
  <si>
    <t>6043142/</t>
  </si>
  <si>
    <t>6043572/</t>
  </si>
  <si>
    <t>6043902/</t>
  </si>
  <si>
    <t>6059902/</t>
  </si>
  <si>
    <t>6065542/</t>
  </si>
  <si>
    <t>6065972/</t>
  </si>
  <si>
    <t>6066352/</t>
  </si>
  <si>
    <t>6119813/</t>
  </si>
  <si>
    <t>6119993/</t>
  </si>
  <si>
    <t>6127670/</t>
  </si>
  <si>
    <t>6128130/</t>
  </si>
  <si>
    <t>6844402/</t>
  </si>
  <si>
    <t>6844232/</t>
  </si>
  <si>
    <t>6800703/</t>
  </si>
  <si>
    <t>6800373/</t>
  </si>
  <si>
    <t>под мойку</t>
  </si>
  <si>
    <t>8744654/</t>
  </si>
  <si>
    <t>8744962/</t>
  </si>
  <si>
    <t>8744892/</t>
  </si>
  <si>
    <t>8744964/</t>
  </si>
  <si>
    <t>8744894/</t>
  </si>
  <si>
    <t>Ящик под духовку</t>
  </si>
  <si>
    <t>BLUMOTION для METABOX</t>
  </si>
  <si>
    <t>РЕЛИНГ ПРОДОЛЬНЫЙ</t>
  </si>
  <si>
    <t>3004114/</t>
  </si>
  <si>
    <t>3004204/</t>
  </si>
  <si>
    <t>3004384/</t>
  </si>
  <si>
    <t>3140813/</t>
  </si>
  <si>
    <t>3141113/</t>
  </si>
  <si>
    <t>8549312/</t>
  </si>
  <si>
    <t>8549242/</t>
  </si>
  <si>
    <t>8549622/</t>
  </si>
  <si>
    <t>8549552/</t>
  </si>
  <si>
    <t>8549862/</t>
  </si>
  <si>
    <t>8549792/</t>
  </si>
  <si>
    <t>8550372/</t>
  </si>
  <si>
    <t>8550202/</t>
  </si>
  <si>
    <t>8453730/</t>
  </si>
  <si>
    <t>3258064/</t>
  </si>
  <si>
    <t>3257902/</t>
  </si>
  <si>
    <t>3258062/</t>
  </si>
  <si>
    <t>8784494/</t>
  </si>
  <si>
    <t>боксайд</t>
  </si>
  <si>
    <t>7500183/</t>
  </si>
  <si>
    <t>7499823/</t>
  </si>
  <si>
    <t>4801940/</t>
  </si>
  <si>
    <t>4802080/</t>
  </si>
  <si>
    <t>4802160/</t>
  </si>
  <si>
    <t>4837290/</t>
  </si>
  <si>
    <t>4837293/</t>
  </si>
  <si>
    <t>4839073/</t>
  </si>
  <si>
    <t>4705100/</t>
  </si>
  <si>
    <t>4799190/</t>
  </si>
  <si>
    <t>4412530/</t>
  </si>
  <si>
    <t>MBX, Царга, 118/500мм, 30 кг, крем, прав</t>
  </si>
  <si>
    <t>1220263/</t>
  </si>
  <si>
    <t>1388270/</t>
  </si>
  <si>
    <t>1388350/</t>
  </si>
  <si>
    <t>8748850/</t>
  </si>
  <si>
    <t>8749080/</t>
  </si>
  <si>
    <t>8755470/</t>
  </si>
  <si>
    <t>9068380/</t>
  </si>
  <si>
    <t>MBX, Царга, 150/400мм, 30 кг, крем, лев.</t>
  </si>
  <si>
    <t>MBX, Царга, 86/270мм, 30 кг, крем, прав.</t>
  </si>
  <si>
    <t>3187002/</t>
  </si>
  <si>
    <t>3187370/</t>
  </si>
  <si>
    <t>3187000/</t>
  </si>
  <si>
    <t>Курс €</t>
  </si>
  <si>
    <t>270,300,350,400,450,500,550,600</t>
  </si>
  <si>
    <t>Колличество тумб:</t>
  </si>
  <si>
    <r>
      <t xml:space="preserve">TBX </t>
    </r>
    <r>
      <rPr>
        <b/>
        <i/>
        <sz val="20"/>
        <color indexed="9"/>
        <rFont val="Arial"/>
        <family val="2"/>
        <charset val="204"/>
      </rPr>
      <t>SERVO-DRIVE</t>
    </r>
  </si>
  <si>
    <t>9791575/</t>
  </si>
  <si>
    <t>7832190/</t>
  </si>
  <si>
    <t>7831970/</t>
  </si>
  <si>
    <t>8617002/</t>
  </si>
  <si>
    <t>8617172/</t>
  </si>
  <si>
    <t>ЯЩИК ПОД МОЙКУ TANDEMBOX plus BLUMOTION высота M</t>
  </si>
  <si>
    <t>1334692/</t>
  </si>
  <si>
    <t>1336643/</t>
  </si>
  <si>
    <t>1344310/</t>
  </si>
  <si>
    <t>1348733/</t>
  </si>
  <si>
    <t>1349203/</t>
  </si>
  <si>
    <t>1350040/</t>
  </si>
  <si>
    <t>1350100/</t>
  </si>
  <si>
    <t>1401982/</t>
  </si>
  <si>
    <t>1402012/</t>
  </si>
  <si>
    <t>9049950/</t>
  </si>
  <si>
    <t>9177803/</t>
  </si>
  <si>
    <t>9177805/</t>
  </si>
  <si>
    <t>7976183/</t>
  </si>
  <si>
    <t>8987822/</t>
  </si>
  <si>
    <t>1.1</t>
  </si>
  <si>
    <t>1.2</t>
  </si>
  <si>
    <t>3.1</t>
  </si>
  <si>
    <t>3.2</t>
  </si>
  <si>
    <t>3.3</t>
  </si>
  <si>
    <t>3.4</t>
  </si>
  <si>
    <t>3.5</t>
  </si>
  <si>
    <t>3.6</t>
  </si>
  <si>
    <t>3.7</t>
  </si>
  <si>
    <t>5.1</t>
  </si>
  <si>
    <t>5.2</t>
  </si>
  <si>
    <t>7</t>
  </si>
  <si>
    <t>8</t>
  </si>
  <si>
    <t>3.8</t>
  </si>
  <si>
    <t>4.1</t>
  </si>
  <si>
    <t>4.2</t>
  </si>
  <si>
    <t>6</t>
  </si>
  <si>
    <t>Заглушки</t>
  </si>
  <si>
    <r>
      <t xml:space="preserve">TBX </t>
    </r>
    <r>
      <rPr>
        <b/>
        <i/>
        <sz val="20"/>
        <color theme="0"/>
        <rFont val="Arial Cyr"/>
        <charset val="204"/>
      </rPr>
      <t>TIP-ON</t>
    </r>
    <r>
      <rPr>
        <b/>
        <i/>
        <sz val="18"/>
        <rFont val="Arial Cyr"/>
        <charset val="204"/>
      </rPr>
      <t xml:space="preserve"> высота </t>
    </r>
    <r>
      <rPr>
        <b/>
        <i/>
        <sz val="20"/>
        <color theme="0"/>
        <rFont val="Arial Cyr"/>
        <charset val="204"/>
      </rPr>
      <t>B</t>
    </r>
  </si>
  <si>
    <r>
      <t xml:space="preserve">TBX </t>
    </r>
    <r>
      <rPr>
        <b/>
        <i/>
        <sz val="20"/>
        <color theme="0"/>
        <rFont val="Arial Cyr"/>
        <charset val="204"/>
      </rPr>
      <t>TIP-ON</t>
    </r>
    <r>
      <rPr>
        <b/>
        <i/>
        <sz val="18"/>
        <rFont val="Arial Cyr"/>
        <charset val="204"/>
      </rPr>
      <t xml:space="preserve"> высота </t>
    </r>
    <r>
      <rPr>
        <b/>
        <i/>
        <sz val="20"/>
        <color theme="0"/>
        <rFont val="Arial Cyr"/>
        <charset val="204"/>
      </rPr>
      <t>D</t>
    </r>
  </si>
  <si>
    <r>
      <t xml:space="preserve">TBX </t>
    </r>
    <r>
      <rPr>
        <b/>
        <i/>
        <sz val="20"/>
        <color theme="0"/>
        <rFont val="Arial Cyr"/>
        <charset val="204"/>
      </rPr>
      <t>TIP-ON</t>
    </r>
    <r>
      <rPr>
        <b/>
        <i/>
        <sz val="20"/>
        <rFont val="Arial Cyr"/>
        <charset val="204"/>
      </rPr>
      <t>*</t>
    </r>
    <r>
      <rPr>
        <b/>
        <i/>
        <sz val="20"/>
        <color theme="0"/>
        <rFont val="Arial Cyr"/>
        <charset val="204"/>
      </rPr>
      <t xml:space="preserve"> </t>
    </r>
    <r>
      <rPr>
        <b/>
        <i/>
        <sz val="18"/>
        <rFont val="Arial Cyr"/>
        <charset val="204"/>
      </rPr>
      <t xml:space="preserve">высота </t>
    </r>
    <r>
      <rPr>
        <b/>
        <i/>
        <sz val="20"/>
        <color indexed="9"/>
        <rFont val="Arial Cyr"/>
        <charset val="204"/>
      </rPr>
      <t>М</t>
    </r>
  </si>
  <si>
    <t>ClipTOP BM / ClipTOP</t>
  </si>
  <si>
    <t>ПЕТЛИ:</t>
  </si>
  <si>
    <t>Тип Tandembox</t>
  </si>
  <si>
    <t>ANTARO</t>
  </si>
  <si>
    <t>INTIVO</t>
  </si>
  <si>
    <t>plus</t>
  </si>
  <si>
    <t>пр. приема</t>
  </si>
  <si>
    <r>
      <rPr>
        <b/>
        <i/>
        <sz val="16"/>
        <color theme="0"/>
        <rFont val="Arial Cyr"/>
        <charset val="204"/>
      </rPr>
      <t>РАЗДЕЛИТЕЛИ</t>
    </r>
    <r>
      <rPr>
        <b/>
        <i/>
        <sz val="16"/>
        <rFont val="Arial Cyr"/>
        <charset val="204"/>
      </rPr>
      <t xml:space="preserve"> для </t>
    </r>
    <r>
      <rPr>
        <b/>
        <i/>
        <sz val="16"/>
        <color theme="0"/>
        <rFont val="Arial Cyr"/>
        <charset val="204"/>
      </rPr>
      <t>TANDEMBOX</t>
    </r>
    <r>
      <rPr>
        <b/>
        <i/>
        <sz val="16"/>
        <rFont val="Arial Cyr"/>
        <charset val="204"/>
      </rPr>
      <t xml:space="preserve"> высоты </t>
    </r>
    <r>
      <rPr>
        <b/>
        <i/>
        <sz val="16"/>
        <color theme="0"/>
        <rFont val="Arial Cyr"/>
        <charset val="204"/>
      </rPr>
      <t>D</t>
    </r>
  </si>
  <si>
    <t>int</t>
  </si>
  <si>
    <t xml:space="preserve"> </t>
  </si>
  <si>
    <t>сер</t>
  </si>
  <si>
    <t>КОВРИКИ для ящиков AGOFORM</t>
  </si>
  <si>
    <t>450,500,</t>
  </si>
  <si>
    <t>3.9</t>
  </si>
  <si>
    <t>plus внутренний</t>
  </si>
  <si>
    <t>plus под мойку</t>
  </si>
  <si>
    <t>plus TiP-ON</t>
  </si>
  <si>
    <t>Servo-Drive</t>
  </si>
  <si>
    <t>Ящик под мойку</t>
  </si>
  <si>
    <t>1121670/</t>
  </si>
  <si>
    <t>LBX, Направл. с TIP-ON, 40 кг, 500 мм, л</t>
  </si>
  <si>
    <t>1468398/</t>
  </si>
  <si>
    <t>1480248/</t>
  </si>
  <si>
    <t>LBX, Держат. задн. ст, 253 мм, сер, прав</t>
  </si>
  <si>
    <t>1747377/</t>
  </si>
  <si>
    <t>1952693/</t>
  </si>
  <si>
    <t>2260649/</t>
  </si>
  <si>
    <t>LBX, Держат. задн. ст, 189 мм, сер, лев.</t>
  </si>
  <si>
    <t>2426165/</t>
  </si>
  <si>
    <t>2445577/</t>
  </si>
  <si>
    <t>2457961/</t>
  </si>
  <si>
    <t>LBX, Держат задн. ст, 189 мм, черн, прав</t>
  </si>
  <si>
    <t>2511810/</t>
  </si>
  <si>
    <t>2533671/</t>
  </si>
  <si>
    <t>2550380/</t>
  </si>
  <si>
    <t>2578980/</t>
  </si>
  <si>
    <t>2739732/</t>
  </si>
  <si>
    <t>2747154/</t>
  </si>
  <si>
    <t>LBX, Держат. задн. ст, 253 мм, сер, лев.</t>
  </si>
  <si>
    <t>3047850/</t>
  </si>
  <si>
    <t>3168711/</t>
  </si>
  <si>
    <t>LBX, Держат. задн. ст, 102 мм, сер, прав</t>
  </si>
  <si>
    <t>3217302/</t>
  </si>
  <si>
    <t>3326679/</t>
  </si>
  <si>
    <t>LBX, Держат. задн. ст, 189 мм, бел, лев.</t>
  </si>
  <si>
    <t>3359148/</t>
  </si>
  <si>
    <t>3625258/</t>
  </si>
  <si>
    <t>3658072/</t>
  </si>
  <si>
    <t>3854456/</t>
  </si>
  <si>
    <t>3944932/</t>
  </si>
  <si>
    <t>4387968/</t>
  </si>
  <si>
    <t>4636666/</t>
  </si>
  <si>
    <t>4682008/</t>
  </si>
  <si>
    <t>4735001/</t>
  </si>
  <si>
    <t>4737284/</t>
  </si>
  <si>
    <t>4738450/</t>
  </si>
  <si>
    <t>LBX, Держат. задн. ст, 102 мм, бел, лев.</t>
  </si>
  <si>
    <t>4903108/</t>
  </si>
  <si>
    <t>LBX, Держат. задн. ст, 189 мм, бел, прав</t>
  </si>
  <si>
    <t>4922514/</t>
  </si>
  <si>
    <t>4939331/</t>
  </si>
  <si>
    <t>5060227/</t>
  </si>
  <si>
    <t>LBX, Держат. задн. ст, 253 мм, бел, лев.</t>
  </si>
  <si>
    <t>5077340/</t>
  </si>
  <si>
    <t>5083986/</t>
  </si>
  <si>
    <t>LBX, Держат. задн. ст, 253 мм, бел, прав</t>
  </si>
  <si>
    <t>5330587/</t>
  </si>
  <si>
    <t>5368274/</t>
  </si>
  <si>
    <t>5417931/</t>
  </si>
  <si>
    <t>5430289/</t>
  </si>
  <si>
    <t>5506281/</t>
  </si>
  <si>
    <t>5806987/</t>
  </si>
  <si>
    <t>5858418/</t>
  </si>
  <si>
    <t>5866447/</t>
  </si>
  <si>
    <t>5959595/</t>
  </si>
  <si>
    <t>6100159/</t>
  </si>
  <si>
    <t>6149155/</t>
  </si>
  <si>
    <t>6421490/</t>
  </si>
  <si>
    <t>6533528/</t>
  </si>
  <si>
    <t>6997079/</t>
  </si>
  <si>
    <t>7053143/</t>
  </si>
  <si>
    <t>7054881/</t>
  </si>
  <si>
    <t>7747352/</t>
  </si>
  <si>
    <t>7963265/</t>
  </si>
  <si>
    <t>8148550/</t>
  </si>
  <si>
    <t>LBX, Держат. задн. ст, 189 мм, сер, прав</t>
  </si>
  <si>
    <t>8190871/</t>
  </si>
  <si>
    <t>8248549/</t>
  </si>
  <si>
    <t>8322157/</t>
  </si>
  <si>
    <t>8534062/</t>
  </si>
  <si>
    <t>8627853/</t>
  </si>
  <si>
    <t>LBX, Держат задн. ст, 102 мм, черн, прав</t>
  </si>
  <si>
    <t>8650259/</t>
  </si>
  <si>
    <t>LBX, Держат. задн. ст, 102 мм, сер, лев.</t>
  </si>
  <si>
    <t>9207744/</t>
  </si>
  <si>
    <t>9497175/</t>
  </si>
  <si>
    <t>9653821/</t>
  </si>
  <si>
    <t>9747958/</t>
  </si>
  <si>
    <t>9780599/</t>
  </si>
  <si>
    <t>LBX, Держат. задн. ст, 102 мм, бел, прав</t>
  </si>
  <si>
    <t>9972690/</t>
  </si>
  <si>
    <t>LBX, Направл. с TIP-ON, 40 кг, 500 мм, п</t>
  </si>
  <si>
    <t>LEGRABOX</t>
  </si>
  <si>
    <r>
      <t xml:space="preserve">ВЫСОТА </t>
    </r>
    <r>
      <rPr>
        <b/>
        <i/>
        <sz val="22"/>
        <color indexed="9"/>
        <rFont val="Arial Cyr"/>
        <charset val="204"/>
      </rPr>
      <t xml:space="preserve">N </t>
    </r>
    <r>
      <rPr>
        <b/>
        <i/>
        <sz val="12"/>
        <rFont val="Arial Cyr"/>
        <charset val="204"/>
      </rPr>
      <t>66,5мм</t>
    </r>
  </si>
  <si>
    <r>
      <t xml:space="preserve">ВЫСОТА </t>
    </r>
    <r>
      <rPr>
        <b/>
        <i/>
        <sz val="22"/>
        <color indexed="9"/>
        <rFont val="Arial Cyr"/>
        <charset val="204"/>
      </rPr>
      <t xml:space="preserve">M </t>
    </r>
    <r>
      <rPr>
        <b/>
        <i/>
        <sz val="12"/>
        <rFont val="Arial Cyr"/>
        <charset val="204"/>
      </rPr>
      <t>90,5мм</t>
    </r>
  </si>
  <si>
    <r>
      <t xml:space="preserve">ВЫСОТА </t>
    </r>
    <r>
      <rPr>
        <b/>
        <i/>
        <sz val="22"/>
        <color indexed="9"/>
        <rFont val="Arial Cyr"/>
        <charset val="204"/>
      </rPr>
      <t xml:space="preserve">С </t>
    </r>
    <r>
      <rPr>
        <b/>
        <i/>
        <sz val="12"/>
        <rFont val="Arial Cyr"/>
        <charset val="204"/>
      </rPr>
      <t>177мм</t>
    </r>
  </si>
  <si>
    <r>
      <t xml:space="preserve">ВЫСОТА </t>
    </r>
    <r>
      <rPr>
        <b/>
        <i/>
        <sz val="22"/>
        <color indexed="9"/>
        <rFont val="Arial Cyr"/>
        <charset val="204"/>
      </rPr>
      <t xml:space="preserve">K </t>
    </r>
    <r>
      <rPr>
        <b/>
        <i/>
        <sz val="12"/>
        <rFont val="Arial Cyr"/>
        <charset val="204"/>
      </rPr>
      <t>128,5мм</t>
    </r>
  </si>
  <si>
    <t>С</t>
  </si>
  <si>
    <r>
      <t xml:space="preserve">ВЫСОТА </t>
    </r>
    <r>
      <rPr>
        <b/>
        <i/>
        <sz val="22"/>
        <color indexed="9"/>
        <rFont val="Arial Cyr"/>
        <charset val="204"/>
      </rPr>
      <t xml:space="preserve">F </t>
    </r>
    <r>
      <rPr>
        <b/>
        <i/>
        <sz val="12"/>
        <rFont val="Arial Cyr"/>
        <charset val="204"/>
      </rPr>
      <t>241мм</t>
    </r>
  </si>
  <si>
    <t>Серый</t>
  </si>
  <si>
    <t>AMBIA-LINE</t>
  </si>
  <si>
    <t>1471609/</t>
  </si>
  <si>
    <t>2442866/</t>
  </si>
  <si>
    <t>2539975/</t>
  </si>
  <si>
    <t>2935182/</t>
  </si>
  <si>
    <t>2999842/</t>
  </si>
  <si>
    <t>3099389/</t>
  </si>
  <si>
    <t>3121421/</t>
  </si>
  <si>
    <t>3261220/</t>
  </si>
  <si>
    <t>3350893/</t>
  </si>
  <si>
    <t>3474945/</t>
  </si>
  <si>
    <t>3718725/</t>
  </si>
  <si>
    <t>4129500/</t>
  </si>
  <si>
    <t>4178362/</t>
  </si>
  <si>
    <t>4657978/</t>
  </si>
  <si>
    <t>4682185/</t>
  </si>
  <si>
    <t>5706475/</t>
  </si>
  <si>
    <t>6795287/</t>
  </si>
  <si>
    <t>7180974/</t>
  </si>
  <si>
    <t>7944577/</t>
  </si>
  <si>
    <t>8061394/</t>
  </si>
  <si>
    <t>8179914/</t>
  </si>
  <si>
    <t>LBX, Держат. задн. ст, 78 мм, черн, прав</t>
  </si>
  <si>
    <t>8312711/</t>
  </si>
  <si>
    <t>8466179/</t>
  </si>
  <si>
    <t>9149803/</t>
  </si>
  <si>
    <t>9223539/</t>
  </si>
  <si>
    <t>9690160/</t>
  </si>
  <si>
    <t>9695776/</t>
  </si>
  <si>
    <t>9964164/</t>
  </si>
  <si>
    <t>9990024/</t>
  </si>
  <si>
    <t>Белый</t>
  </si>
  <si>
    <t>Черный</t>
  </si>
  <si>
    <t xml:space="preserve"> д/з/ст. л</t>
  </si>
  <si>
    <t xml:space="preserve"> д/з/ст. п</t>
  </si>
  <si>
    <t>вн. заг</t>
  </si>
  <si>
    <t>нар. заг</t>
  </si>
  <si>
    <t>ЦВЕТ:</t>
  </si>
  <si>
    <t>ORION матово-серый</t>
  </si>
  <si>
    <t>ТЕРРА ЧЕРНЫЙ - матовый</t>
  </si>
  <si>
    <t>БЕЛЫЙ ШЕЛК - матовый</t>
  </si>
  <si>
    <t>500,350,</t>
  </si>
  <si>
    <t>9.1</t>
  </si>
  <si>
    <t>9.2</t>
  </si>
  <si>
    <t>выбираем</t>
  </si>
  <si>
    <t>ANTARO под мойку</t>
  </si>
  <si>
    <t xml:space="preserve">   LEGRABOX</t>
  </si>
  <si>
    <t>1135009/</t>
  </si>
  <si>
    <t>1332165/</t>
  </si>
  <si>
    <t>1392076/</t>
  </si>
  <si>
    <t>1400750/</t>
  </si>
  <si>
    <t>1520200/</t>
  </si>
  <si>
    <t>1894146/</t>
  </si>
  <si>
    <t>1918643/</t>
  </si>
  <si>
    <t>2001978/</t>
  </si>
  <si>
    <t>2002706/</t>
  </si>
  <si>
    <t>ORG, Держ поп релинга,дв,кремZRU.00Z0.01</t>
  </si>
  <si>
    <t>2118604/</t>
  </si>
  <si>
    <t>2118784/</t>
  </si>
  <si>
    <t>TBX-A, Держат задн ст, 68 мм, черн, прав</t>
  </si>
  <si>
    <t>2139786/</t>
  </si>
  <si>
    <t>2139866/</t>
  </si>
  <si>
    <t>2195450/</t>
  </si>
  <si>
    <t>2213406/</t>
  </si>
  <si>
    <t>2213696/</t>
  </si>
  <si>
    <t>2246276/</t>
  </si>
  <si>
    <t>2258290/</t>
  </si>
  <si>
    <t>2284103/</t>
  </si>
  <si>
    <t>2284283/</t>
  </si>
  <si>
    <t>2311946/</t>
  </si>
  <si>
    <t>2312086/</t>
  </si>
  <si>
    <t>2349240/</t>
  </si>
  <si>
    <t>2349300/</t>
  </si>
  <si>
    <t>2375246/</t>
  </si>
  <si>
    <t>2382174/</t>
  </si>
  <si>
    <t>MPL MODUL, экспандо 0 мм, 194K6100E, V50</t>
  </si>
  <si>
    <t>2709332/</t>
  </si>
  <si>
    <t>2921190/</t>
  </si>
  <si>
    <t>2962723/</t>
  </si>
  <si>
    <t>3069959/</t>
  </si>
  <si>
    <t>3104690/</t>
  </si>
  <si>
    <t>3134316/</t>
  </si>
  <si>
    <t>3149094/</t>
  </si>
  <si>
    <t>3302572/</t>
  </si>
  <si>
    <t>TBX-A, Задн. ст 224/450, бел, Z30D385S.6</t>
  </si>
  <si>
    <t>3302654/</t>
  </si>
  <si>
    <t>TBX-A, Задняя стенка, 224/600 ст, т.черн</t>
  </si>
  <si>
    <t>3427726/</t>
  </si>
  <si>
    <t>3486858/</t>
  </si>
  <si>
    <t>3493503/</t>
  </si>
  <si>
    <t>3585117/</t>
  </si>
  <si>
    <t>3670050/</t>
  </si>
  <si>
    <t>MDL, Петля накл д/проф дв, 95 гр,91M9550</t>
  </si>
  <si>
    <t>3763200/</t>
  </si>
  <si>
    <t>3763600/</t>
  </si>
  <si>
    <t>3865600/</t>
  </si>
  <si>
    <t>3961716/</t>
  </si>
  <si>
    <t>TBX-AA, Держат поп разд, черн, Z40D0002Z</t>
  </si>
  <si>
    <t>4170186/</t>
  </si>
  <si>
    <t>4245007/</t>
  </si>
  <si>
    <t>4293657/</t>
  </si>
  <si>
    <t>4318780/</t>
  </si>
  <si>
    <t>4323430/</t>
  </si>
  <si>
    <t>4394675/</t>
  </si>
  <si>
    <t>4412881/</t>
  </si>
  <si>
    <t>4493270/</t>
  </si>
  <si>
    <t>4497947/</t>
  </si>
  <si>
    <t>4542306/</t>
  </si>
  <si>
    <t>4595319/</t>
  </si>
  <si>
    <t>4717149/</t>
  </si>
  <si>
    <t>MDL, ПЕТЛЯ ДВ ХОЛОД П/ШУРУП,95гр,91K9550</t>
  </si>
  <si>
    <t>4753918/</t>
  </si>
  <si>
    <t>TBX-AA, Держат поп разд, черн, Z40C0002Z</t>
  </si>
  <si>
    <t>4784086/</t>
  </si>
  <si>
    <t>TBX, Царги 68/500 мм, бел, кмп 358N5002S</t>
  </si>
  <si>
    <t>4785566/</t>
  </si>
  <si>
    <t>4787000/</t>
  </si>
  <si>
    <t>4787850/</t>
  </si>
  <si>
    <t>4799276/</t>
  </si>
  <si>
    <t>Крепл. п/пан. вн, 96мм, кмп. !ТОЛЬКО BRU</t>
  </si>
  <si>
    <t>4805174/</t>
  </si>
  <si>
    <t>5010600/</t>
  </si>
  <si>
    <t>5081757/</t>
  </si>
  <si>
    <t>5700456/</t>
  </si>
  <si>
    <t>5716290/</t>
  </si>
  <si>
    <t>5726900/</t>
  </si>
  <si>
    <t>5729780/</t>
  </si>
  <si>
    <t>5738648/</t>
  </si>
  <si>
    <t>5820744/</t>
  </si>
  <si>
    <t>MDL, Петля дв холод п/самор,95гр,91K9550</t>
  </si>
  <si>
    <t>6081951/</t>
  </si>
  <si>
    <t>6245790/</t>
  </si>
  <si>
    <t>6278039/</t>
  </si>
  <si>
    <t>6321792/</t>
  </si>
  <si>
    <t>6322031/</t>
  </si>
  <si>
    <t>6361602/</t>
  </si>
  <si>
    <t>6361782/</t>
  </si>
  <si>
    <t>6379696/</t>
  </si>
  <si>
    <t>6445880/</t>
  </si>
  <si>
    <t>6523848/</t>
  </si>
  <si>
    <t>6578172/</t>
  </si>
  <si>
    <t>6608218/</t>
  </si>
  <si>
    <t>6747540/</t>
  </si>
  <si>
    <t>6855263/</t>
  </si>
  <si>
    <t>6886598/</t>
  </si>
  <si>
    <t>6898225/</t>
  </si>
  <si>
    <t>6990480/</t>
  </si>
  <si>
    <t>6990700/</t>
  </si>
  <si>
    <t>TBX-A, Загл медн к черн без логоZAA.532C</t>
  </si>
  <si>
    <t>7375058/</t>
  </si>
  <si>
    <t>MDL, Петля дв холод п/прес,95 гр,91K9550</t>
  </si>
  <si>
    <t>7406682/</t>
  </si>
  <si>
    <t>7406762/</t>
  </si>
  <si>
    <t>7502048/</t>
  </si>
  <si>
    <t>7540872/</t>
  </si>
  <si>
    <t>MDL, Петля дв холод п/прес,94 гр,7396950</t>
  </si>
  <si>
    <t>7632334/</t>
  </si>
  <si>
    <t>ORG, Разделит. д/бутылок, крем, ZRU.00F0</t>
  </si>
  <si>
    <t>7649432/</t>
  </si>
  <si>
    <t>7673372/</t>
  </si>
  <si>
    <t>7673454/</t>
  </si>
  <si>
    <t>TBX-A, Задняя стенка, 96/600, ст, т.черн</t>
  </si>
  <si>
    <t>7673534/</t>
  </si>
  <si>
    <t>TBX-A, Задняя стенка, 96/900, ст, т.черн</t>
  </si>
  <si>
    <t>7794799/</t>
  </si>
  <si>
    <t>7830344/</t>
  </si>
  <si>
    <t>7842844/</t>
  </si>
  <si>
    <t>7940082/</t>
  </si>
  <si>
    <t>7952586/</t>
  </si>
  <si>
    <t>TBX-A, РАЗДЕЛ ПОП 800 ММ, ЧЕРН  Z40L677S</t>
  </si>
  <si>
    <t>8039840/</t>
  </si>
  <si>
    <t>TBX-A, Загл с лого, бел, сим,ZAA.532C.BL</t>
  </si>
  <si>
    <t>TBX-A, Загл медн к черн слогоZAA.532C.BL</t>
  </si>
  <si>
    <t>8113610/</t>
  </si>
  <si>
    <t>TBX-AA, ORG, Разд поп сер п/расZ40L1077A</t>
  </si>
  <si>
    <t>8155294/</t>
  </si>
  <si>
    <t>8155364/</t>
  </si>
  <si>
    <t>8207832/</t>
  </si>
  <si>
    <t>TBX-A, Профиль приема д/ORG, 350 мм, бел</t>
  </si>
  <si>
    <t>8332254/</t>
  </si>
  <si>
    <t>8342221/</t>
  </si>
  <si>
    <t>8387950/</t>
  </si>
  <si>
    <t>8408859/</t>
  </si>
  <si>
    <t>8442772/</t>
  </si>
  <si>
    <t>8442774/</t>
  </si>
  <si>
    <t>8442912/</t>
  </si>
  <si>
    <t>8443072/</t>
  </si>
  <si>
    <t>8443074/</t>
  </si>
  <si>
    <t>8443452/</t>
  </si>
  <si>
    <t>8451990/</t>
  </si>
  <si>
    <t>TBX-A, Релинг д/пер. панели, 1046мм, бел</t>
  </si>
  <si>
    <t>TBX-A, Релинг д/пер. панели, 1046мм, чер</t>
  </si>
  <si>
    <t>8478034/</t>
  </si>
  <si>
    <t>8479262/</t>
  </si>
  <si>
    <t>8479402/</t>
  </si>
  <si>
    <t>8479404/</t>
  </si>
  <si>
    <t>8521592/</t>
  </si>
  <si>
    <t>8521732/</t>
  </si>
  <si>
    <t>8521802/</t>
  </si>
  <si>
    <t>8522272/</t>
  </si>
  <si>
    <t>8524202/</t>
  </si>
  <si>
    <t>8534080/</t>
  </si>
  <si>
    <t>TBX, Tip-on, Синхрон-р + штанги д/600 мм</t>
  </si>
  <si>
    <t>8542140/</t>
  </si>
  <si>
    <t>TBX, Tip-on, Синхрон-р + штанги д/900 мм</t>
  </si>
  <si>
    <t>8542380/</t>
  </si>
  <si>
    <t>TBX, Tip-on, Синхрон-р + штанги д/950 мм</t>
  </si>
  <si>
    <t>8542690/</t>
  </si>
  <si>
    <t>8555940/</t>
  </si>
  <si>
    <t>8566763/</t>
  </si>
  <si>
    <t>8611684/</t>
  </si>
  <si>
    <t>TBX-A, Ручка б/пов. д/вн ящ чер ZIF.80M5</t>
  </si>
  <si>
    <t>8680062/</t>
  </si>
  <si>
    <t>8680064/</t>
  </si>
  <si>
    <t>8680132/</t>
  </si>
  <si>
    <t>8680134/</t>
  </si>
  <si>
    <t>8693820/</t>
  </si>
  <si>
    <t>8724092/</t>
  </si>
  <si>
    <t>TBX-AA, Релинг средн д/вн, 500мм, бел ле</t>
  </si>
  <si>
    <t>8724094/</t>
  </si>
  <si>
    <t>8724162/</t>
  </si>
  <si>
    <t>TBX-AA, Релинг средн д/вн, 500мм, бел пр</t>
  </si>
  <si>
    <t>8724164/</t>
  </si>
  <si>
    <t>8750734/</t>
  </si>
  <si>
    <t>8750804/</t>
  </si>
  <si>
    <t>8751720/</t>
  </si>
  <si>
    <t>TBX-AA, Держат поп разд, бел, C(5081757)</t>
  </si>
  <si>
    <t>TBX-AA, Держат поп разд черн C (4753918)</t>
  </si>
  <si>
    <t>TBX-AA, Держат поп разд, бел D (5738648)</t>
  </si>
  <si>
    <t>TBX-AA, Держат поп разд черн D (3961716)</t>
  </si>
  <si>
    <t>8784636/</t>
  </si>
  <si>
    <t>8786162/</t>
  </si>
  <si>
    <t>8786232/</t>
  </si>
  <si>
    <t>8830585/</t>
  </si>
  <si>
    <t>8886957/</t>
  </si>
  <si>
    <t>8929020/</t>
  </si>
  <si>
    <t>9063194/</t>
  </si>
  <si>
    <t>9063262/</t>
  </si>
  <si>
    <t>TBX-A, Креп п/п с рел бел кмпZIF.82D0.01</t>
  </si>
  <si>
    <t>9116345/</t>
  </si>
  <si>
    <t>9152810/</t>
  </si>
  <si>
    <t>9152980/</t>
  </si>
  <si>
    <t>9241686/</t>
  </si>
  <si>
    <t>9278001/</t>
  </si>
  <si>
    <t>9410682/</t>
  </si>
  <si>
    <t>TBX-AA, Прод разд д/поп рел бел ZRU.11F0</t>
  </si>
  <si>
    <t>9410752/</t>
  </si>
  <si>
    <t>9465463/</t>
  </si>
  <si>
    <t>9613823/</t>
  </si>
  <si>
    <t>9752782/</t>
  </si>
  <si>
    <t>9752784/</t>
  </si>
  <si>
    <t>TBX-AA, Поп. рел п/раскр, черн ZRG.1104Q</t>
  </si>
  <si>
    <t>1037431/</t>
  </si>
  <si>
    <t>AVS HF-HKS, Прям планка п/шуруп 175H3100</t>
  </si>
  <si>
    <t>1064729/</t>
  </si>
  <si>
    <t>1682518/</t>
  </si>
  <si>
    <t>2034079/</t>
  </si>
  <si>
    <t>3120329/</t>
  </si>
  <si>
    <t>3626183/</t>
  </si>
  <si>
    <t>AVS HS, Стабилизатор, 1061 мм. 20Q1061UN</t>
  </si>
  <si>
    <t>4391429/</t>
  </si>
  <si>
    <t>AVS HL Стабилизатор, заглушка 20Q0003A01</t>
  </si>
  <si>
    <t>4767297/</t>
  </si>
  <si>
    <t>5537484/</t>
  </si>
  <si>
    <t>5989274/</t>
  </si>
  <si>
    <t>7360602/</t>
  </si>
  <si>
    <t>7486403/</t>
  </si>
  <si>
    <t>AVS HS, Креп фас д/алю рам, сим 20S4201A</t>
  </si>
  <si>
    <t>7588308/</t>
  </si>
  <si>
    <t>7640954/</t>
  </si>
  <si>
    <t>7924571/</t>
  </si>
  <si>
    <t>8262749/</t>
  </si>
  <si>
    <t>AVS HK-S, Cиловой мех-м 20K2C01(1064729)</t>
  </si>
  <si>
    <t>AVS HK-S, Cиловой мех-м 20K2E01(7924571)</t>
  </si>
  <si>
    <t>AVS HS, Рычаг прав. 20S3501.05 (5537484)</t>
  </si>
  <si>
    <t>9184068/</t>
  </si>
  <si>
    <t>AVS HF, Телеск рыч 760-1040мм 20F3901.01</t>
  </si>
  <si>
    <t>9548980/</t>
  </si>
  <si>
    <t>AVS HF-HКS, Прям планка с евров 175H4100</t>
  </si>
  <si>
    <t>00023870/</t>
  </si>
  <si>
    <t>1010789/</t>
  </si>
  <si>
    <t>1012963/</t>
  </si>
  <si>
    <t>1145686/</t>
  </si>
  <si>
    <t>1220694/</t>
  </si>
  <si>
    <t>ZBH, Центр разметочн упор к Pro-MZR.1200</t>
  </si>
  <si>
    <t>1635399/</t>
  </si>
  <si>
    <t>BM, Амортизат. прозрач. 8х1,5мм, 993.710</t>
  </si>
  <si>
    <t>1809647/</t>
  </si>
  <si>
    <t>1862072/</t>
  </si>
  <si>
    <t>1863003/</t>
  </si>
  <si>
    <t>MPL CLIP, крест Экспандо174E6100.01DUEPL</t>
  </si>
  <si>
    <t>1885811/</t>
  </si>
  <si>
    <t>1886201/</t>
  </si>
  <si>
    <t>ZBH, Установочный винт GEW-ST M8X5DIN913</t>
  </si>
  <si>
    <t>2090937/</t>
  </si>
  <si>
    <t>2094236/</t>
  </si>
  <si>
    <t>2237197/</t>
  </si>
  <si>
    <t>2364103/</t>
  </si>
  <si>
    <t>MPL CLIP, крест 3мм, п/с с эксц 173H7130</t>
  </si>
  <si>
    <t>2451281/</t>
  </si>
  <si>
    <t>2455964/</t>
  </si>
  <si>
    <t>2475957/</t>
  </si>
  <si>
    <t>2502001/</t>
  </si>
  <si>
    <t>Клин под-ка +5 гр, подъем 0.8мм,171A5010</t>
  </si>
  <si>
    <t>2752635/</t>
  </si>
  <si>
    <t>Корпусн стяжка (гнездо) розбеж42.0110.01</t>
  </si>
  <si>
    <t>2915011/</t>
  </si>
  <si>
    <t>2962539/</t>
  </si>
  <si>
    <t>3076117/</t>
  </si>
  <si>
    <t>3094361/</t>
  </si>
  <si>
    <t>3196943/</t>
  </si>
  <si>
    <t>BM, Держатель прямой,никел,б/в, 970.5201</t>
  </si>
  <si>
    <t>BM, Амортизат. врезной,8х12,5мм, 993.706</t>
  </si>
  <si>
    <t>3283333/</t>
  </si>
  <si>
    <t>CLIP top, Петля накл, 107гр п/пр 75T1580</t>
  </si>
  <si>
    <t>3460453/</t>
  </si>
  <si>
    <t>3508856/</t>
  </si>
  <si>
    <t>3779030/</t>
  </si>
  <si>
    <t>3834153/</t>
  </si>
  <si>
    <t>3839598/</t>
  </si>
  <si>
    <t>3860583/</t>
  </si>
  <si>
    <t>3898962/</t>
  </si>
  <si>
    <t>3920743/</t>
  </si>
  <si>
    <t>3920803/</t>
  </si>
  <si>
    <t>3965251/</t>
  </si>
  <si>
    <t>4004394/</t>
  </si>
  <si>
    <t>4101102/</t>
  </si>
  <si>
    <t>4132122/</t>
  </si>
  <si>
    <t>4161861/</t>
  </si>
  <si>
    <t>4176966/</t>
  </si>
  <si>
    <t>4306100/</t>
  </si>
  <si>
    <t>44007704/</t>
  </si>
  <si>
    <t>4548353/</t>
  </si>
  <si>
    <t>4682839/</t>
  </si>
  <si>
    <t>4727953/</t>
  </si>
  <si>
    <t>4741794/</t>
  </si>
  <si>
    <t>4771227/</t>
  </si>
  <si>
    <t>4838930/</t>
  </si>
  <si>
    <t>4839070/</t>
  </si>
  <si>
    <t>4848661/</t>
  </si>
  <si>
    <t>5389651/</t>
  </si>
  <si>
    <t>5395381/</t>
  </si>
  <si>
    <t>5758704/</t>
  </si>
  <si>
    <t>6077454/</t>
  </si>
  <si>
    <t>6084158/</t>
  </si>
  <si>
    <t>6130074/</t>
  </si>
  <si>
    <t>6143518/</t>
  </si>
  <si>
    <t>6262450/</t>
  </si>
  <si>
    <t>6262495/</t>
  </si>
  <si>
    <t>6262530/</t>
  </si>
  <si>
    <t>6289850/</t>
  </si>
  <si>
    <t>6457973/</t>
  </si>
  <si>
    <t>CLIP top, МИНИ, Cмеж петля, 94гр 71T0650</t>
  </si>
  <si>
    <t>6458273/</t>
  </si>
  <si>
    <t>6458867/</t>
  </si>
  <si>
    <t>TIP-ON, CLIP T Б/ПР,107гр,вкл,74T1750.TL</t>
  </si>
  <si>
    <t>6510703/</t>
  </si>
  <si>
    <t>TIP-ON, CLIP T Б/ПР,120ГР,СМЕЖ70T5650.TL</t>
  </si>
  <si>
    <t>6563431/</t>
  </si>
  <si>
    <t>6613129/</t>
  </si>
  <si>
    <t>6614003/</t>
  </si>
  <si>
    <t>6614041/</t>
  </si>
  <si>
    <t>6614102/</t>
  </si>
  <si>
    <t>6617561/</t>
  </si>
  <si>
    <t>6634090/</t>
  </si>
  <si>
    <t>6634170/</t>
  </si>
  <si>
    <t>6635734/</t>
  </si>
  <si>
    <t>6637944/</t>
  </si>
  <si>
    <t>6641049/</t>
  </si>
  <si>
    <t>6741250/</t>
  </si>
  <si>
    <t>6813430/</t>
  </si>
  <si>
    <t>6813600/</t>
  </si>
  <si>
    <t>6823803/</t>
  </si>
  <si>
    <t>6861399/</t>
  </si>
  <si>
    <t>6863453/</t>
  </si>
  <si>
    <t>6914543/</t>
  </si>
  <si>
    <t>CLIP top, П/фальшп, вкл 95г INS 79T9590B</t>
  </si>
  <si>
    <t>6960651/</t>
  </si>
  <si>
    <t>6966933/</t>
  </si>
  <si>
    <t>TIP-ON, CLIP T Б/ПР,107ГР,СМЕЖ74T1650.TL</t>
  </si>
  <si>
    <t>TIP-ON, CLIP T Б/ПР, CRISTALLO, 78C450BT</t>
  </si>
  <si>
    <t>7129827/</t>
  </si>
  <si>
    <t>7189171/</t>
  </si>
  <si>
    <t>7302825/</t>
  </si>
  <si>
    <t>BM, Д/петли +30*, тип II, 973А7360(СНЯТ)</t>
  </si>
  <si>
    <t>7498260/</t>
  </si>
  <si>
    <t>7508753/</t>
  </si>
  <si>
    <t>7579180/</t>
  </si>
  <si>
    <t>7604711/</t>
  </si>
  <si>
    <t>7655983/</t>
  </si>
  <si>
    <t>CLIP top, Петля б/пр накл +30, 78A9556.T</t>
  </si>
  <si>
    <t>7656283/</t>
  </si>
  <si>
    <t>CLIP top, Петля б/пр 45+ тип II 78T55500</t>
  </si>
  <si>
    <t>TIP-ON, CLIP T Б/ПР,107ГР,НАК,74T1550.TL</t>
  </si>
  <si>
    <t>7665427/</t>
  </si>
  <si>
    <t>7696737/</t>
  </si>
  <si>
    <t>7749619/</t>
  </si>
  <si>
    <t>7757627/</t>
  </si>
  <si>
    <t>7775700/</t>
  </si>
  <si>
    <t>7780003/</t>
  </si>
  <si>
    <t>7832579/</t>
  </si>
  <si>
    <t>TIP-ON, планка п/шур (609.1500)955.1008S</t>
  </si>
  <si>
    <t>7984939/</t>
  </si>
  <si>
    <t>8003103/</t>
  </si>
  <si>
    <t>8210522/</t>
  </si>
  <si>
    <t>830242/</t>
  </si>
  <si>
    <t>8501512/</t>
  </si>
  <si>
    <t>8533922/</t>
  </si>
  <si>
    <t>8620599/</t>
  </si>
  <si>
    <t>8640530/</t>
  </si>
  <si>
    <t>TBX-AA, Рел средн д/выс ф, 500мм, бел ле</t>
  </si>
  <si>
    <t>TBX-AA, Рел средн д/выс ф, 500мм, бел пр</t>
  </si>
  <si>
    <t>8884933/</t>
  </si>
  <si>
    <t>8912714/</t>
  </si>
  <si>
    <t>ZBH, рабоч стол д/ Minipress M, MZA.5200</t>
  </si>
  <si>
    <t>8952174/</t>
  </si>
  <si>
    <t>8995120/</t>
  </si>
  <si>
    <t>8997030/</t>
  </si>
  <si>
    <t>8997274/</t>
  </si>
  <si>
    <t>9028234/</t>
  </si>
  <si>
    <t>9044422/</t>
  </si>
  <si>
    <t>9045179/</t>
  </si>
  <si>
    <t>9051769/</t>
  </si>
  <si>
    <t>9086341/</t>
  </si>
  <si>
    <t>9087959/</t>
  </si>
  <si>
    <t>9090994/</t>
  </si>
  <si>
    <t>9093720/</t>
  </si>
  <si>
    <t>9168759/</t>
  </si>
  <si>
    <t>9168994/</t>
  </si>
  <si>
    <t>9382280/</t>
  </si>
  <si>
    <t>9511993/</t>
  </si>
  <si>
    <t>9851151/</t>
  </si>
  <si>
    <t>3049715/</t>
  </si>
  <si>
    <t>9688973/</t>
  </si>
  <si>
    <t>9147743/</t>
  </si>
  <si>
    <t>4683921/</t>
  </si>
  <si>
    <t>2836936/</t>
  </si>
  <si>
    <t>AVS HK, Загл ов Giulia Novars, сер, прав</t>
  </si>
  <si>
    <t>4379118/</t>
  </si>
  <si>
    <t>CLIP top, Заглушка Estetika 70.1503(риc)</t>
  </si>
  <si>
    <t>8657773/</t>
  </si>
  <si>
    <t>8657843/</t>
  </si>
  <si>
    <t>8657913/</t>
  </si>
  <si>
    <t>8941282/</t>
  </si>
  <si>
    <t>3903984/</t>
  </si>
  <si>
    <t>7665831/</t>
  </si>
  <si>
    <t>9919485/</t>
  </si>
  <si>
    <t>8941110/</t>
  </si>
  <si>
    <t>TBX, Загл. с лого, BRAVO, симм ZAA.330C4</t>
  </si>
  <si>
    <t>4982543/</t>
  </si>
  <si>
    <t>Рол Напр част. выдв, 25 кг, 300 мм, крем</t>
  </si>
  <si>
    <t>7139613/</t>
  </si>
  <si>
    <t>7940663/</t>
  </si>
  <si>
    <t>7943253/</t>
  </si>
  <si>
    <t>TANDEMBOX</t>
  </si>
  <si>
    <t>Содержание</t>
  </si>
  <si>
    <t>4222766/</t>
  </si>
  <si>
    <t>4660168/</t>
  </si>
  <si>
    <t>LBX, Держат задн. ст, 253 мм, черн, прав</t>
  </si>
  <si>
    <t>5581246/</t>
  </si>
  <si>
    <t>9711982/</t>
  </si>
  <si>
    <t>3070684/</t>
  </si>
  <si>
    <t>7250200/</t>
  </si>
  <si>
    <t>,,,,</t>
  </si>
  <si>
    <t>,,,</t>
  </si>
  <si>
    <t>Расчет AVENTOS</t>
  </si>
  <si>
    <t>…</t>
  </si>
  <si>
    <t>….</t>
  </si>
  <si>
    <t>AVENTOS Servo-Drive</t>
  </si>
  <si>
    <t>AVENTOS расчет мех-ов</t>
  </si>
  <si>
    <t xml:space="preserve">   Бутылочница BLUM</t>
  </si>
  <si>
    <t>10</t>
  </si>
  <si>
    <t>Tandembox Plus</t>
  </si>
  <si>
    <t>Tandembox ANTARO</t>
  </si>
  <si>
    <t>Tandembox INTIVO</t>
  </si>
  <si>
    <t>Tandem</t>
  </si>
  <si>
    <t>серый</t>
  </si>
  <si>
    <t>белый</t>
  </si>
  <si>
    <t>на основе любой выдвижной системе BLUM:</t>
  </si>
  <si>
    <t>царги</t>
  </si>
  <si>
    <t>направл</t>
  </si>
  <si>
    <t>релинг</t>
  </si>
  <si>
    <t xml:space="preserve">нижний </t>
  </si>
  <si>
    <t>кр фас</t>
  </si>
  <si>
    <t>задн стенки</t>
  </si>
  <si>
    <t>заднии стенки</t>
  </si>
  <si>
    <r>
      <t>верхний ящик высотой</t>
    </r>
    <r>
      <rPr>
        <b/>
        <i/>
        <sz val="12"/>
        <rFont val="Arial Cyr"/>
        <charset val="204"/>
      </rPr>
      <t xml:space="preserve"> - M</t>
    </r>
  </si>
  <si>
    <t>Цвет:</t>
  </si>
  <si>
    <t>1058035/</t>
  </si>
  <si>
    <t>LBX, Держат. задн. ст, 189 мм, кор, прав</t>
  </si>
  <si>
    <t>1329408/</t>
  </si>
  <si>
    <t>LBX, Держат. задн. ст, 102 мм, кор, лев.</t>
  </si>
  <si>
    <t>2113518/</t>
  </si>
  <si>
    <t>2121579/</t>
  </si>
  <si>
    <t>2215958/</t>
  </si>
  <si>
    <t>2216204/</t>
  </si>
  <si>
    <t>2795908/</t>
  </si>
  <si>
    <t>LBX, Держат. задн. ст, 102 мм, кор, прав</t>
  </si>
  <si>
    <t>3536201/</t>
  </si>
  <si>
    <t>3638481/</t>
  </si>
  <si>
    <t>3653292/</t>
  </si>
  <si>
    <t>3722189/</t>
  </si>
  <si>
    <t>3833596/</t>
  </si>
  <si>
    <t>3964733/</t>
  </si>
  <si>
    <t>4001227/</t>
  </si>
  <si>
    <t>4115619/</t>
  </si>
  <si>
    <t>7507660/</t>
  </si>
  <si>
    <t>7604824/</t>
  </si>
  <si>
    <t>LBX, Держат. задн. ст, 189 мм, кор, лев.</t>
  </si>
  <si>
    <t>8931830/</t>
  </si>
  <si>
    <t>9026222/</t>
  </si>
  <si>
    <t xml:space="preserve">  ПРАЙС-ЛИСТ  2014</t>
  </si>
  <si>
    <t>Вставки в низкие ящики M</t>
  </si>
  <si>
    <t>ЛОТКИ стальные</t>
  </si>
  <si>
    <t>ЛОТКИ деревянные</t>
  </si>
  <si>
    <t>Вставки в высокие ящики C и F</t>
  </si>
  <si>
    <t>РАМКИ стальные 100/200мм</t>
  </si>
  <si>
    <t xml:space="preserve">Стальные </t>
  </si>
  <si>
    <t xml:space="preserve">Деревянные </t>
  </si>
  <si>
    <t xml:space="preserve">РАМКИ деревянные 100/200мм   </t>
  </si>
  <si>
    <t>Стальные адаптеры для деревнянной задней стенки</t>
  </si>
  <si>
    <t>2164065/</t>
  </si>
  <si>
    <t>TBX, Напр с BM, 50кг, 600мм, кмп МП</t>
  </si>
  <si>
    <t>TBX, Напр с BM, 50кг, 600мм, кмп/2164065</t>
  </si>
  <si>
    <t>4788076/</t>
  </si>
  <si>
    <t>6659330/</t>
  </si>
  <si>
    <t>TBX, Царги под мойку, 600 мм, никел, кмп</t>
  </si>
  <si>
    <t>8450382/</t>
  </si>
  <si>
    <t>TBX-A, ORG 300/450, набор д/б,ZFL.30BFS4</t>
  </si>
  <si>
    <t>8473602/</t>
  </si>
  <si>
    <t>TBX-A, Зад ст п/м L, бел, Z30D120S.6S,V1</t>
  </si>
  <si>
    <t>8750732/</t>
  </si>
  <si>
    <t>7978564/</t>
  </si>
  <si>
    <t>TBX-A, Профиль приема д/ORG, 650 мм, чер</t>
  </si>
  <si>
    <t>8443454/</t>
  </si>
  <si>
    <t>8450214/</t>
  </si>
  <si>
    <t>8751274/</t>
  </si>
  <si>
    <t>8751344/</t>
  </si>
  <si>
    <t>9063264/</t>
  </si>
  <si>
    <t>TBX-A, креп пп д/рел черн кмпZIF.82D0.01</t>
  </si>
  <si>
    <t>TBX-A, Профиль-держ, 500 мм,нер,Z40L472I</t>
  </si>
  <si>
    <t>TBX-A, Профиль-держ, 450 мм,нер,Z40L422I</t>
  </si>
  <si>
    <t>8225100/</t>
  </si>
  <si>
    <t>8438430/</t>
  </si>
  <si>
    <t>8451680/</t>
  </si>
  <si>
    <t>8452500/</t>
  </si>
  <si>
    <t>8453040/</t>
  </si>
  <si>
    <t>8531870/</t>
  </si>
  <si>
    <t>TBX-A, ORG 300/450мм д/б нерж ZFL.30BFI4</t>
  </si>
  <si>
    <t>8555560/</t>
  </si>
  <si>
    <t>TBX-A, Релинг д/пер. панели, 1046мм, нер</t>
  </si>
  <si>
    <t>8751650/</t>
  </si>
  <si>
    <t>8755300/</t>
  </si>
  <si>
    <t>3851698/</t>
  </si>
  <si>
    <t>TBX-AA, ORG Разд поп 900 сер Z40D777S.01</t>
  </si>
  <si>
    <t>4085012/</t>
  </si>
  <si>
    <t>TBX-AA, ORG Разд поп 900 сер Z40C777S.01</t>
  </si>
  <si>
    <t>7559335/</t>
  </si>
  <si>
    <t>TBX-AA, ORG Разд поп 600 сер Z40D477S.01</t>
  </si>
  <si>
    <t>7704940/</t>
  </si>
  <si>
    <t>TBX-AA, Задн. ст 96/200, cер, Z30M139S.6</t>
  </si>
  <si>
    <t>8008227/</t>
  </si>
  <si>
    <t>8146255/</t>
  </si>
  <si>
    <t>TBX-AA, ORG Разд поп 600 сер Z40C477S.01</t>
  </si>
  <si>
    <t>8534677/</t>
  </si>
  <si>
    <t>TBX-AA, ORG Разд поп 800 сер Z40C677S.01</t>
  </si>
  <si>
    <t>9214894/</t>
  </si>
  <si>
    <t>TBX-AA, ORG Разд поп 800 сер Z40D677S.01</t>
  </si>
  <si>
    <t>9410680/</t>
  </si>
  <si>
    <t>TBX-AA, Прод разд д/поп рел,тсерZRU.11F0</t>
  </si>
  <si>
    <t>1138718/</t>
  </si>
  <si>
    <t>TBX-AA, ORG Разд поп 900 бел Z40D777S.01</t>
  </si>
  <si>
    <t>2918439/</t>
  </si>
  <si>
    <t>TBX-AA, Задн. ст 191/200 бел, Z30C139S.6</t>
  </si>
  <si>
    <t>3555832/</t>
  </si>
  <si>
    <t>6142836/</t>
  </si>
  <si>
    <t>TBX-AA, ORG Разд поп 600 бел Z40D477S.01</t>
  </si>
  <si>
    <t>6960088/</t>
  </si>
  <si>
    <t>7412974/</t>
  </si>
  <si>
    <t>TBX-AA, ORG Разд поп 800 бел Z40D677S.01</t>
  </si>
  <si>
    <t>8837332/</t>
  </si>
  <si>
    <t>TBX-AA, Рел средн д/выс ф, 400мм, бел ле</t>
  </si>
  <si>
    <t>8837402/</t>
  </si>
  <si>
    <t>TBX-AA, Рел средн д/выс ф, 400мм, бел пр</t>
  </si>
  <si>
    <t>TBX-AA, Держ поп рел,белZRU.11E0/6960088</t>
  </si>
  <si>
    <t>6443275/</t>
  </si>
  <si>
    <t>TBX-AA, ORG Разд поп 900черн Z40D777S.01</t>
  </si>
  <si>
    <t>7759723/</t>
  </si>
  <si>
    <t>9215758/</t>
  </si>
  <si>
    <t>1391924/</t>
  </si>
  <si>
    <t>TBX-AA, Рел верхн д/выс ф, 500мм, нерж L</t>
  </si>
  <si>
    <t>2796484/</t>
  </si>
  <si>
    <t>TBX-AA, Рел верхн д/выс ф, 500мм, нерж R</t>
  </si>
  <si>
    <t>4919907/</t>
  </si>
  <si>
    <t>5065069/</t>
  </si>
  <si>
    <t>TBX-AA, Держ поп рел, тем.-сер, ZRU.01E0</t>
  </si>
  <si>
    <t>5526449/</t>
  </si>
  <si>
    <t>5684348/</t>
  </si>
  <si>
    <t>TBX-AA, Рел верхн д/выс ф, 450мм, нерж L</t>
  </si>
  <si>
    <t>8256268/</t>
  </si>
  <si>
    <t>TBX-AA, Рел верхн д/выс ф, 450мм, нерж R</t>
  </si>
  <si>
    <t>8718080/</t>
  </si>
  <si>
    <t>TBX-AA, Рел верхн д/выс ф 600мм нерж кмп</t>
  </si>
  <si>
    <t>8784250/</t>
  </si>
  <si>
    <t>TBX-AA, Крепл п/пан 2р, 224мм, тсер, прв</t>
  </si>
  <si>
    <t>8784320/</t>
  </si>
  <si>
    <t>TBX-AA, Крепл п/пан 2р, 224мм, тсер, лев</t>
  </si>
  <si>
    <t>8933498/</t>
  </si>
  <si>
    <t>TBX-AA, Поп. рел п/раскр, нерж ZRG.1104Q</t>
  </si>
  <si>
    <t>1422256/</t>
  </si>
  <si>
    <t>TBX-AA, Бок. вставка,450 мм,чер,Z37A417C</t>
  </si>
  <si>
    <t>TBX-AA, Бок. вставка,500 мм,сер,Z37A467D</t>
  </si>
  <si>
    <t>TBX-AA, Бок. вставка,500 мм,чер,Z37A467D</t>
  </si>
  <si>
    <t>6610192/</t>
  </si>
  <si>
    <t>TBX-AA, Бок. вставка,450 мм,бел,Z37A417C</t>
  </si>
  <si>
    <t>7958408/</t>
  </si>
  <si>
    <t>TBX-AA, Бок. вставка,500 мм,бел,Z37A467D</t>
  </si>
  <si>
    <t>8168478/</t>
  </si>
  <si>
    <t>TBX-AA, Бок. вставка,450 мм,сер,Z37A417C</t>
  </si>
  <si>
    <t>9403852/</t>
  </si>
  <si>
    <t>3867240/</t>
  </si>
  <si>
    <t>4257570/</t>
  </si>
  <si>
    <t>TD, Задн держ д/выдвиж полки T51.7000.01</t>
  </si>
  <si>
    <t>3438622/</t>
  </si>
  <si>
    <t>3456442/</t>
  </si>
  <si>
    <t>1684615/</t>
  </si>
  <si>
    <t>2355874/</t>
  </si>
  <si>
    <t>3055138/</t>
  </si>
  <si>
    <t>4331413/</t>
  </si>
  <si>
    <t>4423390/</t>
  </si>
  <si>
    <t>4636718/</t>
  </si>
  <si>
    <t>9009835/</t>
  </si>
  <si>
    <t>9220596/</t>
  </si>
  <si>
    <t>9247976/</t>
  </si>
  <si>
    <t>9287449/</t>
  </si>
  <si>
    <t>9337924/</t>
  </si>
  <si>
    <t>9803842/</t>
  </si>
  <si>
    <t>1302013/</t>
  </si>
  <si>
    <t>1356389/</t>
  </si>
  <si>
    <t>1682723/</t>
  </si>
  <si>
    <t>3048718/</t>
  </si>
  <si>
    <t>LBX, Загл вн держ п/п, сер, лев ZI7.2C08</t>
  </si>
  <si>
    <t>3178322/</t>
  </si>
  <si>
    <t>LBX, Загл держ п/п вст, сер, прв ZI7.1MS</t>
  </si>
  <si>
    <t>4050748/</t>
  </si>
  <si>
    <t>LBX, Загл вн держ п/п, сер прав ZI7.2C08</t>
  </si>
  <si>
    <t>5440845/</t>
  </si>
  <si>
    <t>5513783/</t>
  </si>
  <si>
    <t>7911471/</t>
  </si>
  <si>
    <t>8016855/</t>
  </si>
  <si>
    <t>LBX, Загл вн держ п/п, сер, лев ZI7.1M08</t>
  </si>
  <si>
    <t>LBX, Загл держ п/п С, сер, прав ZI7.2CS3</t>
  </si>
  <si>
    <t>8226450/</t>
  </si>
  <si>
    <t>LBX, Загл п/низк вст, сер, прав ZI7.4C09</t>
  </si>
  <si>
    <t>8864974/</t>
  </si>
  <si>
    <t>9105091/</t>
  </si>
  <si>
    <t>LBX, Загл вн держ п/п, сер, прв ZI7.1M08</t>
  </si>
  <si>
    <t>9158095/</t>
  </si>
  <si>
    <t>LBX, Загл держ п/п вст, сер, лев ZI7.1MS</t>
  </si>
  <si>
    <t>9826054/</t>
  </si>
  <si>
    <t>9931621/</t>
  </si>
  <si>
    <t>LBX, Пп б/п п/раскр, 1043мм бел(7731476)</t>
  </si>
  <si>
    <t>1972728/</t>
  </si>
  <si>
    <t>2026065/</t>
  </si>
  <si>
    <t>LBX, Загл вн держ п/п, бел, лев ZI7.1M08</t>
  </si>
  <si>
    <t>2170548/</t>
  </si>
  <si>
    <t>2449228/</t>
  </si>
  <si>
    <t>3159395/</t>
  </si>
  <si>
    <t>LBX, Загл вн держ п/п, бел, прв ZI7.1M08</t>
  </si>
  <si>
    <t>3623792/</t>
  </si>
  <si>
    <t>3635214/</t>
  </si>
  <si>
    <t>3665214/</t>
  </si>
  <si>
    <t>3666532/</t>
  </si>
  <si>
    <t>3738531/</t>
  </si>
  <si>
    <t>LBX, Загл п/низк вст, бел, прав ZI7.4C09</t>
  </si>
  <si>
    <t>3758081/</t>
  </si>
  <si>
    <t>3759979/</t>
  </si>
  <si>
    <t>4340743/</t>
  </si>
  <si>
    <t>4505538/</t>
  </si>
  <si>
    <t>LBX, Загл вн держ п/п  бел прав ZI7.2C08</t>
  </si>
  <si>
    <t>6247347/</t>
  </si>
  <si>
    <t>LBX, Загл держ п/п вст, бел, лев ZI7.1MS</t>
  </si>
  <si>
    <t>7215159/</t>
  </si>
  <si>
    <t>7731476/</t>
  </si>
  <si>
    <t>7760493/</t>
  </si>
  <si>
    <t>8063022/</t>
  </si>
  <si>
    <t>8360372/</t>
  </si>
  <si>
    <t>8432288/</t>
  </si>
  <si>
    <t>8896357/</t>
  </si>
  <si>
    <t>8979132/</t>
  </si>
  <si>
    <t>9012447/</t>
  </si>
  <si>
    <t>9393596/</t>
  </si>
  <si>
    <t>1410149/</t>
  </si>
  <si>
    <t>1497554/</t>
  </si>
  <si>
    <t>1541991/</t>
  </si>
  <si>
    <t>3377381/</t>
  </si>
  <si>
    <t>3922579/</t>
  </si>
  <si>
    <t>LBX, Пер пан б/паза п/раскр, 1043мм, чер</t>
  </si>
  <si>
    <t>4178075/</t>
  </si>
  <si>
    <t>4491381/</t>
  </si>
  <si>
    <t>5294219/</t>
  </si>
  <si>
    <t>7810377/</t>
  </si>
  <si>
    <t>9751013/</t>
  </si>
  <si>
    <t>1345908/</t>
  </si>
  <si>
    <t>2160688/</t>
  </si>
  <si>
    <t>2356038/</t>
  </si>
  <si>
    <t>2403581/</t>
  </si>
  <si>
    <t>2642224/</t>
  </si>
  <si>
    <t>2670970/</t>
  </si>
  <si>
    <t>2700814/</t>
  </si>
  <si>
    <t>LBX, Загл вн держ п/п кор прав, ZI7.3C08</t>
  </si>
  <si>
    <t>3640109/</t>
  </si>
  <si>
    <t>3665883/</t>
  </si>
  <si>
    <t>3855078/</t>
  </si>
  <si>
    <t>LBX, Загл вн держ п/п, кор, лев ZI7.1M08</t>
  </si>
  <si>
    <t>4717765/</t>
  </si>
  <si>
    <t>LBX, Загл п/низк вст, кор, лев, ZI7.4C09</t>
  </si>
  <si>
    <t>4857182/</t>
  </si>
  <si>
    <t>5893409/</t>
  </si>
  <si>
    <t>6007769/</t>
  </si>
  <si>
    <t>6216529/</t>
  </si>
  <si>
    <t>LBX, Загл п/низк вст, кор, пра, ZI7.4C09</t>
  </si>
  <si>
    <t>6237688/</t>
  </si>
  <si>
    <t>6360821/</t>
  </si>
  <si>
    <t>6385735/</t>
  </si>
  <si>
    <t>7015433/</t>
  </si>
  <si>
    <t>7100534/</t>
  </si>
  <si>
    <t>LBX, Загл держ п/п вст кор, пра ZI7.1MS3</t>
  </si>
  <si>
    <t>7120002/</t>
  </si>
  <si>
    <t>LBX, Загл держ п/п вст кор, лев ZI7.1MS3</t>
  </si>
  <si>
    <t>7997404/</t>
  </si>
  <si>
    <t>8193775/</t>
  </si>
  <si>
    <t>8865358/</t>
  </si>
  <si>
    <t>8907421/</t>
  </si>
  <si>
    <t>8970436/</t>
  </si>
  <si>
    <t>LBX, Загл вн держ п/п, кор, прв ZI7.1M08</t>
  </si>
  <si>
    <t>9018004/</t>
  </si>
  <si>
    <t>4034973/</t>
  </si>
  <si>
    <t>5269870/</t>
  </si>
  <si>
    <t>7655043/</t>
  </si>
  <si>
    <t>CLIP top, Д/проф, накл б/пр 70T9550.TLMB</t>
  </si>
  <si>
    <t>MPL CLIP, прямая, 3мм Экспандо 177H5430E</t>
  </si>
  <si>
    <t>9064323/</t>
  </si>
  <si>
    <t>9295093/</t>
  </si>
  <si>
    <t>CLIP top, Петля накл, 110, б/пр, EXPANDО</t>
  </si>
  <si>
    <t>3540555/</t>
  </si>
  <si>
    <t>5057865/</t>
  </si>
  <si>
    <t>8885233/</t>
  </si>
  <si>
    <t>CLIP top BM, Накл, 110° EXPANDO, 71B358E</t>
  </si>
  <si>
    <t>3699693/</t>
  </si>
  <si>
    <t>TIP-ON, держатель крестообр,V50,955.1501</t>
  </si>
  <si>
    <t>AVS HF, Монт планка п/прес177H5100(снят)</t>
  </si>
  <si>
    <t>AVS HF, Прям планка с эксц 175H5400(снят</t>
  </si>
  <si>
    <t>9329500/</t>
  </si>
  <si>
    <t>1328043/</t>
  </si>
  <si>
    <t>1879761/</t>
  </si>
  <si>
    <t>2063206/</t>
  </si>
  <si>
    <t>4134034/</t>
  </si>
  <si>
    <t>5093516/</t>
  </si>
  <si>
    <t>5582485/</t>
  </si>
  <si>
    <t>ZBH, Шаблон-угол д/отв 65.5310 (4134034)</t>
  </si>
  <si>
    <t>6165045/</t>
  </si>
  <si>
    <t>ZBH, Шт.кондуктор д/пет Сlip, 65.7500.03</t>
  </si>
  <si>
    <t>7267829/</t>
  </si>
  <si>
    <t>7445143/</t>
  </si>
  <si>
    <t>7925833/</t>
  </si>
  <si>
    <t>ZBH, Шаблон д/напр. 65.1051.01,(5093516)</t>
  </si>
  <si>
    <t>9171009/</t>
  </si>
  <si>
    <t>9197779/</t>
  </si>
  <si>
    <t>Pocket door 500 мм,лев,270E5000.03(снят)</t>
  </si>
  <si>
    <t>1215794/</t>
  </si>
  <si>
    <t>TBX-A, Загл с лог Giulia Novars бел, сим</t>
  </si>
  <si>
    <t>4935047/</t>
  </si>
  <si>
    <t>TBX, Загл. с лого Greta Kitchen ZAA.330С</t>
  </si>
  <si>
    <t>5291995/</t>
  </si>
  <si>
    <t>8239233/</t>
  </si>
  <si>
    <t>8280096/</t>
  </si>
  <si>
    <t>7939143/</t>
  </si>
  <si>
    <t>7941633/</t>
  </si>
  <si>
    <t>1647373/</t>
  </si>
  <si>
    <t>TBX-AA, Рел прод 600мм черн кмп/ 9215758</t>
  </si>
  <si>
    <t>3817848/</t>
  </si>
  <si>
    <t>9356923/</t>
  </si>
  <si>
    <t>9356926/</t>
  </si>
  <si>
    <t>Рекомендованная комплектация ящиков М</t>
  </si>
  <si>
    <t>черный</t>
  </si>
  <si>
    <t>дуб небраска</t>
  </si>
  <si>
    <t>дуб бардолино</t>
  </si>
  <si>
    <t>орех теннесси</t>
  </si>
  <si>
    <t>Ширина:</t>
  </si>
  <si>
    <t>дую небраска</t>
  </si>
  <si>
    <t>деревянная</t>
  </si>
  <si>
    <t>цв.</t>
  </si>
  <si>
    <t>м</t>
  </si>
  <si>
    <t>с</t>
  </si>
  <si>
    <t>задн стенки М</t>
  </si>
  <si>
    <t>заднии стенки С</t>
  </si>
  <si>
    <r>
      <t>БУТЫЛОЧНИЦА</t>
    </r>
    <r>
      <rPr>
        <b/>
        <i/>
        <sz val="16"/>
        <color theme="0"/>
        <rFont val="Arial Cyr"/>
        <charset val="204"/>
      </rPr>
      <t xml:space="preserve"> BLUM</t>
    </r>
    <r>
      <rPr>
        <b/>
        <i/>
        <sz val="16"/>
        <rFont val="Arial Cyr"/>
        <charset val="204"/>
      </rPr>
      <t xml:space="preserve">  </t>
    </r>
    <r>
      <rPr>
        <b/>
        <i/>
        <sz val="12"/>
        <rFont val="Arial Cyr"/>
        <charset val="204"/>
      </rPr>
      <t>200, 300* мм</t>
    </r>
  </si>
  <si>
    <t>стальная**</t>
  </si>
  <si>
    <t>** стальны задние стенки шириной только на 200мм</t>
  </si>
  <si>
    <t xml:space="preserve"> * на ширину 300мм рекомендуем делать сплошную заднюю стенку (или соединять их)</t>
  </si>
  <si>
    <t>Гавана Коричневый</t>
  </si>
  <si>
    <t xml:space="preserve">   AMBIA-LINE</t>
  </si>
  <si>
    <t>внцтренний</t>
  </si>
  <si>
    <t>5897587/</t>
  </si>
  <si>
    <t>вн/загл/л</t>
  </si>
  <si>
    <t>вн/загл/п</t>
  </si>
  <si>
    <t>нар/з/л</t>
  </si>
  <si>
    <t>нар/з/п</t>
  </si>
  <si>
    <t>9425225/</t>
  </si>
  <si>
    <t>пер/пан</t>
  </si>
  <si>
    <t>загл/л</t>
  </si>
  <si>
    <t>загл/пр</t>
  </si>
  <si>
    <t>под заказ</t>
  </si>
  <si>
    <t>Результат:</t>
  </si>
  <si>
    <t>цвет:</t>
  </si>
  <si>
    <t>Белый шёлк</t>
  </si>
  <si>
    <t>д/з/ст/пр</t>
  </si>
  <si>
    <t>загл.</t>
  </si>
  <si>
    <t>релинг л</t>
  </si>
  <si>
    <t>релинг п</t>
  </si>
  <si>
    <t>д/з/ст/л.</t>
  </si>
  <si>
    <t>2214113/</t>
  </si>
  <si>
    <t>TBX, Направл. с BM, 50 кг, 650 мм кмп МП</t>
  </si>
  <si>
    <t>TBX, Двухст. Boxside, 400 мм, сер, кмпV1</t>
  </si>
  <si>
    <t>TBX, Бок. стаб,кмп100 шт,ZST.500BB(снят)</t>
  </si>
  <si>
    <t>6084900/</t>
  </si>
  <si>
    <t>TBX, Крепл п/пан вн, 128мм, кмп ZIF.70K0</t>
  </si>
  <si>
    <t>TBX, Напр с BM, 65 кг, 600мм кмп/9130292</t>
  </si>
  <si>
    <t>TBX, Бок. стаб,креп.сверху,кмп,ZST.500BА</t>
  </si>
  <si>
    <t>9130292/</t>
  </si>
  <si>
    <t>9149490/</t>
  </si>
  <si>
    <t>TBX, Крепл фас Expando,D,лев ZSF.345E.01</t>
  </si>
  <si>
    <t>9149560/</t>
  </si>
  <si>
    <t>TBX, Крепл фас Expando,D,пр ZSF.345E.01</t>
  </si>
  <si>
    <t>9149700/</t>
  </si>
  <si>
    <t>TBX, Крепл фас Expando,M,лев ZSF.340E.01</t>
  </si>
  <si>
    <t>9149870/</t>
  </si>
  <si>
    <t>TBX, Крепл фас Expando,M,пр ZSF.340E.01</t>
  </si>
  <si>
    <t>4170776/</t>
  </si>
  <si>
    <t>4799786/</t>
  </si>
  <si>
    <t>TBX, Держат. задн. ст К, бел кмпZ30K000S</t>
  </si>
  <si>
    <t>3520788/</t>
  </si>
  <si>
    <t>1978672/</t>
  </si>
  <si>
    <t>TBX-A, Задн. ст 81,5/600, бел Z30N535S.6</t>
  </si>
  <si>
    <t>TBX-A, Зад ст п/м L, бел, кмпZ30D120S.6S</t>
  </si>
  <si>
    <t>8750802/</t>
  </si>
  <si>
    <t>TBX-A, креп п/п д/вст бел пр ZIF.81D0.01</t>
  </si>
  <si>
    <t>6548446/</t>
  </si>
  <si>
    <t>8039464/</t>
  </si>
  <si>
    <t>8442914/</t>
  </si>
  <si>
    <t>TBX-A, Ручка б/пов д/вн ящ, сер,ZIF.80M5</t>
  </si>
  <si>
    <t>1065390/</t>
  </si>
  <si>
    <t>TBX-A, Креп п/п 96мм нерж кмпZIF.80M0.01</t>
  </si>
  <si>
    <t>2713189/</t>
  </si>
  <si>
    <t>2969645/</t>
  </si>
  <si>
    <t>3565529/</t>
  </si>
  <si>
    <t>3790276/</t>
  </si>
  <si>
    <t>4717033/</t>
  </si>
  <si>
    <t>5038267/</t>
  </si>
  <si>
    <t>5119973/</t>
  </si>
  <si>
    <t>5415265/</t>
  </si>
  <si>
    <t>5599124/</t>
  </si>
  <si>
    <t>5729399/</t>
  </si>
  <si>
    <t>5902025/</t>
  </si>
  <si>
    <t>6122026/</t>
  </si>
  <si>
    <t>6381365/</t>
  </si>
  <si>
    <t>6383587/</t>
  </si>
  <si>
    <t>6483448/</t>
  </si>
  <si>
    <t>6505249/</t>
  </si>
  <si>
    <t>7263462/</t>
  </si>
  <si>
    <t>7537398/</t>
  </si>
  <si>
    <t>7554849/</t>
  </si>
  <si>
    <t>7800801/</t>
  </si>
  <si>
    <t>7896630/</t>
  </si>
  <si>
    <t>7946337/</t>
  </si>
  <si>
    <t>8012097/</t>
  </si>
  <si>
    <t>8019238/</t>
  </si>
  <si>
    <t>8405350/</t>
  </si>
  <si>
    <t>8667752/</t>
  </si>
  <si>
    <t>9051133/</t>
  </si>
  <si>
    <t>9262124/</t>
  </si>
  <si>
    <t>9886960/</t>
  </si>
  <si>
    <t>TBX-AA, Держ. рел. к ал.фас.,ZRF.2200.01</t>
  </si>
  <si>
    <t>TBX-A, Ручка c/пов д/вн ящ, сер,ZIF.80M7</t>
  </si>
  <si>
    <t>TBX-AA, Задн. ст 191/200 cер, Z30C139S.6</t>
  </si>
  <si>
    <t>8046150/</t>
  </si>
  <si>
    <t>TBX-AA, Загл с лого, сер,сим,ZAA.532C.BL</t>
  </si>
  <si>
    <t>2007442/</t>
  </si>
  <si>
    <t>2772520/</t>
  </si>
  <si>
    <t>TBX-AA, ORG Разд поп 600 бел Z40C477S.01</t>
  </si>
  <si>
    <t>3302652/</t>
  </si>
  <si>
    <t>3302732/</t>
  </si>
  <si>
    <t>TBX-AA, Задн. ст 96/200, бел, Z30M139S.6</t>
  </si>
  <si>
    <t>4141539/</t>
  </si>
  <si>
    <t>TBX-AA, ORG Разд поп 800 бел Z40C677S.01</t>
  </si>
  <si>
    <t>6359345/</t>
  </si>
  <si>
    <t>TBX-AA, Рел верхн д/выс ф, 600мм, бел ле</t>
  </si>
  <si>
    <t>7364174/</t>
  </si>
  <si>
    <t>TBX-AA, ORG Разд поп 900 бел Z40C777S.01</t>
  </si>
  <si>
    <t>7673452/</t>
  </si>
  <si>
    <t>7673532/</t>
  </si>
  <si>
    <t>8041985/</t>
  </si>
  <si>
    <t>TBX-AA, Рел верхн д/выс ф, 600мм, бел пр</t>
  </si>
  <si>
    <t>1344661/</t>
  </si>
  <si>
    <t>4208054/</t>
  </si>
  <si>
    <t>TBX-AA, ORG Разд поп 600черн Z40C477S.01</t>
  </si>
  <si>
    <t>5519405/</t>
  </si>
  <si>
    <t>6512468/</t>
  </si>
  <si>
    <t>TBX-AA, ORG Разд поп 800черн Z40C677S.01</t>
  </si>
  <si>
    <t>6752099/</t>
  </si>
  <si>
    <t>TBX-AA, ORG Разд поп 900черн Z40C777S.01</t>
  </si>
  <si>
    <t>8723794/</t>
  </si>
  <si>
    <t>TBX-AA, Рел средн д/выс ф, 450мм, чер ле</t>
  </si>
  <si>
    <t>8723864/</t>
  </si>
  <si>
    <t>TBX-AA, Рел средн д/выс ф, 450мм, чер пр</t>
  </si>
  <si>
    <t>TBX-AA, Рел средн д/выс ф, 500мм, чер пр</t>
  </si>
  <si>
    <t>TBX-AA, Рел средн д/выс ф, 500мм, чер ле</t>
  </si>
  <si>
    <t>8784014/</t>
  </si>
  <si>
    <t>TBX-AA, Крепл п/п д/1рел черн L ZIF.74D0</t>
  </si>
  <si>
    <t>8784184/</t>
  </si>
  <si>
    <t>TBX-AA, Крепл п/п д/1рел черн R ZIF.74D0</t>
  </si>
  <si>
    <t>9410684/</t>
  </si>
  <si>
    <t>TBX-AA, Прод разд поп рел, черн ZRU.11F0</t>
  </si>
  <si>
    <t>3219200/</t>
  </si>
  <si>
    <t>4174022/</t>
  </si>
  <si>
    <t>5808332/</t>
  </si>
  <si>
    <t>6731650/</t>
  </si>
  <si>
    <t>8534390/</t>
  </si>
  <si>
    <t>8534460/</t>
  </si>
  <si>
    <t>TBX, TIP-ON, СИНХРОН-Р + ШТАНГИ Д/1100ММ</t>
  </si>
  <si>
    <t>8542760/</t>
  </si>
  <si>
    <t>TBX, TIP-ON, СИНХРОН-Р + ШТАНГИ Д/1150ММ</t>
  </si>
  <si>
    <t>8554262/</t>
  </si>
  <si>
    <t>1366848/</t>
  </si>
  <si>
    <t>ORG, НАБОР РАЗДЕЛИТЕЛЕЙ,ZSI.500FI2(CНЯТ)</t>
  </si>
  <si>
    <t>ORG, Держ-ль тарелок, ZTH.0350 (1366848)</t>
  </si>
  <si>
    <t>ORG, Межсекц.стенка, 450 мм,сер,Z46C420S</t>
  </si>
  <si>
    <t>ORG, Межсекц.стенка, 500 мм,сер,Z46C470S</t>
  </si>
  <si>
    <t>5729510/</t>
  </si>
  <si>
    <t>ORG, НАБОР КОМБИНИРОВА,ZSI.450MI3E(СНЯТ)</t>
  </si>
  <si>
    <t>6735880/</t>
  </si>
  <si>
    <t>ORG, НАБОР СТ/ПР, 1000/500 ММ,ZSI.10VEI6</t>
  </si>
  <si>
    <t>MBX, Заглушка с лого, крем, сим ZAA.3500</t>
  </si>
  <si>
    <t>1473393/</t>
  </si>
  <si>
    <t>MBX, Хвостовик д/центр запир ящ 295.5300</t>
  </si>
  <si>
    <t>MBX, Крепл п.п. внутр.ящ. 320K, пр, крем</t>
  </si>
  <si>
    <t>MBX, Крепл п.п. внутр.ящ. 320H, пр, крем</t>
  </si>
  <si>
    <t>MBX, Крепл п.п. внутр.ящ. 320H,лев, крем</t>
  </si>
  <si>
    <t>2782983/</t>
  </si>
  <si>
    <t>MBX, 54/350мм, 25кг, крем, кмп,330N350PC</t>
  </si>
  <si>
    <t>MBX, 118/550мм, 25кг, крем,кмп,320K5500C</t>
  </si>
  <si>
    <t>MBX, Крепл п.п. внутр.ящ. 320M, пр, крем</t>
  </si>
  <si>
    <t>MBX, Крепл п.п. внутр.ящ. 320N, пр, крем</t>
  </si>
  <si>
    <t>6741253/</t>
  </si>
  <si>
    <t>MBX, 54/270мм, 25кг, крем, кмп,320N2700C</t>
  </si>
  <si>
    <t>MBX, 54/400мм, 25кг, крем, кмп,320N4000C</t>
  </si>
  <si>
    <t>4459332/</t>
  </si>
  <si>
    <t>4539613/</t>
  </si>
  <si>
    <t>LBX, Держ п/п п/рел, прав, ZI7.3C01-CНЯТ</t>
  </si>
  <si>
    <t>2460016/</t>
  </si>
  <si>
    <t>2604739/</t>
  </si>
  <si>
    <t>5209105/</t>
  </si>
  <si>
    <t>9717615/</t>
  </si>
  <si>
    <t>7228931/</t>
  </si>
  <si>
    <t>3352658/</t>
  </si>
  <si>
    <t>3460676/</t>
  </si>
  <si>
    <t>3609116/</t>
  </si>
  <si>
    <t>3770038/</t>
  </si>
  <si>
    <t>9293829/</t>
  </si>
  <si>
    <t>LBX, Держат. задн. ст, 253 мм, кор, лев.</t>
  </si>
  <si>
    <t>9316993/</t>
  </si>
  <si>
    <t>5952958/</t>
  </si>
  <si>
    <t>6429035/</t>
  </si>
  <si>
    <t>8058240/</t>
  </si>
  <si>
    <t>8999239/</t>
  </si>
  <si>
    <t>9570082/</t>
  </si>
  <si>
    <t>9635420/</t>
  </si>
  <si>
    <t>1395641/</t>
  </si>
  <si>
    <t>CLIP top, Загл с лого 80.6507.BP(3460453</t>
  </si>
  <si>
    <t>3760798/</t>
  </si>
  <si>
    <t>4091551/</t>
  </si>
  <si>
    <t>4891827/</t>
  </si>
  <si>
    <t>9238533/</t>
  </si>
  <si>
    <t>CLIP top BM, 45° смежн I EXPANDO79B9688E</t>
  </si>
  <si>
    <t>CLIP top BM, Петля накл,110гр,п/п71B3580</t>
  </si>
  <si>
    <t>1922797/</t>
  </si>
  <si>
    <t>4162743/</t>
  </si>
  <si>
    <t>4753115/</t>
  </si>
  <si>
    <t>5315954/</t>
  </si>
  <si>
    <t>7690421/</t>
  </si>
  <si>
    <t>8264548/</t>
  </si>
  <si>
    <t>1409446/</t>
  </si>
  <si>
    <t>AVS HK-XS, Крепл к корп, 20K5101</t>
  </si>
  <si>
    <t>1526104/</t>
  </si>
  <si>
    <t>AVS HK-XS, Крепл д/алю на сам, 20K4101A</t>
  </si>
  <si>
    <t>1615152/</t>
  </si>
  <si>
    <t>AVS HK-XS,  Cиловой мех-м,  20K1501</t>
  </si>
  <si>
    <t>2350324/</t>
  </si>
  <si>
    <t>3877585/</t>
  </si>
  <si>
    <t>4061248/</t>
  </si>
  <si>
    <t>4649355/</t>
  </si>
  <si>
    <t>4694451/</t>
  </si>
  <si>
    <t>4857465/</t>
  </si>
  <si>
    <t>AVS HK-XS,Tip-on, Cиловой м-м 20K1101T</t>
  </si>
  <si>
    <t>5065724/</t>
  </si>
  <si>
    <t>AVS HF,HL,HS,Загл кр с лог,бел20F9001.BL</t>
  </si>
  <si>
    <t>6797562/</t>
  </si>
  <si>
    <t>AVS HF,HL,HS,Загл кр с лог,сер20F9001.BL</t>
  </si>
  <si>
    <t>7303280/</t>
  </si>
  <si>
    <t>8041284/</t>
  </si>
  <si>
    <t>AVS HK-XS,Tip-on, Cиловой м-м 20K1501T</t>
  </si>
  <si>
    <t>8180982/</t>
  </si>
  <si>
    <t>8572348/</t>
  </si>
  <si>
    <t>AVS HK-XS,  Cиловой мех-м,  20K1101</t>
  </si>
  <si>
    <t>8910604/</t>
  </si>
  <si>
    <t>AVS HK-XS, Крепл фасада на сам, 20K4101</t>
  </si>
  <si>
    <t>9330897/</t>
  </si>
  <si>
    <t>AVS HK-XS,  Cиловой мех-м,  20K1301</t>
  </si>
  <si>
    <t>9519259/</t>
  </si>
  <si>
    <t>AVS HK-XS,Tip-on, Cиловой м-м 20K1301T</t>
  </si>
  <si>
    <t>0020284/</t>
  </si>
  <si>
    <t>ZBH, Б/съемн. патрон+втулка,лев,MZF.2000</t>
  </si>
  <si>
    <t>1428244/</t>
  </si>
  <si>
    <t>ZBH, BOXFIX P д/сборки LBX/TBX, ZMM.2750</t>
  </si>
  <si>
    <t>2476597/</t>
  </si>
  <si>
    <t>ZBH, 5-шп. гол. к M,P серии ЕА, M51P1303</t>
  </si>
  <si>
    <t>ZBH, Шаблон д/напр. МТВ,Standart,65.3300</t>
  </si>
  <si>
    <t>ZBH, 8-шп. гол. к M,P,Minidrill,MZK.880S</t>
  </si>
  <si>
    <t>ZBH, 8-шп. гол. к Pro, Pro-C,MZK.2200.01</t>
  </si>
  <si>
    <t>ZBH, Стеллаж д/сверл-ых гол-ок, MZA.2600</t>
  </si>
  <si>
    <t>ZBH, 9-шп. гол. к M,P,Minidrill,MZK.190S</t>
  </si>
  <si>
    <t>5649604/</t>
  </si>
  <si>
    <t>6379211/</t>
  </si>
  <si>
    <t>ZBH, Б/съемн. сверл. патрон, MZF.1030   </t>
  </si>
  <si>
    <t>6763494/</t>
  </si>
  <si>
    <t>ZBH, Переходник быстр. патр к МZK.1000/8</t>
  </si>
  <si>
    <t>ZBH, Б/съемн. патрон, 5 кмп, MZF.1000.01</t>
  </si>
  <si>
    <t>ZBH, Сверло с огр,2,7х82,7мм,пр,M01.ZZ03</t>
  </si>
  <si>
    <t>DYNALOG 2642, Интерактивный элек-ный кат</t>
  </si>
  <si>
    <t>8735878/</t>
  </si>
  <si>
    <t>ZBH, 9-шп. гол. к Pro, Pro-C,MZK.2810.01</t>
  </si>
  <si>
    <t>ZBH, Станок Minipress P,3ф,400В,M53.1000</t>
  </si>
  <si>
    <t>ZBH, Станок Minipress P,1ф,230В,М53.1050</t>
  </si>
  <si>
    <t>Pocket door 350 мм,лев,270E3500.03(СНЯТ)</t>
  </si>
  <si>
    <t>Pocket door 400 мм,лев,270E4000.03(снят)</t>
  </si>
  <si>
    <t>Pocket door 600 мм,лев,270E6000.03(СНЯТ)</t>
  </si>
  <si>
    <t>2662419/</t>
  </si>
  <si>
    <t>7525818/</t>
  </si>
  <si>
    <t>CLIP top, Заглушка Союз-Меб 70.1503(риc)</t>
  </si>
  <si>
    <t>7554092/</t>
  </si>
  <si>
    <t>CLIP TOP, Загл штамп Giulia Nov, 70.1503</t>
  </si>
  <si>
    <t>9854078/</t>
  </si>
  <si>
    <t>10010301/</t>
  </si>
  <si>
    <t>10010301Ф/</t>
  </si>
  <si>
    <t>10010302/</t>
  </si>
  <si>
    <t>10010302Ф/</t>
  </si>
  <si>
    <t>5022480/</t>
  </si>
  <si>
    <t>6648459/</t>
  </si>
  <si>
    <t>6653286/</t>
  </si>
  <si>
    <t>7295652/</t>
  </si>
  <si>
    <t>216817/</t>
  </si>
  <si>
    <t>6458488/</t>
  </si>
  <si>
    <t>820590/</t>
  </si>
  <si>
    <t>внутр. М</t>
  </si>
  <si>
    <t>кр.96 лев</t>
  </si>
  <si>
    <t>кр.96 пр</t>
  </si>
  <si>
    <t>пер. пан.</t>
  </si>
  <si>
    <t>191 лев</t>
  </si>
  <si>
    <t>191 пр</t>
  </si>
  <si>
    <t>224 лев</t>
  </si>
  <si>
    <t>224 пр</t>
  </si>
  <si>
    <t>рел/п/п</t>
  </si>
  <si>
    <t>з/с191 л</t>
  </si>
  <si>
    <t>з/с191 пр</t>
  </si>
  <si>
    <t>з/с224 л</t>
  </si>
  <si>
    <t>з/с224 пр</t>
  </si>
  <si>
    <t>рел вн л</t>
  </si>
  <si>
    <t>рел вн п</t>
  </si>
  <si>
    <r>
      <t xml:space="preserve">ВЫСОТА  </t>
    </r>
    <r>
      <rPr>
        <b/>
        <i/>
        <sz val="22"/>
        <color theme="0"/>
        <rFont val="Arial Cyr"/>
        <charset val="204"/>
      </rPr>
      <t xml:space="preserve">М </t>
    </r>
    <r>
      <rPr>
        <b/>
        <i/>
        <sz val="12"/>
        <color theme="0"/>
        <rFont val="Arial Cyr"/>
        <charset val="204"/>
      </rPr>
      <t>(83)</t>
    </r>
  </si>
  <si>
    <r>
      <t xml:space="preserve">ВЫСОТА  </t>
    </r>
    <r>
      <rPr>
        <b/>
        <i/>
        <sz val="22"/>
        <color theme="0"/>
        <rFont val="Arial Cyr"/>
        <charset val="204"/>
      </rPr>
      <t xml:space="preserve">D </t>
    </r>
    <r>
      <rPr>
        <b/>
        <i/>
        <sz val="12"/>
        <color theme="0"/>
        <rFont val="Arial Cyr"/>
        <charset val="204"/>
      </rPr>
      <t>(224)</t>
    </r>
  </si>
  <si>
    <t>BOXCAP</t>
  </si>
  <si>
    <t>BOXCAP внутренний</t>
  </si>
  <si>
    <t>BOXCAP под мойку</t>
  </si>
  <si>
    <t>BOXCOVER* внутренний</t>
  </si>
  <si>
    <t>BOXCOVER*</t>
  </si>
  <si>
    <t>BOXCOVER* под мойку</t>
  </si>
  <si>
    <r>
      <t xml:space="preserve">Tandembox </t>
    </r>
    <r>
      <rPr>
        <b/>
        <i/>
        <sz val="16"/>
        <color theme="0"/>
        <rFont val="Arial Cyr"/>
        <charset val="204"/>
      </rPr>
      <t>INTIVO</t>
    </r>
  </si>
  <si>
    <r>
      <rPr>
        <b/>
        <i/>
        <sz val="12"/>
        <rFont val="Arial Cyr"/>
        <charset val="204"/>
      </rPr>
      <t>Tandembox</t>
    </r>
    <r>
      <rPr>
        <b/>
        <i/>
        <sz val="14"/>
        <rFont val="Arial Cyr"/>
        <charset val="204"/>
      </rPr>
      <t xml:space="preserve"> </t>
    </r>
    <r>
      <rPr>
        <b/>
        <i/>
        <sz val="16"/>
        <color theme="0"/>
        <rFont val="Arial Cyr"/>
        <charset val="204"/>
      </rPr>
      <t>ANTARO</t>
    </r>
  </si>
  <si>
    <r>
      <t xml:space="preserve">Tandembox </t>
    </r>
    <r>
      <rPr>
        <b/>
        <i/>
        <sz val="16"/>
        <color theme="0"/>
        <rFont val="Arial Cyr"/>
        <charset val="204"/>
      </rPr>
      <t>ANTARO под мойку</t>
    </r>
  </si>
  <si>
    <r>
      <t xml:space="preserve">ВЫСОТА  </t>
    </r>
    <r>
      <rPr>
        <b/>
        <i/>
        <sz val="22"/>
        <color theme="0"/>
        <rFont val="Arial Cyr"/>
        <charset val="204"/>
      </rPr>
      <t xml:space="preserve">С </t>
    </r>
    <r>
      <rPr>
        <b/>
        <i/>
        <sz val="12"/>
        <color theme="0"/>
        <rFont val="Arial Cyr"/>
        <charset val="204"/>
      </rPr>
      <t>(191)</t>
    </r>
  </si>
  <si>
    <t>СТАБИЛИЗАТОРЫ*</t>
  </si>
  <si>
    <r>
      <t xml:space="preserve">TANDEMBOX </t>
    </r>
    <r>
      <rPr>
        <b/>
        <i/>
        <sz val="14"/>
        <color theme="0"/>
        <rFont val="Arial Cyr"/>
        <charset val="204"/>
      </rPr>
      <t>TIP-ON</t>
    </r>
  </si>
  <si>
    <r>
      <t xml:space="preserve">TANDEMBOX </t>
    </r>
    <r>
      <rPr>
        <b/>
        <i/>
        <sz val="16"/>
        <color theme="0"/>
        <rFont val="Arial Cyr"/>
        <charset val="204"/>
      </rPr>
      <t>Plus</t>
    </r>
  </si>
  <si>
    <r>
      <t xml:space="preserve">TANDEMBOX </t>
    </r>
    <r>
      <rPr>
        <b/>
        <i/>
        <sz val="16"/>
        <color theme="0"/>
        <rFont val="Arial Cyr"/>
        <charset val="204"/>
      </rPr>
      <t>Plus внутренний</t>
    </r>
  </si>
  <si>
    <t>малый ПОВОРОТНЫЙ</t>
  </si>
  <si>
    <t xml:space="preserve"> компактный ПОВОРОТНЫЙ</t>
  </si>
  <si>
    <r>
      <rPr>
        <b/>
        <sz val="18"/>
        <color indexed="9"/>
        <rFont val="Arial Cyr"/>
        <charset val="204"/>
      </rPr>
      <t>Н</t>
    </r>
    <r>
      <rPr>
        <b/>
        <sz val="10"/>
        <color indexed="9"/>
        <rFont val="Arial Cyr"/>
        <charset val="204"/>
      </rPr>
      <t xml:space="preserve">   240- 600   мм</t>
    </r>
  </si>
  <si>
    <t>Aventos</t>
  </si>
  <si>
    <r>
      <rPr>
        <b/>
        <i/>
        <sz val="20"/>
        <color indexed="9"/>
        <rFont val="Arial"/>
        <family val="2"/>
        <charset val="204"/>
      </rPr>
      <t>HS</t>
    </r>
    <r>
      <rPr>
        <b/>
        <i/>
        <sz val="16"/>
        <rFont val="Arial"/>
        <family val="2"/>
        <charset val="204"/>
      </rPr>
      <t xml:space="preserve"> </t>
    </r>
  </si>
  <si>
    <t>НL</t>
  </si>
  <si>
    <t>НК</t>
  </si>
  <si>
    <r>
      <t xml:space="preserve"> </t>
    </r>
    <r>
      <rPr>
        <b/>
        <i/>
        <sz val="20"/>
        <color indexed="9"/>
        <rFont val="Arial"/>
        <family val="2"/>
        <charset val="204"/>
      </rPr>
      <t>НК-S</t>
    </r>
  </si>
  <si>
    <t>НК-XS</t>
  </si>
  <si>
    <t>НК-S Tip-on</t>
  </si>
  <si>
    <t>НК Tip-on</t>
  </si>
  <si>
    <t>НК-XS Tip-on</t>
  </si>
  <si>
    <t xml:space="preserve"> - рекомендованный комплект петель.</t>
  </si>
  <si>
    <t>Tandem c фиксаторами</t>
  </si>
  <si>
    <t>6526686/</t>
  </si>
  <si>
    <t>2005375/</t>
  </si>
  <si>
    <t>1383971/</t>
  </si>
  <si>
    <t>7007515/</t>
  </si>
  <si>
    <t>Петли</t>
  </si>
  <si>
    <t>Механизм Tip-ON</t>
  </si>
  <si>
    <t>Держатели механизма Tip-ON</t>
  </si>
  <si>
    <t>3315359/</t>
  </si>
  <si>
    <t>4722188/</t>
  </si>
  <si>
    <t>8536923/</t>
  </si>
  <si>
    <t>7004719/</t>
  </si>
  <si>
    <t>4372870/</t>
  </si>
  <si>
    <t>5066363/</t>
  </si>
  <si>
    <t>9183212/</t>
  </si>
  <si>
    <t>Tip-on,Держ прям 20/17,бел 956.1201,V250</t>
  </si>
  <si>
    <t>Tip-on,Держ прям 20/17,сер 956.1201,V250</t>
  </si>
  <si>
    <t>7658203/</t>
  </si>
  <si>
    <t>TIP-ON, CLIP T Б/ПР, -30 град, 78A5451.Т</t>
  </si>
  <si>
    <t>Tip-on, Держ прям 20/17,сер 956.1201 V50</t>
  </si>
  <si>
    <t>Tip-on, Держ прям 20/17,бел 956.1201 V50</t>
  </si>
  <si>
    <t>Tip-on,Держ прям 20/17,чер 956.1201,V250</t>
  </si>
  <si>
    <t>*в системе Tip-On обновлены толкатели и держатели для них. Снижена стоимость! Подробности у менеджеров.</t>
  </si>
  <si>
    <t xml:space="preserve"> - С</t>
  </si>
  <si>
    <t>ё</t>
  </si>
  <si>
    <t>HK-XS</t>
  </si>
  <si>
    <t>компактный</t>
  </si>
  <si>
    <t>1847502/</t>
  </si>
  <si>
    <t>1838267/</t>
  </si>
  <si>
    <t>1520720/</t>
  </si>
  <si>
    <t>1509435/</t>
  </si>
  <si>
    <t>1391462/</t>
  </si>
  <si>
    <t>1365463/</t>
  </si>
  <si>
    <t>1299661/</t>
  </si>
  <si>
    <t>1216764/</t>
  </si>
  <si>
    <t>1066967/</t>
  </si>
  <si>
    <t>1060840/</t>
  </si>
  <si>
    <t>1658416/</t>
  </si>
  <si>
    <t>1683346/</t>
  </si>
  <si>
    <t>2828344/</t>
  </si>
  <si>
    <t>2893126/</t>
  </si>
  <si>
    <t>7280471/</t>
  </si>
  <si>
    <t>7478517/</t>
  </si>
  <si>
    <t>8106326/</t>
  </si>
  <si>
    <t>8111179/</t>
  </si>
  <si>
    <t>8384915/</t>
  </si>
  <si>
    <t>8396233/</t>
  </si>
  <si>
    <t>8701788/</t>
  </si>
  <si>
    <t>8865794/</t>
  </si>
  <si>
    <t>6604340/</t>
  </si>
  <si>
    <t>6606006/</t>
  </si>
  <si>
    <t>6627916/</t>
  </si>
  <si>
    <t>6633576/</t>
  </si>
  <si>
    <t>6521971/</t>
  </si>
  <si>
    <t>6522234/</t>
  </si>
  <si>
    <t>6723863/</t>
  </si>
  <si>
    <t>6754103/</t>
  </si>
  <si>
    <t>1284889/</t>
  </si>
  <si>
    <t>1296116/</t>
  </si>
  <si>
    <t>3038140/</t>
  </si>
  <si>
    <t>3089324/</t>
  </si>
  <si>
    <t>3145013/</t>
  </si>
  <si>
    <t>3179858/</t>
  </si>
  <si>
    <t>3268199/</t>
  </si>
  <si>
    <t>3296864/</t>
  </si>
  <si>
    <t>3304791/</t>
  </si>
  <si>
    <t>3310076/</t>
  </si>
  <si>
    <t>3852259/</t>
  </si>
  <si>
    <t>3863588/</t>
  </si>
  <si>
    <t>3914446/</t>
  </si>
  <si>
    <t>3974276/</t>
  </si>
  <si>
    <t>5609838/</t>
  </si>
  <si>
    <t>5625223/</t>
  </si>
  <si>
    <t>5655213/</t>
  </si>
  <si>
    <t>5695147/</t>
  </si>
  <si>
    <t>1365128/</t>
  </si>
  <si>
    <t>LBX, Tip-on BM, L3, 350-750 кмп T60L7540</t>
  </si>
  <si>
    <t>1512005/</t>
  </si>
  <si>
    <t>2508131/</t>
  </si>
  <si>
    <t>LBX, Напр.Tip-on BM,450 мм,кмп 750.4501M</t>
  </si>
  <si>
    <t>3270285/</t>
  </si>
  <si>
    <t>4538135/</t>
  </si>
  <si>
    <t>LBX, Напр.Tip-on BM,350 мм,кмп 750.3501M</t>
  </si>
  <si>
    <t>9554467/</t>
  </si>
  <si>
    <t>LBX, Напр.Tip-on BM,500 мм,кмп 750.5001M</t>
  </si>
  <si>
    <t xml:space="preserve"> - при ширине ящика более 600мм рекомендуется ставить синхронизатор!</t>
  </si>
  <si>
    <t>Синхронизатор</t>
  </si>
  <si>
    <t>3064135/</t>
  </si>
  <si>
    <t>3089290/</t>
  </si>
  <si>
    <t>AVS HK-S, Держ фасада алю, прав(3064135)</t>
  </si>
  <si>
    <t>0005292/</t>
  </si>
  <si>
    <t>0005298/</t>
  </si>
  <si>
    <t>2148692/</t>
  </si>
  <si>
    <t>5936371/</t>
  </si>
  <si>
    <t>8978392/</t>
  </si>
  <si>
    <t>8979452/</t>
  </si>
  <si>
    <t>8979522/</t>
  </si>
  <si>
    <t>8979692/</t>
  </si>
  <si>
    <t>8992843/</t>
  </si>
  <si>
    <t>8993073/</t>
  </si>
  <si>
    <t>9003793/</t>
  </si>
  <si>
    <t>AVS HL, SD, Рычаг, лев 21L3201 (2148692)</t>
  </si>
  <si>
    <t>9003863/</t>
  </si>
  <si>
    <t>AVS HL, SD, Рычаг, лев 21L3501 (5936371)</t>
  </si>
  <si>
    <t>9003933/</t>
  </si>
  <si>
    <t>AVS HL, SD, Рычаг, лев 21L3801 (1012963)</t>
  </si>
  <si>
    <t>9004093/</t>
  </si>
  <si>
    <t>AVS HL, SD, Рычаг, лев 21L3901 (9618963)</t>
  </si>
  <si>
    <t>9004163/</t>
  </si>
  <si>
    <t>9007513/</t>
  </si>
  <si>
    <t>9424472/</t>
  </si>
  <si>
    <t>9424478/</t>
  </si>
  <si>
    <t>9431540/</t>
  </si>
  <si>
    <t>9618963/</t>
  </si>
  <si>
    <t>LEGRABOX Free</t>
  </si>
  <si>
    <t>C Free</t>
  </si>
  <si>
    <t>FREE</t>
  </si>
  <si>
    <t>зад.дер.л</t>
  </si>
  <si>
    <t>зад.дер.пр</t>
  </si>
  <si>
    <t>пер.дер</t>
  </si>
  <si>
    <t>7608015/</t>
  </si>
  <si>
    <t>4242211/</t>
  </si>
  <si>
    <t>1418426/</t>
  </si>
  <si>
    <t>8572285/</t>
  </si>
  <si>
    <t>9806211/</t>
  </si>
  <si>
    <t>9112237/</t>
  </si>
  <si>
    <t>5095220/</t>
  </si>
  <si>
    <t>5222798/</t>
  </si>
  <si>
    <t>5286912/</t>
  </si>
  <si>
    <t>LBX-F, Боковина C 176,8/500 мм, бел, кмп</t>
  </si>
  <si>
    <t>LBX-F, Боковина 176,8/500 мм, черн, кмп.</t>
  </si>
  <si>
    <r>
      <t xml:space="preserve">ВЫСОТА </t>
    </r>
    <r>
      <rPr>
        <b/>
        <i/>
        <sz val="22"/>
        <color indexed="9"/>
        <rFont val="Arial Cyr"/>
        <charset val="204"/>
      </rPr>
      <t xml:space="preserve">С </t>
    </r>
    <r>
      <rPr>
        <b/>
        <i/>
        <sz val="12"/>
        <rFont val="Arial Cyr"/>
        <charset val="204"/>
      </rPr>
      <t xml:space="preserve">177мм </t>
    </r>
    <r>
      <rPr>
        <b/>
        <i/>
        <sz val="16"/>
        <rFont val="Arial Cyr"/>
        <charset val="204"/>
      </rPr>
      <t>FREE</t>
    </r>
  </si>
  <si>
    <t>вн.заг.л</t>
  </si>
  <si>
    <t xml:space="preserve"> пер.пан</t>
  </si>
  <si>
    <t>9064917/</t>
  </si>
  <si>
    <t>9090985/</t>
  </si>
  <si>
    <t>9224405/</t>
  </si>
  <si>
    <t>9354446/</t>
  </si>
  <si>
    <t>внутренний с релингом</t>
  </si>
  <si>
    <t>внутренний со вставкой</t>
  </si>
  <si>
    <t>LBX-F, Задний держ стекл вст C бел, лев.</t>
  </si>
  <si>
    <t>LBX-F, Передн держ стекл вст С бел симм.</t>
  </si>
  <si>
    <t>LBX-F, Боковина 176,8/500 мм, черн, лев.</t>
  </si>
  <si>
    <t>LBX-F, Задн. держ стекл вст C черн, прав</t>
  </si>
  <si>
    <t>LBX-F, Задн. держ. стекл вст C черн, лев</t>
  </si>
  <si>
    <t>LBX-F, передн. держ. стекл. вст. С черн.</t>
  </si>
  <si>
    <t>8107316/</t>
  </si>
  <si>
    <t>3073069/</t>
  </si>
  <si>
    <t>6706250/</t>
  </si>
  <si>
    <t>3226305/</t>
  </si>
  <si>
    <t>3151385/</t>
  </si>
  <si>
    <t>9141098/</t>
  </si>
  <si>
    <t>8983117/</t>
  </si>
  <si>
    <t>8439930/</t>
  </si>
  <si>
    <t>7986081/</t>
  </si>
  <si>
    <t>4542652/</t>
  </si>
  <si>
    <t>4055779/</t>
  </si>
  <si>
    <t>4468421/</t>
  </si>
  <si>
    <t>3860376/</t>
  </si>
  <si>
    <t>7043119/</t>
  </si>
  <si>
    <t>6971178/</t>
  </si>
  <si>
    <t>1823545/</t>
  </si>
  <si>
    <t>2234802/</t>
  </si>
  <si>
    <t>LBX, Tip-on BM, L1, 350-750 кмп T60L7340</t>
  </si>
  <si>
    <t>5016984/</t>
  </si>
  <si>
    <t>5222754/</t>
  </si>
  <si>
    <t>5705646/</t>
  </si>
  <si>
    <t>6650293/</t>
  </si>
  <si>
    <t>LBX, Направл. с TIP-ON, 40 кг, 450 мм, п</t>
  </si>
  <si>
    <t>6812926/</t>
  </si>
  <si>
    <t>6819065/</t>
  </si>
  <si>
    <t>LBX, Направл. с TIP-ON, 40 кг, 450 мм, л</t>
  </si>
  <si>
    <t>8142713/</t>
  </si>
  <si>
    <t>4529568/</t>
  </si>
  <si>
    <t>5236052/</t>
  </si>
  <si>
    <t>6749518/</t>
  </si>
  <si>
    <t>6950702/</t>
  </si>
  <si>
    <t>7246986/</t>
  </si>
  <si>
    <t>LBX, Держат. задн. ст, 253 мм, сер, кмп.</t>
  </si>
  <si>
    <t>LBX, Загл держ п/п M, сер, прав ZI7.0MS3</t>
  </si>
  <si>
    <t>8435320/</t>
  </si>
  <si>
    <t>8936515/</t>
  </si>
  <si>
    <t>9974816/</t>
  </si>
  <si>
    <t>1468593/</t>
  </si>
  <si>
    <t>2554244/</t>
  </si>
  <si>
    <t>2753238/</t>
  </si>
  <si>
    <t>2995962/</t>
  </si>
  <si>
    <t>3398923/</t>
  </si>
  <si>
    <t>3460154/</t>
  </si>
  <si>
    <t>3655321/</t>
  </si>
  <si>
    <t>LBX-F, Боковины C 176,8/350 мм, бел, кмп</t>
  </si>
  <si>
    <t>4299922/</t>
  </si>
  <si>
    <t>LBX, Задн ст L-обр. бел. кмп ZB7C129S.6S</t>
  </si>
  <si>
    <t>4507006/</t>
  </si>
  <si>
    <t>LBX, Держат. задн. ст, 144 мм, бел, кмп.</t>
  </si>
  <si>
    <t>LBX, Загл держ п/п M, бел , лев ZI7.0MS3</t>
  </si>
  <si>
    <t>4967635/</t>
  </si>
  <si>
    <t>LBX, держ. п/п п/вст C,бел, кмп ZI7.2CS0</t>
  </si>
  <si>
    <t>LBX, Загл держ п/п C, бел, прав ZI7.2CS3</t>
  </si>
  <si>
    <t>6274922/</t>
  </si>
  <si>
    <t>LBX, Держат. задн. ст, 253 мм, бел, кмп.</t>
  </si>
  <si>
    <t>6481733/</t>
  </si>
  <si>
    <t>6482622/</t>
  </si>
  <si>
    <t>LBX, Загл вн держ п/п C, бел пр ZI7.3C08</t>
  </si>
  <si>
    <t>LBX, Загл вн держ п/п C, бел ле ZI7.3C08</t>
  </si>
  <si>
    <t>9103721/</t>
  </si>
  <si>
    <t>9160529/</t>
  </si>
  <si>
    <t>9261724/</t>
  </si>
  <si>
    <t>9345377/</t>
  </si>
  <si>
    <t>9525482/</t>
  </si>
  <si>
    <t>9583788/</t>
  </si>
  <si>
    <t>9642984/</t>
  </si>
  <si>
    <t>9652951/</t>
  </si>
  <si>
    <t>LBX, Загл держ п/п M, бел, прав ZI7.0MS3</t>
  </si>
  <si>
    <t>1259576/</t>
  </si>
  <si>
    <t>LBX, Загл держ п/п вст, чер, пр ZI7.1MS3</t>
  </si>
  <si>
    <t>1439628/</t>
  </si>
  <si>
    <t>LBX, Загл держ п/п вст, чер,лев ZI7.1MS3</t>
  </si>
  <si>
    <t>1854528/</t>
  </si>
  <si>
    <t>LBX, Загл вн держ п/п, чер, лев ZI7.1M08</t>
  </si>
  <si>
    <t>2041058/</t>
  </si>
  <si>
    <t>2253958/</t>
  </si>
  <si>
    <t>LBX, Боковина C 176,8/450 мм, черн, прав</t>
  </si>
  <si>
    <t>2256358/</t>
  </si>
  <si>
    <t>2833615/</t>
  </si>
  <si>
    <t>2849290/</t>
  </si>
  <si>
    <t>LBX, Загл держ п/п С, черн, лев ZI7.2CS3</t>
  </si>
  <si>
    <t>3426563/</t>
  </si>
  <si>
    <t>LBX, Задн ст L-обр. чер. кмп ZB7C129S.6S</t>
  </si>
  <si>
    <t>LBX, Загл держ п/п М, черн, лев ZI7.0MS3</t>
  </si>
  <si>
    <t>4895221/</t>
  </si>
  <si>
    <t>4964369/</t>
  </si>
  <si>
    <t>5413831/</t>
  </si>
  <si>
    <t>5420321/</t>
  </si>
  <si>
    <t>LBX, Боковина C 176,8/500 мм, черн, прав</t>
  </si>
  <si>
    <t>6830747/</t>
  </si>
  <si>
    <t>6838446/</t>
  </si>
  <si>
    <t>7456586/</t>
  </si>
  <si>
    <t>LBX, Боковина C 176,8/270 мм, черн, прав</t>
  </si>
  <si>
    <t>7488637/</t>
  </si>
  <si>
    <t>8020918/</t>
  </si>
  <si>
    <t>8028456/</t>
  </si>
  <si>
    <t>LBX, Боковина C 176,8/350 мм, черн, прав</t>
  </si>
  <si>
    <t>8463442/</t>
  </si>
  <si>
    <t>8959099/</t>
  </si>
  <si>
    <t>9123035/</t>
  </si>
  <si>
    <t>1955343/</t>
  </si>
  <si>
    <t>2248989/</t>
  </si>
  <si>
    <t>LBX, держ. задн. ст, 102 мм, нерж, прав.</t>
  </si>
  <si>
    <t>2447122/</t>
  </si>
  <si>
    <t>3272102/</t>
  </si>
  <si>
    <t>3414728/</t>
  </si>
  <si>
    <t>4816608/</t>
  </si>
  <si>
    <t>LBX, Загл вн держ. п/п нерж лев ZI7.1M08</t>
  </si>
  <si>
    <t>6061320/</t>
  </si>
  <si>
    <t>6198223/</t>
  </si>
  <si>
    <t>LBX, Загл держ п/п вст нерж лев ZI7.1MI3</t>
  </si>
  <si>
    <t>6242793/</t>
  </si>
  <si>
    <t>LBX, Пер. панель c/п п/раскрой 1043 нерж</t>
  </si>
  <si>
    <t>7954101/</t>
  </si>
  <si>
    <t>8937075/</t>
  </si>
  <si>
    <t>LBX, Пер. панель б/п п/раскрой 1043 нерж</t>
  </si>
  <si>
    <t>9094890/</t>
  </si>
  <si>
    <t>LBX, Боковина М 90,5/500 мм, нерж, прав.</t>
  </si>
  <si>
    <t>9109851/</t>
  </si>
  <si>
    <t>9782673/</t>
  </si>
  <si>
    <t>9913559/</t>
  </si>
  <si>
    <t>LBX, Загл вн держ п/п, кор, лев ZI7.2C08</t>
  </si>
  <si>
    <t>LBX, Загл держ п/п М, кор, прав ZI7.0MS3</t>
  </si>
  <si>
    <t>LBX, Загл вн держ п/п, кор, пра ZI7.2C08</t>
  </si>
  <si>
    <t>LBX, Держат. задн.ст, 253 мм, кор, прав.</t>
  </si>
  <si>
    <t>2346429/</t>
  </si>
  <si>
    <t>LBX, Напр.Tip-on BM,400 мм,кмп 750.4001M</t>
  </si>
  <si>
    <t>3451357/</t>
  </si>
  <si>
    <t>LBX, Tip-on BM, S1, 270-349 кмп T60L7140</t>
  </si>
  <si>
    <t>8850350/</t>
  </si>
  <si>
    <t>9105005/</t>
  </si>
  <si>
    <t>9950830/</t>
  </si>
  <si>
    <t>LBX, Боковины N 66,5/450 мм, сер, кмп</t>
  </si>
  <si>
    <t>LBX500C1E/</t>
  </si>
  <si>
    <t>LBX500M1E/</t>
  </si>
  <si>
    <t>LBX500N1E/</t>
  </si>
  <si>
    <t>LBX500F2E/</t>
  </si>
  <si>
    <t>LBX500M2E/</t>
  </si>
  <si>
    <t>LBX500N2E/</t>
  </si>
  <si>
    <t>LBX500C3E/</t>
  </si>
  <si>
    <t>LBX500F3E/</t>
  </si>
  <si>
    <t>LBX500M3E/</t>
  </si>
  <si>
    <t>LBX500N3E/</t>
  </si>
  <si>
    <t>1241241/</t>
  </si>
  <si>
    <t>1665209/</t>
  </si>
  <si>
    <t>LBX,Держ передн пан M, кмп ZI7.0MI0 нерж</t>
  </si>
  <si>
    <t>9240980/</t>
  </si>
  <si>
    <t>9439314/</t>
  </si>
  <si>
    <t>LBX,Держ п/пан C п/рел,кмп,ZI7.3CI0 нерж</t>
  </si>
  <si>
    <t>1952399/</t>
  </si>
  <si>
    <t>2140552/</t>
  </si>
  <si>
    <t>AMB, Рамка компенсац. 118/500, орех тен.</t>
  </si>
  <si>
    <t>2795205/</t>
  </si>
  <si>
    <t>AMB, Рамка компенсац. 118/500,сер. Орион</t>
  </si>
  <si>
    <t>3896104/</t>
  </si>
  <si>
    <t>4230278/</t>
  </si>
  <si>
    <t>AMB, Рамка компенсац. 118/500,терра-чер.</t>
  </si>
  <si>
    <t>5742937/</t>
  </si>
  <si>
    <t>AMB, Рамка компенсац. 118/500, дуб небр.</t>
  </si>
  <si>
    <t>5834206/</t>
  </si>
  <si>
    <t>7627957/</t>
  </si>
  <si>
    <t>7647343/</t>
  </si>
  <si>
    <t>AMB, Рамка компенсац. 118/500, дуб бард.</t>
  </si>
  <si>
    <t>8504478/</t>
  </si>
  <si>
    <t>8807475/</t>
  </si>
  <si>
    <t>AMB, Рамка компенсац. 118/500,белый шелк</t>
  </si>
  <si>
    <t>9809820/</t>
  </si>
  <si>
    <t>накладная 107</t>
  </si>
  <si>
    <t>накладная 110</t>
  </si>
  <si>
    <t>4243508/</t>
  </si>
  <si>
    <t>LBX350PC01AK/</t>
  </si>
  <si>
    <t>LBX350PC02AK/</t>
  </si>
  <si>
    <t>LBX350PC03AK/</t>
  </si>
  <si>
    <t>LBX350PC04AK/</t>
  </si>
  <si>
    <t>LBX350PM01AK/</t>
  </si>
  <si>
    <t>LBX350PM02AK/</t>
  </si>
  <si>
    <t>LBX350PM03AK/</t>
  </si>
  <si>
    <t>LBX350PM04AK/</t>
  </si>
  <si>
    <t>LBX500PC01AK/</t>
  </si>
  <si>
    <t>LBX500PC02AK/</t>
  </si>
  <si>
    <t>LBX500PC03AK/</t>
  </si>
  <si>
    <t>LBX500PC04AK/</t>
  </si>
  <si>
    <t>LBX500PM01AK/</t>
  </si>
  <si>
    <t>LBX500PM02AK/</t>
  </si>
  <si>
    <t>LBX500PM03AK/</t>
  </si>
  <si>
    <t>LBX500PM04AK/</t>
  </si>
  <si>
    <t>TBA500D2I/</t>
  </si>
  <si>
    <t>TBA500D3I/</t>
  </si>
  <si>
    <t>TBX antaro 500 D черный одинарный релинг</t>
  </si>
  <si>
    <t>TBA500M2I/</t>
  </si>
  <si>
    <t>TBA500M3I/</t>
  </si>
  <si>
    <t>TBX500D1I/</t>
  </si>
  <si>
    <t>ТВХ plus 500 выс.D одинарный релинг,сер.</t>
  </si>
  <si>
    <t>TBX500M1I/</t>
  </si>
  <si>
    <t>1788040/</t>
  </si>
  <si>
    <t>1788196/</t>
  </si>
  <si>
    <t>TBX, Царга 83/650 мм, сер,лев. 378M6502S</t>
  </si>
  <si>
    <t>2783866/</t>
  </si>
  <si>
    <t>TBX, Отв.часть ручки с поводком ZIF.7002</t>
  </si>
  <si>
    <t>4170930/</t>
  </si>
  <si>
    <t>TBX, Двухст. Boxside, 650 мм, сер,кмп.V9</t>
  </si>
  <si>
    <t>4217080/</t>
  </si>
  <si>
    <t>TBX, Царга 83/600 мм, сер,пр. 359M6002S</t>
  </si>
  <si>
    <t>4217160/</t>
  </si>
  <si>
    <t>TBX, Царга 83/600 мм, сер,лев. 359M6002S</t>
  </si>
  <si>
    <t>TBX, Держ. задн. ст, D 224 мм, сер, лев.</t>
  </si>
  <si>
    <t>6085060/</t>
  </si>
  <si>
    <t>TBX, Крепл п/пан вн, 192мм, кмп ZIF.72C0</t>
  </si>
  <si>
    <t>7394139/</t>
  </si>
  <si>
    <t>7396730/</t>
  </si>
  <si>
    <t>7939882/</t>
  </si>
  <si>
    <t>8254975/</t>
  </si>
  <si>
    <t>TBX, Царги под мойку,450 мм,сер, кмп NEW</t>
  </si>
  <si>
    <t>8734707/</t>
  </si>
  <si>
    <t>TBX, Царги под мойку,500 мм,сер, кмп NEW</t>
  </si>
  <si>
    <t>TBX450DR9006</t>
  </si>
  <si>
    <t>TBX450MR9006</t>
  </si>
  <si>
    <t>TBX500DR9006/</t>
  </si>
  <si>
    <t>TBX500MR9006/</t>
  </si>
  <si>
    <t>2608956/</t>
  </si>
  <si>
    <t>2609096/</t>
  </si>
  <si>
    <t>4606555/</t>
  </si>
  <si>
    <t>4640077/</t>
  </si>
  <si>
    <t>4976392/</t>
  </si>
  <si>
    <t>4980401/</t>
  </si>
  <si>
    <t>7710783/</t>
  </si>
  <si>
    <t>TBX, Держ. задн. ст, 81 мм, бел, кмп NEW</t>
  </si>
  <si>
    <t>7733285/</t>
  </si>
  <si>
    <t>TBX, Держат. задн. ст, 128 мм, бел, кмп.</t>
  </si>
  <si>
    <t>3295183/</t>
  </si>
  <si>
    <t>3325943/</t>
  </si>
  <si>
    <t>TBX, Держат. задн. ст, 192 мм, нерж, пр.</t>
  </si>
  <si>
    <t>3326083/</t>
  </si>
  <si>
    <t>TBX, Держат. задн. ст, 192 мм, нерж, лев</t>
  </si>
  <si>
    <t>6848000/</t>
  </si>
  <si>
    <t>7144462/</t>
  </si>
  <si>
    <t>7284815/</t>
  </si>
  <si>
    <t>TBX-A, Царги 101/600 мм, бел, кмп. NEW</t>
  </si>
  <si>
    <t>7339784/</t>
  </si>
  <si>
    <t>7453939/</t>
  </si>
  <si>
    <t>7509352/</t>
  </si>
  <si>
    <t>7979622/</t>
  </si>
  <si>
    <t>TBX-A, SYNCROMOTION, D бел, Z33D0L00A6</t>
  </si>
  <si>
    <t>8751272/</t>
  </si>
  <si>
    <t>8790331/</t>
  </si>
  <si>
    <t>TBX-A, Царги п/мойку 450 мм, бел,кмп NEW</t>
  </si>
  <si>
    <t>8801547/</t>
  </si>
  <si>
    <t>TBX-A, Царги п/мойку 500 мм, бел,кмп NEW</t>
  </si>
  <si>
    <t>8964459/</t>
  </si>
  <si>
    <t>8973703/</t>
  </si>
  <si>
    <t>9063192/</t>
  </si>
  <si>
    <t>TBX-A,Креп п/п п/вст бел кмп ZIF.81D0.01</t>
  </si>
  <si>
    <t>9535289/</t>
  </si>
  <si>
    <t>TBX-A, Держ задн ст,Space Corner,бел,л/п</t>
  </si>
  <si>
    <t>6495837/</t>
  </si>
  <si>
    <t>6498575/</t>
  </si>
  <si>
    <t>6512249/</t>
  </si>
  <si>
    <t>6525754/</t>
  </si>
  <si>
    <t>8726323/</t>
  </si>
  <si>
    <t>8745553/</t>
  </si>
  <si>
    <t>TBX-A, Царги п/мойку 450 мм,черн,кмп NEW</t>
  </si>
  <si>
    <t>8764468/</t>
  </si>
  <si>
    <t>TBX-A, Царги п/мойку 500 мм,черн,кмп NEW</t>
  </si>
  <si>
    <t>TBX-A, BOXCOVER передн, нерж,симм (Стар)</t>
  </si>
  <si>
    <t>8452120/</t>
  </si>
  <si>
    <t>3542431/</t>
  </si>
  <si>
    <t>6255158/</t>
  </si>
  <si>
    <t>6622636/</t>
  </si>
  <si>
    <t>TBX-A, Царга 101/500 мм, нерж, прав. NEW</t>
  </si>
  <si>
    <t>6687499/</t>
  </si>
  <si>
    <t>6964366/</t>
  </si>
  <si>
    <t>7217103/</t>
  </si>
  <si>
    <t>7979620/</t>
  </si>
  <si>
    <t>TBX-A, SYNCROMOTION, D Т-СЕР, Z33D0L00A6</t>
  </si>
  <si>
    <t>8285552/</t>
  </si>
  <si>
    <t>8330267/</t>
  </si>
  <si>
    <t>9120619/</t>
  </si>
  <si>
    <t>9218080/</t>
  </si>
  <si>
    <t>9238958/</t>
  </si>
  <si>
    <t>9356779/</t>
  </si>
  <si>
    <t>9447452/</t>
  </si>
  <si>
    <t>9725417/</t>
  </si>
  <si>
    <t>TBX-A, Царги п/мойку 450 мм,нерж,кмп NEW</t>
  </si>
  <si>
    <t>8675730/</t>
  </si>
  <si>
    <t>TBX-AA, Межсек.стенка,450 мм,серZ46L420S</t>
  </si>
  <si>
    <t>8679310/</t>
  </si>
  <si>
    <t>TBX-AA, Межсек.стенка,500 мм,серZ46L470S</t>
  </si>
  <si>
    <t>9752780/</t>
  </si>
  <si>
    <t>TBA500D1I/</t>
  </si>
  <si>
    <t>TBA500M1I/</t>
  </si>
  <si>
    <t>1802448/</t>
  </si>
  <si>
    <t>TBX-AA, Крепл п/п вн. бел, ZIF.71M0 кмп.</t>
  </si>
  <si>
    <t>4191768/</t>
  </si>
  <si>
    <t>TBXAA450DSW/</t>
  </si>
  <si>
    <t>TBXAA450MSW/</t>
  </si>
  <si>
    <t>TBXAA500DSW/</t>
  </si>
  <si>
    <t>TBXAA500MSW/</t>
  </si>
  <si>
    <t>2062875/</t>
  </si>
  <si>
    <t>7493253/</t>
  </si>
  <si>
    <t>TBX-AA, Рел верхн д/выс ф, 400мм, нерж R</t>
  </si>
  <si>
    <t>8621208/</t>
  </si>
  <si>
    <t>9899566/</t>
  </si>
  <si>
    <t>TBX-AA, Рел верхн д/выс ф, 400мм, нерж L</t>
  </si>
  <si>
    <t>1699007/</t>
  </si>
  <si>
    <t>TBX-AA, Бок. вставка,D 500 мм,стекл. кмп</t>
  </si>
  <si>
    <t>1486446/</t>
  </si>
  <si>
    <t>1829780/</t>
  </si>
  <si>
    <t>4259767/</t>
  </si>
  <si>
    <t>TBX, Tip-on BM, S1,270-349, лев T60B3133</t>
  </si>
  <si>
    <t>4560726/</t>
  </si>
  <si>
    <t>4574230/</t>
  </si>
  <si>
    <t>TBX, Tip-on BM, Напр, 50 кг, 500 мм, лев</t>
  </si>
  <si>
    <t>5690481/</t>
  </si>
  <si>
    <t>TBX, Tip-on BM, Фиксатор синхр, T60B000H</t>
  </si>
  <si>
    <t>6497243/</t>
  </si>
  <si>
    <t>7022020/</t>
  </si>
  <si>
    <t>7096807/</t>
  </si>
  <si>
    <t>TBX, Tip-on BM, S0,270-349, лев T60B3033</t>
  </si>
  <si>
    <t>7434617/</t>
  </si>
  <si>
    <t>7591229/</t>
  </si>
  <si>
    <t>7684974/</t>
  </si>
  <si>
    <t>7753565/</t>
  </si>
  <si>
    <t>7759610/</t>
  </si>
  <si>
    <t>TBX, Tip-on BM, Напр, 30 кг, 270 мм, лев</t>
  </si>
  <si>
    <t>7870699/</t>
  </si>
  <si>
    <t>7873474/</t>
  </si>
  <si>
    <t>TBX, Tip-on BM, Напр, 30 кг, 300 мм, лев</t>
  </si>
  <si>
    <t>7902446/</t>
  </si>
  <si>
    <t>7904544/</t>
  </si>
  <si>
    <t>TBX, Tip-on BM, Напр, 30 кг, 350 мм, лев</t>
  </si>
  <si>
    <t>7909533/</t>
  </si>
  <si>
    <t>7909849/</t>
  </si>
  <si>
    <t>TBX, Tip-on BM, Напр, 30 кг, 400 мм, лев</t>
  </si>
  <si>
    <t>7917701/</t>
  </si>
  <si>
    <t>7929487/</t>
  </si>
  <si>
    <t>TBX, Tip-on BM, Напр, 30 кг, 450 мм, лев</t>
  </si>
  <si>
    <t>7936668/</t>
  </si>
  <si>
    <t>7940374/</t>
  </si>
  <si>
    <t>TBX, Tip-on BM, Напр, 30 кг, 500 мм, лев</t>
  </si>
  <si>
    <t>8010321/</t>
  </si>
  <si>
    <t>TBX, Tip-on BM, L1,350-600, лев T60B3333</t>
  </si>
  <si>
    <t>8522412/</t>
  </si>
  <si>
    <t>8903805/</t>
  </si>
  <si>
    <t>TBX, Tip-on BM, L3,350-600, лев T60B3533</t>
  </si>
  <si>
    <t>1498781/</t>
  </si>
  <si>
    <t>SD, Держ несущ профиля сзади,Z10D3001.01</t>
  </si>
  <si>
    <t>SD-Uno, Набор с шабл,аморт,кмп,Z10NA20EF</t>
  </si>
  <si>
    <t>SD, Кабель сетевой без вилки,Z10M200E.OS</t>
  </si>
  <si>
    <t>SD, Держ блока пит к стене,Z10NG100(снят</t>
  </si>
  <si>
    <t>SD, Держ блока пит к дну с крыш,Z10NG000</t>
  </si>
  <si>
    <t>SD, Уголок-держ одного,Z10D0311(4805174)</t>
  </si>
  <si>
    <t>7287731/</t>
  </si>
  <si>
    <t>SD, Несущ профиль верт, 1170мм,Z10T1170A</t>
  </si>
  <si>
    <t>SD, Кабель синхронизации, 0.08м,Z10K008S</t>
  </si>
  <si>
    <t>SD, Несущ профиль вертик,800мм,Z1OT800AA</t>
  </si>
  <si>
    <t>SD, Дистанционный аморт,Ф8мм,993.0830.01</t>
  </si>
  <si>
    <t>SD, Держ несущ профиля горизонт,Z10D5210</t>
  </si>
  <si>
    <t>SD, Несущ профиль гориз,1143мм,Z10T1143B</t>
  </si>
  <si>
    <t>SD, Дистанционный аморт,Ф10.2мм,993.2000</t>
  </si>
  <si>
    <t>SD-Uno, Держ несущ профиля,прав,Z10D5311</t>
  </si>
  <si>
    <t>SD, Держ блока пит 72Вт к стене,Z10NG120</t>
  </si>
  <si>
    <t>3679306/</t>
  </si>
  <si>
    <t>3695360/</t>
  </si>
  <si>
    <t>3700600/</t>
  </si>
  <si>
    <t>3852306/</t>
  </si>
  <si>
    <t>ORG, Держ д/специй 300мм, ZFZ.30G0I, NEW</t>
  </si>
  <si>
    <t>6278581/</t>
  </si>
  <si>
    <t>ORG, Держ д/специй 450мм, ZFZ.45G0I, NEW</t>
  </si>
  <si>
    <t>6746140/</t>
  </si>
  <si>
    <t>ORG, Набор ст/пр, 600/550 мм, ZSI.60VEI7</t>
  </si>
  <si>
    <t>MBX, Крепл фас п/пресс, прав,ZSF.1610.04</t>
  </si>
  <si>
    <t>MBX, Крепл прод релинг,никел,ZRR.8000.01</t>
  </si>
  <si>
    <t>9356853/</t>
  </si>
  <si>
    <t>9420586/</t>
  </si>
  <si>
    <t>TD без BM, част.выдв, 30 кг, 300 м(СНЯТ)</t>
  </si>
  <si>
    <t>TD без BM, част.выдв, 30 кг, 400 м(СНЯТ)</t>
  </si>
  <si>
    <t>TD без BM, част.выдв, 30 кг, 270 м(СНЯТ)</t>
  </si>
  <si>
    <t>TD без BM, част.выдв, 30 кг, 350 м(снят)</t>
  </si>
  <si>
    <t>TD без BM, част.выдв, 30 кг, 550 м(снят)</t>
  </si>
  <si>
    <t>TD без BM, част.выдв, 30 кг, 500 м(СНЯТ)</t>
  </si>
  <si>
    <t>4323398/</t>
  </si>
  <si>
    <t>4742286/</t>
  </si>
  <si>
    <t>6381836/</t>
  </si>
  <si>
    <t>6646588/</t>
  </si>
  <si>
    <t>7061839/</t>
  </si>
  <si>
    <t>7758857/</t>
  </si>
  <si>
    <t>7801718/</t>
  </si>
  <si>
    <t>8760688/</t>
  </si>
  <si>
    <t>2311411/</t>
  </si>
  <si>
    <t>2351047/</t>
  </si>
  <si>
    <t>TD без ВМ, ч/в 30кг, 410мм, лев(3718524)</t>
  </si>
  <si>
    <t>3718524/</t>
  </si>
  <si>
    <t>3782603/</t>
  </si>
  <si>
    <t>5572518/</t>
  </si>
  <si>
    <t>5748935/</t>
  </si>
  <si>
    <t>6303662/</t>
  </si>
  <si>
    <t>6303742/</t>
  </si>
  <si>
    <t>7620325/</t>
  </si>
  <si>
    <t>7699347/</t>
  </si>
  <si>
    <t>8179122/</t>
  </si>
  <si>
    <t>TD без ВМ, полн.выдв, 30 кг, 560 мм, лев</t>
  </si>
  <si>
    <t>8179362/</t>
  </si>
  <si>
    <t>TD без ВМ, полн.выдв, 30 кг, 560 мм, пр.</t>
  </si>
  <si>
    <t>8995982/</t>
  </si>
  <si>
    <t>8996042/</t>
  </si>
  <si>
    <t>7117574/</t>
  </si>
  <si>
    <t>2289301/</t>
  </si>
  <si>
    <t>Movento, 40 кг, 350 мм,ко дну 760H3500BU</t>
  </si>
  <si>
    <t>4111890/</t>
  </si>
  <si>
    <t>Movento, 40 кг, 400 мм,ко дну 760H4000BU</t>
  </si>
  <si>
    <t>4946537/</t>
  </si>
  <si>
    <t>4969248/</t>
  </si>
  <si>
    <t>Movento, 40 кг, 500 мм, 760H5001B, прав.</t>
  </si>
  <si>
    <t>6987956/</t>
  </si>
  <si>
    <t>Movento, Бок стабилиз.NEW,кмп, ZS7M750MU</t>
  </si>
  <si>
    <t>Movento, модуль рег по глуб,кмп,298.7600</t>
  </si>
  <si>
    <t>Movento, модуль рег по глуб,лев,298.7601</t>
  </si>
  <si>
    <t>Movento+Tip-on, 60 кг, 500 мм, 766H5000T</t>
  </si>
  <si>
    <t>1111672/</t>
  </si>
  <si>
    <t>Movento Tip-on BM,40 кг,270 мм,760H2700M</t>
  </si>
  <si>
    <t>1299845/</t>
  </si>
  <si>
    <t>Movento Tip-on BM,40 кг,300 мм,760H3000M</t>
  </si>
  <si>
    <t>1605111/</t>
  </si>
  <si>
    <t>Movento+Tip-on,Шестерни, кмп,T57.7400.01</t>
  </si>
  <si>
    <t>Movento+Tip-on, 40 кг, 350 мм, 760H3500T</t>
  </si>
  <si>
    <t>Movento+Tip-on, 40 кг, 550 мм, 760H5500T</t>
  </si>
  <si>
    <t>2898847/</t>
  </si>
  <si>
    <t>Movento Tip-on BM,40 кг,350 мм,760H3500M</t>
  </si>
  <si>
    <t>Movento+Tip-on, 60 кг, 700 мм, 766H7000T</t>
  </si>
  <si>
    <t>Movento+Tip-on, 40 кг, 300 мм, 760H3000T</t>
  </si>
  <si>
    <t>Movento+Tip-on, 60 кг, 550 мм, 766H5500T</t>
  </si>
  <si>
    <t>Movento+Tip-on, 60 кг, 600 мм, 766H6000T</t>
  </si>
  <si>
    <t>4015615/</t>
  </si>
  <si>
    <t>Movento Tip-on BM,40 кг,400 мм,760H4000M</t>
  </si>
  <si>
    <t>5075934/</t>
  </si>
  <si>
    <t>Movento/LBX, Вал синхр TIP-ON, ZST.1160W</t>
  </si>
  <si>
    <t>5409444/</t>
  </si>
  <si>
    <t>Movento Tip-on BM,40 кг,450 мм,760H4500M</t>
  </si>
  <si>
    <t>Movento+Tip-on, 40 кг, 600 мм, 760H6000T</t>
  </si>
  <si>
    <t>Movento+Tip-on, 40 кг, 450 мм, 760H4500T</t>
  </si>
  <si>
    <t>6909080/</t>
  </si>
  <si>
    <t>Movento Tip-on BM,40 кг,500 мм,760H5000M</t>
  </si>
  <si>
    <t>7184054/</t>
  </si>
  <si>
    <t>Movento Tip-on BM,60 кг,650 мм,766H6500M</t>
  </si>
  <si>
    <t>Movento+Tip-on, 60 кг, 750 мм, 766H7500T</t>
  </si>
  <si>
    <t>7764148/</t>
  </si>
  <si>
    <t>Movento Tip-on BM,40 кг,550 мм,760H5500M</t>
  </si>
  <si>
    <t>Movento+Tip-on, 40 кг, 250 мм, 760H2500T</t>
  </si>
  <si>
    <t>Movento+Tip-on, 60 кг, 650 мм, 766H6500T</t>
  </si>
  <si>
    <t>8096887/</t>
  </si>
  <si>
    <t>Movento Tip-on BM,60 кг,700 мм,766H7000M</t>
  </si>
  <si>
    <t>Movento+Tip-on, 40 кг, 500 мм, 760H5000T</t>
  </si>
  <si>
    <t>Movento+Tip-on, 40 кг, 400 мм, 760H4000T</t>
  </si>
  <si>
    <t>9061247/</t>
  </si>
  <si>
    <t>Movento Tip-on BM,60 кг,750 мм,766H7500M</t>
  </si>
  <si>
    <t>Movento+Tip-on, 40 кг, 270 мм, 760H2700T</t>
  </si>
  <si>
    <t>Movento+Tip-on, 60 кг, 450 мм, 766H4500T</t>
  </si>
  <si>
    <t>9944080/</t>
  </si>
  <si>
    <t>Movento Tip-on BM,40 кг,600 мм,760H6000M</t>
  </si>
  <si>
    <t>8589412/</t>
  </si>
  <si>
    <t>LBX, Напр.Tip-on BM,270 мм,кмп 750.2701M</t>
  </si>
  <si>
    <t>5031352/</t>
  </si>
  <si>
    <t>5174035/</t>
  </si>
  <si>
    <t>5332306/</t>
  </si>
  <si>
    <t>5332986/</t>
  </si>
  <si>
    <t>2655629/</t>
  </si>
  <si>
    <t>2658133/</t>
  </si>
  <si>
    <t>9968111/</t>
  </si>
  <si>
    <t>LBX500C2E/</t>
  </si>
  <si>
    <t>LBX, Загл вн держ п/п черн, пр. ZI7.3C08</t>
  </si>
  <si>
    <t>LBX, Загл вн держ п/п черн, лев ZI7.3C08</t>
  </si>
  <si>
    <t>8801514/</t>
  </si>
  <si>
    <t>LBX, Боковина C 176,8/400 мм, черн, прав</t>
  </si>
  <si>
    <t>8848193/</t>
  </si>
  <si>
    <t>9903176/</t>
  </si>
  <si>
    <t>9905958/</t>
  </si>
  <si>
    <t>9976170/</t>
  </si>
  <si>
    <t>3793148/</t>
  </si>
  <si>
    <t>LBX,Держ п/пан C п/вст,кмп,ZI7.2CI0 нерж</t>
  </si>
  <si>
    <t>4585623/</t>
  </si>
  <si>
    <t>LBX-F, Задн. держ. стекл. вст С нерж лев</t>
  </si>
  <si>
    <t>5378408/</t>
  </si>
  <si>
    <t>LBX-F, Боковина 176,8/500 мм, нерж,прав.</t>
  </si>
  <si>
    <t>5551045/</t>
  </si>
  <si>
    <t>LBX-F, Боковина 176,8/500 мм, нерж, лев.</t>
  </si>
  <si>
    <t>6657433/</t>
  </si>
  <si>
    <t>LBX-F, Передн держ стекл вст С нерж симм</t>
  </si>
  <si>
    <t>7557781/</t>
  </si>
  <si>
    <t>LBX-F, Задн. держ. стекл вст С нерж прав</t>
  </si>
  <si>
    <t>2903985/</t>
  </si>
  <si>
    <t>3560959/</t>
  </si>
  <si>
    <t>8885527/</t>
  </si>
  <si>
    <t>9384548/</t>
  </si>
  <si>
    <t>9653503/</t>
  </si>
  <si>
    <t>LBX350PC01/</t>
  </si>
  <si>
    <t>LBX350PC02/</t>
  </si>
  <si>
    <t>LBX350PC03/</t>
  </si>
  <si>
    <t>LBX350PC04/</t>
  </si>
  <si>
    <t>LBX350PC11/</t>
  </si>
  <si>
    <t>LBX350PC12/</t>
  </si>
  <si>
    <t>LBX350PC13/</t>
  </si>
  <si>
    <t>LBX350PC14/</t>
  </si>
  <si>
    <t>LBX350PF01/</t>
  </si>
  <si>
    <t>LBX350PF02/</t>
  </si>
  <si>
    <t>LBX350PF03/</t>
  </si>
  <si>
    <t>LBX350PM01/</t>
  </si>
  <si>
    <t>LBX350PM02/</t>
  </si>
  <si>
    <t>LBX350PM03/</t>
  </si>
  <si>
    <t>LBX350PM04/</t>
  </si>
  <si>
    <t>LBX350PM11/</t>
  </si>
  <si>
    <t>LBX350PM12/</t>
  </si>
  <si>
    <t>LBX350PM13/</t>
  </si>
  <si>
    <t>LBX350PM14/</t>
  </si>
  <si>
    <t>LBX500FC01/</t>
  </si>
  <si>
    <t>LBX500FC02/</t>
  </si>
  <si>
    <t>LBX500FC03/</t>
  </si>
  <si>
    <t>LBX500FC04/</t>
  </si>
  <si>
    <t>LBX500FC21/</t>
  </si>
  <si>
    <t>ЯЩИК LBX FREE, C, 500 ММ, ВН. ВСТ. БЕЛ.</t>
  </si>
  <si>
    <t>LBX500FC22/</t>
  </si>
  <si>
    <t>LBX500FC23/</t>
  </si>
  <si>
    <t>LBX500FC24/</t>
  </si>
  <si>
    <t>LBX500PC01/</t>
  </si>
  <si>
    <t>LBX500PC02/</t>
  </si>
  <si>
    <t>LBX500PC03/</t>
  </si>
  <si>
    <t>LBX500PC04/</t>
  </si>
  <si>
    <t>LBX500PC11/</t>
  </si>
  <si>
    <t>LBX500PC12/</t>
  </si>
  <si>
    <t>LBX500PC13/</t>
  </si>
  <si>
    <t>LBX500PC14/</t>
  </si>
  <si>
    <t>LBX500PF01/</t>
  </si>
  <si>
    <t>LBX500PF02/</t>
  </si>
  <si>
    <t>LBX500PF03/</t>
  </si>
  <si>
    <t>LBX500PF04/</t>
  </si>
  <si>
    <t>LBX500PM01/</t>
  </si>
  <si>
    <t>LBX500PM02/</t>
  </si>
  <si>
    <t>LBX500PM03/</t>
  </si>
  <si>
    <t>LBX500PM04/</t>
  </si>
  <si>
    <t>LBX500PM11/</t>
  </si>
  <si>
    <t>LBX500PM12/</t>
  </si>
  <si>
    <t>LBX500PM13/</t>
  </si>
  <si>
    <t>LBX500PM14/</t>
  </si>
  <si>
    <t>LBX500PN01/</t>
  </si>
  <si>
    <t>LBX500PN02/</t>
  </si>
  <si>
    <t>LBX500PN03/</t>
  </si>
  <si>
    <t>LBX500PN04/</t>
  </si>
  <si>
    <t>CLIP top, 170, Загл с лого шт 80.6507.BP</t>
  </si>
  <si>
    <t>6317794/</t>
  </si>
  <si>
    <t>CLIP top, Заглушка п/ст D-обр.хр 84.4120</t>
  </si>
  <si>
    <t>7979873/</t>
  </si>
  <si>
    <t>3005399/</t>
  </si>
  <si>
    <t>CLIP top BM, Петля смежн, 107гр, 75B1650</t>
  </si>
  <si>
    <t>4797498/</t>
  </si>
  <si>
    <t>CLIP top BM, Петля накл,107гр,п/п75B1580</t>
  </si>
  <si>
    <t>5448391/</t>
  </si>
  <si>
    <t>CLIP top BM, Петля п/ф накл, Ins 79B9990</t>
  </si>
  <si>
    <t>7466282/</t>
  </si>
  <si>
    <t>8885303/</t>
  </si>
  <si>
    <t>CLIP top BM,Петля накл,110гр,Ins 71B3590</t>
  </si>
  <si>
    <t>8912953/</t>
  </si>
  <si>
    <t>CLIP top BM,Петля смеж,110гр,Ins 71B3690</t>
  </si>
  <si>
    <t>8913703/</t>
  </si>
  <si>
    <t>CLIP top BM, Петля вкл,110гр,Ins 71B3790</t>
  </si>
  <si>
    <t>9350743/</t>
  </si>
  <si>
    <t>CLIP top BM, Петля п/фал вкл Ins 79B9590</t>
  </si>
  <si>
    <t>9351113/</t>
  </si>
  <si>
    <t>CLIP top BM, Петля 45+ тип I,Ins 79B9698</t>
  </si>
  <si>
    <t>2540603/</t>
  </si>
  <si>
    <t>MDL, Петля накл, 45 гр под пресс 99M1580</t>
  </si>
  <si>
    <t>5355913/</t>
  </si>
  <si>
    <t>Tip-on Clip t. б/п, д/ал,нак, 70T950A.TL</t>
  </si>
  <si>
    <t>7655393/</t>
  </si>
  <si>
    <t>CLIP top, Д/проф, смежн. б/пр 70T9650.TL</t>
  </si>
  <si>
    <t>7655473/</t>
  </si>
  <si>
    <t>4784397/</t>
  </si>
  <si>
    <t>6797053/</t>
  </si>
  <si>
    <t>AVS HF, Петля средн б/пруж, п/п 78Z5530T</t>
  </si>
  <si>
    <t>6877303/</t>
  </si>
  <si>
    <t>AVS HF, Петля б/пруж,накл п/п 70T5580.TL</t>
  </si>
  <si>
    <t>1344034/</t>
  </si>
  <si>
    <t>ZBH,ШАБЛОН-УГОЛ Д/ОТВ.ПЛАНОК,65.5300 NEW</t>
  </si>
  <si>
    <t>2984316/</t>
  </si>
  <si>
    <t>3791768/</t>
  </si>
  <si>
    <t>ZBH, Подшипник д/св. головки MINIPRESS P</t>
  </si>
  <si>
    <t>4061730/</t>
  </si>
  <si>
    <t>4418546/</t>
  </si>
  <si>
    <t>4595787/</t>
  </si>
  <si>
    <t>5054801/</t>
  </si>
  <si>
    <t>ZBH,Шаблон универс. д/корпуса 65.1051.02</t>
  </si>
  <si>
    <t>6875529/</t>
  </si>
  <si>
    <t>7802921/</t>
  </si>
  <si>
    <t>8907394/</t>
  </si>
  <si>
    <t>8946234/</t>
  </si>
  <si>
    <t>9196479/</t>
  </si>
  <si>
    <t>ZBH, Набор креплений д/экодрила M31.1043</t>
  </si>
  <si>
    <t>9198075/</t>
  </si>
  <si>
    <t>9398029/</t>
  </si>
  <si>
    <t>Винт, потайная головка, 3.5х12,никелиров</t>
  </si>
  <si>
    <t>1120856/</t>
  </si>
  <si>
    <t>1701798/</t>
  </si>
  <si>
    <t>1856575/</t>
  </si>
  <si>
    <t>TBX, Загл. с лого Бис Интерьер, ZAA.532C</t>
  </si>
  <si>
    <t>3227217/</t>
  </si>
  <si>
    <t>AVS HF, Загл кругл. Бис Интерьер 20F9001</t>
  </si>
  <si>
    <t>3361704/</t>
  </si>
  <si>
    <t>TBX, Загл.с лого, Любимые Кухни,ZAA.330C</t>
  </si>
  <si>
    <t>4671016/</t>
  </si>
  <si>
    <t>TBX-AA, Загл. с лого RE-FORMA, бел, симм</t>
  </si>
  <si>
    <t>5248783/</t>
  </si>
  <si>
    <t>5623171/</t>
  </si>
  <si>
    <t>5646240/</t>
  </si>
  <si>
    <t>CLIP TOP Загл. Дельта+ штамп, 90M2503.DP</t>
  </si>
  <si>
    <t>6598676/</t>
  </si>
  <si>
    <t>7208680/</t>
  </si>
  <si>
    <t>AVS HK, Загл. Бис Интерьер прав. 20K9001</t>
  </si>
  <si>
    <t>7664427/</t>
  </si>
  <si>
    <t>TBX, Загл.с лого,Союз-мебель ZAA.532 бел</t>
  </si>
  <si>
    <t>8963676/</t>
  </si>
  <si>
    <t>CLIP top, Заглушка Ре-Форма 70.1503R9MAB</t>
  </si>
  <si>
    <t>9290951/</t>
  </si>
  <si>
    <t>9475882/</t>
  </si>
  <si>
    <t>1071284/</t>
  </si>
  <si>
    <t>1074331/</t>
  </si>
  <si>
    <t>1109255/</t>
  </si>
  <si>
    <t>DV-023 Журнал Вдохновение на кухне,пачка</t>
  </si>
  <si>
    <t>1209585/</t>
  </si>
  <si>
    <t>1217175/</t>
  </si>
  <si>
    <t>1309802/</t>
  </si>
  <si>
    <t>EP-206 Каталог Aventos впеч.разнообразие</t>
  </si>
  <si>
    <t>1544567/</t>
  </si>
  <si>
    <t>1919786/</t>
  </si>
  <si>
    <t>EP-253 Брошюра Оригинальн. качество Blum</t>
  </si>
  <si>
    <t>2103731/</t>
  </si>
  <si>
    <t>POS19000F Инф.вклад. д/ящиков TD, Tip-on</t>
  </si>
  <si>
    <t>2420737/</t>
  </si>
  <si>
    <t>2962017/</t>
  </si>
  <si>
    <t>FO-022 Каталог Ответная планка CRISTALLO</t>
  </si>
  <si>
    <t>3344578/</t>
  </si>
  <si>
    <t>POS-110/2 Комфорт использ-я вашей мебели</t>
  </si>
  <si>
    <t>3352709/</t>
  </si>
  <si>
    <t>3481565/</t>
  </si>
  <si>
    <t>3687380/</t>
  </si>
  <si>
    <t>3867197/</t>
  </si>
  <si>
    <t>4041563/</t>
  </si>
  <si>
    <t>4288064/</t>
  </si>
  <si>
    <t>4324770/</t>
  </si>
  <si>
    <t>4401276/</t>
  </si>
  <si>
    <t>4438676/</t>
  </si>
  <si>
    <t>EP-176 Каталог "Станки и приспособления"</t>
  </si>
  <si>
    <t>4567208/</t>
  </si>
  <si>
    <t>4635967/</t>
  </si>
  <si>
    <t>EP-229 Каталог Станки и приспособ. с DVD</t>
  </si>
  <si>
    <t>4698184/</t>
  </si>
  <si>
    <t>4921443/</t>
  </si>
  <si>
    <t>POS19000D Инф. вкладыш д/ящиков LBX, AMB</t>
  </si>
  <si>
    <t>4956184/</t>
  </si>
  <si>
    <t>5072089/</t>
  </si>
  <si>
    <t>5107875/</t>
  </si>
  <si>
    <t>5361240/</t>
  </si>
  <si>
    <t>5444300/</t>
  </si>
  <si>
    <t>5533511/</t>
  </si>
  <si>
    <t>POS19000A Инф. вкладыш д/ящиков TBX, ORG</t>
  </si>
  <si>
    <t>5739705/</t>
  </si>
  <si>
    <t>5773768/</t>
  </si>
  <si>
    <t>POS19000E Инф.вклад. д/ящиков Mov,Tip-on</t>
  </si>
  <si>
    <t>5896236/</t>
  </si>
  <si>
    <t>EP-184 Каталог Movento Эволюция движения</t>
  </si>
  <si>
    <t>6253260/</t>
  </si>
  <si>
    <t>EP-274 Каталог Blum для мебели без ручек</t>
  </si>
  <si>
    <t>6388425/</t>
  </si>
  <si>
    <t>6617554/</t>
  </si>
  <si>
    <t>6663575/</t>
  </si>
  <si>
    <t>6730109/</t>
  </si>
  <si>
    <t>6897674/</t>
  </si>
  <si>
    <t>POS18000W Инф. куб HK-XS, Tip-on для AVS</t>
  </si>
  <si>
    <t>6996490/</t>
  </si>
  <si>
    <t>7053151/</t>
  </si>
  <si>
    <t>7064034/</t>
  </si>
  <si>
    <t>7129711/</t>
  </si>
  <si>
    <t>7556341/</t>
  </si>
  <si>
    <t>7843388/</t>
  </si>
  <si>
    <t>7906806/</t>
  </si>
  <si>
    <t>8229514/</t>
  </si>
  <si>
    <t>EP-177 Каталог Clip top 155' Спец.констр</t>
  </si>
  <si>
    <t>8243956/</t>
  </si>
  <si>
    <t>8332281/</t>
  </si>
  <si>
    <t>8334115/</t>
  </si>
  <si>
    <t>EP-225 Каталог AVS констр.со ск/кромками</t>
  </si>
  <si>
    <t>8347631/</t>
  </si>
  <si>
    <t>POS19000C Инф.вклад.д/ящиков TBX Ant,ORG</t>
  </si>
  <si>
    <t>8515514/</t>
  </si>
  <si>
    <t>POS19000B Инф.вклад. д/ящиков TBX Int,SD</t>
  </si>
  <si>
    <t>8536261/</t>
  </si>
  <si>
    <t>8571776/</t>
  </si>
  <si>
    <t>9415489/</t>
  </si>
  <si>
    <t>9609005/</t>
  </si>
  <si>
    <t>9616207/</t>
  </si>
  <si>
    <t>EP-231 Каталог Рац. исп. полезного пр-ва</t>
  </si>
  <si>
    <t>9768327/</t>
  </si>
  <si>
    <t>9950892/</t>
  </si>
  <si>
    <t>..../</t>
  </si>
  <si>
    <t>.../</t>
  </si>
  <si>
    <t>../</t>
  </si>
  <si>
    <t>/</t>
  </si>
  <si>
    <t>Справочная информация Blum июль 2015 75ш</t>
  </si>
  <si>
    <t>00032093/</t>
  </si>
  <si>
    <t>1117636/</t>
  </si>
  <si>
    <t>1202392/</t>
  </si>
  <si>
    <t>28003993/</t>
  </si>
  <si>
    <t>3058371/</t>
  </si>
  <si>
    <t>3193484/</t>
  </si>
  <si>
    <t>4120397/</t>
  </si>
  <si>
    <t>4225791/</t>
  </si>
  <si>
    <t>4231449/</t>
  </si>
  <si>
    <t>4335762/</t>
  </si>
  <si>
    <t>5320065/</t>
  </si>
  <si>
    <t>5438018/</t>
  </si>
  <si>
    <t>6039825/</t>
  </si>
  <si>
    <t>6948430/</t>
  </si>
  <si>
    <t>6949830/</t>
  </si>
  <si>
    <t>8064280/</t>
  </si>
  <si>
    <t>8064420/</t>
  </si>
  <si>
    <t>8242000/</t>
  </si>
  <si>
    <t>цена за шт.</t>
  </si>
  <si>
    <t>SPACE CORNER TANDEMBOX plus M</t>
  </si>
  <si>
    <t>SPACE CORNER TANDEMBOX plus D</t>
  </si>
  <si>
    <t>SPACE CORNER TANDEMBOX Intivo D</t>
  </si>
  <si>
    <t>SPACE CORNER TANDEMBOX plus M + SYNCROMOTION</t>
  </si>
  <si>
    <t>SPACE CORNER TANDEMBOX plus D  + SYNCROMOTION</t>
  </si>
  <si>
    <t>SPACE CORNER TANDEMBOX Intivo D  + SYNCROMOTION</t>
  </si>
  <si>
    <r>
      <t xml:space="preserve">MOVENTO </t>
    </r>
    <r>
      <rPr>
        <b/>
        <i/>
        <sz val="16"/>
        <color theme="0"/>
        <rFont val="Arial"/>
        <family val="2"/>
        <charset val="204"/>
      </rPr>
      <t>BLUMOTION</t>
    </r>
  </si>
  <si>
    <r>
      <t xml:space="preserve">MOVENTO </t>
    </r>
    <r>
      <rPr>
        <b/>
        <i/>
        <sz val="16"/>
        <color theme="0"/>
        <rFont val="Arial"/>
        <family val="2"/>
        <charset val="204"/>
      </rPr>
      <t>TiP-ON</t>
    </r>
  </si>
  <si>
    <r>
      <t xml:space="preserve">MOVENTO </t>
    </r>
    <r>
      <rPr>
        <b/>
        <i/>
        <sz val="16"/>
        <color theme="0"/>
        <rFont val="Arial"/>
        <family val="2"/>
        <charset val="204"/>
      </rPr>
      <t>TiP-ON BLUMOTION</t>
    </r>
  </si>
  <si>
    <t>Направляющие 40кг</t>
  </si>
  <si>
    <t>Направляющие 60кг</t>
  </si>
  <si>
    <t>Направляющие 40/60кг</t>
  </si>
  <si>
    <t>Механизмы Tip-On Blumotion</t>
  </si>
  <si>
    <t>Замки/Регулировка по глубине</t>
  </si>
  <si>
    <t>Подбор системы направляющих MOVENTO</t>
  </si>
  <si>
    <t>Технология движения:</t>
  </si>
  <si>
    <t>Глубина ящика:</t>
  </si>
  <si>
    <t>TIP-ON</t>
  </si>
  <si>
    <t>TIP-ON BLUMOTION</t>
  </si>
  <si>
    <t>Регулировка по глубине:</t>
  </si>
  <si>
    <t>до 600</t>
  </si>
  <si>
    <t>600-1400</t>
  </si>
  <si>
    <t>да</t>
  </si>
  <si>
    <t>нет</t>
  </si>
  <si>
    <t>Комплект системы MOVENTO</t>
  </si>
  <si>
    <t>BLUMOTION 40 250</t>
  </si>
  <si>
    <t>BLUMOTION 40 270</t>
  </si>
  <si>
    <t>BLUMOTION 40 300</t>
  </si>
  <si>
    <t>BLUMOTION 40 350</t>
  </si>
  <si>
    <t>BLUMOTION 40 400</t>
  </si>
  <si>
    <t>BLUMOTION 40 450</t>
  </si>
  <si>
    <t>BLUMOTION 40 500</t>
  </si>
  <si>
    <t>BLUMOTION 40 550</t>
  </si>
  <si>
    <t>BLUMOTION 40 600</t>
  </si>
  <si>
    <t>BLUMOTION 60 450</t>
  </si>
  <si>
    <t>BLUMOTION 60 500</t>
  </si>
  <si>
    <t>BLUMOTION 60 550</t>
  </si>
  <si>
    <t>BLUMOTION 60 600</t>
  </si>
  <si>
    <t>BLUMOTION 60 650</t>
  </si>
  <si>
    <t>BLUMOTION 60 700</t>
  </si>
  <si>
    <t>BLUMOTION 60 750</t>
  </si>
  <si>
    <t>TIP-ON 40 250</t>
  </si>
  <si>
    <t>TIP-ON 40 270</t>
  </si>
  <si>
    <t>TIP-ON 40 300</t>
  </si>
  <si>
    <t>TIP-ON 40 350</t>
  </si>
  <si>
    <t>TIP-ON 40 400</t>
  </si>
  <si>
    <t>TIP-ON 40 450</t>
  </si>
  <si>
    <t>TIP-ON 40 500</t>
  </si>
  <si>
    <t>TIP-ON 40 550</t>
  </si>
  <si>
    <t>TIP-ON 40 600</t>
  </si>
  <si>
    <t>TIP-ON 60 450</t>
  </si>
  <si>
    <t>TIP-ON 60 500</t>
  </si>
  <si>
    <t>TIP-ON 60 550</t>
  </si>
  <si>
    <t>TIP-ON 60 600</t>
  </si>
  <si>
    <t>TIP-ON 60 650</t>
  </si>
  <si>
    <t>TIP-ON 60 700</t>
  </si>
  <si>
    <t>TIP-ON 60 750</t>
  </si>
  <si>
    <t>EUR/шт.</t>
  </si>
  <si>
    <t>Ширина корпуса:</t>
  </si>
  <si>
    <t>LBX450C1E/</t>
  </si>
  <si>
    <t>LBX, Ящик высотой C, 450 мм. серый</t>
  </si>
  <si>
    <t>LBX450F1E/</t>
  </si>
  <si>
    <t>LBX, Ящик высотой F, 450 мм. серый</t>
  </si>
  <si>
    <t>LBX450M1E/</t>
  </si>
  <si>
    <t>LBX, Ящик высотой M, 450 мм. серый</t>
  </si>
  <si>
    <t>LBX, Ящик высотой C, 500 мм. серый</t>
  </si>
  <si>
    <t>LBX500F1E/</t>
  </si>
  <si>
    <t>LBX, Ящик высотой F, 500 мм. серый</t>
  </si>
  <si>
    <t>LBX, Ящик высотой M, 500 мм. серый</t>
  </si>
  <si>
    <t>LBX, Ящик высотой N, 500 мм. серый</t>
  </si>
  <si>
    <t>LBX450C2E/</t>
  </si>
  <si>
    <t>LBX, Ящик высотой C, 450 мм. белый шелк</t>
  </si>
  <si>
    <t>LBX450F2E/</t>
  </si>
  <si>
    <t>LBX, Ящик высотой F, 450 мм. белый шелк</t>
  </si>
  <si>
    <t>LBX450M2E/</t>
  </si>
  <si>
    <t>LBX, Ящик высотой M, 450 мм. белый шелк</t>
  </si>
  <si>
    <t>LBX, Ящик высотой C, 500 мм. белый шелк</t>
  </si>
  <si>
    <t>LBX, Ящик высотой F, 500 мм. белый шелк</t>
  </si>
  <si>
    <t>LBX, Ящик высотой M, 500 мм. белый шелк</t>
  </si>
  <si>
    <t>LBX, Ящик высотой N, 500 мм. белый шелк</t>
  </si>
  <si>
    <t>LBX, Ящик высотой C, 500 мм. черный</t>
  </si>
  <si>
    <t>LBX, Ящик высотой F, 500 мм. черный</t>
  </si>
  <si>
    <t>LBX, Ящик высотой M, 500 мм. черный</t>
  </si>
  <si>
    <t>LBX, Ящик высотой N, 500 мм. черный</t>
  </si>
  <si>
    <t>Торговая</t>
  </si>
  <si>
    <t>Промышленная</t>
  </si>
  <si>
    <t>Индивидуальная</t>
  </si>
  <si>
    <t>C450БЕЛЫЙ ШЕЛК - матовый</t>
  </si>
  <si>
    <t>F450БЕЛЫЙ ШЕЛК - матовый</t>
  </si>
  <si>
    <t>C450ORION матово-серый</t>
  </si>
  <si>
    <t>F450ORION матово-серый</t>
  </si>
  <si>
    <t>M450ORION матово-серый</t>
  </si>
  <si>
    <t>C500ORION матово-серый</t>
  </si>
  <si>
    <t>F500ORION матово-серый</t>
  </si>
  <si>
    <t>M500ORION матово-серый</t>
  </si>
  <si>
    <t>N500ORION матово-серый</t>
  </si>
  <si>
    <t>M450БЕЛЫЙ ШЕЛК - матовый</t>
  </si>
  <si>
    <t>C500БЕЛЫЙ ШЕЛК - матовый</t>
  </si>
  <si>
    <t>F500БЕЛЫЙ ШЕЛК - матовый</t>
  </si>
  <si>
    <t>M500БЕЛЫЙ ШЕЛК - матовый</t>
  </si>
  <si>
    <t>N500БЕЛЫЙ ШЕЛК - матовый</t>
  </si>
  <si>
    <t>C500ТЕРРА ЧЕРНЫЙ - матовый</t>
  </si>
  <si>
    <t>F500ТЕРРА ЧЕРНЫЙ - матовый</t>
  </si>
  <si>
    <t>M500ТЕРРА ЧЕРНЫЙ - матовый</t>
  </si>
  <si>
    <t>N500ТЕРРА ЧЕРНЫЙ - матовый</t>
  </si>
  <si>
    <t>Индивидуальная упаковка</t>
  </si>
  <si>
    <t>8145106/</t>
  </si>
  <si>
    <t>8163892/</t>
  </si>
  <si>
    <t>8232508/</t>
  </si>
  <si>
    <t>8385764/</t>
  </si>
  <si>
    <t>8477460/</t>
  </si>
  <si>
    <t>8762565/</t>
  </si>
  <si>
    <t>8799519/</t>
  </si>
  <si>
    <t>8858929/</t>
  </si>
  <si>
    <t>8962303/</t>
  </si>
  <si>
    <t>9096837/</t>
  </si>
  <si>
    <t>9153879/</t>
  </si>
  <si>
    <t>9978373/</t>
  </si>
  <si>
    <t>LBX, Боковины N 66,5/500 мм, сер, кмп</t>
  </si>
  <si>
    <t>8156603/</t>
  </si>
  <si>
    <t>8292779/</t>
  </si>
  <si>
    <t>8395424/</t>
  </si>
  <si>
    <t>8441668/</t>
  </si>
  <si>
    <t>8505699/</t>
  </si>
  <si>
    <t>8764832/</t>
  </si>
  <si>
    <t>8814169/</t>
  </si>
  <si>
    <t>8914227/</t>
  </si>
  <si>
    <t>8952499/</t>
  </si>
  <si>
    <t>8965119/</t>
  </si>
  <si>
    <t>9100975/</t>
  </si>
  <si>
    <t>9547141/</t>
  </si>
  <si>
    <t>LBX, Боковины N 66,3/450 мм, бел, кмп.</t>
  </si>
  <si>
    <t>9980005/</t>
  </si>
  <si>
    <t>LBX, Боковины N 66,3/500 мм, бел, кмп.</t>
  </si>
  <si>
    <t>8161028/</t>
  </si>
  <si>
    <t>8345870/</t>
  </si>
  <si>
    <t>8401192/</t>
  </si>
  <si>
    <t>8577103/</t>
  </si>
  <si>
    <t>8768393/</t>
  </si>
  <si>
    <t>LBX, Боковины C 176,8/270 мм, черн, кмп.</t>
  </si>
  <si>
    <t>8784593/</t>
  </si>
  <si>
    <t>LBX, Боковины C 176,8/300 мм, черн, кмп.</t>
  </si>
  <si>
    <t>8828590/</t>
  </si>
  <si>
    <t>LBX, Боковины C 176,8/350 мм, черн, кмп.</t>
  </si>
  <si>
    <t>8928290/</t>
  </si>
  <si>
    <t>LBX, Боковины C 176,8/400 мм, черн, кмп.</t>
  </si>
  <si>
    <t>LBX, Боковины C 176,8/450 мм, черн, кмп.</t>
  </si>
  <si>
    <t>8979438/</t>
  </si>
  <si>
    <t>LBX, Боковины C 176,8/500 мм, черн, кмп.</t>
  </si>
  <si>
    <t>9177721/</t>
  </si>
  <si>
    <t>LBX, Боковины N 66,3/450 мм, черн, кмп.</t>
  </si>
  <si>
    <t>9995392/</t>
  </si>
  <si>
    <t>LBX, Боковины N 66,3/500 мм, черн, кмп.</t>
  </si>
  <si>
    <t>Царги кпл</t>
  </si>
  <si>
    <t>LBX450PC01AK/</t>
  </si>
  <si>
    <t>LBX450PC02AK/</t>
  </si>
  <si>
    <t>LBX450PC03AK/</t>
  </si>
  <si>
    <t>LBX450PC04AK/</t>
  </si>
  <si>
    <t>LBX450PM01AK/</t>
  </si>
  <si>
    <t>LBX450PM02AK/</t>
  </si>
  <si>
    <t>LBX450PM03AK/</t>
  </si>
  <si>
    <t>LBX450PM04AK/</t>
  </si>
  <si>
    <t>1778993/</t>
  </si>
  <si>
    <t>1784838/</t>
  </si>
  <si>
    <t>6885191/</t>
  </si>
  <si>
    <t>6885499/</t>
  </si>
  <si>
    <t>TBX, Напр. с BM, 65 кг, 650 мм. кмп. NEW</t>
  </si>
  <si>
    <t>8003614/</t>
  </si>
  <si>
    <t>TBX, Крепл фасада п/шурупы, NEW ZSF.35A2</t>
  </si>
  <si>
    <t>8020071/</t>
  </si>
  <si>
    <t>8022011/</t>
  </si>
  <si>
    <t>TBX, Напр. с BM, 30 кг, 270 мм, лев. NEW</t>
  </si>
  <si>
    <t>8025980/</t>
  </si>
  <si>
    <t>8042444/</t>
  </si>
  <si>
    <t>TBX, Напр. с BM, 30 кг, 300 мм, лев. NEW</t>
  </si>
  <si>
    <t>8338119/</t>
  </si>
  <si>
    <t>8433019/</t>
  </si>
  <si>
    <t>8433996/</t>
  </si>
  <si>
    <t>TBX, Напр. с BM, 30 кг, 350 мм, лев. NEW</t>
  </si>
  <si>
    <t>8466910/</t>
  </si>
  <si>
    <t>8469882/</t>
  </si>
  <si>
    <t>TBX, Напр. с BM, 30 кг, 400 мм, лев. NEW</t>
  </si>
  <si>
    <t>8690466/</t>
  </si>
  <si>
    <t>8698727/</t>
  </si>
  <si>
    <t>TBX, Напр. с BM, 30 кг, 450 мм, лев. NEW</t>
  </si>
  <si>
    <t>8709485/</t>
  </si>
  <si>
    <t>8716527/</t>
  </si>
  <si>
    <t>TBX, Напр. с BM, 30 кг, 500 мм, лев. NEW</t>
  </si>
  <si>
    <t>8736348/</t>
  </si>
  <si>
    <t>8757186/</t>
  </si>
  <si>
    <t>TBX, Напр. с BM, 30 кг, 550 мм, лев. NEW</t>
  </si>
  <si>
    <t>9256955/</t>
  </si>
  <si>
    <t>9263404/</t>
  </si>
  <si>
    <t>TBX, Напр. с BM, 50 кг, 500 мм, лев. NEW</t>
  </si>
  <si>
    <t>3136308/</t>
  </si>
  <si>
    <t>3170675/</t>
  </si>
  <si>
    <t>6137207/</t>
  </si>
  <si>
    <t>6137966/</t>
  </si>
  <si>
    <t>TBX-A, Держ задн ст D,Space Corn,бел,л/п</t>
  </si>
  <si>
    <t>7604850/</t>
  </si>
  <si>
    <t>7613287/</t>
  </si>
  <si>
    <t>7643750/</t>
  </si>
  <si>
    <t>7654201/</t>
  </si>
  <si>
    <t>8262773/</t>
  </si>
  <si>
    <t>9061543/</t>
  </si>
  <si>
    <t>TBX-A, Вставка кожа, коричн крок, 500 мм</t>
  </si>
  <si>
    <t>TBX-A, Вставка кожа, коричн крок, 1180мм</t>
  </si>
  <si>
    <t>2406463/</t>
  </si>
  <si>
    <t>TBX-AA, Бок. вставка,500 мм,сер,Z37A467C</t>
  </si>
  <si>
    <t>1023195/</t>
  </si>
  <si>
    <t>TBX, Tip-on BM, L3,350-600, T60B3530 кмп</t>
  </si>
  <si>
    <t>9301459/</t>
  </si>
  <si>
    <t>TBX, Tip-on BM, Напр, 30 кг, 500 мм, кмп</t>
  </si>
  <si>
    <t>3695500/</t>
  </si>
  <si>
    <t>4492546/</t>
  </si>
  <si>
    <t>ORG, Межсекц.стенка, 500 мм,бел,Z46C470S</t>
  </si>
  <si>
    <t>6698230/</t>
  </si>
  <si>
    <t>TBX350BR9006/</t>
  </si>
  <si>
    <t>TBX350MR9006/</t>
  </si>
  <si>
    <t>TBX450BR9006/</t>
  </si>
  <si>
    <t>TBX450MR9006/</t>
  </si>
  <si>
    <t>TBXAA350C01/</t>
  </si>
  <si>
    <t>TBXAA350C11/</t>
  </si>
  <si>
    <t>TBXAA350D01/</t>
  </si>
  <si>
    <t>TBXAA350D11/</t>
  </si>
  <si>
    <t>TBXAA350M01/</t>
  </si>
  <si>
    <t>TBXAA350M11/</t>
  </si>
  <si>
    <t>TBXAA450C01/</t>
  </si>
  <si>
    <t>TBXAA450C11/</t>
  </si>
  <si>
    <t>TBXAA450D01/</t>
  </si>
  <si>
    <t>TBXAA450D11/</t>
  </si>
  <si>
    <t>TBXAA450M01/</t>
  </si>
  <si>
    <t>TBXAA450M11/</t>
  </si>
  <si>
    <t>TBXAA450N01/</t>
  </si>
  <si>
    <t>TBXAA500C01/</t>
  </si>
  <si>
    <t>TBXAA500C11/</t>
  </si>
  <si>
    <t>TBXAA500D01/</t>
  </si>
  <si>
    <t>TBXAA500D11/</t>
  </si>
  <si>
    <t>TBXAA500M01/</t>
  </si>
  <si>
    <t>TBXAA500M11/</t>
  </si>
  <si>
    <t>TBXAA500N01/</t>
  </si>
  <si>
    <t>6319072/</t>
  </si>
  <si>
    <t>TD без ВМ, ч/в 30кг, 510мм, лев(7620325)</t>
  </si>
  <si>
    <t>TD без ВМ, ч/в 30кг, 460мм, лев(5572518)</t>
  </si>
  <si>
    <t>TD без ВМ, ч/в 30кг, 560мм, лев(8529553)</t>
  </si>
  <si>
    <t>TD без ВМ, ч/в 30кг, 310мм, лев(2311411)</t>
  </si>
  <si>
    <t>8529553/</t>
  </si>
  <si>
    <t>8542022/</t>
  </si>
  <si>
    <t>2356190/</t>
  </si>
  <si>
    <t>3863908/</t>
  </si>
  <si>
    <t>LBX-F, Бок. стекл. вставка, 500 мм, кмп.</t>
  </si>
  <si>
    <t>4283251/</t>
  </si>
  <si>
    <t>4314617/</t>
  </si>
  <si>
    <t>4380902/</t>
  </si>
  <si>
    <t>5699464/</t>
  </si>
  <si>
    <t>9133117/</t>
  </si>
  <si>
    <t>LBX, Tip-on BM, L5, 350-750 кмп T60L7570</t>
  </si>
  <si>
    <t>LBX-F, Передн держ стекл вст С сер симм.</t>
  </si>
  <si>
    <t>1537116/</t>
  </si>
  <si>
    <t>LBX, Держат. задн. ст, 144 мм, сер, кмп.</t>
  </si>
  <si>
    <t>1538525/</t>
  </si>
  <si>
    <t>LBX, Задн ст L-обр. сер. кмп ZB7C129S.6S</t>
  </si>
  <si>
    <t>3099055/</t>
  </si>
  <si>
    <t>LBX, Держ п/п п/вст С, сер,кмп. ZI7.2CS0</t>
  </si>
  <si>
    <t>8769064/</t>
  </si>
  <si>
    <t>9409124/</t>
  </si>
  <si>
    <t>9545678/</t>
  </si>
  <si>
    <t>LBXF500C1E/</t>
  </si>
  <si>
    <t>4274411/</t>
  </si>
  <si>
    <t>LBX-F, Боковины C 176,8/450 мм, бел, кмп</t>
  </si>
  <si>
    <t>6800992/</t>
  </si>
  <si>
    <t>6864175/</t>
  </si>
  <si>
    <t>7566189/</t>
  </si>
  <si>
    <t>7627493/</t>
  </si>
  <si>
    <t>LBXF500C2E/</t>
  </si>
  <si>
    <t>2910052/</t>
  </si>
  <si>
    <t>LBX, держ. п/п п/вст C,чер, кмп ZI7.2CS0</t>
  </si>
  <si>
    <t>4059362/</t>
  </si>
  <si>
    <t>4086283/</t>
  </si>
  <si>
    <t>LBX, Боковина K 128,5/270 мм, черн, прав</t>
  </si>
  <si>
    <t>8793091/</t>
  </si>
  <si>
    <t>9555427/</t>
  </si>
  <si>
    <t>LBX, Боковины K 128,5/500 мм, черн, кмп.</t>
  </si>
  <si>
    <t>9901658/</t>
  </si>
  <si>
    <t>2951910/</t>
  </si>
  <si>
    <t>2993387/</t>
  </si>
  <si>
    <t>3563345/</t>
  </si>
  <si>
    <t>3576149/</t>
  </si>
  <si>
    <t>1032061/</t>
  </si>
  <si>
    <t>AMB, Держатель попер. релинга, free, сер</t>
  </si>
  <si>
    <t>2006173/</t>
  </si>
  <si>
    <t>AMB, Держатель попер. релинга, free, чер</t>
  </si>
  <si>
    <t>2644645/</t>
  </si>
  <si>
    <t>AMB, Разделитель попер 87,6 мм. дуб бард</t>
  </si>
  <si>
    <t>3748865/</t>
  </si>
  <si>
    <t>AMB, Держатель попер. релинга, free, бел</t>
  </si>
  <si>
    <t>4189322/</t>
  </si>
  <si>
    <t>4250192/</t>
  </si>
  <si>
    <t>4478837/</t>
  </si>
  <si>
    <t>4873606/</t>
  </si>
  <si>
    <t>6297748/</t>
  </si>
  <si>
    <t>6678082/</t>
  </si>
  <si>
    <t>AMB, Держатель попер. релинга, pure, сер</t>
  </si>
  <si>
    <t>6858779/</t>
  </si>
  <si>
    <t>AMB, Держатель попер. релинга, pure, чер</t>
  </si>
  <si>
    <t>7267832/</t>
  </si>
  <si>
    <t>7762103/</t>
  </si>
  <si>
    <t>AMB, Комплект д/бутылок, черн, ZC7B0200S</t>
  </si>
  <si>
    <t>8291579/</t>
  </si>
  <si>
    <t>9734196/</t>
  </si>
  <si>
    <t>9779494/</t>
  </si>
  <si>
    <t>AMB, Держатель попер. релинга, pure, бел</t>
  </si>
  <si>
    <t>BB0233490/</t>
  </si>
  <si>
    <t>BB0333340/</t>
  </si>
  <si>
    <t>BB0333390/</t>
  </si>
  <si>
    <t>BB0333440/</t>
  </si>
  <si>
    <t>BB0333490/</t>
  </si>
  <si>
    <t>BB0383340/</t>
  </si>
  <si>
    <t>BB0383390/</t>
  </si>
  <si>
    <t>BB0383440/</t>
  </si>
  <si>
    <t>BB0383490/</t>
  </si>
  <si>
    <t>BB0433340/</t>
  </si>
  <si>
    <t>BB0433390/</t>
  </si>
  <si>
    <t>BB0433440/</t>
  </si>
  <si>
    <t>BB0433490/</t>
  </si>
  <si>
    <t>BB0533340/</t>
  </si>
  <si>
    <t>BB0533390/</t>
  </si>
  <si>
    <t>BB0533440/</t>
  </si>
  <si>
    <t>BB0533490/</t>
  </si>
  <si>
    <t>BB0633340/</t>
  </si>
  <si>
    <t>BB0633390/</t>
  </si>
  <si>
    <t>BB0633440/</t>
  </si>
  <si>
    <t>BB0633490/</t>
  </si>
  <si>
    <t>BB0733340/</t>
  </si>
  <si>
    <t>BB0733390/</t>
  </si>
  <si>
    <t>BB0733440/</t>
  </si>
  <si>
    <t>BB0733490/</t>
  </si>
  <si>
    <t>BB0833340/</t>
  </si>
  <si>
    <t>BB0833390/</t>
  </si>
  <si>
    <t>BB0833440/</t>
  </si>
  <si>
    <t>BB0833490/</t>
  </si>
  <si>
    <t>BB0933340/</t>
  </si>
  <si>
    <t>BB0933390/</t>
  </si>
  <si>
    <t>BB0933440/</t>
  </si>
  <si>
    <t>BB0933490/</t>
  </si>
  <si>
    <t>BB1133340/</t>
  </si>
  <si>
    <t>BB1133390/</t>
  </si>
  <si>
    <t>BB1133440/</t>
  </si>
  <si>
    <t>BB1133490/</t>
  </si>
  <si>
    <t>BG0233490/</t>
  </si>
  <si>
    <t>BG0333340/</t>
  </si>
  <si>
    <t>BG0333390/</t>
  </si>
  <si>
    <t>BG0333440/</t>
  </si>
  <si>
    <t>BG0333490/</t>
  </si>
  <si>
    <t>BG0383340/</t>
  </si>
  <si>
    <t>BG0383390/</t>
  </si>
  <si>
    <t>BG0383440/</t>
  </si>
  <si>
    <t>BG0383490/</t>
  </si>
  <si>
    <t>BG0433340/</t>
  </si>
  <si>
    <t>BG0433390/</t>
  </si>
  <si>
    <t>BG0433440/</t>
  </si>
  <si>
    <t>BG0433490/</t>
  </si>
  <si>
    <t>BG0533340/</t>
  </si>
  <si>
    <t>BG0533390/</t>
  </si>
  <si>
    <t>BG0533440/</t>
  </si>
  <si>
    <t>BG0533490/</t>
  </si>
  <si>
    <t>BG0633340/</t>
  </si>
  <si>
    <t>BG0633390/</t>
  </si>
  <si>
    <t>BG0633440/</t>
  </si>
  <si>
    <t>BG0633490/</t>
  </si>
  <si>
    <t>BG0733340/</t>
  </si>
  <si>
    <t>BG0733390/</t>
  </si>
  <si>
    <t>BG0733440/</t>
  </si>
  <si>
    <t>BG0733490/</t>
  </si>
  <si>
    <t>BG0833340/</t>
  </si>
  <si>
    <t>BG0833390/</t>
  </si>
  <si>
    <t>BG0833440/</t>
  </si>
  <si>
    <t>BG0833490/</t>
  </si>
  <si>
    <t>BG0933340/</t>
  </si>
  <si>
    <t>BG0933390/</t>
  </si>
  <si>
    <t>BG0933440/</t>
  </si>
  <si>
    <t>BG0933490/</t>
  </si>
  <si>
    <t>BG1133340/</t>
  </si>
  <si>
    <t>BG1133390/</t>
  </si>
  <si>
    <t>BG1133440/</t>
  </si>
  <si>
    <t>BG1133490/</t>
  </si>
  <si>
    <t>BW0233490/</t>
  </si>
  <si>
    <t>BW0333340/</t>
  </si>
  <si>
    <t>BW0333390/</t>
  </si>
  <si>
    <t>BW0333440/</t>
  </si>
  <si>
    <t>BW0333490/</t>
  </si>
  <si>
    <t>BW0383340/</t>
  </si>
  <si>
    <t>BW0383390/</t>
  </si>
  <si>
    <t>BW0383440/</t>
  </si>
  <si>
    <t>BW0383490/</t>
  </si>
  <si>
    <t>BW0433340/</t>
  </si>
  <si>
    <t>BW0433390/</t>
  </si>
  <si>
    <t>BW0433440/</t>
  </si>
  <si>
    <t>BW0433490/</t>
  </si>
  <si>
    <t>BW0533340/</t>
  </si>
  <si>
    <t>BW0533390/</t>
  </si>
  <si>
    <t>BW0533440/</t>
  </si>
  <si>
    <t>BW0533490/</t>
  </si>
  <si>
    <t>BW0633340/</t>
  </si>
  <si>
    <t>BW0633390/</t>
  </si>
  <si>
    <t>BW0633440/</t>
  </si>
  <si>
    <t>BW0633490/</t>
  </si>
  <si>
    <t>BW0733340/</t>
  </si>
  <si>
    <t>BW0733390/</t>
  </si>
  <si>
    <t>BW0733440/</t>
  </si>
  <si>
    <t>BW0733490/</t>
  </si>
  <si>
    <t>BW0833340/</t>
  </si>
  <si>
    <t>BW0833390/</t>
  </si>
  <si>
    <t>BW0833440/</t>
  </si>
  <si>
    <t>BW0833490/</t>
  </si>
  <si>
    <t>BW0933340/</t>
  </si>
  <si>
    <t>BW0933390/</t>
  </si>
  <si>
    <t>BW0933440/</t>
  </si>
  <si>
    <t>BW0933490/</t>
  </si>
  <si>
    <t>BW1133340/</t>
  </si>
  <si>
    <t>BW1133390/</t>
  </si>
  <si>
    <t>BW1133440/</t>
  </si>
  <si>
    <t>BW1133490/</t>
  </si>
  <si>
    <t>RB0630230/</t>
  </si>
  <si>
    <t>RB0630330/</t>
  </si>
  <si>
    <t>RB0630380/</t>
  </si>
  <si>
    <t>RB0630430/</t>
  </si>
  <si>
    <t>RB0630530/</t>
  </si>
  <si>
    <t>RB0630630/</t>
  </si>
  <si>
    <t>RB0630730/</t>
  </si>
  <si>
    <t>RB0630830/</t>
  </si>
  <si>
    <t>RB0630930/</t>
  </si>
  <si>
    <t>Задн. стен. LBX, корпус 1000 выс. M, чер</t>
  </si>
  <si>
    <t>RB0631130/</t>
  </si>
  <si>
    <t>Задн. стен. LBX, корпус 1200 выс. M, чер</t>
  </si>
  <si>
    <t>RB1480230/</t>
  </si>
  <si>
    <t>RB1480330/</t>
  </si>
  <si>
    <t>RB1480380/</t>
  </si>
  <si>
    <t>RB1480430/</t>
  </si>
  <si>
    <t>RB1480530/</t>
  </si>
  <si>
    <t>RB1480630/</t>
  </si>
  <si>
    <t>RB1480730/</t>
  </si>
  <si>
    <t>RB1480830/</t>
  </si>
  <si>
    <t>RB1480930/</t>
  </si>
  <si>
    <t>Задн. стен. LBX, корпус 1000 выс. C, чер</t>
  </si>
  <si>
    <t>RB1481130/</t>
  </si>
  <si>
    <t>Задн. стен. LBX, корпус 1200 выс. C, чер</t>
  </si>
  <si>
    <t>RB2120530/</t>
  </si>
  <si>
    <t>RB2120630/</t>
  </si>
  <si>
    <t>RB2120730/</t>
  </si>
  <si>
    <t>RB2120830/</t>
  </si>
  <si>
    <t>RB2120930/</t>
  </si>
  <si>
    <t>Задн. стен. LBX, корпус 1000 выс. F, чер</t>
  </si>
  <si>
    <t>RB2121130/</t>
  </si>
  <si>
    <t>Задн. стен. LBX, корпус 1200 выс. F, чер</t>
  </si>
  <si>
    <t>RG0630230/</t>
  </si>
  <si>
    <t>RG0630330/</t>
  </si>
  <si>
    <t>RG0630380/</t>
  </si>
  <si>
    <t>RG0630430/</t>
  </si>
  <si>
    <t>RG0630530/</t>
  </si>
  <si>
    <t>RG0630630/</t>
  </si>
  <si>
    <t>RG0630730/</t>
  </si>
  <si>
    <t>RG0630830/</t>
  </si>
  <si>
    <t>RG0630930/</t>
  </si>
  <si>
    <t>Задн. стен. LBX, корпус 1000 выс. M, сер</t>
  </si>
  <si>
    <t>RG0631130/</t>
  </si>
  <si>
    <t>Задн. стен. LBX, корпус 1200 выс. M, сер</t>
  </si>
  <si>
    <t>RG1480230/</t>
  </si>
  <si>
    <t>RG1480330/</t>
  </si>
  <si>
    <t>RG1480380/</t>
  </si>
  <si>
    <t>RG1480430/</t>
  </si>
  <si>
    <t>RG1480530/</t>
  </si>
  <si>
    <t>RG1480630/</t>
  </si>
  <si>
    <t>RG1480730/</t>
  </si>
  <si>
    <t>RG1480830/</t>
  </si>
  <si>
    <t>RG1480930/</t>
  </si>
  <si>
    <t>Задн. стен. LBX, корпус 1000 выс. C, сер</t>
  </si>
  <si>
    <t>RG1481130/</t>
  </si>
  <si>
    <t>Задн. стен. LBX, корпус 1200 выс. C, сер</t>
  </si>
  <si>
    <t>RG2120530/</t>
  </si>
  <si>
    <t>RG2120630/</t>
  </si>
  <si>
    <t>RG2120730/</t>
  </si>
  <si>
    <t>RG2120830/</t>
  </si>
  <si>
    <t>RG2120930/</t>
  </si>
  <si>
    <t>Задн. стен. LBX, корпус 1000 выс. F, сер</t>
  </si>
  <si>
    <t>RG2121130/</t>
  </si>
  <si>
    <t>Задн. стен. LBX, корпус 1200 выс. F, сер</t>
  </si>
  <si>
    <t>RW0630230/</t>
  </si>
  <si>
    <t>RW0630330/</t>
  </si>
  <si>
    <t>RW0630380/</t>
  </si>
  <si>
    <t>RW0630430/</t>
  </si>
  <si>
    <t>RW0630530/</t>
  </si>
  <si>
    <t>RW0630630/</t>
  </si>
  <si>
    <t>RW0630730/</t>
  </si>
  <si>
    <t>RW0630830/</t>
  </si>
  <si>
    <t>RW0630930/</t>
  </si>
  <si>
    <t>Задн. стен. LBX, корпус 1000 выс. M, бел</t>
  </si>
  <si>
    <t>RW0631130/</t>
  </si>
  <si>
    <t>Задн. стен. LBX, корпус 1200 выс. M, бел</t>
  </si>
  <si>
    <t>RW1480230/</t>
  </si>
  <si>
    <t>RW1480330/</t>
  </si>
  <si>
    <t>RW1480380/</t>
  </si>
  <si>
    <t>RW1480430/</t>
  </si>
  <si>
    <t>RW1480530/</t>
  </si>
  <si>
    <t>RW1480630/</t>
  </si>
  <si>
    <t>RW1480730/</t>
  </si>
  <si>
    <t>RW1480830/</t>
  </si>
  <si>
    <t>RW1480930/</t>
  </si>
  <si>
    <t>Задн. стен. LBX, корпус 1000 выс. C, бел</t>
  </si>
  <si>
    <t>RW1481130/</t>
  </si>
  <si>
    <t>Задн. стен. LBX, корпус 1200 выс. C, бел</t>
  </si>
  <si>
    <t>RW2120530/</t>
  </si>
  <si>
    <t>RW2120630/</t>
  </si>
  <si>
    <t>RW2120730/</t>
  </si>
  <si>
    <t>RW2120830/</t>
  </si>
  <si>
    <t>RW2120930/</t>
  </si>
  <si>
    <t>Задн. стен. LBX, корпус 1000 выс. F, бел</t>
  </si>
  <si>
    <t>RW2121130/</t>
  </si>
  <si>
    <t>Задн. стен. LBX, корпус 1200 выс. F, бел</t>
  </si>
  <si>
    <t>1704442/</t>
  </si>
  <si>
    <t>1830420/</t>
  </si>
  <si>
    <t>CLIP top, Загл.б/лого сталь 70.1563 СНЯТ</t>
  </si>
  <si>
    <t>MPL CLIP,прямая 3 мм с/саморез (8002973)</t>
  </si>
  <si>
    <t>9994470/</t>
  </si>
  <si>
    <t>Clip top, Загл. на петлю прав 70.1553.BL</t>
  </si>
  <si>
    <t>1120793/</t>
  </si>
  <si>
    <t>2427813/</t>
  </si>
  <si>
    <t>1075843/</t>
  </si>
  <si>
    <t>1220669/</t>
  </si>
  <si>
    <t>CLIP top BM, Загл. на чашку, 70T3504 чер</t>
  </si>
  <si>
    <t>2550728/</t>
  </si>
  <si>
    <t>CLIP top BM, Петля накл 110, 71B3550 чер</t>
  </si>
  <si>
    <t>4282731/</t>
  </si>
  <si>
    <t>CLIP top BM, Петля п/фал вкл 79B9550 чер</t>
  </si>
  <si>
    <t>4518926/</t>
  </si>
  <si>
    <t>CLIP top BM, Петля накл 107, 75B1550 чер</t>
  </si>
  <si>
    <t>4821796/</t>
  </si>
  <si>
    <t>5308016/</t>
  </si>
  <si>
    <t>6954352/</t>
  </si>
  <si>
    <t>CLIP top, Загл. с лого сталь 70.1503 чер</t>
  </si>
  <si>
    <t>9043484/</t>
  </si>
  <si>
    <t>CT BM, Петля 45+ тип I, Ins. 79B9698 чер</t>
  </si>
  <si>
    <t>9113259/</t>
  </si>
  <si>
    <t>9522369/</t>
  </si>
  <si>
    <t>9594813/</t>
  </si>
  <si>
    <t>MPL CLIP, прямая, 0 мм, 175H3100, черная</t>
  </si>
  <si>
    <t>7392872/</t>
  </si>
  <si>
    <t>AVSHF2235/</t>
  </si>
  <si>
    <t>AVSHF2238/</t>
  </si>
  <si>
    <t>AVSHF2538/</t>
  </si>
  <si>
    <t>AVSHF2539/</t>
  </si>
  <si>
    <t>AVSHF2838/</t>
  </si>
  <si>
    <t>AVSHF2839/</t>
  </si>
  <si>
    <t>AVSHK23/</t>
  </si>
  <si>
    <t>AVSHK23T/</t>
  </si>
  <si>
    <t>AVSHK25/</t>
  </si>
  <si>
    <t>AVSHK25T/</t>
  </si>
  <si>
    <t>AVSHK27/</t>
  </si>
  <si>
    <t>AVSHK27T/</t>
  </si>
  <si>
    <t>AVSHK29/</t>
  </si>
  <si>
    <t>AVSHK29T/</t>
  </si>
  <si>
    <t>AVSHKSCC/</t>
  </si>
  <si>
    <t>AVSHKSCCT/</t>
  </si>
  <si>
    <t>AVSHKSCE/</t>
  </si>
  <si>
    <t>AVSHKSCET/</t>
  </si>
  <si>
    <t>AVSHKSEE/</t>
  </si>
  <si>
    <t>AVSHKSEET/</t>
  </si>
  <si>
    <t>AVSHKXS11/</t>
  </si>
  <si>
    <t>AVSHKXS11T/</t>
  </si>
  <si>
    <t>AVSHKXS13/</t>
  </si>
  <si>
    <t>AVSHKXS13T/</t>
  </si>
  <si>
    <t>AVSHKXS15/</t>
  </si>
  <si>
    <t>AVSHKXS15T/</t>
  </si>
  <si>
    <t>AVSHSA/</t>
  </si>
  <si>
    <t>AVSHSB/</t>
  </si>
  <si>
    <t>AVSHSC/</t>
  </si>
  <si>
    <t>AVSHSD/</t>
  </si>
  <si>
    <t>AVSHSE/</t>
  </si>
  <si>
    <t>AVSHSF/</t>
  </si>
  <si>
    <t>AVSHSG/</t>
  </si>
  <si>
    <t>AVSHSH/</t>
  </si>
  <si>
    <t>AVSHSI/</t>
  </si>
  <si>
    <t>1673395/</t>
  </si>
  <si>
    <t>2999912/</t>
  </si>
  <si>
    <t>4713009/</t>
  </si>
  <si>
    <t>ZBH, Матр.с шипами д/пластины 65.5210.01</t>
  </si>
  <si>
    <t>4978017/</t>
  </si>
  <si>
    <t>6040375/</t>
  </si>
  <si>
    <t>7491930/</t>
  </si>
  <si>
    <t>7686894/</t>
  </si>
  <si>
    <t>9195000/</t>
  </si>
  <si>
    <t>1044968/</t>
  </si>
  <si>
    <t>2547448/</t>
  </si>
  <si>
    <t>4822484/</t>
  </si>
  <si>
    <t>6033715/</t>
  </si>
  <si>
    <t>7940747/</t>
  </si>
  <si>
    <t>////</t>
  </si>
  <si>
    <t>1031441/</t>
  </si>
  <si>
    <t>1156594/</t>
  </si>
  <si>
    <t>1421795/</t>
  </si>
  <si>
    <t>1860987/</t>
  </si>
  <si>
    <t>2085193/</t>
  </si>
  <si>
    <t>2115533/</t>
  </si>
  <si>
    <t>2320954/</t>
  </si>
  <si>
    <t>2358978/</t>
  </si>
  <si>
    <t>POS166000 Воблер Бесшумное движение 5 шт</t>
  </si>
  <si>
    <t>2634934/</t>
  </si>
  <si>
    <t>2827770/</t>
  </si>
  <si>
    <t>2941243/</t>
  </si>
  <si>
    <t>3090795/</t>
  </si>
  <si>
    <t>POS168000 Воблер Скрытая амортизация 5шт</t>
  </si>
  <si>
    <t>POS175000 наклейка Blum-Logo оранж.20 шт</t>
  </si>
  <si>
    <t>3881098/</t>
  </si>
  <si>
    <t>3904445/</t>
  </si>
  <si>
    <t>4361416/</t>
  </si>
  <si>
    <t>4839693/</t>
  </si>
  <si>
    <t>4887664/</t>
  </si>
  <si>
    <t>5389341/</t>
  </si>
  <si>
    <t>5461980/</t>
  </si>
  <si>
    <t>5483094/</t>
  </si>
  <si>
    <t>5697758/</t>
  </si>
  <si>
    <t>5783389/</t>
  </si>
  <si>
    <t>5797251/</t>
  </si>
  <si>
    <t>5962820/</t>
  </si>
  <si>
    <t>6041736/</t>
  </si>
  <si>
    <t>6345576/</t>
  </si>
  <si>
    <t>6617578/</t>
  </si>
  <si>
    <t>6652623/</t>
  </si>
  <si>
    <t>6666934/</t>
  </si>
  <si>
    <t>6687410/</t>
  </si>
  <si>
    <t>7069478/</t>
  </si>
  <si>
    <t>7071810/</t>
  </si>
  <si>
    <t>7112474/</t>
  </si>
  <si>
    <t>7129681/</t>
  </si>
  <si>
    <t>POS171000 наклейка Blum-Logo мет. 20 шт.</t>
  </si>
  <si>
    <t>7129766/</t>
  </si>
  <si>
    <t>7129773/</t>
  </si>
  <si>
    <t>7398034/</t>
  </si>
  <si>
    <t>7592692/</t>
  </si>
  <si>
    <t>8053995/</t>
  </si>
  <si>
    <t>POS167000 Воблер Закрывай с размаху 5 шт</t>
  </si>
  <si>
    <t>8404774/</t>
  </si>
  <si>
    <t>8585982/</t>
  </si>
  <si>
    <t>8595253/</t>
  </si>
  <si>
    <t>8908881/</t>
  </si>
  <si>
    <t>9130898/</t>
  </si>
  <si>
    <t>9216274/</t>
  </si>
  <si>
    <t>//</t>
  </si>
  <si>
    <t>///</t>
  </si>
  <si>
    <t>9108660/</t>
  </si>
  <si>
    <t>AVS, угловая запчасть к м-му, пластмасса</t>
  </si>
  <si>
    <t>9242903/</t>
  </si>
  <si>
    <t>94036030/</t>
  </si>
  <si>
    <t>9408940/</t>
  </si>
  <si>
    <t>9409000/</t>
  </si>
  <si>
    <t>9409240/</t>
  </si>
  <si>
    <t>9508739/</t>
  </si>
  <si>
    <t>109007000-94/</t>
  </si>
  <si>
    <t>109007010-11/</t>
  </si>
  <si>
    <t>109007010-19/</t>
  </si>
  <si>
    <t>4501005001012-39/</t>
  </si>
  <si>
    <t>4501005001012-40/</t>
  </si>
  <si>
    <t>4501005001012-41/</t>
  </si>
  <si>
    <t>4501005814011-Q2/</t>
  </si>
  <si>
    <t>4501005814011-Q3/</t>
  </si>
  <si>
    <t>4501005814011-Q4/</t>
  </si>
  <si>
    <t>5182903001030-01/</t>
  </si>
  <si>
    <t>5182903906030-01/</t>
  </si>
  <si>
    <t>5182903908030-01/</t>
  </si>
  <si>
    <t>промышленная</t>
  </si>
  <si>
    <t>торговая</t>
  </si>
  <si>
    <t>Пластиковые</t>
  </si>
  <si>
    <t>Вставки для столовых приборов AGOFORM</t>
  </si>
  <si>
    <t>LEGRABOX комплекты</t>
  </si>
  <si>
    <t>ЯЩИК LBX FREE, C, 500 ММ, БЕЛ.</t>
  </si>
  <si>
    <t>ЯЩИК LBX FREE, C, 500 ММ, ВН. ВСТ. КОР.</t>
  </si>
  <si>
    <t>ЯЩИК LBX FREE, C, 500 ММ, ВН. ВСТ. СЕР.</t>
  </si>
  <si>
    <t>ЯЩИК LBX FREE, C, 500 ММ, ВН. ВСТ. ЧЕРН.</t>
  </si>
  <si>
    <t>ЯЩИК LBX FREE, C, 500 ММ, КОР.</t>
  </si>
  <si>
    <t>ЯЩИК LBX FREE, C, 500 ММ, СЕР.</t>
  </si>
  <si>
    <t>ЯЩИК LBX FREE, C, 500 ММ, ЧЕРН.</t>
  </si>
  <si>
    <t>ЯЩИК LBX PURE, C, 350 ММ, БЕЛ.</t>
  </si>
  <si>
    <t>ЯЩИК LBX PURE, C, 350 ММ, ВНУТР. БЕЛ.</t>
  </si>
  <si>
    <t>ЯЩИК LBX PURE, C, 350 ММ, ВНУТР. КОР.</t>
  </si>
  <si>
    <t>ЯЩИК LBX PURE, C, 350 ММ, ВНУТР. СЕР.</t>
  </si>
  <si>
    <t>ЯЩИК LBX PURE, C, 350 ММ, ВНУТР. ЧЕРН.</t>
  </si>
  <si>
    <t>ЯЩИК LBX PURE, C, 350 ММ, КОР.</t>
  </si>
  <si>
    <t>ЯЩИК LBX PURE, C, 350 ММ, СЕР.</t>
  </si>
  <si>
    <t>ЯЩИК LBX PURE, C, 350 ММ, ЧЕРН.</t>
  </si>
  <si>
    <t>ЯЩИК LBX PURE, C, 500 ММ, БЕЛ.</t>
  </si>
  <si>
    <t>ЯЩИК LBX PURE, C, 500 ММ, КОР.</t>
  </si>
  <si>
    <t>ЯЩИК LBX PURE, C, 500 ММ, СЕР.</t>
  </si>
  <si>
    <t>ЯЩИК LBX PURE, C, 500 ММ, ЧЕРН.</t>
  </si>
  <si>
    <t>ЯЩИК LBX PURE, F, 350 ММ, БЕЛ.</t>
  </si>
  <si>
    <t>ЯЩИК LBX PURE, F, 350 ММ, СЕР.</t>
  </si>
  <si>
    <t>ЯЩИК LBX PURE, F, 350 ММ, ЧЕРН.</t>
  </si>
  <si>
    <t>ЯЩИК LBX PURE, F, 500 ММ, БЕЛ.</t>
  </si>
  <si>
    <t>ЯЩИК LBX PURE, F, 500 ММ, КОР.</t>
  </si>
  <si>
    <t>ЯЩИК LBX PURE, F, 500 ММ, СЕР.</t>
  </si>
  <si>
    <t>ЯЩИК LBX PURE, F, 500 ММ, ЧЕРН.</t>
  </si>
  <si>
    <t>ЯЩИК LBX PURE, M, 350 ММ, БЕЛ.</t>
  </si>
  <si>
    <t>ЯЩИК LBX PURE, M, 350 ММ, ВНУТР. БЕЛ.</t>
  </si>
  <si>
    <t>ЯЩИК LBX PURE, M, 350 ММ, ВНУТР. КОР.</t>
  </si>
  <si>
    <t>ЯЩИК LBX PURE, M, 350 ММ, ВНУТР. СЕР.</t>
  </si>
  <si>
    <t>ЯЩИК LBX PURE, M, 350 ММ, ВНУТР. ЧЕРН.</t>
  </si>
  <si>
    <t>ЯЩИК LBX PURE, M, 350 ММ, КОР.</t>
  </si>
  <si>
    <t>ЯЩИК LBX PURE, M, 350 ММ, СЕР.</t>
  </si>
  <si>
    <t>ЯЩИК LBX PURE, M, 350 ММ, ЧЕРН.</t>
  </si>
  <si>
    <t>ЯЩИК LBX PURE, M, 500 ММ, БЕЛ.</t>
  </si>
  <si>
    <t>ЯЩИК LBX PURE, M, 500 ММ, ВНУТР. БЕЛ.</t>
  </si>
  <si>
    <t>ЯЩИК LBX PURE, M, 500 ММ, ВНУТР. КОР.</t>
  </si>
  <si>
    <t>ЯЩИК LBX PURE, M, 500 ММ, ВНУТР. СЕР.</t>
  </si>
  <si>
    <t>ЯЩИК LBX PURE, M, 500 ММ, ВНУТР. ЧЕРН.</t>
  </si>
  <si>
    <t>ЯЩИК LBX PURE, M, 500 ММ, КОР.</t>
  </si>
  <si>
    <t>ЯЩИК LBX PURE, M, 500 ММ, СЕР.</t>
  </si>
  <si>
    <t>ЯЩИК LBX PURE, M, 500 ММ, ЧЕРН.</t>
  </si>
  <si>
    <t>ЯЩИК LBX PURE, N, 500 ММ, БЕЛ.</t>
  </si>
  <si>
    <t>ЯЩИК LBX PURE, N, 500 ММ, КОР.</t>
  </si>
  <si>
    <t>ЯЩИК LBX PURE, N, 500 ММ, СЕР.</t>
  </si>
  <si>
    <t>ЯЩИК LBX PURE, N, 500 ММ, ЧЕРН.</t>
  </si>
  <si>
    <t>ЯЩИК LBX PURE, С, 500 ММ, ВН. РЕЛ. БЕЛ.</t>
  </si>
  <si>
    <t>ЯЩИК LBX PURE, С, 500 ММ, ВН. РЕЛ. КОР.</t>
  </si>
  <si>
    <t>ЯЩИК LBX PURE, С, 500 ММ, ВН. РЕЛ. СЕР.</t>
  </si>
  <si>
    <t>ЯЩИК LBX PURE, С, 500 ММ, ВН. РЕЛ. ЧЕРН.</t>
  </si>
  <si>
    <t>HF рычаги</t>
  </si>
  <si>
    <t>рычаг:</t>
  </si>
  <si>
    <t>Белые заглушки</t>
  </si>
  <si>
    <t>Серые заглушки</t>
  </si>
  <si>
    <t>HS заглушки</t>
  </si>
  <si>
    <t>HL заглушки</t>
  </si>
  <si>
    <t>HK заглушки</t>
  </si>
  <si>
    <t>Е</t>
  </si>
  <si>
    <t>Tip-on</t>
  </si>
  <si>
    <t>Ответные планки:</t>
  </si>
  <si>
    <t>Крест., саморез</t>
  </si>
  <si>
    <t>Крест., евровинт</t>
  </si>
  <si>
    <t>Прямые, саморез</t>
  </si>
  <si>
    <t>Прямые, евровинт</t>
  </si>
  <si>
    <t>Прямая, саморез</t>
  </si>
  <si>
    <t>Прямая, евровинт</t>
  </si>
  <si>
    <t>Бел б/п</t>
  </si>
  <si>
    <t>Бел с/п</t>
  </si>
  <si>
    <t>Сер с/п</t>
  </si>
  <si>
    <t>Сер б/п</t>
  </si>
  <si>
    <t>Черн б/п</t>
  </si>
  <si>
    <t>Черн с/п</t>
  </si>
  <si>
    <t>Metabox</t>
  </si>
  <si>
    <t>Кремовый</t>
  </si>
  <si>
    <t>0 мм</t>
  </si>
  <si>
    <t>3 мм</t>
  </si>
  <si>
    <t>Электрическая система открывания для встроенного холодильника, морозильной камеры, а также посудомоечной машины. Независимо от конструкции корпуса, способа крепления двери к фасаду и направления ее открывания SERVO-DRIVE flex можно использовать для любых встраиваемых холодильников с морозильной камерой и без, а также отдельных морозильников и посудомоечных машин.</t>
  </si>
  <si>
    <t>Донья и задние стенки для LEGRABOX</t>
  </si>
  <si>
    <t>Ширина</t>
  </si>
  <si>
    <t>Глубина</t>
  </si>
  <si>
    <t>Высота</t>
  </si>
  <si>
    <t>Размер</t>
  </si>
  <si>
    <t>Цвет</t>
  </si>
  <si>
    <t xml:space="preserve">Материал  </t>
  </si>
  <si>
    <t>Цвет ящика</t>
  </si>
  <si>
    <t>Ширина корпуса, мм</t>
  </si>
  <si>
    <t>Глубина ящика, мм</t>
  </si>
  <si>
    <t>Высота ящика</t>
  </si>
  <si>
    <t>Выбранный комплект</t>
  </si>
  <si>
    <t xml:space="preserve">Задн. стен. LBX, корпус 300 выс. M, чер </t>
  </si>
  <si>
    <t xml:space="preserve">Задн. стен. LBX, корпус 400 выс. M, чер </t>
  </si>
  <si>
    <t xml:space="preserve">Задн. стен. LBX, корпус 450 выс. M, чер </t>
  </si>
  <si>
    <t xml:space="preserve">Задн. стен. LBX, корпус 500 выс. M, чер </t>
  </si>
  <si>
    <t xml:space="preserve">Задн. стен. LBX, корпус 600 выс. M, чер </t>
  </si>
  <si>
    <t xml:space="preserve">Задн. стен. LBX, корпус 700 выс. M, чер </t>
  </si>
  <si>
    <t xml:space="preserve">Задн. стен. LBX, корпус 800 выс. M, чер </t>
  </si>
  <si>
    <t xml:space="preserve">Задн. стен. LBX, корпус 900 выс. M, чер </t>
  </si>
  <si>
    <t xml:space="preserve">Задн. стен. LBX, корпус 300 выс. C, чер </t>
  </si>
  <si>
    <t xml:space="preserve">Задн. стен. LBX, корпус 400 выс. C, чер </t>
  </si>
  <si>
    <t xml:space="preserve">Задн. стен. LBX, корпус 450 выс. C, чер </t>
  </si>
  <si>
    <t xml:space="preserve">Задн. стен. LBX, корпус 500 выс. C, чер </t>
  </si>
  <si>
    <t xml:space="preserve">Задн. стен. LBX, корпус 600 выс. C, чер </t>
  </si>
  <si>
    <t xml:space="preserve">Задн. стен. LBX, корпус 700 выс. C, чер </t>
  </si>
  <si>
    <t xml:space="preserve">Задн. стен. LBX, корпус 800 выс. C, чер </t>
  </si>
  <si>
    <t xml:space="preserve">Задн. стен. LBX, корпус 900 выс. C, чер </t>
  </si>
  <si>
    <t xml:space="preserve">Задн. стен. LBX, корпус 600 выс. F, чер </t>
  </si>
  <si>
    <t xml:space="preserve">Задн. стен. LBX, корпус 700 выс. F, чер </t>
  </si>
  <si>
    <t xml:space="preserve">Задн. стен. LBX, корпус 800 выс. F, чер </t>
  </si>
  <si>
    <t xml:space="preserve">Задн. стен. LBX, корпус 900 выс. F, чер </t>
  </si>
  <si>
    <t xml:space="preserve">Задн. стен. LBX, корпус 300 выс. M, сер </t>
  </si>
  <si>
    <t xml:space="preserve">Задн. стен. LBX, корпус 400 выс. M, сер </t>
  </si>
  <si>
    <t xml:space="preserve">Задн. стен. LBX, корпус 450 выс. M, сер </t>
  </si>
  <si>
    <t xml:space="preserve">Задн. стен. LBX, корпус 500 выс. M, сер </t>
  </si>
  <si>
    <t xml:space="preserve">Задн. стен. LBX, корпус 600 выс. M, сер </t>
  </si>
  <si>
    <t xml:space="preserve">Задн. стен. LBX, корпус 700 выс. M, сер </t>
  </si>
  <si>
    <t xml:space="preserve">Задн. стен. LBX, корпус 800 выс. M, сер </t>
  </si>
  <si>
    <t xml:space="preserve">Задн. стен. LBX, корпус 900 выс. M, сер </t>
  </si>
  <si>
    <t xml:space="preserve">Задн. стен. LBX, корпус 300 выс. C, сер </t>
  </si>
  <si>
    <t xml:space="preserve">Задн. стен. LBX, корпус 400 выс. C, сер </t>
  </si>
  <si>
    <t xml:space="preserve">Задн. стен. LBX, корпус 450 выс. C, сер </t>
  </si>
  <si>
    <t xml:space="preserve">Задн. стен. LBX, корпус 500 выс. C, сер </t>
  </si>
  <si>
    <t xml:space="preserve">Задн. стен. LBX, корпус 600 выс. C, сер </t>
  </si>
  <si>
    <t xml:space="preserve">Задн. стен. LBX, корпус 700 выс. C, сер </t>
  </si>
  <si>
    <t xml:space="preserve">Задн. стен. LBX, корпус 800 выс. C, сер </t>
  </si>
  <si>
    <t xml:space="preserve">Задн. стен. LBX, корпус 900 выс. C, сер </t>
  </si>
  <si>
    <t xml:space="preserve">Задн. стен. LBX, корпус 600 выс. F, сер </t>
  </si>
  <si>
    <t xml:space="preserve">Задн. стен. LBX, корпус 700 выс. F, сер </t>
  </si>
  <si>
    <t xml:space="preserve">Задн. стен. LBX, корпус 800 выс. F, сер </t>
  </si>
  <si>
    <t xml:space="preserve">Задн. стен. LBX, корпус 900 выс. F, сер </t>
  </si>
  <si>
    <t xml:space="preserve">Задн. стен. LBX, корпус 300 выс. M, бел </t>
  </si>
  <si>
    <t xml:space="preserve">Задн. стен. LBX, корпус 400 выс. M, бел </t>
  </si>
  <si>
    <t xml:space="preserve">Задн. стен. LBX, корпус 450 выс. M, бел </t>
  </si>
  <si>
    <t xml:space="preserve">Задн. стен. LBX, корпус 500 выс. M, бел </t>
  </si>
  <si>
    <t xml:space="preserve">Задн. стен. LBX, корпус 600 выс. M, бел </t>
  </si>
  <si>
    <t xml:space="preserve">Задн. стен. LBX, корпус 700 выс. M, бел </t>
  </si>
  <si>
    <t xml:space="preserve">Задн. стен. LBX, корпус 800 выс. M, бел </t>
  </si>
  <si>
    <t xml:space="preserve">Задн. стен. LBX, корпус 900 выс. M, бел </t>
  </si>
  <si>
    <t xml:space="preserve">Задн. стен. LBX, корпус 300 выс. C, бел </t>
  </si>
  <si>
    <t xml:space="preserve">Задн. стен. LBX, корпус 400 выс. C, бел </t>
  </si>
  <si>
    <t xml:space="preserve">Задн. стен. LBX, корпус 450 выс. C, бел </t>
  </si>
  <si>
    <t xml:space="preserve">Задн. стен. LBX, корпус 500 выс. C, бел </t>
  </si>
  <si>
    <t xml:space="preserve">Задн. стен. LBX, корпус 600 выс. C, бел </t>
  </si>
  <si>
    <t xml:space="preserve">Задн. стен. LBX, корпус 700 выс. C, бел </t>
  </si>
  <si>
    <t xml:space="preserve">Задн. стен. LBX, корпус 800 выс. C, бел </t>
  </si>
  <si>
    <t xml:space="preserve">Задн. стен. LBX, корпус 900 выс. C, бел </t>
  </si>
  <si>
    <t xml:space="preserve">Задн. стен. LBX, корпус 600 выс. F, бел </t>
  </si>
  <si>
    <t xml:space="preserve">Задн. стен. LBX, корпус 700 выс. F, бел </t>
  </si>
  <si>
    <t xml:space="preserve">Задн. стен. LBX, корпус 800 выс. F, бел </t>
  </si>
  <si>
    <t xml:space="preserve">Задн. стен. LBX, корпус 900 выс. F, бел </t>
  </si>
  <si>
    <t>держ релинга</t>
  </si>
  <si>
    <t>прод разделитель</t>
  </si>
  <si>
    <t>Поперечный релинг для высокого ящика</t>
  </si>
  <si>
    <r>
      <t xml:space="preserve">LEGRABOX </t>
    </r>
    <r>
      <rPr>
        <b/>
        <sz val="16"/>
        <color theme="0"/>
        <rFont val="Arial Cyr"/>
        <charset val="204"/>
      </rPr>
      <t>TIP-ON BLUMOTION</t>
    </r>
  </si>
  <si>
    <t>Servo-Drive Flex для холодильников, посудомоечных машин и морозильных камер</t>
  </si>
  <si>
    <t>Выберите для чего планируется использовать Servo-Drive Flex:</t>
  </si>
  <si>
    <t>Кол-во</t>
  </si>
  <si>
    <t>7134011/</t>
  </si>
  <si>
    <t>Итоговая стоимость необходимого комплекта</t>
  </si>
  <si>
    <t>Аксессуары для кухни</t>
  </si>
  <si>
    <t>Комплекты для бутылок</t>
  </si>
  <si>
    <t>Предполагаемая нагрузка до:</t>
  </si>
  <si>
    <t>TIP-ON BLUMOTION 270</t>
  </si>
  <si>
    <t>TIP-ON BLUMOTION 300</t>
  </si>
  <si>
    <t>TIP-ON BLUMOTION 350</t>
  </si>
  <si>
    <t>TIP-ON BLUMOTION 400</t>
  </si>
  <si>
    <t>TIP-ON BLUMOTION 450</t>
  </si>
  <si>
    <t>TIP-ON BLUMOTION 500</t>
  </si>
  <si>
    <t>TIP-ON BLUMOTION 550</t>
  </si>
  <si>
    <t>TIP-ON BLUMOTION 600</t>
  </si>
  <si>
    <t>TIP-ON BLUMOTION 650</t>
  </si>
  <si>
    <t>TIP-ON BLUMOTION 700</t>
  </si>
  <si>
    <t>TIP-ON BLUMOTION 750</t>
  </si>
  <si>
    <t>Tandembox Tip-On Blumotion</t>
  </si>
  <si>
    <t>Выбираем модель ящика:</t>
  </si>
  <si>
    <t>Tandembox Antaro</t>
  </si>
  <si>
    <t>Tandembox Intivo</t>
  </si>
  <si>
    <t>270,300,350,400,450,500</t>
  </si>
  <si>
    <t>450, 500</t>
  </si>
  <si>
    <t>400,450,500</t>
  </si>
  <si>
    <t>TO BM лев.</t>
  </si>
  <si>
    <t>TO BM прав.</t>
  </si>
  <si>
    <t>Tip-On Blumotion</t>
  </si>
  <si>
    <t>3.11</t>
  </si>
  <si>
    <t>СИНХРОНИЗАТОР*</t>
  </si>
  <si>
    <t>Для увеличения области срабатывания при ширине корпуса от 300 мм рекомендуется дополнительно использовать синхронизатор.</t>
  </si>
  <si>
    <t>2792107/</t>
  </si>
  <si>
    <t>2750024/</t>
  </si>
  <si>
    <t>6274057/</t>
  </si>
  <si>
    <t>6249794/</t>
  </si>
  <si>
    <t>6054993/</t>
  </si>
  <si>
    <t>6044308/</t>
  </si>
  <si>
    <t>6071645/</t>
  </si>
  <si>
    <t>6069687/</t>
  </si>
  <si>
    <t>6514512/</t>
  </si>
  <si>
    <t>6512281/</t>
  </si>
  <si>
    <r>
      <rPr>
        <b/>
        <i/>
        <sz val="12"/>
        <rFont val="Arial Cyr"/>
        <charset val="204"/>
      </rPr>
      <t>Tandembox</t>
    </r>
    <r>
      <rPr>
        <b/>
        <i/>
        <sz val="14"/>
        <rFont val="Arial Cyr"/>
        <charset val="204"/>
      </rPr>
      <t xml:space="preserve"> PLUS внутренние ящики</t>
    </r>
  </si>
  <si>
    <t>270, 300, 350, 400,450,500</t>
  </si>
  <si>
    <t>plus Tip-On Blumotion</t>
  </si>
  <si>
    <t>ANTARO Tip-On Blumotion</t>
  </si>
  <si>
    <t>3.12</t>
  </si>
  <si>
    <r>
      <rPr>
        <b/>
        <i/>
        <sz val="12"/>
        <rFont val="Arial Cyr"/>
        <charset val="204"/>
      </rPr>
      <t>Tandembox</t>
    </r>
    <r>
      <rPr>
        <b/>
        <i/>
        <sz val="14"/>
        <rFont val="Arial Cyr"/>
        <charset val="204"/>
      </rPr>
      <t xml:space="preserve"> PLUS Tip-On Blumotion</t>
    </r>
  </si>
  <si>
    <t>plus внутренний Tip-On Blumotion</t>
  </si>
  <si>
    <t>TANDEMBOX plus Tip-On BLUMOTION внутренний</t>
  </si>
  <si>
    <t>TANDEMBOX plus Tip-On Blumotion BLUMOTION с двойным РЕЙЛИНГОМ внутренний</t>
  </si>
  <si>
    <t>TANDEMBOX plus Tip-On BLUMOTION с Boxside внутренний</t>
  </si>
  <si>
    <r>
      <rPr>
        <b/>
        <i/>
        <sz val="12"/>
        <rFont val="Arial Cyr"/>
        <charset val="204"/>
      </rPr>
      <t>Tandembox</t>
    </r>
    <r>
      <rPr>
        <b/>
        <i/>
        <sz val="14"/>
        <rFont val="Arial Cyr"/>
        <charset val="204"/>
      </rPr>
      <t xml:space="preserve"> </t>
    </r>
    <r>
      <rPr>
        <b/>
        <i/>
        <sz val="16"/>
        <color theme="0"/>
        <rFont val="Arial Cyr"/>
        <charset val="204"/>
      </rPr>
      <t xml:space="preserve">ANTARO </t>
    </r>
    <r>
      <rPr>
        <b/>
        <i/>
        <sz val="16"/>
        <rFont val="Arial Cyr"/>
        <charset val="204"/>
      </rPr>
      <t>Tip-On Blumotion</t>
    </r>
  </si>
  <si>
    <t>3.14</t>
  </si>
  <si>
    <r>
      <t xml:space="preserve">Tandembox </t>
    </r>
    <r>
      <rPr>
        <b/>
        <i/>
        <sz val="16"/>
        <color theme="0"/>
        <rFont val="Arial Cyr"/>
        <charset val="204"/>
      </rPr>
      <t xml:space="preserve">INTIVO </t>
    </r>
    <r>
      <rPr>
        <b/>
        <i/>
        <sz val="16"/>
        <rFont val="Arial Cyr"/>
        <charset val="204"/>
      </rPr>
      <t>Tip-On Blumotion</t>
    </r>
  </si>
  <si>
    <t>8801513/</t>
  </si>
  <si>
    <t>накладная в цвете Черный Оникс</t>
  </si>
  <si>
    <t>полунакладная в цвете Черный Оникс</t>
  </si>
  <si>
    <t>вкладная в цвете Черный Оникс</t>
  </si>
  <si>
    <t>угловая в цвете Черный Оникс</t>
  </si>
  <si>
    <t>ф/панель в цвете Черный Оникс</t>
  </si>
  <si>
    <t>6868479/</t>
  </si>
  <si>
    <t>MPL CLIP, крест 3 мм. EXPANDO эксц. чер</t>
  </si>
  <si>
    <t>8540966/</t>
  </si>
  <si>
    <t>MPL CLIP, прямая, 3 мм, 175H3130, черная</t>
  </si>
  <si>
    <t>CLIP top, Загл.на петл с изг чер,70.1663</t>
  </si>
  <si>
    <t xml:space="preserve">Механическая система открывания ящика без ручек и закрывания с доводчиком </t>
  </si>
  <si>
    <t>1385220/</t>
  </si>
  <si>
    <t>1345583/</t>
  </si>
  <si>
    <t>6431292/</t>
  </si>
  <si>
    <t>6410289/</t>
  </si>
  <si>
    <t xml:space="preserve">ЯЩИК LBX PURE, C, 350 ММ, ЧЕРН. АКЦИЯ   </t>
  </si>
  <si>
    <t xml:space="preserve">ЯЩИК LBX PURE, M, 350 ММ, ЧЕРН. АКЦИЯ   </t>
  </si>
  <si>
    <t xml:space="preserve">ЯЩИК LBX PURE, C, 450 ММ, ЧЕРН. АКЦИЯ   </t>
  </si>
  <si>
    <t xml:space="preserve">ЯЩИК LBX PURE, M, 450 ММ, ЧЕРН. АКЦИЯ   </t>
  </si>
  <si>
    <t xml:space="preserve">ЯЩИК LBX PURE, C, 500 ММ, ЧЕРН. АКЦИЯ   </t>
  </si>
  <si>
    <t xml:space="preserve">ЯЩИК LBX PURE, M, 500 ММ, ЧЕРН. АКЦИЯ   </t>
  </si>
  <si>
    <t xml:space="preserve">TBX, Царга 83/300 мм, серая, лев. NEW   </t>
  </si>
  <si>
    <t xml:space="preserve">TBX, Задняя стенка, 96/600 мм, сер./18  </t>
  </si>
  <si>
    <t xml:space="preserve">TBX, Царга 83/650 мм, сер,пр. 378M6502S </t>
  </si>
  <si>
    <t xml:space="preserve">TBX, Держат. задн. ст, 81 мм, сер, лев. </t>
  </si>
  <si>
    <t xml:space="preserve">TBX, Держат. задн. ст, 81 мм, сер, пр.  </t>
  </si>
  <si>
    <t xml:space="preserve">TBX, Держат. задн. ст, 96 мм, сер, лев. </t>
  </si>
  <si>
    <t xml:space="preserve">TBX, Держат. задн. ст, 96 мм, сер, пр.  </t>
  </si>
  <si>
    <t xml:space="preserve">TBX, Держат. задн. ст, 160 мм, сер, пр. </t>
  </si>
  <si>
    <t xml:space="preserve">TBX, Крепл фасада п/шурупы, ZSF.3502.02 </t>
  </si>
  <si>
    <t xml:space="preserve">TBX, Держат. задн. ст, 128 мм, сер, пр. </t>
  </si>
  <si>
    <t xml:space="preserve">TBX, Релинг укор. д/ал. фас, 450мм, сер </t>
  </si>
  <si>
    <t xml:space="preserve">TBX, Задняя стенка, 160/1200 мм, сер.   </t>
  </si>
  <si>
    <t xml:space="preserve">TBX, Держат. задн. ст, 191 мм, сер, пр. </t>
  </si>
  <si>
    <t xml:space="preserve">TBX, Задняя стенка, 224/1200 мм, сер.   </t>
  </si>
  <si>
    <t xml:space="preserve">TBX, Двухст. Boxside, 550 мм, сер, кмп  </t>
  </si>
  <si>
    <t xml:space="preserve">TBX, Двухст. Boxside, 500 мм, сер, кмп. </t>
  </si>
  <si>
    <t xml:space="preserve">TBX, Двухст. Boxside, 600 мм, сер, кмп. </t>
  </si>
  <si>
    <t xml:space="preserve">TBX, Двухст. Boxside, 650 мм, сер, кмп. </t>
  </si>
  <si>
    <t xml:space="preserve">TBX, Царга 83/600 мм, сер,пр. 359M6002S </t>
  </si>
  <si>
    <t xml:space="preserve">TBX, Двухст. Boxside, 450 мм, сер, кмп  </t>
  </si>
  <si>
    <t xml:space="preserve">TBX, Двухст. Boxside, 400 мм, сер, кмп  </t>
  </si>
  <si>
    <t xml:space="preserve">TBX, Крепл п/пан вн, 96мм, пр. ZIF.70M0 </t>
  </si>
  <si>
    <t xml:space="preserve">TBX, Ручка д/внутр ящ п/релинг ZIF.7008 </t>
  </si>
  <si>
    <t xml:space="preserve">TBX, Держ. задн. ст, D 224 мм, сер, пр. </t>
  </si>
  <si>
    <t xml:space="preserve">TBX, Держат. средн. релинга, ZRG. 000E3 </t>
  </si>
  <si>
    <t xml:space="preserve">TBX, Направл. с BM, 30 кг, 500 мм, пр.  </t>
  </si>
  <si>
    <t xml:space="preserve">TBX, Направл. с BM, 30 кг, 500 мм, лев. </t>
  </si>
  <si>
    <t xml:space="preserve">TBX, Направл. с BM, 30 кг, 270 мм, пр.  </t>
  </si>
  <si>
    <t xml:space="preserve">TBX, Направл. с BM, 30 кг, 270 мм, лев. </t>
  </si>
  <si>
    <t xml:space="preserve">TBX, Направл. с BM, 30 кг, 550 мм, лев. </t>
  </si>
  <si>
    <t xml:space="preserve">TBX, Направл. с BM, 50 кг, 450 мм, лев. </t>
  </si>
  <si>
    <t xml:space="preserve">TBX, Направл. с BM, 50 кг, 450 мм, пр.  </t>
  </si>
  <si>
    <t xml:space="preserve">TBX, Направл. с BM, 50 кг, 500 мм, пр.  </t>
  </si>
  <si>
    <t xml:space="preserve">TBX, Направл. с BM, 50 кг, 500 мм, лев. </t>
  </si>
  <si>
    <t xml:space="preserve">TBX, Направл. с BM, 50 кг, 550 мм, лев. </t>
  </si>
  <si>
    <t xml:space="preserve">TBX, Направл. с BM, 30 кг, 300 мм, пр.  </t>
  </si>
  <si>
    <t xml:space="preserve">TBX, Направл. с BM, 30 кг, 300 мм, лев. </t>
  </si>
  <si>
    <t xml:space="preserve">TBX, Кулиса цок. ящ,100мм,кмп, Z93.3C02 </t>
  </si>
  <si>
    <t xml:space="preserve">TBX, Направл. с BM, 30 кг, 400 мм, лев. </t>
  </si>
  <si>
    <t xml:space="preserve">TBX, Направл. с BM, 30 кг, 400 мм, пр.  </t>
  </si>
  <si>
    <t xml:space="preserve">TBX, Направл. с BM, 30 кг, 350 мм, пр.  </t>
  </si>
  <si>
    <t xml:space="preserve">TBX, Направл. с BM, 30 кг, 350 мм, лев. </t>
  </si>
  <si>
    <t>TBX, Крепл п/пан вн, 192мм, лев ZIF.72C0</t>
  </si>
  <si>
    <t xml:space="preserve">TBX, Крепл п/пан вн, 192мм, пр ZIF.72C0 </t>
  </si>
  <si>
    <t>TBX, Крепл п/пан вн, 128мм, пр, ZIF.70K0</t>
  </si>
  <si>
    <t>TBX, Крепл п/пан вн, 128мм, лев ZIF.70K0</t>
  </si>
  <si>
    <t xml:space="preserve">TBX, Напр с BM, 50кг, 650мм (2214113)   </t>
  </si>
  <si>
    <t xml:space="preserve">TBX, Царга цок. ящ, H=100 мм, сер, лев. </t>
  </si>
  <si>
    <t xml:space="preserve">TBX, Царга цок. ящ, H=100 мм, сер, пр.  </t>
  </si>
  <si>
    <t xml:space="preserve">TBX, Направл. с BM, 30 кг, 450 мм, пр.  </t>
  </si>
  <si>
    <t xml:space="preserve">TBX, Направл. с BM, 30 кг, 450 мм, лев. </t>
  </si>
  <si>
    <t xml:space="preserve">TBX, Ручка с пов. д/внутр. ящ, ZIF.7007 </t>
  </si>
  <si>
    <t xml:space="preserve">TBX, Держат. стекл. Boxside, т/сер, лев </t>
  </si>
  <si>
    <t xml:space="preserve">TBX, Держат. стекл. Boxside, т/сер, пр  </t>
  </si>
  <si>
    <t xml:space="preserve">TBX, Центр планка п/мойку с держ.564,6  </t>
  </si>
  <si>
    <t xml:space="preserve">TBX, Царги под мойку, 450 мм, сер, кмп  </t>
  </si>
  <si>
    <t xml:space="preserve">TBX, Царги под мойку, 500 мм, сер, кмп  </t>
  </si>
  <si>
    <t xml:space="preserve">TBX, Напр. с BM, 65кг, 600 мм, кмп. NEW </t>
  </si>
  <si>
    <t xml:space="preserve">TBX, Направл. с BM, 65 кг, 500 мм, лев  </t>
  </si>
  <si>
    <t xml:space="preserve">TBX, Направл. с BM, 65 кг, 500 мм, прав </t>
  </si>
  <si>
    <t xml:space="preserve">TBX, Держат. углов. двойн сер, ZTU.00Z0 </t>
  </si>
  <si>
    <t xml:space="preserve">TBX, Держат. углов.тройн, сер, ZTU.00D0 </t>
  </si>
  <si>
    <t xml:space="preserve">TBX, Напр. с BM, 30 кг, 270 мм, пр. NEW </t>
  </si>
  <si>
    <t xml:space="preserve">TBX, Напр. с BM, 30 кг, 300 мм, пр. NEW </t>
  </si>
  <si>
    <t xml:space="preserve">TBX, Крепл фасада INSERTA, NEW ZSF.39A2 </t>
  </si>
  <si>
    <t xml:space="preserve">TBX, Напр. с BM, 30 кг, 350 мм, пр. NEW </t>
  </si>
  <si>
    <t xml:space="preserve">TBX, Напр. с BM, 30 кг, 400 мм, пр. NEW </t>
  </si>
  <si>
    <t xml:space="preserve">TBX, Напр. с BM, 30 кг, 450 мм, пр. NEW </t>
  </si>
  <si>
    <t xml:space="preserve">TBX, Напр. с BM, 30 кг, 500 мм, пр. NEW </t>
  </si>
  <si>
    <t xml:space="preserve">TBX, Напр. с BM, 30 кг, 550 мм, пр. NEW </t>
  </si>
  <si>
    <t xml:space="preserve">TBX, Направл. с BM, 65 кг, 600мм кмп МП </t>
  </si>
  <si>
    <t xml:space="preserve">TBX, Крепл фас Expando,D,пр ZSF.345E.01 </t>
  </si>
  <si>
    <t xml:space="preserve">TBX, Крепл фас Expando,M,пр ZSF.340E.01 </t>
  </si>
  <si>
    <t xml:space="preserve">TBX, Напр. с BM, 50 кг, 500 мм, пр. NEW </t>
  </si>
  <si>
    <t xml:space="preserve">TBX, Держат. задн. ст, 96 мм, бел, лев. </t>
  </si>
  <si>
    <t xml:space="preserve">TBX, Держат. задн. ст, 96 мм, бел, прав </t>
  </si>
  <si>
    <t xml:space="preserve">TBX, Держат. задн. ст, 160 мм, бел, лев </t>
  </si>
  <si>
    <t xml:space="preserve">TBX, Царга 83/350 мм, белая, лев. NEW   </t>
  </si>
  <si>
    <t xml:space="preserve">TBX, Двухст. Boxside, 450 мм, бел, кмп  </t>
  </si>
  <si>
    <t xml:space="preserve">TBX, Двухст. Boxside, 500 мм, бел, кмп  </t>
  </si>
  <si>
    <t xml:space="preserve">TBX, Двухст. Boxside, 500 мм, бел, кмп. </t>
  </si>
  <si>
    <t xml:space="preserve">TBX, Царга 83/400 мм, белая, лев. NEW   </t>
  </si>
  <si>
    <t xml:space="preserve">TBX, Царга 83/450 мм, белая, прав NEW   </t>
  </si>
  <si>
    <t xml:space="preserve">TBX, Царга 83/450 мм, белая, лев. NEW   </t>
  </si>
  <si>
    <t xml:space="preserve">TBX, Держат. задн. ст, 81 мм, бел, кмп  </t>
  </si>
  <si>
    <t xml:space="preserve">TBX, Царга 115/500 мм, белая, прав. NEW </t>
  </si>
  <si>
    <t xml:space="preserve">TBX, Царга 115/500 мм, белая, лев. NEW  </t>
  </si>
  <si>
    <t xml:space="preserve">TBX, Держат. углов. двойн бел, ZTU.00Z0 </t>
  </si>
  <si>
    <t xml:space="preserve">TBX, Держат. задн. ст, 96 мм, нерж, пр. </t>
  </si>
  <si>
    <t xml:space="preserve">TBX, задняя стенка 96/600 нерж. для 18  </t>
  </si>
  <si>
    <t xml:space="preserve">TBX, Держат задн ст 81 мм, нерж, кмп МП </t>
  </si>
  <si>
    <t xml:space="preserve">TBX, Релинг продольн, 350 мм, нерж. кмп </t>
  </si>
  <si>
    <t xml:space="preserve">TBX, Углов. задн. крепл M, нерж, прав   </t>
  </si>
  <si>
    <t xml:space="preserve">TBX, Углов. задн. крепл D, нерж, прав   </t>
  </si>
  <si>
    <t xml:space="preserve">ORG, Раздел поп п/раскр, 1077мм, нерж   </t>
  </si>
  <si>
    <t xml:space="preserve">TBX-A, Царга 83/270 мм, бел, прав. NEW  </t>
  </si>
  <si>
    <t xml:space="preserve">TBX-A, Царга 83/300 мм, бел, прав. NEW  </t>
  </si>
  <si>
    <t xml:space="preserve">TBX-A, Задн. ст 86/900, бел, Z30M839S.6 </t>
  </si>
  <si>
    <t xml:space="preserve">TBX-A, Царга 83/300 мм, бел, лев. NEW   </t>
  </si>
  <si>
    <t xml:space="preserve">TBX-A, Царга 83/350 мм, бел, прав. NEW  </t>
  </si>
  <si>
    <t xml:space="preserve">TBX-A, Царга 83/350 мм, бел, лев. NEW   </t>
  </si>
  <si>
    <t xml:space="preserve">TBX-A, Царга 83/450 мм, бел, прав. NEW  </t>
  </si>
  <si>
    <t xml:space="preserve">TBX-A, Царга 83/450 мм, бел, лев. NEW   </t>
  </si>
  <si>
    <t xml:space="preserve">TBX-A, Царга 83/500 мм, бел, прав. NEW  </t>
  </si>
  <si>
    <t xml:space="preserve">TBX-A, Царга 83/500 мм, бел, лев. NEW   </t>
  </si>
  <si>
    <t xml:space="preserve">TBX-A, Задн. ст 86/800, бел, Z30M739S.6 </t>
  </si>
  <si>
    <t xml:space="preserve">TBX-A, Держат задн ст, 68 мм, бел, лев  </t>
  </si>
  <si>
    <t xml:space="preserve">TBX-A, Держат задн ст, 68 мм, бел, прав </t>
  </si>
  <si>
    <t xml:space="preserve">TBX-A, Царга 68/500 мм, бел, прав. NEW  </t>
  </si>
  <si>
    <t xml:space="preserve">TBX-A, Царга 68/500 мм, бел, лев. NEW   </t>
  </si>
  <si>
    <t xml:space="preserve">TBX-A, Держат задн ст, 224 мм, бел, лев </t>
  </si>
  <si>
    <t>TBX-A, Держат задн ст, 128,5 мм, бел,кмп</t>
  </si>
  <si>
    <t xml:space="preserve">TBX-A, Царга п/мойку 500 мм, бел, прав  </t>
  </si>
  <si>
    <t xml:space="preserve">TBX-A, Царга п/мойку 500 мм, бел, лев   </t>
  </si>
  <si>
    <t xml:space="preserve">TBX-A, Царги п/мойку 450 мм, бел, кмп   </t>
  </si>
  <si>
    <t xml:space="preserve">TBX-A, Царги п/мойку 500 мм, бел, кмп   </t>
  </si>
  <si>
    <t xml:space="preserve">TBX-A, Царги 115/500 мм, бел, кмп NEW   </t>
  </si>
  <si>
    <t xml:space="preserve">TBX-A, SYNCROMOTION, M бел, Z33M00E0A6  </t>
  </si>
  <si>
    <t xml:space="preserve">TBX-A, Царги 101/350 мм, бел, кмп NEW   </t>
  </si>
  <si>
    <t xml:space="preserve">TBX-A, Царги 101/400 мм, бел, кмп. NEW  </t>
  </si>
  <si>
    <t xml:space="preserve">TBX-A, Царги 101/550 мм, бел, кмп. NEW  </t>
  </si>
  <si>
    <t xml:space="preserve">TBX-A, Царги 101/600 мм, бел, кмп. NEW  </t>
  </si>
  <si>
    <t xml:space="preserve">TBX-A, Царги 101/650 мм, бел, кмп NEW   </t>
  </si>
  <si>
    <t xml:space="preserve">TBX-A, Царга 83/400мм, бел, кмп V1 NEW  </t>
  </si>
  <si>
    <t xml:space="preserve">TBX-A, Царги 83/550 мм, бел, кмп. NEW   </t>
  </si>
  <si>
    <t xml:space="preserve">TBX-A, Царги 83/600 мм, бел, кмп. NEW   </t>
  </si>
  <si>
    <t xml:space="preserve">TBX-A, Задн. ст 96/450, бел, Z30M385S.6 </t>
  </si>
  <si>
    <t xml:space="preserve">TBX-A, Держат задн ст, 96 мм, бел, лев  </t>
  </si>
  <si>
    <t xml:space="preserve">TBX-A, Держат задн ст, 96 мм, бел, прав </t>
  </si>
  <si>
    <t xml:space="preserve">TBX-A, Задн. ст 96/600, бел, Z30M539S.6 </t>
  </si>
  <si>
    <t xml:space="preserve">TBX-A, Задн. ст 96/300, бел, Z30M239S.6 </t>
  </si>
  <si>
    <t xml:space="preserve">TBX-A, Задн. ст 96/400, бел, Z30M339S.6 </t>
  </si>
  <si>
    <t xml:space="preserve">TBX-A, Задн. ст 96/450, бел, Z30M389S.6 </t>
  </si>
  <si>
    <t xml:space="preserve">TBX-A, Межсекц. ст. 450, бел, Z46L420S  </t>
  </si>
  <si>
    <t xml:space="preserve">TBX-A, Межсекц. ст. 500, бел, Z46L470S  </t>
  </si>
  <si>
    <t xml:space="preserve">TBX-A, Межсекц. ст. 550, бел, Z46L520S  </t>
  </si>
  <si>
    <t xml:space="preserve">TBX-A, Раздел прод 100 мм, бел Z43L100S </t>
  </si>
  <si>
    <t xml:space="preserve">TBX-A, Раздел поп 450 мм, бел Z40L327S  </t>
  </si>
  <si>
    <t xml:space="preserve">TBX-A, Раздел поп 600 мм, бел Z40L477S  </t>
  </si>
  <si>
    <t xml:space="preserve">TBX-A, РАЗДЕЛ ПОП 800 ММ, БЕЛ Z40L677S  </t>
  </si>
  <si>
    <t xml:space="preserve">TBX-A, Раздел поп 900 мм, бел Z40L777S  </t>
  </si>
  <si>
    <t xml:space="preserve">TBX-A, SYNCROMOTION, D бел, Z33D0L00A6  </t>
  </si>
  <si>
    <t xml:space="preserve">TBX-A, Царга 101/350 мм, бел, прав. NEW </t>
  </si>
  <si>
    <t xml:space="preserve">TBX-A, Царга 101/350 мм, бел, лев. NEW  </t>
  </si>
  <si>
    <t xml:space="preserve">TBX-A, Раздел поп 1077мм, бел Z40L1077A </t>
  </si>
  <si>
    <t xml:space="preserve">TBX-A, Держат поп раздел, бел, Z40L0002 </t>
  </si>
  <si>
    <t xml:space="preserve">TBX-A, ORG 600/450 мм, бел, ZFL.60BUS4  </t>
  </si>
  <si>
    <t xml:space="preserve">TBX-A, ORG 900/450 мм, бел, ZFL.90BUS4  </t>
  </si>
  <si>
    <t xml:space="preserve">TBX-A, ORG 600/500 мм, бел, ZFL.60BUS6  </t>
  </si>
  <si>
    <t xml:space="preserve">TBX-A, ORG 900/500 мм, бел, ZFL.90BUS6  </t>
  </si>
  <si>
    <t xml:space="preserve">TBX-A, BOXCAP LI+RE, 500 мм, бел, кмп   </t>
  </si>
  <si>
    <t xml:space="preserve">TBX-A, Царга 101/500 мм, бел, прав. NEW </t>
  </si>
  <si>
    <t xml:space="preserve">TBX-A, Царга 101/500 мм, бел, лев. NEW  </t>
  </si>
  <si>
    <t xml:space="preserve">TBX-A, ORG 500/450 мм, бел, ZFL.50BUS4  </t>
  </si>
  <si>
    <t xml:space="preserve">TBX-A, ORG 450/450 мм, бел, ZFL.45BUS4  </t>
  </si>
  <si>
    <t xml:space="preserve">TBX-A, BOXCAP LI+RE, 450 мм, бел, кмп   </t>
  </si>
  <si>
    <t xml:space="preserve">TBX-A, ORG 450/500 мм, бел, ZFL.45BUS6  </t>
  </si>
  <si>
    <t xml:space="preserve">TBX-A, ORG 500/500 мм, бел, ZFL.50BUS6  </t>
  </si>
  <si>
    <t xml:space="preserve">TBX-A, BOXCAP LI+RE, 400 мм, бел, кмп   </t>
  </si>
  <si>
    <t xml:space="preserve">TBX-A, BOXCAP LI+RE, 650 мм, бел, кмп   </t>
  </si>
  <si>
    <t xml:space="preserve">TBX-A, Передн панель, 1036 мм, бел, б/п </t>
  </si>
  <si>
    <t xml:space="preserve">TBX-A, Передн панель, 1036 мм, бел, с/п </t>
  </si>
  <si>
    <t xml:space="preserve">TBX-A, КРЕП П/П 96мм бел кмпZIF.80M0.01 </t>
  </si>
  <si>
    <t xml:space="preserve">TBX-A, Креп п/п бел кмп ZIF.81D0(СНЯТО) </t>
  </si>
  <si>
    <t xml:space="preserve">TBX-A, BOXCAP LI+RE, 550 мм, бел, кмп   </t>
  </si>
  <si>
    <t xml:space="preserve">TBX-A, BOXCAP LI+RE, 350 мм, бел, кмп   </t>
  </si>
  <si>
    <t xml:space="preserve">TBX-A, Загл к креп п/п zif.81d0 бел пр  </t>
  </si>
  <si>
    <t xml:space="preserve">TBX-A, Загл к креп п/п zif.81d0 бел лев </t>
  </si>
  <si>
    <t xml:space="preserve">TBX-A, КРЕП П/П 96мм бел прZIF.80M0.01  </t>
  </si>
  <si>
    <t xml:space="preserve">TBX-A, КРЕП П/П БЕЛ ПРZIF.81D0(СНЯТО)   </t>
  </si>
  <si>
    <t xml:space="preserve">TBX-A, КРЕП П/П БЕЛ ЛЕВZIF.81D0(СНЯТО)  </t>
  </si>
  <si>
    <t xml:space="preserve">TBX-A, КРЕП П/П 96мм бел левZIF.80M0.01 </t>
  </si>
  <si>
    <t xml:space="preserve">TBX-A, Царга 101/450 мм, бел, прав. NEW </t>
  </si>
  <si>
    <t xml:space="preserve">TBX-A, Царга 101/450 мм, бел, лев. NEW  </t>
  </si>
  <si>
    <t xml:space="preserve">TBX-A, Царга 101/400 мм, бел, прав. NEW </t>
  </si>
  <si>
    <t xml:space="preserve">TBX-A, Царга 101/400 мм, бел, лев. NEW  </t>
  </si>
  <si>
    <t xml:space="preserve">TBX-A, Царга 83/350 мм, черн, прав V20  </t>
  </si>
  <si>
    <t xml:space="preserve">TBX-A, Царга 83/350 мм, черн, лев V20   </t>
  </si>
  <si>
    <t xml:space="preserve">TBX-A, Держат задн ст, 68 мм, черн, лев </t>
  </si>
  <si>
    <t xml:space="preserve">TBX-A, Царга 83/400 мм, черн, прав V20  </t>
  </si>
  <si>
    <t xml:space="preserve">TBX-A, Царга 83/400 мм, черн, лев V20   </t>
  </si>
  <si>
    <t xml:space="preserve">TBX-A, Царга 83/350 мм, черн, прав NEW  </t>
  </si>
  <si>
    <t xml:space="preserve">TBX-A, Царга 83/350 мм, черн, лев NEW   </t>
  </si>
  <si>
    <t xml:space="preserve">TBX-A, Царга 83/400 мм, черн, прав NEW  </t>
  </si>
  <si>
    <t xml:space="preserve">TBX-A, Царга 83/400 мм, черн, лев NEW   </t>
  </si>
  <si>
    <t xml:space="preserve">TBX-A, Держат задн ст, 68 мм, черн, кмп </t>
  </si>
  <si>
    <t xml:space="preserve">TBX-A, Царга 83/450 мм, черн, лев NEW   </t>
  </si>
  <si>
    <t xml:space="preserve">TBX-A, Царга 83/450 мм, черн, прав NEW  </t>
  </si>
  <si>
    <t xml:space="preserve">TBX-A, Царга 83/500 мм, черн, прав NEW  </t>
  </si>
  <si>
    <t xml:space="preserve">TBX-A, Царга 83/500 мм, черн, лев NEW   </t>
  </si>
  <si>
    <t xml:space="preserve">TBX-A, Царги п/мойку 450 мм, черн, кмп  </t>
  </si>
  <si>
    <t xml:space="preserve">TBX-A, Царги п/мойку 500 мм, черн, кмп  </t>
  </si>
  <si>
    <t xml:space="preserve">TBX-A, Царга 83/270 мм, черн, прав V20  </t>
  </si>
  <si>
    <t xml:space="preserve">TBX-A, Царга 83/270 мм, черн, лев V20   </t>
  </si>
  <si>
    <t xml:space="preserve">TBX-A, Царга 101/450 мм, черн, прав NEW </t>
  </si>
  <si>
    <t xml:space="preserve">TBX-A, Царга 101/450 мм, черн, лев NEW  </t>
  </si>
  <si>
    <t xml:space="preserve">TBX-A, Царга 101/500 мм, черн, прав NEW </t>
  </si>
  <si>
    <t xml:space="preserve">TBX-A, Царга 101/500 мм, черн, лев NEW  </t>
  </si>
  <si>
    <t xml:space="preserve">TBX-A, Держат задн ст, 96 мм, черн, лев </t>
  </si>
  <si>
    <t xml:space="preserve">TBX-A, Межсекц. ст. 450, черн, Z46L420S </t>
  </si>
  <si>
    <t xml:space="preserve">TBX-A, Межсекц. ст. 500, черн, Z46L470S </t>
  </si>
  <si>
    <t xml:space="preserve">TBX-A, Раздел поп 600 мм, черн Z40L477S </t>
  </si>
  <si>
    <t xml:space="preserve">TBX-A, Раздел поп 900 мм, черн Z40L777S </t>
  </si>
  <si>
    <t xml:space="preserve">TBX-A, Держат поп раздел, черн Z40L0002 </t>
  </si>
  <si>
    <t xml:space="preserve">TBX-A, ORG 600/450 мм, черн, ZFL.60BUS4 </t>
  </si>
  <si>
    <t xml:space="preserve">TBX-A, ORG 900/450 мм, черн, ZFL.90BUS4 </t>
  </si>
  <si>
    <t xml:space="preserve">TBX-A, ORG 600/500 мм, черн, ZFL.60BUS6 </t>
  </si>
  <si>
    <t xml:space="preserve">TBX-A, ORG 900/500 мм, черн, ZFL.90BUS6 </t>
  </si>
  <si>
    <t xml:space="preserve">TBX-A, BOXCAP LI+RE, 500 мм, черн, кмп  </t>
  </si>
  <si>
    <t xml:space="preserve">TBX-A, Царга 101/350 мм, черн, кмп. NEW </t>
  </si>
  <si>
    <t xml:space="preserve">TBX-A, Царги 101/400 мм, черн, кмп NEW  </t>
  </si>
  <si>
    <t xml:space="preserve">TBX-A, ORG 500/450 мм, черн, ZFL.50BUS4 </t>
  </si>
  <si>
    <t xml:space="preserve">TBX-A, ORG 450/450 мм, черн, ZFL.45BUS4 </t>
  </si>
  <si>
    <t xml:space="preserve">TBX-A, BOXCAP LI+RE, 450 мм, черн, кмп  </t>
  </si>
  <si>
    <t xml:space="preserve">TBX-A, ORG 450/500 мм, черн, ZFL.45BUS6 </t>
  </si>
  <si>
    <t xml:space="preserve">TBX-A, ORG 500/500 мм, черн, ZFL.50BUS6 </t>
  </si>
  <si>
    <t xml:space="preserve">TBX-A, ORG 300/500, набор д/бут, черн   </t>
  </si>
  <si>
    <t xml:space="preserve">TBX-A, BOXCAP LI+RE, 400 мм, черн, кмп  </t>
  </si>
  <si>
    <t xml:space="preserve">TBX-A, Креп п/п чер кмп ZIF.81D0(СНЯТО) </t>
  </si>
  <si>
    <t xml:space="preserve">TBX-A, BOXCAP LI+RE, 350 мм, черн, кмп  </t>
  </si>
  <si>
    <t xml:space="preserve">TBX-A, РУЧКА С ПОВ Д/ВН ЯЩ ЧЕР ZIF.80M7 </t>
  </si>
  <si>
    <t xml:space="preserve">TBX-A, Загл к креп п/п zif.81d0 черн пр </t>
  </si>
  <si>
    <t xml:space="preserve">TBX-A, КРЕП П/П 96мм черн прZIF.80M0.01 </t>
  </si>
  <si>
    <t xml:space="preserve">TBX-A, КРЕП П/П ЧЕР ПР ZIF.81D0(СНЯТО)  </t>
  </si>
  <si>
    <t xml:space="preserve">TBX-A, КРЕП П/П ЧЕР ЛЕВZIF.81D0(СНЯТО)  </t>
  </si>
  <si>
    <t xml:space="preserve">TBX-A, Царги 68/450 мм, черн, кмп NEW   </t>
  </si>
  <si>
    <t xml:space="preserve">TBX-A, Крепл п/п д/вставки, черн, кмп   </t>
  </si>
  <si>
    <t xml:space="preserve">TBX-A, Царги п/мойку 450 мм, нерж, кмп  </t>
  </si>
  <si>
    <t xml:space="preserve">TBX-A, ORG 600/600 мм, нерж, ZSI.60VEI8 </t>
  </si>
  <si>
    <t xml:space="preserve">TBX-A, ORG 600/900 мм, нерж, ZSI.90VEI8 </t>
  </si>
  <si>
    <t xml:space="preserve">TBX-A, Межсекц. ст. 500, нерж, Z46L470I </t>
  </si>
  <si>
    <t xml:space="preserve">TBX-A, Держат поп раздел, нерж Z40L0002 </t>
  </si>
  <si>
    <t xml:space="preserve">TBX-A, BOXCAP LI+RE, 500 мм, нерж, кмп  </t>
  </si>
  <si>
    <t xml:space="preserve">TBX-A, BOXCAP LI+RE, 600 мм, нерж, кмп  </t>
  </si>
  <si>
    <t xml:space="preserve">TBX-A, Межсекц. ст. 450, нерж, Z46L470I </t>
  </si>
  <si>
    <t xml:space="preserve">TBX-A, ORG 300/500, набор д/бут, нерж   </t>
  </si>
  <si>
    <t xml:space="preserve">TBX-A, BOXCAP LI+RE, 270 мм, нерж, кмп  </t>
  </si>
  <si>
    <t xml:space="preserve">TBX-A, BOXCAP LI+RE, 400 мм, нерж, кмп  </t>
  </si>
  <si>
    <t xml:space="preserve">TBX-A, BOXCAP LI+RE, 450 мм, нерж, кмп  </t>
  </si>
  <si>
    <t xml:space="preserve">TBX-A, BOXCAP LI+RE, 650 мм, нерж, кмп  </t>
  </si>
  <si>
    <t xml:space="preserve">TBX-A, Задн ст 224/120, нерж, п/м L кмп </t>
  </si>
  <si>
    <t xml:space="preserve">TBX-A, Царги п/мойку, 500 мм, нерж, кмп </t>
  </si>
  <si>
    <t xml:space="preserve">TBX-A, Царга 101/500 мм, нерж, лев. NEW </t>
  </si>
  <si>
    <t xml:space="preserve">TBX-A, Царги 101/350 мм, нерж, кмп. NEW </t>
  </si>
  <si>
    <t xml:space="preserve">TBX-A, Царги 101/450 мм, нерж, New кмп  </t>
  </si>
  <si>
    <t xml:space="preserve">TBX-A, Царга 83/500 мм, нерж, прав. NEW </t>
  </si>
  <si>
    <t xml:space="preserve">TBX-A, Царга 83/500 мм, нерж, лев. NEW  </t>
  </si>
  <si>
    <t xml:space="preserve">TBX-A, Царги 83/450 мм, нерж, New кмп   </t>
  </si>
  <si>
    <t xml:space="preserve">TBX-A, Вставка кожа, бел стр, 1180 мм   </t>
  </si>
  <si>
    <t xml:space="preserve">TBX-A, Вставка кожа, черн лен, 500 мм   </t>
  </si>
  <si>
    <t xml:space="preserve">TBX-A, Вставка кожа, черн лен, 1180 мм  </t>
  </si>
  <si>
    <t xml:space="preserve">TBX-A, Вставка кожа, черн крок, 500 мм  </t>
  </si>
  <si>
    <t xml:space="preserve">TBX-A, Вставка кожа, сер крок, 500 мм   </t>
  </si>
  <si>
    <t xml:space="preserve">TBX-A, Вставка кожа, черн крок 1180 мм  </t>
  </si>
  <si>
    <t xml:space="preserve">TBX-A, Вставка кожа, сер крок, 1180мм   </t>
  </si>
  <si>
    <t xml:space="preserve">TBX-A, Вставка кожа, черн кл, 1180 мм   </t>
  </si>
  <si>
    <t xml:space="preserve">TBX-AA, Держат поп разд, сер, Z40C0002Z </t>
  </si>
  <si>
    <t xml:space="preserve">TBX-AA, Рел прод д/вн, 300 мм, сер лев  </t>
  </si>
  <si>
    <t xml:space="preserve">TBX-AA, Рел прод д/вн, 500мм, сер, лев  </t>
  </si>
  <si>
    <t xml:space="preserve">TBX-AA, Рел прод д/вн, 350 мм, сер, лев </t>
  </si>
  <si>
    <t xml:space="preserve">TBX-AA, Рел прод д/вн, 450 мм сер лев   </t>
  </si>
  <si>
    <t xml:space="preserve">TBX-AA, Рел прод д/вн, 500мм, сер, прав </t>
  </si>
  <si>
    <t xml:space="preserve">TBX-AA, Держат поп разд, сер, Z40D0002Z </t>
  </si>
  <si>
    <t xml:space="preserve">TBX-A, Царга 68/500 мм, сер, прав. NEW  </t>
  </si>
  <si>
    <t xml:space="preserve">TBX-A, Царга 68/500 мм, сер, лев. NEW   </t>
  </si>
  <si>
    <t xml:space="preserve">TBX-A, Царга 83/270 мм, сер, лев. NEW   </t>
  </si>
  <si>
    <t xml:space="preserve">TBX-AA, Рел прод д/вн, 400мм,сер, лев   </t>
  </si>
  <si>
    <t xml:space="preserve">TBX-A, Царга 83/400 мм, сер, прав. NEW  </t>
  </si>
  <si>
    <t xml:space="preserve">TBX-A, Царга 83/400 мм, сер, лев. NEW   </t>
  </si>
  <si>
    <t xml:space="preserve">TBX-A, Царга 83/450 мм, сер, прав. NEW  </t>
  </si>
  <si>
    <t xml:space="preserve">TBX-A, Царга 83/450 мм, сер, лев. NEW   </t>
  </si>
  <si>
    <t xml:space="preserve">TBX-A, Царга 83/500 мм, сер, прав. NEW  </t>
  </si>
  <si>
    <t xml:space="preserve">TBX-A, Царга 83/500 мм, сер, лев. NEW   </t>
  </si>
  <si>
    <t xml:space="preserve">TBX-AA, Рел прод д/вн, 400 мм,сер, прав </t>
  </si>
  <si>
    <t xml:space="preserve">TBX-AA, Рел прод д/вн, 300 мм, сер прав </t>
  </si>
  <si>
    <t xml:space="preserve">TBX-AA, Рел д/пер панели, сер, 1046 мм  </t>
  </si>
  <si>
    <t xml:space="preserve">TBX-AA, Крепл п/п вн сер, лев ZIF.74C0  </t>
  </si>
  <si>
    <t xml:space="preserve">TBX-AA, Крепл п/п вн сер, прав ZIF.74C0 </t>
  </si>
  <si>
    <t xml:space="preserve">TBX-AA, Крепл п/п вн сер, лев ZIF.71M0  </t>
  </si>
  <si>
    <t xml:space="preserve">TBX-AA, Крепл п/п вн сер, прав ZIF.71M0 </t>
  </si>
  <si>
    <t xml:space="preserve">TBX-AA, Крепл п/п вн сер, лев ZIF.74D0  </t>
  </si>
  <si>
    <t xml:space="preserve">TBX-AA, Крепл п/п вн сер, прав ZIF.74D0 </t>
  </si>
  <si>
    <t xml:space="preserve">TBX-AA, Держат поп разд сер D (5716290) </t>
  </si>
  <si>
    <t xml:space="preserve">TBX-AA, Рел прод д/вн, 450 мм сер прав  </t>
  </si>
  <si>
    <t xml:space="preserve">TBX antaro 500 D серый одинарный релинг </t>
  </si>
  <si>
    <t xml:space="preserve">TBX-AA, Рел прод д/вн, 500мм, бел, лев  </t>
  </si>
  <si>
    <t xml:space="preserve">TBX-AA, Рел прод д/вн, 350 мм, бел, лев </t>
  </si>
  <si>
    <t xml:space="preserve">TBX-AA, Рел прод д/вн, 400 мм бел лев   </t>
  </si>
  <si>
    <t xml:space="preserve">TBX-AA, Рел прод д/вн, 400 мм бел прав  </t>
  </si>
  <si>
    <t xml:space="preserve">TBX-AA, Релинги прод. 400 мм бел. кмп.  </t>
  </si>
  <si>
    <t xml:space="preserve">TBX-AA, Держат поп разд, бел, Z40C0002Z </t>
  </si>
  <si>
    <t xml:space="preserve">TBX-AA, Держат поп разд, бел, Z40D0002Z </t>
  </si>
  <si>
    <t xml:space="preserve">TBX-AA, Рел прод д/вн, 450 мм бел лев   </t>
  </si>
  <si>
    <t xml:space="preserve">TBX-AA, Рел прод 400мм бел лев(7837582) </t>
  </si>
  <si>
    <t xml:space="preserve">TBX-AA, Рел прод 400мм бел пр(9771912)  </t>
  </si>
  <si>
    <t xml:space="preserve">TBX-AA, Крепл п/пан вн, 191мм, бел, лев </t>
  </si>
  <si>
    <t xml:space="preserve">TBX-AA, Крепл п/п вн бел, лев ZIF.71M0  </t>
  </si>
  <si>
    <t xml:space="preserve">TBX-AA, Крепл п/п вн бел, прав ZIF.71M0 </t>
  </si>
  <si>
    <t xml:space="preserve">TBX-AA, ORG Разд поп 600 бел  (2772520) </t>
  </si>
  <si>
    <t xml:space="preserve">TBX-AA, ORG Разд поп 800 бел (4141539)  </t>
  </si>
  <si>
    <t xml:space="preserve">TBX-AA, ORG Разд поп 900 бел (7364174)  </t>
  </si>
  <si>
    <t xml:space="preserve">TBX-AA, Крепл п/пан вн, 224мм, бел, лев </t>
  </si>
  <si>
    <t xml:space="preserve">TBX-AA, Рел прод д/вн, 450 мм бел прав  </t>
  </si>
  <si>
    <t xml:space="preserve">TBX-AA, Поп. рел п/раскр, бел ZRG.1104Q </t>
  </si>
  <si>
    <t xml:space="preserve">TBX antaro 500 D белый одинарный релинг </t>
  </si>
  <si>
    <t xml:space="preserve">TBX-AA, Держат поп рел, черн, ZRU.01E0  </t>
  </si>
  <si>
    <t xml:space="preserve">TBX-AA, Рел прод д/вн, 450 мм черн лев  </t>
  </si>
  <si>
    <t xml:space="preserve">TBX-AA, Рел прод д/вн, 400 мм черн лев  </t>
  </si>
  <si>
    <t xml:space="preserve">TBX-AA, Рел прод д/вн, 450 мм черн прав </t>
  </si>
  <si>
    <t xml:space="preserve">TBX-AA, Рел прод д/вн, 500 мм черн лев  </t>
  </si>
  <si>
    <t xml:space="preserve">TBX-AA, ORG Разд поп 600 черн (4208054) </t>
  </si>
  <si>
    <t xml:space="preserve">TBX-AA, Рел прод д/вн, 500 мм черн прав </t>
  </si>
  <si>
    <t xml:space="preserve">TBX-AA, ORG Разд поп 800черн  (6512468) </t>
  </si>
  <si>
    <t xml:space="preserve">TBX-AA, Рел прод д/вн, 400 мм черн прав </t>
  </si>
  <si>
    <t xml:space="preserve">TBX-AA, Доп крепл рел,черн,кмп ZRR.5200 </t>
  </si>
  <si>
    <t xml:space="preserve">TBX-AA, ORG Разд поп 900 черн (6752099) </t>
  </si>
  <si>
    <t xml:space="preserve">TBX-AA, Рел прод 350мм черн пр(8629361) </t>
  </si>
  <si>
    <t xml:space="preserve">TBX-AA, Рел прод 400мм черн пр(5025678) </t>
  </si>
  <si>
    <t xml:space="preserve">TBX-AA, Рел прод 450 черн лев (4595034) </t>
  </si>
  <si>
    <t xml:space="preserve">TBX-AA, Рел прод 500мм черн пр(9803766) </t>
  </si>
  <si>
    <t xml:space="preserve">TBX-AA, Крепл п/пан вн, 191мм, черн, пр </t>
  </si>
  <si>
    <t xml:space="preserve">TBX-AA, Крепл п/п вн черн, лев ZIF.71M0 </t>
  </si>
  <si>
    <t xml:space="preserve">TBX-AA, Крепл п/п вн черн, пр ZIF.71M0  </t>
  </si>
  <si>
    <t xml:space="preserve">TBX-AA, Крепл п/пан вн, 224мм, черн, пр </t>
  </si>
  <si>
    <t xml:space="preserve">TBX-AA, Релинг верхн, 350 мм, нерж кмп. </t>
  </si>
  <si>
    <t xml:space="preserve">TBX-AA, Релинг верхн, 270 мм, нерж кмп. </t>
  </si>
  <si>
    <t>TBX-AA, Релинг для п/п, сер орион,1046мм</t>
  </si>
  <si>
    <t xml:space="preserve">TBX-AA, Рел прод 450 мм, сер орион, лев </t>
  </si>
  <si>
    <t xml:space="preserve">TBX-AA, Рел прод 400 мм, сер орион, пр  </t>
  </si>
  <si>
    <t xml:space="preserve">TBX-AA, Рел прод 270 мм, сер орион, лев </t>
  </si>
  <si>
    <t>TBX-AA, Держ зад ст,191 мм,сер орион лев</t>
  </si>
  <si>
    <t>TBX-AA, Держ зад ст, 81 мм,сер орион лев</t>
  </si>
  <si>
    <t>TBX-AA, Держ. поп. разд сер орион выс. С</t>
  </si>
  <si>
    <t xml:space="preserve">TBX-AA, Рел прод 350 мм, сер орион, лев </t>
  </si>
  <si>
    <t xml:space="preserve">TBX-A, Царга 68/500 мм, сер орион, пр.  </t>
  </si>
  <si>
    <t xml:space="preserve">TBX-A, Царга 68/500 мм, сер орион, лев. </t>
  </si>
  <si>
    <t>TBX-A, Царга 83/270 мм, сер орион, прав.</t>
  </si>
  <si>
    <t xml:space="preserve">TBX-A, Царга 83/270 мм, сер орион, лев. </t>
  </si>
  <si>
    <t>TBX-AA, Держ. поп. разд сер орион выс. D</t>
  </si>
  <si>
    <t>TBX-AA, Держ пер пан,выс М,сер орион кмп</t>
  </si>
  <si>
    <t xml:space="preserve">TBX-AA, Держ зад ст, 81 мм,сер орион пр </t>
  </si>
  <si>
    <t xml:space="preserve">TBX-AA, Рел прод 500 мм, сер орион, лев </t>
  </si>
  <si>
    <t xml:space="preserve">TBX-AA, Рел прод 400 мм, сер орион, лев </t>
  </si>
  <si>
    <t>TBX-A, Царга 83/300 мм, сер орион, прав.</t>
  </si>
  <si>
    <t xml:space="preserve">TBX-A, Царга 83/300 мм, сер орион, лев. </t>
  </si>
  <si>
    <t>TBX-A, Царга 83/350 мм, сер орион, прав.</t>
  </si>
  <si>
    <t xml:space="preserve">TBX-A, Царга 83/350 мм, сер орион, лев. </t>
  </si>
  <si>
    <t>TBX-A, Царга 83/500 мм, сер орион, прав.</t>
  </si>
  <si>
    <t xml:space="preserve">TBX-A, Царга 83/500 мм, сер орион, лев. </t>
  </si>
  <si>
    <t xml:space="preserve">TBX-AA, Держ зад ст,191 мм,сер орион пр </t>
  </si>
  <si>
    <t xml:space="preserve">TBX-AA, Рел прод 270 мм, сер орион, пр  </t>
  </si>
  <si>
    <t xml:space="preserve">TBX-AA, Держ зад ст,224 мм,сер орион пр </t>
  </si>
  <si>
    <t>TBX-AA, Держ зад ст,224 мм,сер орион лев</t>
  </si>
  <si>
    <t xml:space="preserve">TBX-AA, Рел прод 300 мм, сер орион, лев </t>
  </si>
  <si>
    <t>TBX-AA, Держ зад ст, 96 мм,сер орион лев</t>
  </si>
  <si>
    <t xml:space="preserve">TBX-AA, Держ зад ст, 96 мм,сер орион пр </t>
  </si>
  <si>
    <t>TBX-A, Царга 83/400 мм, сер орион, прав.</t>
  </si>
  <si>
    <t xml:space="preserve">TBX-AA, Рел прод 500 мм, сер орион, пр  </t>
  </si>
  <si>
    <t xml:space="preserve">TBX-A, Царга 83/400 мм, сер орион, лев. </t>
  </si>
  <si>
    <t>TBX-A, Царга 83/450 мм, сер орион, прав.</t>
  </si>
  <si>
    <t xml:space="preserve">TBX-A, Царга 83/450 мм, сер орион, лев. </t>
  </si>
  <si>
    <t xml:space="preserve">TBX-AA, Заглушка с лого, сер орион, сим </t>
  </si>
  <si>
    <t xml:space="preserve">TBX-A, Ручка с пов. д/вн. ящ, сер орион </t>
  </si>
  <si>
    <t>TBX-A, Ручка без пов. д/вн ящ, сер орион</t>
  </si>
  <si>
    <t>TBX-AA, Разделитель прод 100мм сер орион</t>
  </si>
  <si>
    <t>TBX-AA, Держ пер пан,выс С,сер орион лев</t>
  </si>
  <si>
    <t xml:space="preserve">TBX-AA, Держ пер пан,выс С,сер орион пр </t>
  </si>
  <si>
    <t>TBX-AA, Держ пер пан,выс М,сер орион лев</t>
  </si>
  <si>
    <t xml:space="preserve">TBX-AA, Держ пер пан,выс М,сер орион пр </t>
  </si>
  <si>
    <t>TBX-AA, Держ пер пан,выс D,сер орион лев</t>
  </si>
  <si>
    <t xml:space="preserve">TBX-AA, Держ пер пан,выс D,сер орион пр </t>
  </si>
  <si>
    <t xml:space="preserve">TBX-AA, Раздел попер п/раскр сер орион  </t>
  </si>
  <si>
    <t xml:space="preserve">TBX-AA, Рел прод 350 мм, сер орион, пр  </t>
  </si>
  <si>
    <t xml:space="preserve">TBX-AA, Рел прод 450 мм, сер орион, пр  </t>
  </si>
  <si>
    <t xml:space="preserve">TBX-AA, Рел прод 300 мм, сер орион, пр  </t>
  </si>
  <si>
    <t>TBX-AA, Передн. пан, сер. орион, 1036 мм</t>
  </si>
  <si>
    <t>TBX-AA, Бок. вставка,500 мм,бел,Z37A467C</t>
  </si>
  <si>
    <t xml:space="preserve">TBX-AA, Задн держ стекл вст D сер, лев  </t>
  </si>
  <si>
    <t xml:space="preserve">TBX-AA, Задн держ стекл вст С черн, лев </t>
  </si>
  <si>
    <t xml:space="preserve">TBX-AA, Задн держ стекл вст С сер, прав </t>
  </si>
  <si>
    <t xml:space="preserve">TBX-AA, Задн держ стекл вст D бел, прав </t>
  </si>
  <si>
    <t xml:space="preserve">TBX-AA, Задн держ стекл вст D бел, лев  </t>
  </si>
  <si>
    <t xml:space="preserve">TBX-AA, Задн держ стекл вст С бел, лев  </t>
  </si>
  <si>
    <t xml:space="preserve">TBX-AA, Задн держ стекл вст С сер, лев  </t>
  </si>
  <si>
    <t xml:space="preserve">TBX-AA, Задн держ стекл вст С бел, прав </t>
  </si>
  <si>
    <t xml:space="preserve">TBX, Tip-on BM, Опора под дно, Z96.2011 </t>
  </si>
  <si>
    <t xml:space="preserve">TBX, Tip-on BM, L3,350-600, пр T60B3533 </t>
  </si>
  <si>
    <t xml:space="preserve">TBX, Tip-on BM, Напр, 50 кг, 500 мм, пр </t>
  </si>
  <si>
    <t xml:space="preserve">TBX, Tip-on BM, L1,350-600, пр T60B3333 </t>
  </si>
  <si>
    <t xml:space="preserve">TBX, Tip-on BM, S0,270-349, пр T60B3033 </t>
  </si>
  <si>
    <t xml:space="preserve">TBX, Tip-on BM, триггер, лев. T60B3009  </t>
  </si>
  <si>
    <t xml:space="preserve">TBX, Tip-on BM, триггер, прав. T60B3009 </t>
  </si>
  <si>
    <t xml:space="preserve">TBX, Tip-on BM, S1,270-349, пр T60B3133 </t>
  </si>
  <si>
    <t xml:space="preserve">TBX, Tip-on BM, Напр, 30 кг, 270 мм, пр </t>
  </si>
  <si>
    <t xml:space="preserve">TBX, Tip-on BM, Напр, 30 кг, 300 мм, пр </t>
  </si>
  <si>
    <t xml:space="preserve">TBX, Tip-on BM, Напр, 30 кг, 350 мм, пр </t>
  </si>
  <si>
    <t xml:space="preserve">TBX, Tip-on BM, Напр, 30 кг, 400 мм, пр </t>
  </si>
  <si>
    <t xml:space="preserve">TBX, Tip-on BM, Напр, 30 кг, 450 мм, пр </t>
  </si>
  <si>
    <t xml:space="preserve">TBX, Tip-on BM, Напр, 30 кг, 500 мм, пр </t>
  </si>
  <si>
    <t xml:space="preserve">TBX, Tip-on, Штанги д/синх, д/1000 мм   </t>
  </si>
  <si>
    <t xml:space="preserve">TBX, Tip-on, Штанги д/синх, д/1200 мм   </t>
  </si>
  <si>
    <t xml:space="preserve">TBX, Tip-on, Напр, 20 кг, 270 мм, кмп   </t>
  </si>
  <si>
    <t xml:space="preserve">TBX, Tip-on, Напр, 50 кг, 550 мм, кмп   </t>
  </si>
  <si>
    <t xml:space="preserve">TBX, Tip-on, Напр, 50 кг, 650 мм, кмп   </t>
  </si>
  <si>
    <t xml:space="preserve">TBX, TIP-ON, ШТАНГИ Д/СИНХ, Д/1100 ММ   </t>
  </si>
  <si>
    <t xml:space="preserve">TBX, TIP-ON, СИНХРОН-Р + ШТАНГИ Д/750ММ </t>
  </si>
  <si>
    <t xml:space="preserve">TBX, TIP-ON, СИНХРОН-Р + ШТАНГИ Д/800ММ </t>
  </si>
  <si>
    <t xml:space="preserve">TBX, Tip-on, Напр, 20 кг, 270мм, прав   </t>
  </si>
  <si>
    <t xml:space="preserve">TBX, Tip-on, Напр, 20 кг, 270 мм, лев   </t>
  </si>
  <si>
    <t xml:space="preserve">TBX, Tip-on, Напр, 20 кг, 300 мм, прав  </t>
  </si>
  <si>
    <t xml:space="preserve">TBX, Tip-on, Напр, 20 кг, 300 мм, лев   </t>
  </si>
  <si>
    <t xml:space="preserve">TBX, Tip-on, Напр, 30 кг, 350 мм, прав  </t>
  </si>
  <si>
    <t xml:space="preserve">TBX, Tip-on, Напр, 30 кг, 350 мм, лев   </t>
  </si>
  <si>
    <t xml:space="preserve">TBX, Tip-on, Напр, 30 кг, 400 мм, прав  </t>
  </si>
  <si>
    <t xml:space="preserve">TBX, Tip-on, Напр, 30 кг, 400 мм, лев   </t>
  </si>
  <si>
    <t xml:space="preserve">TBX, Tip-on, Напр, 50 кг, 450 мм, прав  </t>
  </si>
  <si>
    <t xml:space="preserve">TBX, Tip-on, Напр, 50 кг, 450 мм, лев   </t>
  </si>
  <si>
    <t xml:space="preserve">TBX, Tip-on, Напр, 50 кг, 500 мм, прав  </t>
  </si>
  <si>
    <t xml:space="preserve">TBX, Tip-on, Напр, 50 кг, 500 мм, лев   </t>
  </si>
  <si>
    <t xml:space="preserve">TBX, TIP-ON, ШТАНГИ Д/СИНХ, Д/1050 ММ   </t>
  </si>
  <si>
    <t xml:space="preserve">TBX, Tip-on, Фиксатор, экспандо, прав   </t>
  </si>
  <si>
    <t xml:space="preserve">SD, Держ несущ профиля нижн,Z10D01E1.01 </t>
  </si>
  <si>
    <t xml:space="preserve">SD, Уголок-держ двух привод,Z10D7201.01 </t>
  </si>
  <si>
    <t xml:space="preserve">SD-Uno, д/ящика, 600 мм, кмп (3836745)  </t>
  </si>
  <si>
    <t xml:space="preserve">SD-uno, напор с шабл,аморт,кмп(4134616) </t>
  </si>
  <si>
    <t xml:space="preserve">SD, Уголок-держ одного привод,Z10D0311  </t>
  </si>
  <si>
    <t xml:space="preserve">SD-Uno, Задн стенка ведерн рамы W600 мм </t>
  </si>
  <si>
    <t xml:space="preserve">SD-Uno, Держ несущ профиля,лев,Z10D5311 </t>
  </si>
  <si>
    <t xml:space="preserve">SD-Uno, Держ задн стенок,лев,Z30M0002W  </t>
  </si>
  <si>
    <t xml:space="preserve">SD-Uno, Держ задн стенок,прав,Z30M0002W </t>
  </si>
  <si>
    <t xml:space="preserve">SD, Держ несущ профиля нижн,(1004383)   </t>
  </si>
  <si>
    <t xml:space="preserve">SD, Уголок-держ двух Z10D7201(1640683)  </t>
  </si>
  <si>
    <t xml:space="preserve">SD, Кабель электрический, 6м,Z10K600A   </t>
  </si>
  <si>
    <t xml:space="preserve">SD, Кабель синхронизации, 1.2м,Z10K120S </t>
  </si>
  <si>
    <t xml:space="preserve">SD, Держ несущ профиля верх,Z10D01E2.01 </t>
  </si>
  <si>
    <t xml:space="preserve">SD, Уголок-держ сверху с/адапт,Z10D6252 </t>
  </si>
  <si>
    <t xml:space="preserve">ORG, Держ-ль тарелок унив-ный, ZC7T0350 </t>
  </si>
  <si>
    <t xml:space="preserve">ORG, Держ поп рел к прод, сер, ZRU.00E0 </t>
  </si>
  <si>
    <t xml:space="preserve">ORG, Держ поп релинга,дв,серZRU.00Z0.01 </t>
  </si>
  <si>
    <t xml:space="preserve">ORG, Держ поп разд д/релинга,Z40H0002.R </t>
  </si>
  <si>
    <t xml:space="preserve">ORG, Набор комбинированный, ZSI.450MI3  </t>
  </si>
  <si>
    <t xml:space="preserve">ORG, Набор комбинированный, ZSI.500MI3  </t>
  </si>
  <si>
    <t xml:space="preserve">ORG, Набор комбинированный, ZSI.500KI4  </t>
  </si>
  <si>
    <t xml:space="preserve">ORG, Набор комбинированный, ZSI.650MI3  </t>
  </si>
  <si>
    <t xml:space="preserve">ORG, Ванна д/бут, 500мм,нерж,Z48.30B0I6 </t>
  </si>
  <si>
    <t xml:space="preserve">ORG, Ванна д/бут, 450мм,нерж,Z48.30B0I4 </t>
  </si>
  <si>
    <t xml:space="preserve">ORG, Каркас подв. архива, сер, ZRM.5500 </t>
  </si>
  <si>
    <t xml:space="preserve">ORG, Раздел поп переставляемый 176 мм   </t>
  </si>
  <si>
    <t xml:space="preserve">ORG, НАБОР КОМБИНИРОВАННЫЙ, ZSI.450KI2N </t>
  </si>
  <si>
    <t xml:space="preserve">ORG, Набор комбинированный, ZSI.650BI1N </t>
  </si>
  <si>
    <t xml:space="preserve">ORG, Набор комбинированный, ZSI.500BI1N </t>
  </si>
  <si>
    <t xml:space="preserve">ORG, Набор комбинированный, ZSI.450BI1N </t>
  </si>
  <si>
    <t xml:space="preserve">ORG, Набор комбинированный, ZSI.450KI3N </t>
  </si>
  <si>
    <t xml:space="preserve">ORG, Набор комбинированный, ZSI.450KI4N </t>
  </si>
  <si>
    <t xml:space="preserve">ORG, Набор комбинированный, ZSI.80VUI8  </t>
  </si>
  <si>
    <t xml:space="preserve">ORG, Набор комбинированный, ZSI.450BI3N </t>
  </si>
  <si>
    <t xml:space="preserve">ORG, Набор д/бут сер 650 мм ZFI.30BZS9N </t>
  </si>
  <si>
    <t xml:space="preserve">ORG, Набор д/бут нерж 450 мм ZFI.30BZI4 </t>
  </si>
  <si>
    <t xml:space="preserve">ORG, Набор д/бут сер 450 мм ZFI.30BZS4N </t>
  </si>
  <si>
    <t xml:space="preserve">ORG, Набор д/бут сер 500 мм ZFI.30BZS6N </t>
  </si>
  <si>
    <t xml:space="preserve">ORG, Разделит. д/бутылок, сер, ZRU.00F0 </t>
  </si>
  <si>
    <t xml:space="preserve">MBX, Крепл фас п/шурупы,пр,ZSF.1510.04  </t>
  </si>
  <si>
    <t xml:space="preserve">MBX, Крепл фас п/шурупы,лев,ZSF.1510.05 </t>
  </si>
  <si>
    <t xml:space="preserve">MBX, Крепл фас п/пресс, лев,ZSF.1610.05 </t>
  </si>
  <si>
    <t xml:space="preserve">MBX, Царга, 118/450мм, 30 кг, сер, лев. </t>
  </si>
  <si>
    <t xml:space="preserve">MBX, Царга, 118/500мм, 30 кг, сер, прав </t>
  </si>
  <si>
    <t xml:space="preserve">MBX, Царга, 118/500мм, 30 кг, сер, лев. </t>
  </si>
  <si>
    <t xml:space="preserve">MBX, Крепл фас п/пресс, прав,ZSF.1800   </t>
  </si>
  <si>
    <t xml:space="preserve">MBX, Крепл фас п/шурупы, лев,ZSF.1700   </t>
  </si>
  <si>
    <t xml:space="preserve">MBX, Заглушка с лого, сер, лев ZAA.3500 </t>
  </si>
  <si>
    <t xml:space="preserve">MBX, Заглушка с лого, сер, пр ZAA.3500  </t>
  </si>
  <si>
    <t xml:space="preserve">MBX, Царга, 118/400мм, 30 кг, сер, лев. </t>
  </si>
  <si>
    <t xml:space="preserve">MBX, Крепл п.п. внутр.ящ. 320K,лев,крем </t>
  </si>
  <si>
    <t xml:space="preserve">MBX, Релинг продольный, 500 мм, крем.   </t>
  </si>
  <si>
    <t xml:space="preserve">MBX, Релинг продольный, 450 мм, крем.   </t>
  </si>
  <si>
    <t xml:space="preserve">MBX, Релинг продольный, 400 мм, крем.   </t>
  </si>
  <si>
    <t xml:space="preserve">MBX, Релинг продольный, 350 мм, крем.   </t>
  </si>
  <si>
    <t xml:space="preserve">MBX, Царга, 150/450мм, 30 кг, сер, прав </t>
  </si>
  <si>
    <t xml:space="preserve">MBX, Царга, 150/450мм, 30 кг, сер, лев  </t>
  </si>
  <si>
    <t xml:space="preserve">MBX, Царга, 150/450мм, 30 кг, крем, лев </t>
  </si>
  <si>
    <t xml:space="preserve">MBX, Крепл фас экспандо, пр, ZSF.130E   </t>
  </si>
  <si>
    <t xml:space="preserve">MBX, Крепл п.п. внутр.ящ. 320M,лев,крем </t>
  </si>
  <si>
    <t xml:space="preserve">MBX, Крепл п.п. внутр.ящ. 320N,лев,крем </t>
  </si>
  <si>
    <t xml:space="preserve">MBX, Царга, 150/400мм, 30 кг, сер, прав </t>
  </si>
  <si>
    <t xml:space="preserve">MBX, Царга, 150/400мм, 30 кг, сер, лев  </t>
  </si>
  <si>
    <t xml:space="preserve">MBX, Одност. Boxside, D, 500 мм, крем   </t>
  </si>
  <si>
    <t xml:space="preserve">MBX, Одност. Boxside, D, 450 мм, крем   </t>
  </si>
  <si>
    <t xml:space="preserve">MBX, Царга, 54/450мм, 30 кг, сер, прав. </t>
  </si>
  <si>
    <t xml:space="preserve">MBX, Царга, 54/450мм, 30 кг, крем, прав </t>
  </si>
  <si>
    <t xml:space="preserve">MBX, Царга, 54/450мм, 30 кг, сер, лев.  </t>
  </si>
  <si>
    <t xml:space="preserve">MBX, Царга, 54/450мм, 30 кг, крем, лев. </t>
  </si>
  <si>
    <t xml:space="preserve">MBX, Царга, 150/350мм, 30 кг, сер, прав </t>
  </si>
  <si>
    <t xml:space="preserve">MBX, Царга, 86/270мм, 30 кг, сер, прав. </t>
  </si>
  <si>
    <t xml:space="preserve">MBX, Царга, 86/270мм, 30 кг, сер, лев.  </t>
  </si>
  <si>
    <t xml:space="preserve">MBX, Царга, 86/270мм, 30 кг, крем, лев. </t>
  </si>
  <si>
    <t xml:space="preserve">MBX, Царга, 86/350мм, 30 кг, сер, прав. </t>
  </si>
  <si>
    <t xml:space="preserve">MBX, Царга, 86/350мм, 30 кг, сер, лев.  </t>
  </si>
  <si>
    <t xml:space="preserve">MBX, Царга, 86/350мм, 30 кг, крем, лев. </t>
  </si>
  <si>
    <t xml:space="preserve">MBX, Направл, 30 кг, 350 мм, крем, лев. </t>
  </si>
  <si>
    <t xml:space="preserve">MBX, Направл, 30 кг, 350 мм, сер, лев.  </t>
  </si>
  <si>
    <t xml:space="preserve">MBX, Направл, 30 кг, 350 мм, сер, прав. </t>
  </si>
  <si>
    <t xml:space="preserve">MBX, Царга, 150/350мм, 30 кг, сер, лев  </t>
  </si>
  <si>
    <t xml:space="preserve">MBX, Царга, 150/350мм, 30 кг, крем, лев </t>
  </si>
  <si>
    <t xml:space="preserve">MBX, Царга, 150/500мм, 30 кг, сер, лев. </t>
  </si>
  <si>
    <t xml:space="preserve">MBX, Царга, 54/500мм, 30 кг, сер, прав  </t>
  </si>
  <si>
    <t xml:space="preserve">MBX, Царга, 54/500мм, 30 кг, сер, лев   </t>
  </si>
  <si>
    <t xml:space="preserve">MBX, Царга, 54/500мм, 30 кг, крем, лев. </t>
  </si>
  <si>
    <t xml:space="preserve">MBX, 54/270мм, 25кг, сер, кмп,320N2700C </t>
  </si>
  <si>
    <t xml:space="preserve">MBX, Царга, 86/450мм, 30 кг, сер, пр.   </t>
  </si>
  <si>
    <t xml:space="preserve">MBX, Царга, 86/450мм, 30 кг, крем, пр.  </t>
  </si>
  <si>
    <t xml:space="preserve">MBX, Царга, 86/450мм, 30 кг, сер, лев.  </t>
  </si>
  <si>
    <t xml:space="preserve">MBX, Царга, 86/450мм, 30 кг, крем, лев. </t>
  </si>
  <si>
    <t xml:space="preserve">MBX, Заглушка б/лого, сер, сим ZAA.3500 </t>
  </si>
  <si>
    <t xml:space="preserve">MBX, Царга, 86/500мм, 30 кг, сер, пр.   </t>
  </si>
  <si>
    <t xml:space="preserve">MBX, Царга, 86/500мм, 30 кг, крем, пр.  </t>
  </si>
  <si>
    <t xml:space="preserve">MBX, Царга, 86/500мм, 30 кг, сер, лев.  </t>
  </si>
  <si>
    <t xml:space="preserve">MBX, Царга, 86/500мм, 30 кг, крем, лев. </t>
  </si>
  <si>
    <t xml:space="preserve">MBX, Направл, 30 кг, 500 мм, крем, пр.  </t>
  </si>
  <si>
    <t xml:space="preserve">MBX, Направл, 30 кг, 500 мм, сер, прав  </t>
  </si>
  <si>
    <t xml:space="preserve">MBX, Направл, 30 кг, 500 мм, крем, лев. </t>
  </si>
  <si>
    <t xml:space="preserve">MBX, Направл, 30 кг, 500 мм, сер, лев   </t>
  </si>
  <si>
    <t xml:space="preserve">MBX, Направл, 30 кг, 450 мм, крем, пр.  </t>
  </si>
  <si>
    <t xml:space="preserve">MBX, Направл, 30 кг, 450 мм, крем, лев. </t>
  </si>
  <si>
    <t xml:space="preserve">MBX, Направл, 30 кг, 450 мм, сер, лев.  </t>
  </si>
  <si>
    <t xml:space="preserve">MBX, Направл, 30 кг, 400 мм, сер, прав. </t>
  </si>
  <si>
    <t xml:space="preserve">MBX, Направл, 30 кг, 400 мм, крем, лев. </t>
  </si>
  <si>
    <t xml:space="preserve">MBX, Направл, 30 кг, 400 мм, сер, лев.  </t>
  </si>
  <si>
    <t xml:space="preserve">MBX, Направл, 30 кг, 270 мм, сер, прав. </t>
  </si>
  <si>
    <t xml:space="preserve">MBX, Направл, 30 кг, 270 мм, крем, лев. </t>
  </si>
  <si>
    <t xml:space="preserve">MBX, Направл, 30 кг, 270 мм, сер, лев.  </t>
  </si>
  <si>
    <t xml:space="preserve">MBX, Царга, 86/400мм, 30 кг, сер, лев.  </t>
  </si>
  <si>
    <t xml:space="preserve">MBX, Царга, 86/400мм, 30 кг, крем, лев. </t>
  </si>
  <si>
    <t xml:space="preserve">MBX, Царга, 86/400мм, 30 кг, сер, прав. </t>
  </si>
  <si>
    <t xml:space="preserve">MBX, Царга, 118/350мм, 30 кг, сер, лев. </t>
  </si>
  <si>
    <t xml:space="preserve">TD, Замок для выдвижной полки T51.7000  </t>
  </si>
  <si>
    <t xml:space="preserve">TD без BM, част.выдв, 300 мм, кмп V12   </t>
  </si>
  <si>
    <t xml:space="preserve">TD без BM, част.выдв, 270 мм, кмп V12   </t>
  </si>
  <si>
    <t xml:space="preserve">TD без BM, полн.выдв, 50 кг, 450 (СНЯТ) </t>
  </si>
  <si>
    <t xml:space="preserve">TD с BM, част.выдв, 30 кг, 300 мм, кмп. </t>
  </si>
  <si>
    <t xml:space="preserve">TD с BM, част.выдв, 30 кг, 270 мм, кмп  </t>
  </si>
  <si>
    <t xml:space="preserve">TD с BM, част.выдв, 30 кг, 350 мм, кмп. </t>
  </si>
  <si>
    <t xml:space="preserve">TD с BM, част. выдв, 400 мм, (1845481)  </t>
  </si>
  <si>
    <t xml:space="preserve">TD с BM, част. выдв, 450 мм, (7433916)  </t>
  </si>
  <si>
    <t xml:space="preserve">TD с BM, част. выдв, 500 мм, (8214859)  </t>
  </si>
  <si>
    <t xml:space="preserve">TD с BM, част. выдв, 550 мм, (2487296)  </t>
  </si>
  <si>
    <t xml:space="preserve">TD с BM, полн.выдв, 30 кг, 250 мм, кмп. </t>
  </si>
  <si>
    <t xml:space="preserve">TD с BM, полн.выдв, 30 кг, 270 мм, кмп. </t>
  </si>
  <si>
    <t xml:space="preserve">TD с BM, полн.выдв, 30 кг, 300 мм, кмп. </t>
  </si>
  <si>
    <t xml:space="preserve">TD с BM, полн.выдв, 30 кг, 350 мм, кмп. </t>
  </si>
  <si>
    <t xml:space="preserve">TD с BM, полн.выдв, 30 кг, 400 мм, кмп. </t>
  </si>
  <si>
    <t xml:space="preserve">TD с BM, полн.выдв, 30 кг, 450 мм, кмп. </t>
  </si>
  <si>
    <t xml:space="preserve">TD с BM, полн.выдв, 30 кг, 500 мм, кмп. </t>
  </si>
  <si>
    <t xml:space="preserve">TD с BM, полн.выдв, 30 кг, 380 мм, кмп. </t>
  </si>
  <si>
    <t xml:space="preserve">TD с BM, полн.выдв, 30 кг, 550 мм, кмп. </t>
  </si>
  <si>
    <t xml:space="preserve">TD без BM, част.выдв, 350 мм, кмп V12   </t>
  </si>
  <si>
    <t xml:space="preserve">TD без BM, част.выдв, 450 мм, кмп V12   </t>
  </si>
  <si>
    <t xml:space="preserve">TD, Релинг к Tandem 500мм, никель, кмп  </t>
  </si>
  <si>
    <t xml:space="preserve">TD без BM, част.выдв, 400 мм, кмп V12   </t>
  </si>
  <si>
    <t xml:space="preserve">TD без BM, част.выдв, 550 мм, кмп V12   </t>
  </si>
  <si>
    <t xml:space="preserve">TD без BM, част.выдв, 500 мм, кмп V12   </t>
  </si>
  <si>
    <t xml:space="preserve">TD с BM, полн.выдв, 50 кг, 500 мм, кмп  </t>
  </si>
  <si>
    <t xml:space="preserve">TD с BM, полн.выдв, 50 кг, 450 мм, кмп. </t>
  </si>
  <si>
    <t xml:space="preserve">TD с BM, полн.выдв, 50 кг, 550 мм, кмп  </t>
  </si>
  <si>
    <t xml:space="preserve">TD с BM, полн.выдв, 50 кг, 600 мм, кмп. </t>
  </si>
  <si>
    <t xml:space="preserve">TD с BM, полн.выдв, 50 кг, 650 мм, кмп  </t>
  </si>
  <si>
    <t xml:space="preserve">TD с BM, полн.выдв, 50 кг, 700 мм, кмп. </t>
  </si>
  <si>
    <t xml:space="preserve">TD с BM, полн.выдв, 50 кг, 750 мм, кмп. </t>
  </si>
  <si>
    <t xml:space="preserve">TD без ВМ, част.выдв, 30 кг, 360 мм, пр </t>
  </si>
  <si>
    <t xml:space="preserve">TD без ВМ, ч/в 30кг, 510мм, пр(7699347) </t>
  </si>
  <si>
    <t xml:space="preserve">TD без ВМ, ч/в 30кг, 460мм, пр(5748935) </t>
  </si>
  <si>
    <t xml:space="preserve">TD без ВМ, ч/в 30кг, 410мм, пр(3782603) </t>
  </si>
  <si>
    <t xml:space="preserve">TD без ВМ, ч/в 30кг, 560мм, пр(8542022) </t>
  </si>
  <si>
    <t xml:space="preserve">TD без ВМ, ч/в 30кг, 310мм, пр(2351047) </t>
  </si>
  <si>
    <t xml:space="preserve">TD с BM, част.выдв, 30 кг, 360 мм, лев  </t>
  </si>
  <si>
    <t xml:space="preserve">TD с BM, част.выдв, 30 кг, 360 мм, прав </t>
  </si>
  <si>
    <t xml:space="preserve">TD с BM, част.выдв, 30 кг, 410 мм, лев  </t>
  </si>
  <si>
    <t xml:space="preserve">TD с BM, част.выдв, 30 кг, 410 мм, прав </t>
  </si>
  <si>
    <t xml:space="preserve">TD с BM, част.выдв, 30 кг, 460 мм, лев  </t>
  </si>
  <si>
    <t xml:space="preserve">TD с BM, част.выдв, 30 кг, 460 мм, прав </t>
  </si>
  <si>
    <t xml:space="preserve">TD с BM, част.выдв, 30 кг, 310 мм, лев  </t>
  </si>
  <si>
    <t xml:space="preserve">TD с BM, част.выдв, 30 кг, 310 мм, прав </t>
  </si>
  <si>
    <t xml:space="preserve">TD с BM, част.выдв, 30 кг, 335 мм, лев  </t>
  </si>
  <si>
    <t xml:space="preserve">TD с BM, част.выдв, 30 кг, 335 мм, прав </t>
  </si>
  <si>
    <t xml:space="preserve">TD с BM, част.выдв, 30 кг, 385 мм, лев  </t>
  </si>
  <si>
    <t xml:space="preserve">TD с BM, част.выдв, 30 кг, 385 мм, прав </t>
  </si>
  <si>
    <t xml:space="preserve">TD с BM, част.выдв, 30 кг, 510 мм, лев  </t>
  </si>
  <si>
    <t xml:space="preserve">TD с BM, част.выдв, 30 кг, 510 мм, прав </t>
  </si>
  <si>
    <t xml:space="preserve">TD с BM, част.выдв, 30 кг, 560 мм, лев  </t>
  </si>
  <si>
    <t xml:space="preserve">TD с BM, част.выдв, 30 кг, 560 мм, прав </t>
  </si>
  <si>
    <t xml:space="preserve">TD с BM, част.выдв, 30 кг, 260 мм, лев  </t>
  </si>
  <si>
    <t xml:space="preserve">TD с BM, част.выдв, 30 кг, 260 мм, прав </t>
  </si>
  <si>
    <t xml:space="preserve">TD с BM, полн.выдв, 350 мм, ко дну корп </t>
  </si>
  <si>
    <t xml:space="preserve">TD с BM, полн.выдв, 400 мм, ко дну корп </t>
  </si>
  <si>
    <t xml:space="preserve">TD с BM, полн.выдв, 30 кг, 260 мм, лев  </t>
  </si>
  <si>
    <t xml:space="preserve">TD с BM, полн.выдв, 30 кг, 260 мм, прав </t>
  </si>
  <si>
    <t xml:space="preserve">TD с BM, полн.выдв, 30 кг, 285 мм, лев  </t>
  </si>
  <si>
    <t xml:space="preserve">TD с BM, полн.выдв, 30 кг, 285 мм, прав </t>
  </si>
  <si>
    <t xml:space="preserve">TD с BM, полн.выдв, 30 кг, 310 мм, лев  </t>
  </si>
  <si>
    <t xml:space="preserve">TD с BM, полн.выдв, 30 кг, 310 мм, прав </t>
  </si>
  <si>
    <t xml:space="preserve">TD с BM, полн.выдв, 30 кг, 335 мм, лев  </t>
  </si>
  <si>
    <t xml:space="preserve">TD с BM, полн.выдв, 30 кг, 335 мм, прав </t>
  </si>
  <si>
    <t xml:space="preserve">TD с BM, полн.выдв, 30 кг, 360 мм, лев  </t>
  </si>
  <si>
    <t xml:space="preserve">TD с BM, полн.выдв, 30 кг, 360 мм, прав </t>
  </si>
  <si>
    <t xml:space="preserve">TD с BM, полн.выдв, 30 кг, 410 мм, лев  </t>
  </si>
  <si>
    <t xml:space="preserve">TD с BM, полн.выдв, 30 кг, 410 мм, прав </t>
  </si>
  <si>
    <t xml:space="preserve">TD с BM, полн.выдв, 30 кг, 460 мм, лев  </t>
  </si>
  <si>
    <t xml:space="preserve">TD с BM, полн.выдв, 30 кг, 460 мм, прав </t>
  </si>
  <si>
    <t xml:space="preserve">TD с BM, полн.выдв, 30 кг, 485 мм, лев  </t>
  </si>
  <si>
    <t xml:space="preserve">TD с BM, полн.выдв, 30 кг, 485 мм, прав </t>
  </si>
  <si>
    <t xml:space="preserve">TD с BM, полн.выдв, 30 кг, 510 мм, лев  </t>
  </si>
  <si>
    <t xml:space="preserve">TD с BM, полн.выдв, 30 кг, 510 мм, прав </t>
  </si>
  <si>
    <t xml:space="preserve">TD с BM, полн.выдв, 30 кг, 560 мм, лев  </t>
  </si>
  <si>
    <t xml:space="preserve">TD с BM, полн.выдв, 30 кг, 560 мм, прав </t>
  </si>
  <si>
    <t xml:space="preserve">TD с BM, полн.выдв, 500 мм, ко дну корп </t>
  </si>
  <si>
    <t xml:space="preserve">TD с BM, полн.выдв, 450 мм, ко дну корп </t>
  </si>
  <si>
    <t xml:space="preserve">TD, Tip-on, д/Tandem 551,лев T55.3151S  </t>
  </si>
  <si>
    <t xml:space="preserve">TD, Tip-on, д/Tandem 551,прав T55.3151S </t>
  </si>
  <si>
    <t xml:space="preserve">TD, Tip-on, д/Tandem 551,кмп T55.3150S  </t>
  </si>
  <si>
    <t xml:space="preserve">TD, Tip-on, Шт синхр п/раскр T55.889W   </t>
  </si>
  <si>
    <t xml:space="preserve">TD, Tip-on, д/част выдв, лев T55.1151S  </t>
  </si>
  <si>
    <t xml:space="preserve">TD, Tip-on, д/част выдв, пр T55.1151S   </t>
  </si>
  <si>
    <t xml:space="preserve">TD, Tip-on, д/полн выдв, лев T55.7151S  </t>
  </si>
  <si>
    <t xml:space="preserve">TD, Tip-on, д/полн выдв, пр T55.7151S   </t>
  </si>
  <si>
    <t xml:space="preserve">TD, Tip-on, д/част выдв, кмп T55.1150S  </t>
  </si>
  <si>
    <t xml:space="preserve">TD, Tip-on, д/полн выдв, кмп T55.7150S  </t>
  </si>
  <si>
    <t xml:space="preserve">Movento, 40 кг, 500 мм, 760H5001B, лев. </t>
  </si>
  <si>
    <t>Movento, 40 кг, 500 мм,ко дну 760H5000BU</t>
  </si>
  <si>
    <t xml:space="preserve">Movento, модуль рег по глуб,пр,298.7601 </t>
  </si>
  <si>
    <t>Movento,Бок стаб.д/BM и Tip-on,ZS7.750MU</t>
  </si>
  <si>
    <t xml:space="preserve">Movento+Tip-on, Шестерни, кмп.T57.7400  </t>
  </si>
  <si>
    <t xml:space="preserve">LBX, Шестерня синхр. Tip-on BM T60.000D </t>
  </si>
  <si>
    <t xml:space="preserve">LBX, Держ п/п п/вст, лев, ZI7.1M01.01   </t>
  </si>
  <si>
    <t xml:space="preserve">LBX, Механизм Tip-on BM T60L7543 прав.  </t>
  </si>
  <si>
    <t xml:space="preserve">LBX, Держатель передней панели M, прав  </t>
  </si>
  <si>
    <t>LBX, Tip-on BM, S0, 270-349 кмп T60L7040</t>
  </si>
  <si>
    <t xml:space="preserve">LBX, Держ п/п п/рел, лев, ZI7.3C01.01   </t>
  </si>
  <si>
    <t xml:space="preserve">LBX, Вал синхрониз. Tip-on BM T60L1118W </t>
  </si>
  <si>
    <t xml:space="preserve">LBX, Направл. с BM, 40 кг, 300 мм, прав </t>
  </si>
  <si>
    <t xml:space="preserve">LBX, Крепление фасада K, EXPANDO, симм  </t>
  </si>
  <si>
    <t xml:space="preserve">LBX, Держ п/п п/вст, прав, ZI7.2C01.01  </t>
  </si>
  <si>
    <t xml:space="preserve">LBX, Направл. с BM, 40 кг, 300 мм, лев  </t>
  </si>
  <si>
    <t xml:space="preserve">LBX, Направл. с BM, 40 кг, 400 мм, прав </t>
  </si>
  <si>
    <t xml:space="preserve">LBX, Направл. с BM, 40 кг, 270 мм, прав </t>
  </si>
  <si>
    <t xml:space="preserve">LBX, Направл. с BM, 40 кг, 270 мм, лев  </t>
  </si>
  <si>
    <t xml:space="preserve">LBX, Направл. с BM, 40 кг, 400 мм, лев  </t>
  </si>
  <si>
    <t xml:space="preserve">LBX, Направл. с BM, 40 кг, 350 мм, прав </t>
  </si>
  <si>
    <t xml:space="preserve">LBX, Направл. с BM, 40 кг, 350 мм, лев  </t>
  </si>
  <si>
    <t xml:space="preserve">LBX, Направл. с BM, 40 кг, 500 мм, прав </t>
  </si>
  <si>
    <t xml:space="preserve">LBX, Направл. с BM, 40 кг, 500 мм, лев  </t>
  </si>
  <si>
    <t xml:space="preserve">LBX, Триггер Tip-on BM T60L7009, прав.  </t>
  </si>
  <si>
    <t xml:space="preserve">LBX, Направл. с BM, 70 кг, 500 мм, прав </t>
  </si>
  <si>
    <t xml:space="preserve">LBX, Направл. с BM, 70 кг, 500 мм, лев  </t>
  </si>
  <si>
    <t>LBX, Напр.Tip-on BM,300 мм,кмп 750.3001M</t>
  </si>
  <si>
    <t xml:space="preserve">LBX, Напр.Tip-on BM, 500 мм, 70 кг, кмп </t>
  </si>
  <si>
    <t xml:space="preserve">LBX, Триггер Tip-on BM T60L7009, лев.   </t>
  </si>
  <si>
    <t xml:space="preserve">LBX, Держ п/п п/рел, лев, ZI7.3C01-СНЯТ </t>
  </si>
  <si>
    <t xml:space="preserve">LBX, Держатель передней панели M, лев   </t>
  </si>
  <si>
    <t xml:space="preserve">LBX, Механизм Tip-on BM T60L7543 лев.   </t>
  </si>
  <si>
    <t xml:space="preserve">LBX, Крепление фасада С, EXPANDO, симм  </t>
  </si>
  <si>
    <t xml:space="preserve">LBX, Крепление фасада M, EXPANDO, симм  </t>
  </si>
  <si>
    <t xml:space="preserve">LBX, Крепление фасада N, EXPANDO, симм  </t>
  </si>
  <si>
    <t xml:space="preserve">LBX, Бок. стабилизатор, кмп, ZS7M650LU  </t>
  </si>
  <si>
    <t xml:space="preserve">LBX, Крепление фасада С, п/шуруп , симм </t>
  </si>
  <si>
    <t xml:space="preserve">LBX, Держ п/п п/вст, прав, ZI7.1M01.01  </t>
  </si>
  <si>
    <t xml:space="preserve">LBX, Крепление фасада M, п/шуруп, симм  </t>
  </si>
  <si>
    <t xml:space="preserve">LBX, Держ п/п п/вст, лев, ZI7.2C01.01   </t>
  </si>
  <si>
    <t xml:space="preserve">LBX, Направл. с BM, 40 кг, 450 мм, прав </t>
  </si>
  <si>
    <t xml:space="preserve">LBX, Направл. с BM, 40 кг, 450 мм, лев  </t>
  </si>
  <si>
    <t xml:space="preserve">LBX, Держ п/п п/рел, прав, ZI7.3C01.01  </t>
  </si>
  <si>
    <t xml:space="preserve">LBX, Пер пан с/паз п/раскр, 1043мм, сер </t>
  </si>
  <si>
    <t>LBX, Боковина M 90,3/450 мм, сер,лев V20</t>
  </si>
  <si>
    <t>LBX, Боковина M 90,3/450 мм, сер, пр V20</t>
  </si>
  <si>
    <t xml:space="preserve">LBX, Держат. задн. ст, 78 мм, сер, прав </t>
  </si>
  <si>
    <t xml:space="preserve">LBX, Пп б/п п/раскр, 1043 сер (5897587) </t>
  </si>
  <si>
    <t xml:space="preserve">LBX, Боковина M 90,3/500 мм, сер, прав  </t>
  </si>
  <si>
    <t xml:space="preserve">LBX, Боковина M 90,3/500 мм, сер, лев   </t>
  </si>
  <si>
    <t xml:space="preserve">LBX, Боковина M 90,3/270 мм, сер, прав  </t>
  </si>
  <si>
    <t xml:space="preserve">LBX, Боковина С 176,8/500 мм, сер, прав </t>
  </si>
  <si>
    <t xml:space="preserve">LBX, Боковина M 90,3/270 мм, сер, лев   </t>
  </si>
  <si>
    <t xml:space="preserve">LBX, Боковина С 176,8/500 мм, сер, лев  </t>
  </si>
  <si>
    <t xml:space="preserve">LBX, Боковина N 66,3/500 мм, сер, прав  </t>
  </si>
  <si>
    <t xml:space="preserve">LBX, Боковина M 90,3/350 мм, сер, прав  </t>
  </si>
  <si>
    <t xml:space="preserve">LBX-F, Боковина 176,8/350 мм, сер, кмп. </t>
  </si>
  <si>
    <t xml:space="preserve">LBX, Боковина M 90,3/350 мм, сер, лев   </t>
  </si>
  <si>
    <t xml:space="preserve">LBX, Боковина N 66,3/500 мм, сер, лев   </t>
  </si>
  <si>
    <t xml:space="preserve">LBX, Боковина M 90,3/450 мм, сер, прав  </t>
  </si>
  <si>
    <t xml:space="preserve">LBX, Боковина M 90,3/450 мм, сер, лев   </t>
  </si>
  <si>
    <t xml:space="preserve">LBX, Боковина С 176,8/350 мм, сер, прав </t>
  </si>
  <si>
    <t xml:space="preserve">LBX, Боковина С 176,8/350 мм, сер, лев  </t>
  </si>
  <si>
    <t xml:space="preserve">LBX, Поп рел п/раскрой, 1080 мм., сер   </t>
  </si>
  <si>
    <t>LBX, Боковина С 176,8/350 мм,сер,лев V10</t>
  </si>
  <si>
    <t>LBX, Боковина С 176,8/350 мм, сер,пр V10</t>
  </si>
  <si>
    <t xml:space="preserve">LBX, Боковина F 241/270 мм, сер, прав   </t>
  </si>
  <si>
    <t xml:space="preserve">LBX, Боковина F 241/500 мм, сер, прав   </t>
  </si>
  <si>
    <t xml:space="preserve">LBX, Боковина F 241/450 мм, сер, прав   </t>
  </si>
  <si>
    <t xml:space="preserve">LBX-F, Боковина 176,8/450 мм, сер, кмп. </t>
  </si>
  <si>
    <t xml:space="preserve">LBX, Загл держ п/п М, сер, лев ZI7.0MS3 </t>
  </si>
  <si>
    <t xml:space="preserve">LBX, Загл держ п/п С, сер, лев ZI7.2CS3 </t>
  </si>
  <si>
    <t xml:space="preserve">LBX, Боковина M 90,3/400 мм, сер, прав  </t>
  </si>
  <si>
    <t xml:space="preserve">LBX-F, Боковина 176,8/500 мм, сер, кмп. </t>
  </si>
  <si>
    <t xml:space="preserve">LBX, Боковина M 90,3/400 мм, сер, лев   </t>
  </si>
  <si>
    <t xml:space="preserve">LBX, Ручка с пов д/вн ящ, сер ZI7.0M07  </t>
  </si>
  <si>
    <t xml:space="preserve">LBX, Задн. ст. C 600/16, сер ZB7C536S.6 </t>
  </si>
  <si>
    <t xml:space="preserve">LBX, Боковина С 176,8/400 мм, сер, прав </t>
  </si>
  <si>
    <t xml:space="preserve">LBX, Боковина С 176,8/400 мм, сер, лев  </t>
  </si>
  <si>
    <t>LBX, Боковина F 241/500 мм, сер, лев V10</t>
  </si>
  <si>
    <t xml:space="preserve">LBX, Боковина F 241/500 мм, сер, пр V10 </t>
  </si>
  <si>
    <t xml:space="preserve">LBX-F, Задн держ стекл вст C сер, лев   </t>
  </si>
  <si>
    <t xml:space="preserve">LBX, Загл п/низк вст, сер, лев ZI7.4C09 </t>
  </si>
  <si>
    <t xml:space="preserve">LBX, Пп б/п п/раскр, сер, ZV7.1043C01   </t>
  </si>
  <si>
    <t>LBX, Боковина M 90,3/500 мм, сер,лев V20</t>
  </si>
  <si>
    <t xml:space="preserve">LBX, Загл вн держ п/п сер лев ZI7.3C08  </t>
  </si>
  <si>
    <t>LBX, Боковина M 90,3/500 мм, сер, пр V20</t>
  </si>
  <si>
    <t xml:space="preserve">LBX, Задн. ст. М 450/16, сер ZB7M386S   </t>
  </si>
  <si>
    <t xml:space="preserve">LBX, Держат. задн. ст, 78 мм, сер, лев  </t>
  </si>
  <si>
    <t xml:space="preserve">LBX, Задн. ст. F 450/16, сер ZB7F386S   </t>
  </si>
  <si>
    <t xml:space="preserve">LBX, Боковина F 241/350 мм, сер, прав   </t>
  </si>
  <si>
    <t xml:space="preserve">LBX-F, Задн держ стекл вст C сер, прав  </t>
  </si>
  <si>
    <t xml:space="preserve">LBX, Боковина С 176,8/270 мм, сер, прав </t>
  </si>
  <si>
    <t>LBX, Боковина С 176,8/450 мм,сер,лев V10</t>
  </si>
  <si>
    <t>LBX, Боковина С 176,8/450 мм, сер,пр V10</t>
  </si>
  <si>
    <t xml:space="preserve">LBX, Боковины M 90,3/270 мм, сер, кмп   </t>
  </si>
  <si>
    <t xml:space="preserve">LBX, Боковины M 90,3/300 мм, сер, кмп   </t>
  </si>
  <si>
    <t xml:space="preserve">LBX, Боковины M 90,3/350 мм, сер, кмп   </t>
  </si>
  <si>
    <t xml:space="preserve">LBX, Боковины M 90,3/400 мм, сер, кмп   </t>
  </si>
  <si>
    <t xml:space="preserve">LBX, Боковины M 90,3/450 мм, сер, кмп   </t>
  </si>
  <si>
    <t xml:space="preserve">LBX, Боковина С 176,8/270 мм, сер, лев  </t>
  </si>
  <si>
    <t xml:space="preserve">LBX, Боковины M 90,3/500 мм, сер, кмп   </t>
  </si>
  <si>
    <t>LBX, Боковина C 176,8/500 мм,сер,лев V10</t>
  </si>
  <si>
    <t>LBX, Боковина C 176,8/500 мм, сер,пр V10</t>
  </si>
  <si>
    <t xml:space="preserve">LBX, Боковины C 176,8/270 мм, сер, кмп  </t>
  </si>
  <si>
    <t xml:space="preserve">LBX, БОКОВИНЫ C 176,8/300 ММ, СЕР, КМП  </t>
  </si>
  <si>
    <t xml:space="preserve">LBX, Боковины C 176,8/350 мм, сер, кмп  </t>
  </si>
  <si>
    <t xml:space="preserve">LBX, Боковины C 176,8/400 мм, сер, кмп  </t>
  </si>
  <si>
    <t xml:space="preserve">LBX-F, Боковина 176,8/500 мм, сер, прав </t>
  </si>
  <si>
    <t xml:space="preserve">LBX, Боковины C 176,8/450 мм, сер, кмп  </t>
  </si>
  <si>
    <t xml:space="preserve">LBX, Боковины C 176,8/500 мм, сер, кмп  </t>
  </si>
  <si>
    <t xml:space="preserve">LBX, Боковина С 176,8/450 мм, сер, прав </t>
  </si>
  <si>
    <t xml:space="preserve">LBX, Боковина С 176,8/450 мм, сер, лев  </t>
  </si>
  <si>
    <t xml:space="preserve">LBX, Боковины K 128,5/400 мм, сер, кмп  </t>
  </si>
  <si>
    <t xml:space="preserve">LBX, Боковины K 128,5/500 мм, сер, кмп  </t>
  </si>
  <si>
    <t xml:space="preserve">LBX, Загл вн держ п/п сер пр ZI7.3C08   </t>
  </si>
  <si>
    <t xml:space="preserve">LBX-F, Боковина 176,8/500 мм, сер, лев  </t>
  </si>
  <si>
    <t xml:space="preserve">LBX, Боковины N 66,5/450 мм, сер, кмп   </t>
  </si>
  <si>
    <t xml:space="preserve">LBX, Боковины N 66,5/500 мм, сер, кмп   </t>
  </si>
  <si>
    <t xml:space="preserve">LBX Free, Ящик высотой C, 500 мм. серый </t>
  </si>
  <si>
    <t>LBX, Боковина M 90,3/450 мм, бел,лев V20</t>
  </si>
  <si>
    <t>LBX, Боковина M 90,3/450 мм, бел, пр V20</t>
  </si>
  <si>
    <t>LBX, Боковина M 90,3/270 мм, бел,лев V20</t>
  </si>
  <si>
    <t>LBX, Боковина M 90,3/270 мм, бел, пр V20</t>
  </si>
  <si>
    <t>LBX, Загл держ п/п вст, бел, пр ZI7.1MS3</t>
  </si>
  <si>
    <t xml:space="preserve">LBX, Боковина M 90,3/500 мм, бел, прав  </t>
  </si>
  <si>
    <t xml:space="preserve">LBX, Боковина M 90,3/500 мм, бел, лев   </t>
  </si>
  <si>
    <t xml:space="preserve">LBX, Боковина F 241/400 мм, бел, прав   </t>
  </si>
  <si>
    <t xml:space="preserve">LBX, Боковина F 241/350 мм, бел, прав   </t>
  </si>
  <si>
    <t xml:space="preserve">LBX, Боковина C 176,8/500 мм, бел, прав </t>
  </si>
  <si>
    <t>LBX, Боковина C 176,8/300 мм,бел,лев V10</t>
  </si>
  <si>
    <t>LBX, Боковина C 176,8/300 мм, бел,пр V10</t>
  </si>
  <si>
    <t xml:space="preserve">LBX, Боковина C 176,8/500 мм, бел, лев  </t>
  </si>
  <si>
    <t xml:space="preserve">LBX, Боковина M 90,3/270 мм, бел, прав  </t>
  </si>
  <si>
    <t xml:space="preserve">LBX, Боковина M 90,3/270 мм, бел, лев   </t>
  </si>
  <si>
    <t xml:space="preserve">LBX, Боковина N 66,3/500 мм, бел, прав  </t>
  </si>
  <si>
    <t>LBX, Боковина C 176,8/350 мм,бел,лев V10</t>
  </si>
  <si>
    <t>LBX, Боковина C 176,8/350 мм,бел, пр V10</t>
  </si>
  <si>
    <t xml:space="preserve">LBX, Боковина M 90,3/450 мм, бел, прав  </t>
  </si>
  <si>
    <t xml:space="preserve">LBX, Боковина F 241/500 мм, бел, прав   </t>
  </si>
  <si>
    <t xml:space="preserve">LBX, Боковина M 90,3/450 мм, бел, лев   </t>
  </si>
  <si>
    <t xml:space="preserve">LBX, Боковина N 66,3/500 мм, бел, лев   </t>
  </si>
  <si>
    <t xml:space="preserve">LBX, Боковина C 176,8/450 мм, бел, прав </t>
  </si>
  <si>
    <t xml:space="preserve">LBX, Боковина C 176,8/450 мм, бел, лев  </t>
  </si>
  <si>
    <t xml:space="preserve">LBX, Держат. задн. ст, 78 мм, бел, лев  </t>
  </si>
  <si>
    <t xml:space="preserve">LBX-F, Задний держ стекл вст C бел, пр. </t>
  </si>
  <si>
    <t xml:space="preserve">LBX, Загл п/низк вст, бел, лев ZI7.4C09 </t>
  </si>
  <si>
    <t>LBX, Боковина N 66,3/500 мм, бел,лев V20</t>
  </si>
  <si>
    <t>LBX, Боковина N 66,3/500 мм, бел, пр V20</t>
  </si>
  <si>
    <t xml:space="preserve">LBX, Загл держ п/п C, бел, лев ZI7.2CS3 </t>
  </si>
  <si>
    <t>LBX, Боковина F 241/500 мм, бел, лев,V10</t>
  </si>
  <si>
    <t>LBX, Боковина F 241/500 мм, бел, пр, V10</t>
  </si>
  <si>
    <t xml:space="preserve">LBX, Держат. задн. ст, 78 мм, бел, прав </t>
  </si>
  <si>
    <t>LBX, Боковина M 90,3/500 мм, бел,лев V20</t>
  </si>
  <si>
    <t>LBX, Боковина M 90,3/500 мм, бел, пр V20</t>
  </si>
  <si>
    <t xml:space="preserve">LBX, Боковина F 241/270 мм, бел, прав   </t>
  </si>
  <si>
    <t xml:space="preserve">LBX, Боковина M 90,3/300 мм, бел, прав  </t>
  </si>
  <si>
    <t xml:space="preserve">LBX, Боковина M 90,3/300 мм, бел, лев   </t>
  </si>
  <si>
    <t xml:space="preserve">LBX, Поп рел п/раскрой, 1080 мм., бел   </t>
  </si>
  <si>
    <t>LBX, Боковина C 176,8/400 мм,бел,лев V10</t>
  </si>
  <si>
    <t>LBX, Боковина M 90,3/350 мм, бел,лев V20</t>
  </si>
  <si>
    <t xml:space="preserve">LBX, Боковина M 90,3/350 мм, бел,пр V20 </t>
  </si>
  <si>
    <t>LBX, Боковина C 176,8/400 мм, бел,пр V10</t>
  </si>
  <si>
    <t xml:space="preserve">LBX, Загл вн держ п/п  бел лев ZI7.2C08 </t>
  </si>
  <si>
    <t xml:space="preserve">LBX, Боковина C 176,8/300 мм, бел, прав </t>
  </si>
  <si>
    <t xml:space="preserve">LBX, Боковина C 176,8/300 мм, бел, лев  </t>
  </si>
  <si>
    <t>LBX, Боковина C 176,8/450 мм,бел,лев V10</t>
  </si>
  <si>
    <t>LBX, Боковина C 176,8/450 мм, бел,пр V10</t>
  </si>
  <si>
    <t xml:space="preserve">LBX, Пер пан с/паз п/раскр, 1043мм, бел </t>
  </si>
  <si>
    <t>LBX, Боковина M 90,3/400 мм, бел,лев,V20</t>
  </si>
  <si>
    <t xml:space="preserve">LBX, Боковины M 90,3/270 мм, бел, кмп.  </t>
  </si>
  <si>
    <t>LBX, Боковина M 90,3/400 мм, бел, пр,V20</t>
  </si>
  <si>
    <t xml:space="preserve">LBX, Боковины M 90,3/350 мм, бел, кмп.  </t>
  </si>
  <si>
    <t xml:space="preserve">LBX, Боковина M 90,3/400 мм, бел, прав  </t>
  </si>
  <si>
    <t xml:space="preserve">LBX, Боковины M 90,3/400 мм, бел, кмп.  </t>
  </si>
  <si>
    <t xml:space="preserve">LBX, Боковина M 90,3/400 мм, бел, лев   </t>
  </si>
  <si>
    <t xml:space="preserve">LBX, Боковины M 90,3/450 мм, бел, кмп.  </t>
  </si>
  <si>
    <t xml:space="preserve">LBX, Боковины M 90,3/500 мм, бел, кмп.  </t>
  </si>
  <si>
    <t>LBX, Боковина C 176,8/500 мм,бел,лев V10</t>
  </si>
  <si>
    <t>LBX, Боковина C 176,8/500 мм, бел,пр V10</t>
  </si>
  <si>
    <t>LBX-F, Боковина 176,8/500 мм,бел,лев V10</t>
  </si>
  <si>
    <t>LBX-F, Боковина 176,8/500 мм, бел,пр V10</t>
  </si>
  <si>
    <t xml:space="preserve">LBX, Боковины С 176,8/270 мм, бел, кмп. </t>
  </si>
  <si>
    <t xml:space="preserve">LBX, Боковины С 176,8/300 мм, бел, кмп. </t>
  </si>
  <si>
    <t xml:space="preserve">LBX, Боковины С 176,8/350 мм, бел, кмп. </t>
  </si>
  <si>
    <t xml:space="preserve">LBX, Боковины С 176,8/400 мм, бел, кмп. </t>
  </si>
  <si>
    <t xml:space="preserve">LBX, Боковины С 176,8/450 мм, бел, кмп. </t>
  </si>
  <si>
    <t xml:space="preserve">LBX, Боковины С 176,8/500 мм, бел, кмп. </t>
  </si>
  <si>
    <t xml:space="preserve">LBX, Боковина C 176,8/400 мм, бел, прав </t>
  </si>
  <si>
    <t xml:space="preserve">LBX, Боковина C 176,8/400 мм, бел, лев  </t>
  </si>
  <si>
    <t xml:space="preserve">LBX-F, Боковина 176,8/500 мм, бел, лев  </t>
  </si>
  <si>
    <t xml:space="preserve">LBX-F, Боковина 176,8/500 мм, бел, пр   </t>
  </si>
  <si>
    <t xml:space="preserve">LBX, держатель п/п C, бел, кмп ZI7.3CS0 </t>
  </si>
  <si>
    <t xml:space="preserve">LBX, Боковина M 90,3/350 мм, бел, прав  </t>
  </si>
  <si>
    <t xml:space="preserve">LBX, Боковины F 241/500 мм, бел, кмп.   </t>
  </si>
  <si>
    <t xml:space="preserve">LBX, Боковина M 90,3/350 мм, бел, лев   </t>
  </si>
  <si>
    <t xml:space="preserve">LBX, Боковина C 176,8/270 мм, бел, прав </t>
  </si>
  <si>
    <t xml:space="preserve">LBX, Боковины К 128,5/450 мм, бел, кмп. </t>
  </si>
  <si>
    <t xml:space="preserve">LBX, Боковины К 128,5/500 мм, бел, кмп. </t>
  </si>
  <si>
    <t xml:space="preserve">LBX, Боковина C 176,8/270 мм, бел, лев  </t>
  </si>
  <si>
    <t xml:space="preserve">LBX, Боковина F 241/450 мм, бел, прав   </t>
  </si>
  <si>
    <t xml:space="preserve">LBX, Ручка с пов д/вн ящ, бел ZI7.0M07  </t>
  </si>
  <si>
    <t xml:space="preserve">LBX, Боковина C 176,8/350 мм, бел, прав </t>
  </si>
  <si>
    <t xml:space="preserve">LBX, Боковины N 66,3/450 мм, бел, кмп.  </t>
  </si>
  <si>
    <t xml:space="preserve">LBX, Боковины N 66,3/500 мм, бел, кмп.  </t>
  </si>
  <si>
    <t xml:space="preserve">LBX, Боковина C 176,8/350 мм, бел, лев  </t>
  </si>
  <si>
    <t xml:space="preserve">LBX, Ящик высотой C, 450 мм. белый шелк </t>
  </si>
  <si>
    <t xml:space="preserve">LBX, Ящик высотой F, 450 мм. белый шелк </t>
  </si>
  <si>
    <t xml:space="preserve">LBX, Ящик высотой M, 450 мм. белый шелк </t>
  </si>
  <si>
    <t xml:space="preserve">LBX, Ящик высотой C, 500 мм. белый шелк </t>
  </si>
  <si>
    <t xml:space="preserve">LBX, Ящик высотой F, 500 мм. белый шелк </t>
  </si>
  <si>
    <t xml:space="preserve">LBX, Ящик высотой M, 500 мм. белый шелк </t>
  </si>
  <si>
    <t xml:space="preserve">LBX, Ящик высотой N, 500 мм. белый шелк </t>
  </si>
  <si>
    <t xml:space="preserve">LBX Free, Ящик высотой C, 500 мм. белый </t>
  </si>
  <si>
    <t xml:space="preserve">LBX, Держат. задн. ст, 78 мм, черн, кмп </t>
  </si>
  <si>
    <t>LBX, Боковина M 90,3/450 мм,черн,лев V20</t>
  </si>
  <si>
    <t>LBX, Боковина M 90,3/450 мм, черн,пр V20</t>
  </si>
  <si>
    <t xml:space="preserve">LBX, Загл держ п/п С, черн, пр ZI7.2CS3 </t>
  </si>
  <si>
    <t>LBX, Боковина M 90,3/270 мм,черн,лев V20</t>
  </si>
  <si>
    <t xml:space="preserve">LBX, Загл вн держ п/п, чер, пр ZI7.1M08 </t>
  </si>
  <si>
    <t>LBX, Боковина M 90,3/270 мм,черн, пр V20</t>
  </si>
  <si>
    <t xml:space="preserve">LBX, Боковина C 176,8/450 мм, черн, лев </t>
  </si>
  <si>
    <t xml:space="preserve">LBX, Боковина F 241/450 мм, черн, лев   </t>
  </si>
  <si>
    <t xml:space="preserve">LBX, Боковина F 241/450 мм, черн, прав  </t>
  </si>
  <si>
    <t xml:space="preserve">LBX, Загл вн держ п/п,чер, лев ZI7.2C08 </t>
  </si>
  <si>
    <t xml:space="preserve">LBX, Пер пан б/паза п/раскр (9425225)   </t>
  </si>
  <si>
    <t xml:space="preserve">LBX, Боковина K 128,5/270 мм, черн, лев </t>
  </si>
  <si>
    <t>LBX, Боковина C 176,8/350 мм,чер,лев V10</t>
  </si>
  <si>
    <t>LBX, Боковина C 176,8/350 мм, чер,пр V10</t>
  </si>
  <si>
    <t xml:space="preserve">LBX, Боковина M 90,3/270 мм, черн, прав </t>
  </si>
  <si>
    <t xml:space="preserve">LBX, Боковина M 90,3/270 мм, черн, лев  </t>
  </si>
  <si>
    <t>LBX, Загл держ п/п М, чер, прав ZI7.0MS3</t>
  </si>
  <si>
    <t xml:space="preserve">LBX, Боковина M 90,3/450 мм, черн, прав </t>
  </si>
  <si>
    <t xml:space="preserve">LBX, Боковина M 90,3/500 мм, черн, прав </t>
  </si>
  <si>
    <t xml:space="preserve">LBX, Боковина M 90,3/450 мм, черн, лев  </t>
  </si>
  <si>
    <t xml:space="preserve">LBX, Боковина M 90,3/500 мм, черн, лев  </t>
  </si>
  <si>
    <t xml:space="preserve">LBX, Держат задн. ст, 102 мм, черн, лев </t>
  </si>
  <si>
    <t xml:space="preserve">LBX, Боковина C 176,8/500 мм, черн, лев </t>
  </si>
  <si>
    <t xml:space="preserve">LBX, Боковина N 66,3/500 мм, черн, прав </t>
  </si>
  <si>
    <t xml:space="preserve">LBX, Боковина N 66,3/500 мм, черн, лев  </t>
  </si>
  <si>
    <t xml:space="preserve">LBX, Загл вн держ п/п,чер, пр ZI7.2C08  </t>
  </si>
  <si>
    <t xml:space="preserve">LBX, Боковина F 241/350 мм, черн, лев   </t>
  </si>
  <si>
    <t xml:space="preserve">LBX, Боковина F 241/350 мм, черн, прав  </t>
  </si>
  <si>
    <t xml:space="preserve">LBX, Ручка с пов д/вн ящ, черн ZI7.0M07 </t>
  </si>
  <si>
    <t xml:space="preserve">LBX, Боковина C 176,8/270 мм, черн, лев </t>
  </si>
  <si>
    <t xml:space="preserve">LBX, Боковина F 241/270 мм, черн, лев   </t>
  </si>
  <si>
    <t xml:space="preserve">LBX, Боковина F 241/270 мм, черн, прав  </t>
  </si>
  <si>
    <t xml:space="preserve">LBX, Держат. задн. ст, 78 мм, черн, лев </t>
  </si>
  <si>
    <t xml:space="preserve">LBX, Пер пан с/паз п/раскр, 1043мм, чер </t>
  </si>
  <si>
    <t xml:space="preserve">LBX, Боковины M 90,5/270 мм, черн, кмп. </t>
  </si>
  <si>
    <t xml:space="preserve">LBX, Боковины M 90,5/300 мм, черн, кмп. </t>
  </si>
  <si>
    <t xml:space="preserve">LBX, Боковины M 90,5/350 мм, черн, кмп. </t>
  </si>
  <si>
    <t xml:space="preserve">LBX, Боковины M 90,5/400 мм, черн, кмп. </t>
  </si>
  <si>
    <t xml:space="preserve">LBX, Боковины M 90,5/450 мм, черн, кмп. </t>
  </si>
  <si>
    <t xml:space="preserve">LBX, Боковина C 176,8/350 мм, черн, лев </t>
  </si>
  <si>
    <t xml:space="preserve">LBX, Боковины M 90,5/500 мм, черн, кмп. </t>
  </si>
  <si>
    <t>LBX, Боковина C 176,8/500 мм,чер,лев V10</t>
  </si>
  <si>
    <t>LBX, Боковина C 176,8/500 мм, чер,пр V10</t>
  </si>
  <si>
    <t>LBX, Держат. задн. ст, 144 мм, черн, кмп</t>
  </si>
  <si>
    <t xml:space="preserve">LBX, Боковина C 176,8/400 мм, черн, лев </t>
  </si>
  <si>
    <t xml:space="preserve">LBX, Боковина F 241/500 мм, черн, прав  </t>
  </si>
  <si>
    <t xml:space="preserve">LBX, Боковина F 241/500 мм, черн, лев   </t>
  </si>
  <si>
    <t xml:space="preserve">LBX, Боковины F 241/450 мм, черн, кмп.  </t>
  </si>
  <si>
    <t xml:space="preserve">LBX, Боковины F 241/500 мм, черн, кмп.  </t>
  </si>
  <si>
    <t xml:space="preserve">LBX-F, Боковина 176,8/500 мм, черн, пр. </t>
  </si>
  <si>
    <t xml:space="preserve">LBX, Держат задн. ст, 189 мм, черн, лев </t>
  </si>
  <si>
    <t xml:space="preserve">LBX, Боковина M 90,3/350 мм, черн, прав </t>
  </si>
  <si>
    <t xml:space="preserve">LBX, Боковина M 90,3/350 мм, черн, лев  </t>
  </si>
  <si>
    <t xml:space="preserve">LBX, Держат задн. ст, 253 мм, черн, лев </t>
  </si>
  <si>
    <t xml:space="preserve">LBX, Поп рел п/раскрой 1080 мм., черн   </t>
  </si>
  <si>
    <t xml:space="preserve">LBX, Боковина M 90,3/400 мм, черн, прав </t>
  </si>
  <si>
    <t xml:space="preserve">LBX, Боковина M 90,3/400 мм, черн, лев  </t>
  </si>
  <si>
    <t xml:space="preserve">LBX, Боковины N 66,3/450 мм, черн, кмп. </t>
  </si>
  <si>
    <t xml:space="preserve">LBX, Боковины N 66,3/500 мм, черн, кмп. </t>
  </si>
  <si>
    <t xml:space="preserve">LBX, Боковина N 66,5/500 мм, нерж, кмп  </t>
  </si>
  <si>
    <t xml:space="preserve">LBX, Боковина F 241/500 мм, нерж, кмп   </t>
  </si>
  <si>
    <t xml:space="preserve">LBX, держ. задн. ст, 257 мм, нерж, кмпк </t>
  </si>
  <si>
    <t xml:space="preserve">LBX, Боковина K 128,5/500 мм, нерж, кмп </t>
  </si>
  <si>
    <t xml:space="preserve">LBX, держ. задн. ст, 193 мм, нерж, кмпк </t>
  </si>
  <si>
    <t xml:space="preserve">LBX, Загл держ п/п вст нерж пр ZI7.1MI3 </t>
  </si>
  <si>
    <t xml:space="preserve">LBX, держ. задн. ст, 80 мм, нерж, кмпк  </t>
  </si>
  <si>
    <t xml:space="preserve">LBX, держ. задн. ст, 102 мм, нерж, кмпк </t>
  </si>
  <si>
    <t xml:space="preserve">LBX, Загл вн держ. п/п нерж пр ZI7.1M08 </t>
  </si>
  <si>
    <t xml:space="preserve">LBX, держ. задн. ст, 144 мм, нерж, кмпк </t>
  </si>
  <si>
    <t xml:space="preserve">LBX, держ. задн. ст, 80 мм, нерж, лев   </t>
  </si>
  <si>
    <t xml:space="preserve">LBX, держ. задн. ст, 102 мм, нерж, лев. </t>
  </si>
  <si>
    <t xml:space="preserve">LBX, Боковина М 90,5/500 мм, нерж, лев. </t>
  </si>
  <si>
    <t xml:space="preserve">LBX, Боковина C 177/500 мм, нерж, кмп   </t>
  </si>
  <si>
    <t xml:space="preserve">LBX, Боковина М 90,5/350 мм, нерж, кмп  </t>
  </si>
  <si>
    <t xml:space="preserve">LBX, Боковина М 90,5/400 мм, нерж, кмп  </t>
  </si>
  <si>
    <t xml:space="preserve">LBX, Боковина М 90,5/500 мм, нерж, кмп  </t>
  </si>
  <si>
    <t xml:space="preserve">LBX, Боковина N 66,3/500 мм, кор, прав  </t>
  </si>
  <si>
    <t xml:space="preserve">LBX, Пер пан б/паза, 1043мм, кор (СТАР) </t>
  </si>
  <si>
    <t xml:space="preserve">LBX, Боковина N 66,3/500 мм, кор, лев   </t>
  </si>
  <si>
    <t xml:space="preserve">LBX, Загл держ п/п М, кор, лев ZI7.0MS3 </t>
  </si>
  <si>
    <t xml:space="preserve">LBX, Боковина C 176,8/270 мм, кор, прав </t>
  </si>
  <si>
    <t xml:space="preserve">LBX, Боковина C 176,8/270 мм, кор, лев  </t>
  </si>
  <si>
    <t xml:space="preserve">LBX, Поп рел п/раскрой, 1080 мм., кор   </t>
  </si>
  <si>
    <t xml:space="preserve">LBX, Загл держ п/п С, кор, пр, ZI7.2CS3 </t>
  </si>
  <si>
    <t xml:space="preserve">LBX, Боковина C 176,8/450 мм, кор, прав </t>
  </si>
  <si>
    <t xml:space="preserve">LBX, Боковина C 176,8/450 мм, кор, лев  </t>
  </si>
  <si>
    <t xml:space="preserve">LBX, Боковина M 90,3/270 мм, кор, прав  </t>
  </si>
  <si>
    <t xml:space="preserve">LBX, Боковина M 90,3/270 мм, кор, лев   </t>
  </si>
  <si>
    <t xml:space="preserve">LBX, Боковина M 90,3/350 мм, кор, прав  </t>
  </si>
  <si>
    <t xml:space="preserve">LBX, Боковина M 90,3/450 мм, кор, прав  </t>
  </si>
  <si>
    <t xml:space="preserve">LBX, Боковина M 90,3/450 мм, кор, лев   </t>
  </si>
  <si>
    <t xml:space="preserve">LBX, Боковина F 241/500 мм, кор, прав   </t>
  </si>
  <si>
    <t xml:space="preserve">LBX, Боковина M 90,3/350 мм, кор, лев   </t>
  </si>
  <si>
    <t xml:space="preserve">LBX, Загл держ п/п С, кор, лев ZI7.2CS3 </t>
  </si>
  <si>
    <t xml:space="preserve">LBX, Боковина M 90,3/500 мм, кор, прав  </t>
  </si>
  <si>
    <t xml:space="preserve">LBX, Боковина M 90,3/500 мм, кор, лев   </t>
  </si>
  <si>
    <t xml:space="preserve">LBX, Боковина C 176,8/350 мм, кор, прав </t>
  </si>
  <si>
    <t xml:space="preserve">LBX, Боковина C 176,8/350 мм, кор, лев  </t>
  </si>
  <si>
    <t xml:space="preserve">LBX, Боковина C 176,8/500 мм, кор, прав </t>
  </si>
  <si>
    <t xml:space="preserve">LBX, Боковина C 176,8/500 мм, кор, лев  </t>
  </si>
  <si>
    <t xml:space="preserve">LBX, Загл вн держ п/п кор лев, ZI7.3C08 </t>
  </si>
  <si>
    <t xml:space="preserve">LBX, Пп б/п, 1043мм, кор, ZV7.1043C01   </t>
  </si>
  <si>
    <t xml:space="preserve">LBX, Пер. пан. с/паз п/раскр, 1043, кор </t>
  </si>
  <si>
    <t xml:space="preserve">LBX-F, Боковина 176.8/500 мм, кор, прав </t>
  </si>
  <si>
    <t xml:space="preserve">LBX-F, Боковина 176,8/500 мм, кор, лев  </t>
  </si>
  <si>
    <t>LBX, Боковина M 90,3/500 мм, кор,лев,V20</t>
  </si>
  <si>
    <t xml:space="preserve">LBX, Боковина M 90,3/500 мм, кор,пр,V20 </t>
  </si>
  <si>
    <t xml:space="preserve">LBX, Держат. задн. ст, 78 мм, кор, прав </t>
  </si>
  <si>
    <t xml:space="preserve">LBX-F, Задн держ стекл вст С кор, прав  </t>
  </si>
  <si>
    <t xml:space="preserve">LBX, Держат. задн. ст, 78 мм, кор, лев  </t>
  </si>
  <si>
    <t>LBX, Боковина C 176,8/500 мм,кор,лев V10</t>
  </si>
  <si>
    <t>LBX, Боковина C 176,8/500 мм, кор,пр V10</t>
  </si>
  <si>
    <t xml:space="preserve">LBX-F, Задн держ стекл вст С кор, лев   </t>
  </si>
  <si>
    <t xml:space="preserve">AMB, Рамка 270/242/50, сер ZC7S300RSU   </t>
  </si>
  <si>
    <t xml:space="preserve">AMB, Лоток 500мм, дуб небр ZC7S500BH3   </t>
  </si>
  <si>
    <t xml:space="preserve">AMB, Рамка 500/100, орех тен ZC7S500RH1 </t>
  </si>
  <si>
    <t xml:space="preserve">AMB, Разделитель попер 110,6 мм. черн.  </t>
  </si>
  <si>
    <t xml:space="preserve">AMB, Разделитель попер 92,6 мм. черн.   </t>
  </si>
  <si>
    <t xml:space="preserve">AMB, Рамка 400/218/100, бел ZC7F400RSP  </t>
  </si>
  <si>
    <t xml:space="preserve">AMB, Лоток 500мм, орех тен ZC7S500BH3   </t>
  </si>
  <si>
    <t xml:space="preserve">AMB, Рамка 500/200, дуб бард ZC7S500RH2 </t>
  </si>
  <si>
    <t xml:space="preserve">AMB, Рамка 500/200, орех тен ZC7S500RH2 </t>
  </si>
  <si>
    <t xml:space="preserve">AMB, Прод. разд. д/попер. релинга, бел  </t>
  </si>
  <si>
    <t xml:space="preserve">AMB, Комплект д/бутылок, сер, ZC7B0200S </t>
  </si>
  <si>
    <t xml:space="preserve">AMB, Разделитель попер 110,6 мм. сер.   </t>
  </si>
  <si>
    <t xml:space="preserve">AMB, Комплект д/бутылок, бел, ZC7B0200S </t>
  </si>
  <si>
    <t xml:space="preserve">AMB, Рамка 500/100, дуб бард ZC7S500RH1 </t>
  </si>
  <si>
    <t xml:space="preserve">AMB, Прод. разд. д/попер. релинга, чер  </t>
  </si>
  <si>
    <t xml:space="preserve">AMB, Рамка 270/242/50, черн ZC7S300RSU  </t>
  </si>
  <si>
    <t xml:space="preserve">AMB, Держ д/пленки и фольги, ZC7C0000   </t>
  </si>
  <si>
    <t xml:space="preserve">AMB, Рамка 270/242/100, бел ZC7F300RSU  </t>
  </si>
  <si>
    <t xml:space="preserve">AMB, Прод. разд. д/попер. релинга, сер  </t>
  </si>
  <si>
    <t xml:space="preserve">AMB, Рамка 270/242/100, черн ZC7F300RSU </t>
  </si>
  <si>
    <t xml:space="preserve">AMB, Лоток 500мм, дуб бард ZC7S500BH3   </t>
  </si>
  <si>
    <t xml:space="preserve">AMB, Рамка 270/242/50, бел ZC7S300RSU   </t>
  </si>
  <si>
    <t>AMB, Поп разд, орех тен, 205,6 ZC7Q0P0FH</t>
  </si>
  <si>
    <t xml:space="preserve">AMB, Рамка 500/200, дуб небр ZC7S500RH2 </t>
  </si>
  <si>
    <t xml:space="preserve">AMB, Рамка 400/218/100, сер ZC7F400RSP  </t>
  </si>
  <si>
    <t xml:space="preserve">AMB, Рамка 270/242/100, сер ZC7F300RSU  </t>
  </si>
  <si>
    <t xml:space="preserve">AMB, Разделитель попер 192,6 мм. черн   </t>
  </si>
  <si>
    <t xml:space="preserve">AMB, Рамка 500/100, дуб небр ZC7S500RH1 </t>
  </si>
  <si>
    <t xml:space="preserve">AMB, Попер разд, сер, 235 мм. ZC7Q0U0FS </t>
  </si>
  <si>
    <t xml:space="preserve">AMB, Рамка 450/100, дуб бард ZC7S450RH1 </t>
  </si>
  <si>
    <t xml:space="preserve">Ящик LBX Pure, C, 350 мм, внутр. бел.   </t>
  </si>
  <si>
    <t xml:space="preserve">Ящик LBX Pure, C, 350 мм, внутр. сер.   </t>
  </si>
  <si>
    <t xml:space="preserve">Ящик LBX Pure, C, 350 мм, внутр. черн.  </t>
  </si>
  <si>
    <t xml:space="preserve">Ящик LBX Pure, C, 350 мм, внутр. кор.   </t>
  </si>
  <si>
    <t xml:space="preserve">Ящик LBX Pure, M, 350 мм, внутр. бел.   </t>
  </si>
  <si>
    <t xml:space="preserve">Ящик LBX Pure, M, 350 мм, внутр. сер.   </t>
  </si>
  <si>
    <t xml:space="preserve">Ящик LBX Pure, M, 350 мм, внутр. черн.  </t>
  </si>
  <si>
    <t xml:space="preserve">Ящик LBX Pure, M, 350 мм, внутр. кор.   </t>
  </si>
  <si>
    <t xml:space="preserve">ЯЩИК LBX FREE, C, 500 ММ, ВН. ВСТ. БЕЛ. </t>
  </si>
  <si>
    <t xml:space="preserve">Ящик LBX Free, C, 500 мм, вн. вст. сер. </t>
  </si>
  <si>
    <t>Ящик LBX Free, C, 500 мм, вн. вст. черн.</t>
  </si>
  <si>
    <t xml:space="preserve">Ящик LBX Free, C, 500 мм, вн. вст. кор. </t>
  </si>
  <si>
    <t xml:space="preserve">Ящик LBX Pure, С, 500 мм, вн. рел. бел. </t>
  </si>
  <si>
    <t xml:space="preserve">Ящик LBX Pure, С, 500 мм, вн. рел. сер. </t>
  </si>
  <si>
    <t>Ящик LBX Pure, С, 500 мм, вн. рел. черн.</t>
  </si>
  <si>
    <t xml:space="preserve">Ящик LBX Pure, С, 500 мм, вн. рел. кор. </t>
  </si>
  <si>
    <t xml:space="preserve">Ящик LBX Pure, M, 500 мм, внутр. бел.   </t>
  </si>
  <si>
    <t xml:space="preserve">Ящик LBX Pure, M, 500 мм, внутр. сер.   </t>
  </si>
  <si>
    <t xml:space="preserve">Ящик LBX Pure, M, 500 мм, внутр. черн.  </t>
  </si>
  <si>
    <t xml:space="preserve">Ящик LBX Pure, M, 500 мм, внутр. кор.   </t>
  </si>
  <si>
    <t xml:space="preserve">MPL CLIP, прямая, 3 мм с эксц, 175H3130 </t>
  </si>
  <si>
    <t xml:space="preserve">Clip top, Загл. на петлю лев 70.1553.BL </t>
  </si>
  <si>
    <t xml:space="preserve">MPL CLIP, подъем 18 мм, б/в 175H7190.22 </t>
  </si>
  <si>
    <t>MPL CLIP, крест, 0 мм Экспандо 174H7100E</t>
  </si>
  <si>
    <t>MPL CLIP, крест, 3 мм Эксп.V50 174H7130E</t>
  </si>
  <si>
    <t>MPL CLIP, крест, 3 мм Экспандо 174H7130E</t>
  </si>
  <si>
    <t xml:space="preserve">Clip Top, CRISTALLO, Пластина, 78С4568  </t>
  </si>
  <si>
    <t xml:space="preserve">MPL CLIP Inserta, подъем 0 мм 174H7100I </t>
  </si>
  <si>
    <t xml:space="preserve">MPL CLIP Inserta, подъем 3 мм 174H7130I </t>
  </si>
  <si>
    <t xml:space="preserve">Clip top, Загл. на петл с изг 70.1663   </t>
  </si>
  <si>
    <t xml:space="preserve">CLIP top, Загл. с лого сталь 70.1503.BP </t>
  </si>
  <si>
    <t xml:space="preserve">CLIP top, Петля смежн, 107гр   75T1650  </t>
  </si>
  <si>
    <t xml:space="preserve">CLIP top, Д/проф дв, накл V250 71T9550  </t>
  </si>
  <si>
    <t xml:space="preserve">CLIP top, Д/проф дв, вкл, 95гр 71T9750  </t>
  </si>
  <si>
    <t xml:space="preserve">CLIP top, Петля п/фальшп, 95гр 79T9550  </t>
  </si>
  <si>
    <t xml:space="preserve">CLIP top, Д/алю рам, накл, 95гр 71T950A </t>
  </si>
  <si>
    <t xml:space="preserve">CLIP top, Д/алю рам, вкл, 95гр 71T970A  </t>
  </si>
  <si>
    <t xml:space="preserve">CLIP top, Петля накл, 20+95гр 79A9555.T </t>
  </si>
  <si>
    <t xml:space="preserve">Clip top, Загл на петл лев 70.1663.BL   </t>
  </si>
  <si>
    <t xml:space="preserve">Clip top, Загл на петл прав 70.1663.BL  </t>
  </si>
  <si>
    <t xml:space="preserve">CLIP top, Ограничитель откр 92 гр д/155 </t>
  </si>
  <si>
    <t xml:space="preserve">CLIP top, Д/алю, смеж, 95гр 71T960A.22  </t>
  </si>
  <si>
    <t xml:space="preserve">Clip top, Cristallo пластина п/зеркало  </t>
  </si>
  <si>
    <t>MPL CLIP, прям,3 мм с эксц, С/В,175H4130</t>
  </si>
  <si>
    <t xml:space="preserve">CLIP top, Ограничит откр 86гр 74.1103   </t>
  </si>
  <si>
    <t xml:space="preserve">CLIP top, Заглушка п/ст золото 84.4140  </t>
  </si>
  <si>
    <t xml:space="preserve">CLIP top, Загл. п/стекло мат хр 84.4140 </t>
  </si>
  <si>
    <t xml:space="preserve">CLIP top, МИНИ, Вкл петля, 94гр 71T0750 </t>
  </si>
  <si>
    <t xml:space="preserve">CLIP top, Д/стекл.дв. +45А, 79A4108.T   </t>
  </si>
  <si>
    <t xml:space="preserve">CLIP top, Inserta, накл, 107гр 75T1590B </t>
  </si>
  <si>
    <t xml:space="preserve">CLIP top, inserta накл, 120гр, 71T5590B </t>
  </si>
  <si>
    <t xml:space="preserve">CLIP top, Д/алю рам, вкл, д/ВМ,71T970AB </t>
  </si>
  <si>
    <t xml:space="preserve">Clip Top, CRISTALLO, с пруж, 79C450BT   </t>
  </si>
  <si>
    <t xml:space="preserve">CLIP top, INSERTA накл,  170гр 71T6540  </t>
  </si>
  <si>
    <t xml:space="preserve">CLIP top, Ограничит откр 130гр 70.6103  </t>
  </si>
  <si>
    <t>CLIP, Петля накл, 100 гр 71M2580 п/пресс</t>
  </si>
  <si>
    <t xml:space="preserve">MPL CLIP, прямая, 3 мм с эксц, 175H5430 </t>
  </si>
  <si>
    <t xml:space="preserve">CLIP top, Накл, 155, EXPANDO, 71T753EN  </t>
  </si>
  <si>
    <t xml:space="preserve">CLIP top, Загл с лого ст(CНЯТ 9238533)  </t>
  </si>
  <si>
    <t xml:space="preserve">CLIP top, 155 Загл с лого ст 70.7503.BP </t>
  </si>
  <si>
    <t xml:space="preserve">CLIP top BM, Петля накл, 107гр, 75B1550 </t>
  </si>
  <si>
    <t xml:space="preserve">CLIP top BM, Петля накл, 30, II EXPANDO </t>
  </si>
  <si>
    <t xml:space="preserve">CLIP top BM, Петля п/фальш накл 79B9950 </t>
  </si>
  <si>
    <t xml:space="preserve">CLIP top BM, Подкладка 70T3507.21(V250) </t>
  </si>
  <si>
    <t xml:space="preserve">CLIP top BM, Петля вкл, 107гр, 75B1750  </t>
  </si>
  <si>
    <t xml:space="preserve">CLIP top BM, Петля накл, 110гр, 71B3550 </t>
  </si>
  <si>
    <t xml:space="preserve">CLIP top BM, Петля вкл, 110гр, 71B3750  </t>
  </si>
  <si>
    <t xml:space="preserve">CLIP top BM, Петля cпец, 110гр, 73B3550 </t>
  </si>
  <si>
    <t xml:space="preserve">CLIP top, Петля cмежн, 110гр, 71T3650   </t>
  </si>
  <si>
    <t xml:space="preserve">CLIP top BM, Заглушка на чашку, 70T3504 </t>
  </si>
  <si>
    <t xml:space="preserve">CLIP top BM, Ограничитель открывания 86 </t>
  </si>
  <si>
    <t xml:space="preserve">CLIP top BM, Подкладка (снят - 7302825) </t>
  </si>
  <si>
    <t xml:space="preserve">CLIP top BM, Петля полн нал 30+ 79B9456 </t>
  </si>
  <si>
    <t xml:space="preserve">CLIP top BM, Петля 45+ тип III, 79B9458 </t>
  </si>
  <si>
    <t xml:space="preserve">CLIP top BM, Петля 45+ тип I, 79B9658   </t>
  </si>
  <si>
    <t xml:space="preserve">CLIP top BM, Петля 45+ тип II, 79B3558  </t>
  </si>
  <si>
    <t xml:space="preserve">CLIP top BM, Петля п/фальш вкл 79B9550  </t>
  </si>
  <si>
    <t xml:space="preserve">MDL, П/фальшп п/стекло 94 гр. 99M4100   </t>
  </si>
  <si>
    <t xml:space="preserve">MDL, Муфта, диам. сверл 8 мм, 80.0582E  </t>
  </si>
  <si>
    <t xml:space="preserve">MDL, Загл. с лого MDL/Clip 90M2503.BP   </t>
  </si>
  <si>
    <t xml:space="preserve">MDL, Загл. с лого сталь, прав 90M2603   </t>
  </si>
  <si>
    <t xml:space="preserve">MDL, Петля угл 45+, 107 гр.   99M1550   </t>
  </si>
  <si>
    <t xml:space="preserve">MPL MODUL, подъем 0 мм, 194K6100E, V500 </t>
  </si>
  <si>
    <t xml:space="preserve">Tip-on, Держ прям 20/32, бел 956A1201   </t>
  </si>
  <si>
    <t xml:space="preserve">Tip-on Clip t. б/п, 170*, нак, 70T6550  </t>
  </si>
  <si>
    <t xml:space="preserve">Tip-on, Держ прям 20/32, сер 956A1201   </t>
  </si>
  <si>
    <t xml:space="preserve">TIP-ON, держатель крест 37/32, 956A1501 </t>
  </si>
  <si>
    <t xml:space="preserve">CLIP top, Д/проф, вкл. б/пр 70T9750.TL  </t>
  </si>
  <si>
    <t xml:space="preserve">TIP-ON, CLIP T Б/ПР, под фальш, 78T9550 </t>
  </si>
  <si>
    <t xml:space="preserve">TIP-ON, CLIP T Б/ПР, 45+ ТИП I, 78A9658 </t>
  </si>
  <si>
    <t xml:space="preserve">TIP-ON, планка на клею, сталь, 955.1008 </t>
  </si>
  <si>
    <t xml:space="preserve">TIP-ON, держатель крестообр, 955.1501   </t>
  </si>
  <si>
    <t xml:space="preserve">Tip-on, Держ прям 20/32, чер 956A1201   </t>
  </si>
  <si>
    <t xml:space="preserve">TIP-ON, CLIP T Б/ПР, 155 гр, 70T7500NTL </t>
  </si>
  <si>
    <t xml:space="preserve">SD, Flex приемник радиосигнала Z10C5007 </t>
  </si>
  <si>
    <t xml:space="preserve">BM, Амортизат. белый, 19х10мм, 993.704  </t>
  </si>
  <si>
    <t xml:space="preserve">BM, Держатель дв крест, б/в, 970.2501   </t>
  </si>
  <si>
    <t xml:space="preserve">BM, Врезной, монтаж у ручки, 970.1002   </t>
  </si>
  <si>
    <t xml:space="preserve">BM, Врезной, монтаж у петли, 970А1002   </t>
  </si>
  <si>
    <t xml:space="preserve">BM, Крепл между петлями, б/в, 971A0500  </t>
  </si>
  <si>
    <t xml:space="preserve">BM, Крепл между петлями, эксп, 971A05E0 </t>
  </si>
  <si>
    <t xml:space="preserve">BM, Крепл между петлями, б/в, 971A0200  </t>
  </si>
  <si>
    <t xml:space="preserve">CLIP top, Петля накл 155гр 71T7500N чер </t>
  </si>
  <si>
    <t xml:space="preserve">MPL CLIP, крест 0 мм. EXPANDO эксц. чер </t>
  </si>
  <si>
    <t xml:space="preserve">MPL CLIP, крест 3 мм. EXPANDO эксц. чер </t>
  </si>
  <si>
    <t>CLIP top BM, Петля д/проф двер, накл,чер</t>
  </si>
  <si>
    <t xml:space="preserve">CT BM, Петля смежн, 110гр, 71B3650 чер  </t>
  </si>
  <si>
    <t>CLIP top BM, Петля д/проф двер, вкл, чер</t>
  </si>
  <si>
    <t xml:space="preserve">Клин под-ка +5 гр, подъем 6 мм,171A5070 </t>
  </si>
  <si>
    <t xml:space="preserve">Клин под-ка +5 гр, подъем 3 мм,171A5040 </t>
  </si>
  <si>
    <t xml:space="preserve">Клин под-ка -5 гр, подъем 6 мм,171A5500 </t>
  </si>
  <si>
    <t xml:space="preserve">AVS HK-S Tip-on, Cиловой мех-м 20K2C01T </t>
  </si>
  <si>
    <t xml:space="preserve">MPL CLIP, с/в, 28/32, под 0 мм 173L8300 </t>
  </si>
  <si>
    <t>AVS HK, Загл. осн. кор. прав. 20K8001.02</t>
  </si>
  <si>
    <t xml:space="preserve">AVS HK-XS, Крепл д/алю на сам, 20K4101A </t>
  </si>
  <si>
    <t xml:space="preserve">AVS HK-S, Держ фасада 20K4A01.01 (снят) </t>
  </si>
  <si>
    <t xml:space="preserve">AVS HL, Загл. осн. сер. лев. 20L8001.02 </t>
  </si>
  <si>
    <t xml:space="preserve">AVS HF, Телеск рыч 560-710мм 20F3501.01 </t>
  </si>
  <si>
    <t xml:space="preserve">AVS HF-HKS, Прям планка EXPAN 177H3100E </t>
  </si>
  <si>
    <t xml:space="preserve">AVS HK-S, Держ фасада алю, лев(3089290) </t>
  </si>
  <si>
    <t xml:space="preserve">MPL CLIP, прямая, 0мм Эксп 177H3100E10  </t>
  </si>
  <si>
    <t xml:space="preserve">MPL CLIP, прямая, 0мм п/пресс, 177H3100 </t>
  </si>
  <si>
    <t xml:space="preserve">AVS HK-S Tip-on, Cиловой мех-м 20K2E01T </t>
  </si>
  <si>
    <t xml:space="preserve">AVS HS, Соединит д/поп. стаб   20Q153ZN </t>
  </si>
  <si>
    <t xml:space="preserve">AVS HK-XS,Tip-on, Cиловой м-м 20K1101T  </t>
  </si>
  <si>
    <t xml:space="preserve">AVS HK, Заглушка симметр. кор. 20K9001  </t>
  </si>
  <si>
    <t xml:space="preserve">AVS HL, Соединит д/поп. стаб  20Q153ZA  </t>
  </si>
  <si>
    <t xml:space="preserve">AVS HF, Держ/рычага Clip, лев 175H5B00  </t>
  </si>
  <si>
    <t xml:space="preserve">AVS HF, Загл. осн. бел. прав. 20F8001   </t>
  </si>
  <si>
    <t xml:space="preserve">AVS HF, Загл. осн. сер. прав. 20F8001   </t>
  </si>
  <si>
    <t xml:space="preserve">AVS HL, Загл. осн. бел. лев. 20L8001.02 </t>
  </si>
  <si>
    <t xml:space="preserve">AVS HF,HL,HS, Загл кругл, кор. 20F9001  </t>
  </si>
  <si>
    <t xml:space="preserve">AVS HF, Ограничитель открывания 104 гр  </t>
  </si>
  <si>
    <t xml:space="preserve">AVS HS, Загл. осн. бел. прав. 20S8001   </t>
  </si>
  <si>
    <t xml:space="preserve">AVS HS, Загл. осн. сер. прав.  20S8001  </t>
  </si>
  <si>
    <t xml:space="preserve">AVS HS, Рычаг прав. 20S3501 (9007443)   </t>
  </si>
  <si>
    <t xml:space="preserve">AVS HS, HK, HL, Крепл фас, симм 20S4201 </t>
  </si>
  <si>
    <t xml:space="preserve">AVS HS, Cиловой мех-м 20S2A01 (8987822) </t>
  </si>
  <si>
    <t xml:space="preserve">AVS HS, Cиловой мех-м 20S2B01 (8987992) </t>
  </si>
  <si>
    <t xml:space="preserve">AVS HS, Cиловой мех-м 20S2С01 (8988122) </t>
  </si>
  <si>
    <t xml:space="preserve">AVS HS, Cиловой мех-м 20S2F01 (8988432) </t>
  </si>
  <si>
    <t xml:space="preserve">AVS HS, Cиловой мех-м 20S2G01 (8988502) </t>
  </si>
  <si>
    <t xml:space="preserve">AVS HS, Cиловой мех-м 20S2I01 (8992222) </t>
  </si>
  <si>
    <t xml:space="preserve">AVS HF, Ограничитель открывания 83 гр   </t>
  </si>
  <si>
    <t xml:space="preserve">AVS HF, Телеск рыч 700-900мм 20F3801.01 </t>
  </si>
  <si>
    <t xml:space="preserve">AVS HF, Блумоушен темносерый (2350324)  </t>
  </si>
  <si>
    <t xml:space="preserve">AVS HK, Заглушка симметр. серая 20K9001 </t>
  </si>
  <si>
    <t xml:space="preserve">AVS HK, Заглушка симметр. белая 20K9001 </t>
  </si>
  <si>
    <t xml:space="preserve">AVS HS, Стабилизатор, 1061мм (3626183)  </t>
  </si>
  <si>
    <t xml:space="preserve">AVS HS, Соед д/попер стабилиз (4767297) </t>
  </si>
  <si>
    <t xml:space="preserve">AVS, Креп фас д/алю рам, кмл 20S4200A   </t>
  </si>
  <si>
    <t xml:space="preserve">AVS HF, Телеск рыч 480-570мм 20F3201.01 </t>
  </si>
  <si>
    <t xml:space="preserve">AVS HK, Загл. с лого, прав 20K9001.BL   </t>
  </si>
  <si>
    <t xml:space="preserve">AVS HL, Стабилизатор, 1061 мм 20Q1061UA </t>
  </si>
  <si>
    <t xml:space="preserve">AVS HL, Силовой мех-м 20L2101 (8992392) </t>
  </si>
  <si>
    <t xml:space="preserve">AVS HL, Силовой мех-м 20L2901 (8992772) </t>
  </si>
  <si>
    <t xml:space="preserve">AVS HF, Загл. осн. кор. прав. 20F8001   </t>
  </si>
  <si>
    <t xml:space="preserve">AVS HL, Рычаг 300-350 мм, лев, 20L3201  </t>
  </si>
  <si>
    <t xml:space="preserve">AVS HL, Рычаг 350-400 мм, прав(9008673) </t>
  </si>
  <si>
    <t xml:space="preserve">AVS HL, Рычаг 450-580 мм, лев,(9008983) </t>
  </si>
  <si>
    <t xml:space="preserve">AVS HK, Ограничитель открывания 75 гр   </t>
  </si>
  <si>
    <t xml:space="preserve">AVS HK, Ограничитель открывания 100 гр  </t>
  </si>
  <si>
    <t xml:space="preserve">AVS HL, Соед д/поп стабилиз  (5989274)  </t>
  </si>
  <si>
    <t xml:space="preserve">AVS HK-XS,Tip-on, Cиловой м-м 20K1501T  </t>
  </si>
  <si>
    <t xml:space="preserve">AVS HK, Загл. осн. кор. лев. 20K8001.02 </t>
  </si>
  <si>
    <t xml:space="preserve">AVS HS, Загл. д/стабилиз.  20Q0003.03   </t>
  </si>
  <si>
    <t xml:space="preserve">AVS HK-S, Загл. осн. бел. лев. 20K8A01  </t>
  </si>
  <si>
    <t xml:space="preserve">AVS HK-S, Загл. осн. сер. лев. 20K8A01  </t>
  </si>
  <si>
    <t xml:space="preserve">AVS HK-S, Загл. осн. бел. прав. 20K8A01 </t>
  </si>
  <si>
    <t xml:space="preserve">AVS HK-S, Загл. осн. сер. прав. 20K8A01 </t>
  </si>
  <si>
    <t xml:space="preserve">AVS HK-S, Ограничитель открывания 75 гр </t>
  </si>
  <si>
    <t xml:space="preserve">AVS HK-S, Держ фасада алю, лев(3387506) </t>
  </si>
  <si>
    <t xml:space="preserve">AVS HK-XS, Крепл фасада на сам, 20K4101 </t>
  </si>
  <si>
    <t xml:space="preserve">AVS HF, Силовой мех-м, 20F2201.05, NEW  </t>
  </si>
  <si>
    <t xml:space="preserve">AVS HF, Силовой мех-м, 20F2501.05, NEW  </t>
  </si>
  <si>
    <t xml:space="preserve">AVS HF, Силовой мех-м, 20F2801.05, NEW  </t>
  </si>
  <si>
    <t xml:space="preserve">AVS HS, Силовой мех-м, 20S2A01.05, NEW  </t>
  </si>
  <si>
    <t xml:space="preserve">AVS HS, Силовой мех-м, 20S2B01.05, NEW  </t>
  </si>
  <si>
    <t xml:space="preserve">AVS HS, Силовой мех-м, 20S2C01.05, NEW  </t>
  </si>
  <si>
    <t xml:space="preserve">AVS HS, Силовой мех-м, 20S2D01.05, NEW  </t>
  </si>
  <si>
    <t xml:space="preserve">AVS HS, Силовой мех-м, 20S2E01.05, NEW  </t>
  </si>
  <si>
    <t xml:space="preserve">AVS HS, Силовой мех-м, 20S2F01.05, NEW  </t>
  </si>
  <si>
    <t xml:space="preserve">AVS HS, Силовой мех-м, 20S2G01.05, NEW  </t>
  </si>
  <si>
    <t xml:space="preserve">AVS HS, Силовой мех-м, 20S2H01.05, NEW  </t>
  </si>
  <si>
    <t xml:space="preserve">AVS HS, Силовой мех-м, 20S2I01.05, NEW  </t>
  </si>
  <si>
    <t xml:space="preserve">AVS HL, Силовой мех-м  20L2101.05, NEW  </t>
  </si>
  <si>
    <t xml:space="preserve">AVS HL, Силовой мех-м  20L2301.05, NEW  </t>
  </si>
  <si>
    <t xml:space="preserve">AVS HL, Силовой мех-м  20L2501.05, NEW  </t>
  </si>
  <si>
    <t xml:space="preserve">AVS HL, Силовой мех-м  20L2701.05, NEW  </t>
  </si>
  <si>
    <t xml:space="preserve">AVS HL, Силовой мех-м  20L2901.05, NEW  </t>
  </si>
  <si>
    <t xml:space="preserve">AVS HS, Рычаг лев. 20S3501.05 (7640954) </t>
  </si>
  <si>
    <t xml:space="preserve">AVS HL, Рычаг лев, 20L3201.05 (9851151) </t>
  </si>
  <si>
    <t xml:space="preserve">AVS HL, Рычаг прав20L3201.05 (3898962)  </t>
  </si>
  <si>
    <t xml:space="preserve">AVS HL, Рычаг лев, 20L3501.05 (9511993) </t>
  </si>
  <si>
    <t xml:space="preserve">AVS HL, Рычаг прав20L3501.05 (7189171)  </t>
  </si>
  <si>
    <t xml:space="preserve">AVS HL, Рычаг лев, 20L3801.05 (6077454) </t>
  </si>
  <si>
    <t xml:space="preserve">AVS HL, Рычаг прав20L3801.05 (1682518)  </t>
  </si>
  <si>
    <t xml:space="preserve">AVS HL, Рычаг лев, 20L3901.05 (2475957) </t>
  </si>
  <si>
    <t xml:space="preserve">AVS HL, Рычаг прав20L3901.05 (9044422)  </t>
  </si>
  <si>
    <t xml:space="preserve">AVS HL, Огранич открыв 124гр, 20L7051   </t>
  </si>
  <si>
    <t xml:space="preserve">AVS HK, Загл. осн. бел. лев. 20K8001.02 </t>
  </si>
  <si>
    <t xml:space="preserve">AVS HK, Загл. осн. сер. лев. 20K8001.02 </t>
  </si>
  <si>
    <t xml:space="preserve">AVS HK, Cиловой мех-м 20K2301.05, NEW   </t>
  </si>
  <si>
    <t xml:space="preserve">AVS HK, Cиловой мех-м  20K2501.05. NEW  </t>
  </si>
  <si>
    <t xml:space="preserve">AVS HK, Cиловой мех-м  20K2701.05, NEW  </t>
  </si>
  <si>
    <t xml:space="preserve">AVS HK, Cиловой мех-м 20K2901.05, NEW   </t>
  </si>
  <si>
    <t xml:space="preserve">AVS HK TIP-ON, Cиловой мех-м  20K2301T  </t>
  </si>
  <si>
    <t xml:space="preserve">AVS HK TIP-ON, Cиловой мех-м  20K2501T  </t>
  </si>
  <si>
    <t xml:space="preserve">AVS HK TIP-ON, Cиловой мех-м  20K2701T  </t>
  </si>
  <si>
    <t xml:space="preserve">AVS HK TIP-ON, Cиловой мех-м  20K2901T  </t>
  </si>
  <si>
    <t xml:space="preserve">AVS HK-XS,Tip-on, Cиловой м-м 20K1301T  </t>
  </si>
  <si>
    <t xml:space="preserve">AVS HF, HS, HL, SD, Дистанц амортизатор </t>
  </si>
  <si>
    <t xml:space="preserve">AVS HS, SD, Держ кругл поп стабил(СНЯТ) </t>
  </si>
  <si>
    <t xml:space="preserve">AVS HS, SD, Рычаг прав 21S3501(9045179) </t>
  </si>
  <si>
    <t xml:space="preserve">ZBH, Сверло D5мм д/блока, M65.ZB05.02   </t>
  </si>
  <si>
    <t xml:space="preserve">ZBH, BOXFIX E-T д/сборки TBX, ZMM.0350  </t>
  </si>
  <si>
    <t xml:space="preserve">ZBH, Запчасть для станка для фальца дна </t>
  </si>
  <si>
    <t xml:space="preserve">ZBH, Матр. д/ ZSF.1610 к Pro-c MZM.0293 </t>
  </si>
  <si>
    <t xml:space="preserve">ZBH, Б/съемн. патрон+втулка,пр,MZF.2000 </t>
  </si>
  <si>
    <t xml:space="preserve">ZBH, Удл.лин 1700мм к Pro-Cent MZL.2090 </t>
  </si>
  <si>
    <t xml:space="preserve">ZBH, Удл. лин 1700 мм, лев, MZL.2090.03 </t>
  </si>
  <si>
    <t xml:space="preserve">ZBH, Центр патрон к МiniprP, M30.1324   </t>
  </si>
  <si>
    <t xml:space="preserve">ZBH, Набор инстр.д/шабл.Tandem,T65.9000 </t>
  </si>
  <si>
    <t xml:space="preserve">ZBH, Шаблон для разм.рел.TBX, ZML.8030  </t>
  </si>
  <si>
    <t xml:space="preserve">ZBH, 17-шп. гол. к Pro, Pro-C, MZK.2880 </t>
  </si>
  <si>
    <t xml:space="preserve">ZBH, Министик-модуль+кмп уп. MZS.0040   </t>
  </si>
  <si>
    <t xml:space="preserve">ZBH, Шаблон д/петель INSERTA, 65.0590   </t>
  </si>
  <si>
    <t xml:space="preserve">DYNALOG 2.9, Интерактивный элек-ный кат </t>
  </si>
  <si>
    <t xml:space="preserve">ZBH, Раб. стол д/Minipress pro MZA.5400 </t>
  </si>
  <si>
    <t xml:space="preserve">ZBH, Набор инстр. д/Экодрели  MZW.1300  </t>
  </si>
  <si>
    <t xml:space="preserve">ZBH, Сверло 35ммд/Экодрели, M31.ZB35.02 </t>
  </si>
  <si>
    <t xml:space="preserve">ZBH, 8-шп. гол. к M,P,MZK.8000(снята)   </t>
  </si>
  <si>
    <t xml:space="preserve">ZBH, Шаблон-угол д/отв. планок, 65.5300 </t>
  </si>
  <si>
    <t xml:space="preserve">ZBH, Универс. шаблон д/разметки 65.5340 </t>
  </si>
  <si>
    <t xml:space="preserve">ZBH, Забивка д/отв. планок п/п, 65.6100 </t>
  </si>
  <si>
    <t xml:space="preserve">ZBH, 8-шп. гол. к Pro, Pro-C, MZK.2230  </t>
  </si>
  <si>
    <t xml:space="preserve">ZBH, Универс. шаблон д/ящиков(7445143)  </t>
  </si>
  <si>
    <t xml:space="preserve">ZBH, Сверло 35x57мм, прав, M01.ZB35.02  </t>
  </si>
  <si>
    <t xml:space="preserve">ZBH, Сверло 26x57мм, прав, M01.ZB26.02  </t>
  </si>
  <si>
    <t xml:space="preserve">ZBH, Сверло 25x57мм, прав, M01.ZB25.02  </t>
  </si>
  <si>
    <t xml:space="preserve">ZBH, Сверло 10X57мм, прав, M01.ZB10.02  </t>
  </si>
  <si>
    <t xml:space="preserve">ZBH, Сверло 10x57мм, лев, M01.ZB10.03   </t>
  </si>
  <si>
    <t xml:space="preserve">ZBH, 3-шп. гол. к Pro, Pro-C, MZK.2000  </t>
  </si>
  <si>
    <t xml:space="preserve">ZBH, 2-шп. гол. к Pro, Pro-C, MZK.2100  </t>
  </si>
  <si>
    <t xml:space="preserve">ZBH, 2-шп. гол. к Pro, Pro-C, MZK.2110  </t>
  </si>
  <si>
    <t xml:space="preserve">ZBH, 3-шп. гол. к Pro, Pro-C, MZK.2400  </t>
  </si>
  <si>
    <t xml:space="preserve">ZBH, 5-шп. гол. к Pro, Pro-C, MZK.2210  </t>
  </si>
  <si>
    <t xml:space="preserve">ZBH, 8-шп. гол. к Pro, Pro-C, MZK.2200  </t>
  </si>
  <si>
    <t xml:space="preserve">ZBH, 9-шп. гол. к Pro, MZK.2800 (снята) </t>
  </si>
  <si>
    <t xml:space="preserve">ZBH, Линейка торц св 850-0-850 к Pro-Ce </t>
  </si>
  <si>
    <t xml:space="preserve">ZBH, Шаблон д/петель п/саморез, 65.055A </t>
  </si>
  <si>
    <t xml:space="preserve">ZBH, Сверло D8мм д/блока, M65.ZB08.02   </t>
  </si>
  <si>
    <t xml:space="preserve">ZBH, Шаблон д/петель INSERTA, 65.059A   </t>
  </si>
  <si>
    <t xml:space="preserve">ZBH, Шт.кондукт. д/пет Сlip, 65.7510.03 </t>
  </si>
  <si>
    <t xml:space="preserve">ZBH, Чемодан с приспособлениями PK-005  </t>
  </si>
  <si>
    <t xml:space="preserve">ZBH, Сверло D8мм д/блока, M65.ZB08.03   </t>
  </si>
  <si>
    <t xml:space="preserve">ZBH, Обновление д/Чемод с приспособл-ми </t>
  </si>
  <si>
    <t xml:space="preserve">ZBH, Сверло 2,5х57мм, лев, M01.ZB02.D3  </t>
  </si>
  <si>
    <t xml:space="preserve">ZBH, Шаблон д/напр. Tandem,T65.1000.02  </t>
  </si>
  <si>
    <t xml:space="preserve">ZBH, Сверло 8x57мм, прав, M01.ZB08.02   </t>
  </si>
  <si>
    <t xml:space="preserve">ZBH, Штанга кондуктора 2200 мм, 65.7590 </t>
  </si>
  <si>
    <t xml:space="preserve">ZBH, Шт.кондукт. д/пет Сlip, 65.7500.01 </t>
  </si>
  <si>
    <t xml:space="preserve">ZBH, Матр. д/петель Clip top MZM.0010   </t>
  </si>
  <si>
    <t xml:space="preserve">ZBH, Опора удл. линейки, MZV.1000(НЕТ)  </t>
  </si>
  <si>
    <t xml:space="preserve">ZBH, Станок Minipress PRO, 3ф, M54.2000 </t>
  </si>
  <si>
    <t xml:space="preserve">ZBH, 4-шп. гол. унив-ная, MZK.9900.01   </t>
  </si>
  <si>
    <t xml:space="preserve">ZBH, Загл д/б/съемн. патрона MZF.1050   </t>
  </si>
  <si>
    <t xml:space="preserve">ZBH, Пневм. прижимы д/ MP P, M53.0720   </t>
  </si>
  <si>
    <t xml:space="preserve">ZBH, Раб. стол д/нов Minipress MZA.5200 </t>
  </si>
  <si>
    <t xml:space="preserve">ZBH, Индикатор полож-я Minipr, MZE.2110 </t>
  </si>
  <si>
    <t xml:space="preserve">ZBH, Сверло 3x57мм, прав, M01.ZB03.02   </t>
  </si>
  <si>
    <t xml:space="preserve">ZBH, Сверло 5x57мм, прав, M01.ZB05.02   </t>
  </si>
  <si>
    <t xml:space="preserve">ZBH, Шаблон д/Tandem c фикс, T65.1100   </t>
  </si>
  <si>
    <t xml:space="preserve">ZBH, Подшипник д. 10/19х18 с заглушкой  </t>
  </si>
  <si>
    <t xml:space="preserve">ZBH, Центр размет упор к MP, MZR.1000   </t>
  </si>
  <si>
    <t xml:space="preserve">ZBH, Кернер п/фас. эксцентрик, 65.2950  </t>
  </si>
  <si>
    <t xml:space="preserve">ZBH, Муфта д/станка ("папа") MZK.2009   </t>
  </si>
  <si>
    <t xml:space="preserve">ZBH, Матр. п/фальшп. Cl Top, MZM.0019   </t>
  </si>
  <si>
    <t xml:space="preserve">ZBH, Универс. шаблон д/ящик ZML.0040.01 </t>
  </si>
  <si>
    <t xml:space="preserve">ZBH, Центр упор с лазерн марк MZR.5400  </t>
  </si>
  <si>
    <t xml:space="preserve">ZBH, Шт.кондуктор д/пет Modul, 65.9500  </t>
  </si>
  <si>
    <t xml:space="preserve">ZBH, Матр.с шип.к MBX M,K,H, ZML.1500   </t>
  </si>
  <si>
    <t xml:space="preserve">ZBH, Станок для фальца дна, M35.7200.01 </t>
  </si>
  <si>
    <t xml:space="preserve">ZBH, Шаблон д/опр поз пластины, 65 5210 </t>
  </si>
  <si>
    <t xml:space="preserve">ZBH, BOXFIX E-L д/сборки LBX, ZMM.0700  </t>
  </si>
  <si>
    <t xml:space="preserve">ZBH, Опора д/удл. линейки, MZV.2100 NEW </t>
  </si>
  <si>
    <t xml:space="preserve">ZBH, Шабл д/фикс, синхр Tip-on, 65.5050 </t>
  </si>
  <si>
    <t xml:space="preserve">ZBH, Шаблон д/зазора LBX, 65.5631 NEW   </t>
  </si>
  <si>
    <t xml:space="preserve">ZBH, Сверло 35х57 мм, прав, M01.ZB35.OS </t>
  </si>
  <si>
    <t xml:space="preserve">ZBH, Огран. глуб. сверл. M30.1304,02B   </t>
  </si>
  <si>
    <t xml:space="preserve">ZBH, Станок Minipress М, OR, M52.1050*  </t>
  </si>
  <si>
    <t xml:space="preserve">ZBH, Пневмораспределитель VENTIL 5/2W   </t>
  </si>
  <si>
    <t xml:space="preserve">DYNALOG 2.8, Интерактивный элек-ный кат </t>
  </si>
  <si>
    <t>ZBH, Универс. шаблон д/размет 65.5340.01</t>
  </si>
  <si>
    <t xml:space="preserve">Ст-трапец п/пресс, бел, гнездо,40.2110  </t>
  </si>
  <si>
    <t xml:space="preserve">Ст-трапец п/пресс, кор, гнездо,40.2110  </t>
  </si>
  <si>
    <t xml:space="preserve">Стяжка-полкодерж (гнездо) бел  40.4001  </t>
  </si>
  <si>
    <t xml:space="preserve">Евровинт стяжки-п. 6 х 10,5 мм 653.1050 </t>
  </si>
  <si>
    <t xml:space="preserve">Корпусн стяжка (гнездо) беж.42.0110.01  </t>
  </si>
  <si>
    <t xml:space="preserve">Корпусн стяжка (гнездо) бел. 42.0110.01 </t>
  </si>
  <si>
    <t xml:space="preserve">Корпусн стяжка (гнездо) кор.42.0110.01  </t>
  </si>
  <si>
    <t xml:space="preserve">Навес д/шк п/шуруп, сер, R, 48N0510.02S </t>
  </si>
  <si>
    <t xml:space="preserve">Навес д/шк п/шуруп, бел, R, 48N0510.02S </t>
  </si>
  <si>
    <t xml:space="preserve">Навес д/шк п/шуруп, кор, R, 48N0510.02S </t>
  </si>
  <si>
    <t xml:space="preserve">Навес д/шк п/шуруп, сер, L, 48N0510.03S </t>
  </si>
  <si>
    <t xml:space="preserve">Навес д/шк п/шуруп, бел, L, 48N0510.03S </t>
  </si>
  <si>
    <t xml:space="preserve">Навес д/шк п/шуруп, кор, L, 48N0510.03S </t>
  </si>
  <si>
    <t xml:space="preserve">Навес д/шк п/пресс, бел, R, 48N0610.02S </t>
  </si>
  <si>
    <t xml:space="preserve">Навес д/шк п/пресс, кор, R, 48N0610.02S </t>
  </si>
  <si>
    <t xml:space="preserve">Навес д/шк п/пресс, бел, L, 48N0610.03S </t>
  </si>
  <si>
    <t xml:space="preserve">Навес д/шк п/пресс, кор, L, 48N0610.03S </t>
  </si>
  <si>
    <t xml:space="preserve">Pocket door 350 мм,пр,270E3500.02(СНЯТ) </t>
  </si>
  <si>
    <t xml:space="preserve">Pocket door 400 мм,пр,270E4000.02(СНЯТ) </t>
  </si>
  <si>
    <t xml:space="preserve">Pocket door 600 мм,пр,270E6000.02(СНЯТ) </t>
  </si>
  <si>
    <t xml:space="preserve">Pocket door 500 мм,пр,270E5000.02(снят) </t>
  </si>
  <si>
    <t xml:space="preserve">AVS HF, Заглушка круглая ARLONI 20F9001 </t>
  </si>
  <si>
    <t>LBX, Загл. с лого ALTO, черн ZA7.0700B7R</t>
  </si>
  <si>
    <t xml:space="preserve">AVS HK, Загл. Бис Интерьер лев. 20K9001 </t>
  </si>
  <si>
    <t xml:space="preserve">AVS HK, Загл. Mossman прав 20K9001A5O   </t>
  </si>
  <si>
    <t xml:space="preserve">CLIP top, Заглушка Greta 90M2503(риc)   </t>
  </si>
  <si>
    <t>LBX, Загл. с лого DELTA, бел ZA7.0700B9X</t>
  </si>
  <si>
    <t xml:space="preserve">LBX, Загл. с лого Бис, сер ZA7.0700C2E  </t>
  </si>
  <si>
    <t xml:space="preserve">AVS HF, Заглушка круглая Giulia Novars  </t>
  </si>
  <si>
    <t xml:space="preserve">AVS HF, Загл круглая Mandarin 20F9001   </t>
  </si>
  <si>
    <t xml:space="preserve">CLIP top, Заглушка Hamiltoun 70.1503V3J </t>
  </si>
  <si>
    <t xml:space="preserve">CLIP top, Заглушка A.Tischler, 70.7503  </t>
  </si>
  <si>
    <t xml:space="preserve">AVS HF, Загл кругл Mossman 20F9001A7C   </t>
  </si>
  <si>
    <t xml:space="preserve">AVS HF, Загл. круглая Бис-Интерьр бел.  </t>
  </si>
  <si>
    <t xml:space="preserve">LBX, Заглушка с лого Hamiltoun, нерж.   </t>
  </si>
  <si>
    <t xml:space="preserve">AVS HF, Загл кругл Kuchenberg 20F9001   </t>
  </si>
  <si>
    <t xml:space="preserve">TBX, Загл. с лого Mandarin симм ZAA.330 </t>
  </si>
  <si>
    <t>CLIP top, Заглушка Rio Mobili 70.1503U4K</t>
  </si>
  <si>
    <t xml:space="preserve">AVS HK, Загл ов Giulia Novars, сер, лев </t>
  </si>
  <si>
    <t xml:space="preserve">CLIP top, Заглушка A.Tischler, 70.1663  </t>
  </si>
  <si>
    <t xml:space="preserve">AVS HK, Загл. Союз-Мебель лев. 20K9001  </t>
  </si>
  <si>
    <t xml:space="preserve">MBX, Заглушка эstetika, серая ZAA.3500  </t>
  </si>
  <si>
    <t xml:space="preserve">AVS HK, Загл. Союз-Мебель прав. 20K9001 </t>
  </si>
  <si>
    <t xml:space="preserve">TBX, Загл. с лого, RE-FORMA, ZAA.330C   </t>
  </si>
  <si>
    <t xml:space="preserve">CLIP top, Заглушка A.Tischler, 70.1503  </t>
  </si>
  <si>
    <t xml:space="preserve">CLIP top, Загл. Бис-Интерьер 70.1503U8Q </t>
  </si>
  <si>
    <t xml:space="preserve">CLIP top, Заглушка ТРИО-R, 70.1503M4O   </t>
  </si>
  <si>
    <t xml:space="preserve">TBX-AA, Загл. с лого Delta, бел, симм   </t>
  </si>
  <si>
    <t>CLIP top, Заглушка Hamiltoun чер 70.1503</t>
  </si>
  <si>
    <t xml:space="preserve">AVS HF/HS/HL , Загл кругл Giulia Novars </t>
  </si>
  <si>
    <t xml:space="preserve">TBX, Загл. с лого, АTTA, симм ZAA.330   </t>
  </si>
  <si>
    <t xml:space="preserve">CLIP top, Заглушка Inlux, лев, 70.1663  </t>
  </si>
  <si>
    <t xml:space="preserve">CLIP top, Заглушка Inlux, пр, 70.1663   </t>
  </si>
  <si>
    <t xml:space="preserve">TBX-A, Загл. с лого Бис Интерьер, бел.  </t>
  </si>
  <si>
    <t xml:space="preserve">AVS HK, Загл ов Giulia Novars, бел, лев </t>
  </si>
  <si>
    <t xml:space="preserve">TBX, Загл. с лого, Союз-мебель ZAA.330C </t>
  </si>
  <si>
    <t xml:space="preserve">TBX, Загл. с лого Grosso, ZAA.330C ИЖ   </t>
  </si>
  <si>
    <t xml:space="preserve">Бутылочница Фиера A200 TBX antaro,серая </t>
  </si>
  <si>
    <t xml:space="preserve">Бутылочница Фиера A200 TBX antaro,белая </t>
  </si>
  <si>
    <t xml:space="preserve">Рол Напр част. выдв, 25 кг, 350мм, крем </t>
  </si>
  <si>
    <t xml:space="preserve">Рол Напр част. выдв, 25 кг, 550мм, крем </t>
  </si>
  <si>
    <t xml:space="preserve">Рол Напр част. выдв, 25 кг, 500мм, крем </t>
  </si>
  <si>
    <t xml:space="preserve">Рол Напр част. выдв, 25 кг, 400мм, крем </t>
  </si>
  <si>
    <t xml:space="preserve">Рол Напр част. выдв, 25 кг, 400 мм, кор </t>
  </si>
  <si>
    <t xml:space="preserve">Рол Напр част. выдв, 25 кг, 450мм, крем </t>
  </si>
  <si>
    <t xml:space="preserve">Рол Напр част. выдв, 25 кг, 250мм, крем </t>
  </si>
  <si>
    <t xml:space="preserve">Рол Напр част. выдв, 25 кг, 650мм, крем </t>
  </si>
  <si>
    <t xml:space="preserve">PM-013 Презентационная модель CTBM ONYX </t>
  </si>
  <si>
    <t xml:space="preserve">POS232000 Воблер SERVO-DRIVE flex 5 шт. </t>
  </si>
  <si>
    <t xml:space="preserve">POS062009 Наклейка для витрины 120х60   </t>
  </si>
  <si>
    <t xml:space="preserve">LBX, СТБ1001 раскладка демонстрационная </t>
  </si>
  <si>
    <t xml:space="preserve">POS164000 Воблер Шкаф без ручки 5 шт.   </t>
  </si>
  <si>
    <t>POS230000 Воблер SERVO-DRIVE для AVS 5шт</t>
  </si>
  <si>
    <t xml:space="preserve">EP-247 Каталог Legrbox free (обзорный)  </t>
  </si>
  <si>
    <t xml:space="preserve">EP-260/6RU-AL Каталог Tip-on Blumotion  </t>
  </si>
  <si>
    <t>POS272000 Наклейки зоны DS больш. 25 шт.</t>
  </si>
  <si>
    <t xml:space="preserve">POS162000 Воблер Попробуйте сами 5 шт.  </t>
  </si>
  <si>
    <t xml:space="preserve">POS-110/1 И откуда берется это движение </t>
  </si>
  <si>
    <t>ZBH, Чемодан с шабл. д/сборщ,ZML.9000.21</t>
  </si>
  <si>
    <t xml:space="preserve">EP-199 Брошюра Мебельная фурнитура Blum </t>
  </si>
  <si>
    <t xml:space="preserve">EP-190 Каталог Направления ассорт. TBX  </t>
  </si>
  <si>
    <t xml:space="preserve">FO-038 Каталог Tip-on BM для Tandembox  </t>
  </si>
  <si>
    <t xml:space="preserve">POS273000 Наклейки зоны DS  мал. 25 шт. </t>
  </si>
  <si>
    <t xml:space="preserve">KA-110 Каталог Blum, полный 2013/2014   </t>
  </si>
  <si>
    <t xml:space="preserve">POS169000 Воблер TIP-ON BLUMOTION 5 шт. </t>
  </si>
  <si>
    <t>POS176000 наклейка TIP-ON BLUMOTION 20шт</t>
  </si>
  <si>
    <t xml:space="preserve">EP-277 Брошюра TIP-ON BLUMOTION для TBX </t>
  </si>
  <si>
    <t xml:space="preserve">Справочная инф. Blum LEGRABOX pure 2014 </t>
  </si>
  <si>
    <t xml:space="preserve">ZBH, Линейка д/шаблона 25 см ZML.0042   </t>
  </si>
  <si>
    <t xml:space="preserve">BM, Навесной д/Tandem, кмп,  T70.3150   </t>
  </si>
  <si>
    <t xml:space="preserve">AVS HF, Рычаг, h=760-1040мм (9184068)   </t>
  </si>
  <si>
    <t xml:space="preserve">AVS HF, Cиловой мех-м 20F2201 (8931762) </t>
  </si>
  <si>
    <t xml:space="preserve">TD, Tip-on, запчасти, част выдв, прав   </t>
  </si>
  <si>
    <t xml:space="preserve">TD, Tip-on, запчасти, полное выдвижение </t>
  </si>
  <si>
    <t xml:space="preserve">TD, Tip-on, д/полн выдв, лев /8996114   </t>
  </si>
  <si>
    <t xml:space="preserve">AVS HS, Загл. д/стабилиз. 20Q0003 (НЕТ) </t>
  </si>
  <si>
    <t xml:space="preserve">AVS HS, Cиловой мех-м 20S2Н01 (8992152) </t>
  </si>
  <si>
    <t xml:space="preserve">AVS HK, Загл. осн. бел. лев.(9383582)   </t>
  </si>
  <si>
    <t xml:space="preserve">AVS HK, Загл. осн. бел. прав.(9383652)  </t>
  </si>
  <si>
    <t xml:space="preserve">AVS HK, Cиловой мех-м 20K2301(9390032)  </t>
  </si>
  <si>
    <t xml:space="preserve">AVS HL, Загл. осн. бел. прав (8923392)  </t>
  </si>
  <si>
    <t xml:space="preserve">AVS HL, Загл. осн. бел. лев (8923222)   </t>
  </si>
  <si>
    <t xml:space="preserve">AVS HL, Силовой мех-м 20L2301 (8992462) </t>
  </si>
  <si>
    <t xml:space="preserve">AVS HL, Силовой мех-м 20L2701 (8992602) </t>
  </si>
  <si>
    <t xml:space="preserve">AVS HL, Загл. осн. бел. лев.(7093277)   </t>
  </si>
  <si>
    <t xml:space="preserve">AVS HL, Загл. осн. сер. лев (7260639)   </t>
  </si>
  <si>
    <t xml:space="preserve">AVS HL, Загл. осн. бел. прав.(6489215)  </t>
  </si>
  <si>
    <t xml:space="preserve">AVS HL, Загл. осн. сер. прав.(1907126)  </t>
  </si>
  <si>
    <t xml:space="preserve">AVS HK-S, крепление фасада Эксп (снят)  </t>
  </si>
  <si>
    <t xml:space="preserve">Саморез, плоская головка 15*4 61D.1500  </t>
  </si>
  <si>
    <t xml:space="preserve">Ящик LBX Free, C, 350 мм, вн. вст. бел. </t>
  </si>
  <si>
    <t xml:space="preserve">Ящик LBX Free, C, 350 мм, вн. вст. сер. </t>
  </si>
  <si>
    <t>Ящик LBX Free, C, 350 мм, вн. вст. черн.</t>
  </si>
  <si>
    <t xml:space="preserve">Ящик LBX Free, C, 350 мм, вн. вст. кор. </t>
  </si>
  <si>
    <t>Ящик LBX TB Pure, C, 350 мм, внутр. бел.</t>
  </si>
  <si>
    <t>Ящик LBX TB Pure, C, 350 мм, внутр. сер.</t>
  </si>
  <si>
    <t>Ящик LBX TB Pure, C, 350 мм, внутр. черн</t>
  </si>
  <si>
    <t>Ящик LBX TB Pure, C, 350 мм, внутр. кор.</t>
  </si>
  <si>
    <t xml:space="preserve">Ящик LBX Pure, F, 350 мм, внутр. бел.   </t>
  </si>
  <si>
    <t xml:space="preserve">Ящик LBX Pure, F, 350 мм, внутр. сер.   </t>
  </si>
  <si>
    <t xml:space="preserve">Ящик LBX Pure, F, 350 мм, внутр. черн.  </t>
  </si>
  <si>
    <t xml:space="preserve">Ящик LBX Pure, F, 350 мм, внутр. кор.   </t>
  </si>
  <si>
    <t>Ящик LBX TB Pure, M, 350 мм, внутр. бел.</t>
  </si>
  <si>
    <t>Ящик LBX TB Pure, M, 350 мм, внутр. сер.</t>
  </si>
  <si>
    <t>Ящик LBX TB Pure, M, 350 мм, внутр. черн</t>
  </si>
  <si>
    <t>Ящик LBX TB Pure, M, 350 мм, внутр. кор.</t>
  </si>
  <si>
    <t>ЯЩИК LBX TB FREE, C, 500 ММ, ВН.ВСТ.БЕЛ.</t>
  </si>
  <si>
    <t>Ящик LBX TB Free, C, 500 мм, вн.вст.сер.</t>
  </si>
  <si>
    <t>Ящик LBX TB Free, C, 500 мм, вн.вст.черн</t>
  </si>
  <si>
    <t>Ящик LBX TB Free, C, 500 мм, вн.вст.кор.</t>
  </si>
  <si>
    <t>Ящик LBX TB Pure, С, 500 мм, вн.рел.бел.</t>
  </si>
  <si>
    <t>Ящик LBX TB Pure, С, 500 мм, вн.рел.сер.</t>
  </si>
  <si>
    <t>Ящик LBX TB Pure, С, 500 мм, вн.рел.черн</t>
  </si>
  <si>
    <t>Ящик LBX TB Pure, С, 500 мм, вн.рел.кор.</t>
  </si>
  <si>
    <t xml:space="preserve">Ящик LBX Pure, F, 500 мм, вн. рел. бел. </t>
  </si>
  <si>
    <t xml:space="preserve">Ящик LBX Pure, F, 500 мм, вн. рел. cер. </t>
  </si>
  <si>
    <t>Ящик LBX Pure, F, 500 мм, вн. рел. черн.</t>
  </si>
  <si>
    <t xml:space="preserve">Ящик LBX Pure, F, 500 мм, вн. рел. кор. </t>
  </si>
  <si>
    <t>Ящик LBX TB Pure, M, 500 мм, внутр. бел.</t>
  </si>
  <si>
    <t>Ящик LBX TB Pure, M, 500 мм, внутр. сер.</t>
  </si>
  <si>
    <t>Ящик LBX TB Pure, M, 500 мм, внутр. черн</t>
  </si>
  <si>
    <t>Ящик LBX TB Pure, M, 500 мм, внутр. кор.</t>
  </si>
  <si>
    <t>TBXAA450DR9006/</t>
  </si>
  <si>
    <t>TBXAA450MR9006/</t>
  </si>
  <si>
    <t>TBXAA500DR9006/</t>
  </si>
  <si>
    <t>TBXAA500MR9006/</t>
  </si>
  <si>
    <t>2673340/</t>
  </si>
  <si>
    <t>6150570/</t>
  </si>
  <si>
    <t>6150650/</t>
  </si>
  <si>
    <t>6150730/</t>
  </si>
  <si>
    <t>6150900/</t>
  </si>
  <si>
    <t>7324874/</t>
  </si>
  <si>
    <t>7344895/</t>
  </si>
  <si>
    <t>7357789/</t>
  </si>
  <si>
    <t>7389524/</t>
  </si>
  <si>
    <t>8373549/</t>
  </si>
  <si>
    <t>4102066/</t>
  </si>
  <si>
    <t>4146576/</t>
  </si>
  <si>
    <t>4387108/</t>
  </si>
  <si>
    <t>4389824/</t>
  </si>
  <si>
    <t>9626760/</t>
  </si>
  <si>
    <t>9675257/</t>
  </si>
  <si>
    <t>5147820/</t>
  </si>
  <si>
    <t>7119326/</t>
  </si>
  <si>
    <t>7248673/</t>
  </si>
  <si>
    <t>7250061/</t>
  </si>
  <si>
    <t>7639774/</t>
  </si>
  <si>
    <t>8282013/</t>
  </si>
  <si>
    <t>1526135/</t>
  </si>
  <si>
    <t>1613786/</t>
  </si>
  <si>
    <t>1892497/</t>
  </si>
  <si>
    <t>1964111/</t>
  </si>
  <si>
    <t>2515874/</t>
  </si>
  <si>
    <t>2848775/</t>
  </si>
  <si>
    <t>4109517/</t>
  </si>
  <si>
    <t>4121820/</t>
  </si>
  <si>
    <t>4518141/</t>
  </si>
  <si>
    <t>4557903/</t>
  </si>
  <si>
    <t>4857770/</t>
  </si>
  <si>
    <t>4866053/</t>
  </si>
  <si>
    <t>5610010/</t>
  </si>
  <si>
    <t>5862121/</t>
  </si>
  <si>
    <t>5897623/</t>
  </si>
  <si>
    <t>6041514/</t>
  </si>
  <si>
    <t>6052884/</t>
  </si>
  <si>
    <t>6086856/</t>
  </si>
  <si>
    <t>6099902/</t>
  </si>
  <si>
    <t>6850066/</t>
  </si>
  <si>
    <t>6875477/</t>
  </si>
  <si>
    <t>7249925/</t>
  </si>
  <si>
    <t>7277531/</t>
  </si>
  <si>
    <t>7334590/</t>
  </si>
  <si>
    <t>7334670/</t>
  </si>
  <si>
    <t>7610049/</t>
  </si>
  <si>
    <t>7673700/</t>
  </si>
  <si>
    <t>7673880/</t>
  </si>
  <si>
    <t>7805139/</t>
  </si>
  <si>
    <t>7828111/</t>
  </si>
  <si>
    <t>7830527/</t>
  </si>
  <si>
    <t>7916361/</t>
  </si>
  <si>
    <t>7929574/</t>
  </si>
  <si>
    <t>8643500/</t>
  </si>
  <si>
    <t>8679790/</t>
  </si>
  <si>
    <t>8679860/</t>
  </si>
  <si>
    <t>8680060/</t>
  </si>
  <si>
    <t>8680130/</t>
  </si>
  <si>
    <t>8784010/</t>
  </si>
  <si>
    <t>8784180/</t>
  </si>
  <si>
    <t>8837122/</t>
  </si>
  <si>
    <t>9300720/</t>
  </si>
  <si>
    <t>9319514/</t>
  </si>
  <si>
    <t>9710579/</t>
  </si>
  <si>
    <t>9724538/</t>
  </si>
  <si>
    <t>1548847/</t>
  </si>
  <si>
    <t>3993785/</t>
  </si>
  <si>
    <t>1845481/</t>
  </si>
  <si>
    <t>2487296/</t>
  </si>
  <si>
    <t>6647667/</t>
  </si>
  <si>
    <t>7433916/</t>
  </si>
  <si>
    <t>8214859/</t>
  </si>
  <si>
    <t>6815926/</t>
  </si>
  <si>
    <t>5663406/</t>
  </si>
  <si>
    <t>3487848/</t>
  </si>
  <si>
    <t>3494927/</t>
  </si>
  <si>
    <t>4205596/</t>
  </si>
  <si>
    <t>5419750/</t>
  </si>
  <si>
    <t>5425200/</t>
  </si>
  <si>
    <t>8002343/</t>
  </si>
  <si>
    <t>8010346/</t>
  </si>
  <si>
    <t>8529522/</t>
  </si>
  <si>
    <t>8530390/</t>
  </si>
  <si>
    <t>1413545/</t>
  </si>
  <si>
    <t>1420709/</t>
  </si>
  <si>
    <t>2103384/</t>
  </si>
  <si>
    <t>2130954/</t>
  </si>
  <si>
    <t>3082012/</t>
  </si>
  <si>
    <t>3087636/</t>
  </si>
  <si>
    <t>3514505/</t>
  </si>
  <si>
    <t>3534233/</t>
  </si>
  <si>
    <t>5304410/</t>
  </si>
  <si>
    <t>5335315/</t>
  </si>
  <si>
    <t>5665271/</t>
  </si>
  <si>
    <t>5687080/</t>
  </si>
  <si>
    <t>6440926/</t>
  </si>
  <si>
    <t>6478717/</t>
  </si>
  <si>
    <t>7113948/</t>
  </si>
  <si>
    <t>7118591/</t>
  </si>
  <si>
    <t>7132356/</t>
  </si>
  <si>
    <t>7136572/</t>
  </si>
  <si>
    <t>8020891/</t>
  </si>
  <si>
    <t>8039716/</t>
  </si>
  <si>
    <t>8134100/</t>
  </si>
  <si>
    <t>8158651/</t>
  </si>
  <si>
    <t>8543224/</t>
  </si>
  <si>
    <t>8566521/</t>
  </si>
  <si>
    <t>8578515/</t>
  </si>
  <si>
    <t>8580208/</t>
  </si>
  <si>
    <t>8774453/</t>
  </si>
  <si>
    <t>1308438/</t>
  </si>
  <si>
    <t>1464291/</t>
  </si>
  <si>
    <t>1484645/</t>
  </si>
  <si>
    <t>2015731/</t>
  </si>
  <si>
    <t>2185870/</t>
  </si>
  <si>
    <t>4815030/</t>
  </si>
  <si>
    <t>4816877/</t>
  </si>
  <si>
    <t>8217950/</t>
  </si>
  <si>
    <t>8610559/</t>
  </si>
  <si>
    <t>8622612/</t>
  </si>
  <si>
    <t>1181705/</t>
  </si>
  <si>
    <t>1722370/</t>
  </si>
  <si>
    <t>3134862/</t>
  </si>
  <si>
    <t>4599324/</t>
  </si>
  <si>
    <t>4670116/</t>
  </si>
  <si>
    <t>8516141/</t>
  </si>
  <si>
    <t>9900227/</t>
  </si>
  <si>
    <t>6530300/</t>
  </si>
  <si>
    <t>6559693/</t>
  </si>
  <si>
    <t>8725697/</t>
  </si>
  <si>
    <t>8795045/</t>
  </si>
  <si>
    <t>1587698/</t>
  </si>
  <si>
    <t>1842247/</t>
  </si>
  <si>
    <t>2066477/</t>
  </si>
  <si>
    <t>2118580/</t>
  </si>
  <si>
    <t>2577474/</t>
  </si>
  <si>
    <t>4430206/</t>
  </si>
  <si>
    <t>5291776/</t>
  </si>
  <si>
    <t>7506076/</t>
  </si>
  <si>
    <t>LBX350PC01TB/</t>
  </si>
  <si>
    <t>LBX350PC02TB/</t>
  </si>
  <si>
    <t>LBX350PC03TB/</t>
  </si>
  <si>
    <t>LBX350PC04TB/</t>
  </si>
  <si>
    <t>LBX350PF01TB/</t>
  </si>
  <si>
    <t>LBX350PF02TB/</t>
  </si>
  <si>
    <t>LBX350PF03TB/</t>
  </si>
  <si>
    <t>LBX350PM01TB/</t>
  </si>
  <si>
    <t>LBX350PM02TB/</t>
  </si>
  <si>
    <t>LBX350PM03TB/</t>
  </si>
  <si>
    <t>LBX350PM04TB/</t>
  </si>
  <si>
    <t>LBX500FC01TB/</t>
  </si>
  <si>
    <t>LBX500FC02TB/</t>
  </si>
  <si>
    <t>LBX500FC03TB/</t>
  </si>
  <si>
    <t>LBX500FC04TB/</t>
  </si>
  <si>
    <t>LBX500PC01TB/</t>
  </si>
  <si>
    <t>LBX500PC02TB/</t>
  </si>
  <si>
    <t>LBX500PC03TB/</t>
  </si>
  <si>
    <t>LBX500PC04TB/</t>
  </si>
  <si>
    <t>LBX500PF01TB/</t>
  </si>
  <si>
    <t>LBX500PF02TB/</t>
  </si>
  <si>
    <t>LBX500PF03TB/</t>
  </si>
  <si>
    <t>LBX500PF04TB/</t>
  </si>
  <si>
    <t>LBX500PM01TB/</t>
  </si>
  <si>
    <t>LBX500PM02TB/</t>
  </si>
  <si>
    <t>LBX500PM03TB/</t>
  </si>
  <si>
    <t>LBX500PM04TB/</t>
  </si>
  <si>
    <t>LBX500PN01TB/</t>
  </si>
  <si>
    <t>LBX500PN02TB/</t>
  </si>
  <si>
    <t>LBX500PN03TB/</t>
  </si>
  <si>
    <t>LBX500PN04TB/</t>
  </si>
  <si>
    <t>2364983/</t>
  </si>
  <si>
    <t>2365103/</t>
  </si>
  <si>
    <t>2365283/</t>
  </si>
  <si>
    <t>3284903/</t>
  </si>
  <si>
    <t>8701018/</t>
  </si>
  <si>
    <t>9605940/</t>
  </si>
  <si>
    <t>1423054/</t>
  </si>
  <si>
    <t>5653918/</t>
  </si>
  <si>
    <t>7105563/</t>
  </si>
  <si>
    <t>7731769/</t>
  </si>
  <si>
    <t>7822272/</t>
  </si>
  <si>
    <t>8260220/</t>
  </si>
  <si>
    <t>0007341/</t>
  </si>
  <si>
    <t>0007411/</t>
  </si>
  <si>
    <t>0019911/</t>
  </si>
  <si>
    <t>1367619/</t>
  </si>
  <si>
    <t>6238822/</t>
  </si>
  <si>
    <t>7636712/</t>
  </si>
  <si>
    <t>8953309/</t>
  </si>
  <si>
    <t>9194940/</t>
  </si>
  <si>
    <t>9597484/</t>
  </si>
  <si>
    <t>6506458/</t>
  </si>
  <si>
    <t>7723940/</t>
  </si>
  <si>
    <t>7804083/</t>
  </si>
  <si>
    <t>1156412/</t>
  </si>
  <si>
    <t>1321716/</t>
  </si>
  <si>
    <t>1469665/</t>
  </si>
  <si>
    <t>1514156/</t>
  </si>
  <si>
    <t>1670678/</t>
  </si>
  <si>
    <t>2405403/</t>
  </si>
  <si>
    <t>2631956/</t>
  </si>
  <si>
    <t>2709069/</t>
  </si>
  <si>
    <t>2802086/</t>
  </si>
  <si>
    <t>3088484/</t>
  </si>
  <si>
    <t>3307424/</t>
  </si>
  <si>
    <t>4384291/</t>
  </si>
  <si>
    <t>5225292/</t>
  </si>
  <si>
    <t>6887313/</t>
  </si>
  <si>
    <t>7083243/</t>
  </si>
  <si>
    <t>8221814/</t>
  </si>
  <si>
    <t>8281664/</t>
  </si>
  <si>
    <t>8618640/</t>
  </si>
  <si>
    <t>8906822/</t>
  </si>
  <si>
    <t>./</t>
  </si>
  <si>
    <t>1257192/</t>
  </si>
  <si>
    <t>1417588/</t>
  </si>
  <si>
    <t>1543921/</t>
  </si>
  <si>
    <t>1744547/</t>
  </si>
  <si>
    <t>2093493/</t>
  </si>
  <si>
    <t>2140142/</t>
  </si>
  <si>
    <t>3146930/</t>
  </si>
  <si>
    <t>3190443/</t>
  </si>
  <si>
    <t>3262953/</t>
  </si>
  <si>
    <t>3474261/</t>
  </si>
  <si>
    <t>3725358/</t>
  </si>
  <si>
    <t>3765349/</t>
  </si>
  <si>
    <t>3794444/</t>
  </si>
  <si>
    <t>3995060/</t>
  </si>
  <si>
    <t>4088774/</t>
  </si>
  <si>
    <t>4151275/</t>
  </si>
  <si>
    <t>4217115/</t>
  </si>
  <si>
    <t>490199/</t>
  </si>
  <si>
    <t>4955519/</t>
  </si>
  <si>
    <t>5112407/</t>
  </si>
  <si>
    <t>5460869/</t>
  </si>
  <si>
    <t>5488043/</t>
  </si>
  <si>
    <t>5592629/</t>
  </si>
  <si>
    <t>5692624/</t>
  </si>
  <si>
    <t>5737695/</t>
  </si>
  <si>
    <t>6014047/</t>
  </si>
  <si>
    <t>6248192/</t>
  </si>
  <si>
    <t>6490439/</t>
  </si>
  <si>
    <t>6497471/</t>
  </si>
  <si>
    <t>6648404/</t>
  </si>
  <si>
    <t>6852347/</t>
  </si>
  <si>
    <t>7129704/</t>
  </si>
  <si>
    <t>7129759/</t>
  </si>
  <si>
    <t>7256387/</t>
  </si>
  <si>
    <t>7295522/</t>
  </si>
  <si>
    <t>7345497/</t>
  </si>
  <si>
    <t>7413391/</t>
  </si>
  <si>
    <t>7448070/</t>
  </si>
  <si>
    <t>7663072/</t>
  </si>
  <si>
    <t>7735432/</t>
  </si>
  <si>
    <t>7888932/</t>
  </si>
  <si>
    <t>8145954/</t>
  </si>
  <si>
    <t>8166340/</t>
  </si>
  <si>
    <t>8510265/</t>
  </si>
  <si>
    <t>8805678/</t>
  </si>
  <si>
    <t>8889510/</t>
  </si>
  <si>
    <t>9073519/</t>
  </si>
  <si>
    <t>9082774/</t>
  </si>
  <si>
    <t>9119550/</t>
  </si>
  <si>
    <t>9259792/</t>
  </si>
  <si>
    <t>9347487/</t>
  </si>
  <si>
    <t>9415498/</t>
  </si>
  <si>
    <t>6353414/</t>
  </si>
  <si>
    <t>LBX350FC01/</t>
  </si>
  <si>
    <t>LBX350FC02/</t>
  </si>
  <si>
    <t>LBX350FC03/</t>
  </si>
  <si>
    <t>LBX350FC04/</t>
  </si>
  <si>
    <t>LBX350FC21/</t>
  </si>
  <si>
    <t>LBX350FC22/</t>
  </si>
  <si>
    <t>LBX350FC23/</t>
  </si>
  <si>
    <t>LBX350FC24/</t>
  </si>
  <si>
    <t>LBX350PC11TB/</t>
  </si>
  <si>
    <t>LBX350PC12TB/</t>
  </si>
  <si>
    <t>LBX350PC13TB/</t>
  </si>
  <si>
    <t>LBX350PC14TB/</t>
  </si>
  <si>
    <t>LBX350PF04/</t>
  </si>
  <si>
    <t>LBX350PF11/</t>
  </si>
  <si>
    <t>LBX350PF12/</t>
  </si>
  <si>
    <t>LBX350PF13/</t>
  </si>
  <si>
    <t>LBX350PF14/</t>
  </si>
  <si>
    <t>LBX350PM11TB/</t>
  </si>
  <si>
    <t>LBX350PM12TB/</t>
  </si>
  <si>
    <t>LBX350PM13TB/</t>
  </si>
  <si>
    <t>LBX350PM14TB/</t>
  </si>
  <si>
    <t>LBX500FC21TB/</t>
  </si>
  <si>
    <t>LBX500FC22TB/</t>
  </si>
  <si>
    <t>LBX500FC23TB/</t>
  </si>
  <si>
    <t>LBX500FC24TB/</t>
  </si>
  <si>
    <t>LBX500PC11TB/</t>
  </si>
  <si>
    <t>LBX500PC12TB/</t>
  </si>
  <si>
    <t>LBX500PC13TB/</t>
  </si>
  <si>
    <t>LBX500PC14TB/</t>
  </si>
  <si>
    <t>LBX500PF11/</t>
  </si>
  <si>
    <t>LBX500PF12/</t>
  </si>
  <si>
    <t>LBX500PF13/</t>
  </si>
  <si>
    <t>LBX500PF14/</t>
  </si>
  <si>
    <t>LBX500PM11TB/</t>
  </si>
  <si>
    <t>LBX500PM12TB/</t>
  </si>
  <si>
    <t>LBX500PM13TB/</t>
  </si>
  <si>
    <t>LBX500PM14TB/</t>
  </si>
  <si>
    <t xml:space="preserve">Коврик п/скольжения, бел, рифл (25 м)   </t>
  </si>
  <si>
    <t>45003000014-0001/</t>
  </si>
  <si>
    <t>Коврик п/скольжения K2, бел, рифл (25 м)</t>
  </si>
  <si>
    <t>45003007140-0001/</t>
  </si>
  <si>
    <t>Коврик п/скольжения K2, сер, рифл (25 м)</t>
  </si>
  <si>
    <t xml:space="preserve">Коврик п/скольжения, cер, рифл (25 м)   </t>
  </si>
  <si>
    <t xml:space="preserve">Коврик п/скольжения, черн, рифл (25 м)  </t>
  </si>
  <si>
    <t>AGO-System, лист 300/500 (182x475мм) сер</t>
  </si>
  <si>
    <t>AGO-System, лист 400/500 (282x475мм) сер</t>
  </si>
  <si>
    <t>AGO-System, лист 450/500 (332x475мм) сер</t>
  </si>
  <si>
    <t>AGO-System, лист 600/500 (482x475мм) сер</t>
  </si>
  <si>
    <t>AGO-System, лист 900/500 (782x475мм) сер</t>
  </si>
  <si>
    <t>AGO-System, лист 1200/500 (1082x475) сер</t>
  </si>
  <si>
    <t>AGO-System, лист 600/500 (536х482мм) сер</t>
  </si>
  <si>
    <t>AGO-System, лист 900/500 (836x482мм) сер</t>
  </si>
  <si>
    <t>4500405809012-N4/</t>
  </si>
  <si>
    <t>AGO-System, лист 600/500 (525x473мм) сер</t>
  </si>
  <si>
    <t>4500405809012-N5/</t>
  </si>
  <si>
    <t>AGO-System, лист 450/500 (375x473мм) сер</t>
  </si>
  <si>
    <t>4500405809012-N6/</t>
  </si>
  <si>
    <t>AGO-System, лист 300/500 (225x473мм) сер</t>
  </si>
  <si>
    <t>4500405809012-N7/</t>
  </si>
  <si>
    <t>AGO-System, лист 900/500 (825x473мм) сер</t>
  </si>
  <si>
    <t>4500405809012-N8/</t>
  </si>
  <si>
    <t>AGO-System, лист 1200/500 (1125x473) сер</t>
  </si>
  <si>
    <t xml:space="preserve">AGO-FIBRE лист 450/500 (473х375), бел   </t>
  </si>
  <si>
    <t xml:space="preserve">AGO-FIBRE лист 600/500 (473х525), бел   </t>
  </si>
  <si>
    <t xml:space="preserve">AGO-FIBRE лист 900/500 (473х825), бел   </t>
  </si>
  <si>
    <t xml:space="preserve">AGO-FIBRE лист 450/500 (473х375), сер   </t>
  </si>
  <si>
    <t xml:space="preserve">AGO-FIBRE лист 600/500 (473х525), сер   </t>
  </si>
  <si>
    <t xml:space="preserve">AGO-FIBRE лист 900/500 (473х825), сер   </t>
  </si>
  <si>
    <t>45010A04250-0001/</t>
  </si>
  <si>
    <t xml:space="preserve">Fibre TopSoft ковр п/скольз 473/25м сер </t>
  </si>
  <si>
    <t>45010A08140-0009/</t>
  </si>
  <si>
    <t xml:space="preserve">Fibre TopSoft ковр п/скольз 473/25м кор </t>
  </si>
  <si>
    <t>45010A09010-0001/</t>
  </si>
  <si>
    <t>Fibre TopSoft ковр п/скольз 473/25м черн</t>
  </si>
  <si>
    <t>5182903901030-10/</t>
  </si>
  <si>
    <t>Move+, лоток 300/500, гаванна коричневый</t>
  </si>
  <si>
    <t>5222802001020-01/</t>
  </si>
  <si>
    <t>5222803001020-01/</t>
  </si>
  <si>
    <t>5222803419020-03/</t>
  </si>
  <si>
    <t>5226103419020-01/</t>
  </si>
  <si>
    <t>5226702001020-01/</t>
  </si>
  <si>
    <t>5226703001020-02/</t>
  </si>
  <si>
    <t>5226703419020-01/</t>
  </si>
  <si>
    <t>5378603001025-01/</t>
  </si>
  <si>
    <t xml:space="preserve">Лоток для тарелок, 600/500, белый мат   </t>
  </si>
  <si>
    <t>45004-00144/</t>
  </si>
  <si>
    <t>45004-00145/</t>
  </si>
  <si>
    <t>45004-00146/</t>
  </si>
  <si>
    <t>45004-00147/</t>
  </si>
  <si>
    <t>45004-00148/</t>
  </si>
  <si>
    <t>45004-00149/</t>
  </si>
  <si>
    <t>45004-00151/</t>
  </si>
  <si>
    <t>45004-00316/</t>
  </si>
  <si>
    <t>MUS0003256/</t>
  </si>
  <si>
    <t>MUS0003266/</t>
  </si>
  <si>
    <t>MUS0006067/</t>
  </si>
  <si>
    <t>MUS0014522/</t>
  </si>
  <si>
    <t>MUS0015973/</t>
  </si>
  <si>
    <t>MUS0017391/</t>
  </si>
  <si>
    <t>MUS0019823/</t>
  </si>
  <si>
    <t>MUS0019824/</t>
  </si>
  <si>
    <t>450,500мм</t>
  </si>
  <si>
    <t>z</t>
  </si>
  <si>
    <t>Лоток</t>
  </si>
  <si>
    <t>Рамка 100</t>
  </si>
  <si>
    <t>Рамка 200</t>
  </si>
  <si>
    <t>ТОРГОВЫЕ УПАКОВКИ М</t>
  </si>
  <si>
    <t>Комплект петли в цвете Черный Оникс</t>
  </si>
  <si>
    <t>Крест., Expando</t>
  </si>
  <si>
    <t xml:space="preserve">3099055/   </t>
  </si>
  <si>
    <t>БУТЫЛОЧНИЦА BLUM 200Готовые комплекты</t>
  </si>
  <si>
    <t xml:space="preserve">Бутылочница BLUM  </t>
  </si>
  <si>
    <t xml:space="preserve">MOVENTO  </t>
  </si>
  <si>
    <t xml:space="preserve">Дно ящика LBX, корпус 300х500, чер  </t>
  </si>
  <si>
    <t xml:space="preserve">Дно ящика LBX, корпус 400х350, чер  </t>
  </si>
  <si>
    <t xml:space="preserve">Дно ящика LBX, корпус 400х400, чер  </t>
  </si>
  <si>
    <t xml:space="preserve">Дно ящика LBX, корпус 400х450, чер  </t>
  </si>
  <si>
    <t xml:space="preserve">Дно ящика LBX, корпус 400х500, чер  </t>
  </si>
  <si>
    <t xml:space="preserve">Дно ящика LBX, корпус 450х350, чер  </t>
  </si>
  <si>
    <t xml:space="preserve">Дно ящика LBX, корпус 450х400, чер  </t>
  </si>
  <si>
    <t xml:space="preserve">Дно ящика LBX, корпус 450х450, чер  </t>
  </si>
  <si>
    <t xml:space="preserve">Дно ящика LBX, корпус 450х500, чер  </t>
  </si>
  <si>
    <t xml:space="preserve">Дно ящика LBX, корпус 500х350, чер  </t>
  </si>
  <si>
    <t xml:space="preserve">Дно ящика LBX, корпус 500х400, чер  </t>
  </si>
  <si>
    <t xml:space="preserve">Дно ящика LBX, корпус 500х450, чер  </t>
  </si>
  <si>
    <t xml:space="preserve">Дно ящика LBX, корпус 500х500, чер  </t>
  </si>
  <si>
    <t xml:space="preserve">Дно ящика LBX, корпус 600х350, чер  </t>
  </si>
  <si>
    <t xml:space="preserve">Дно ящика LBX, корпус 600х400, чер  </t>
  </si>
  <si>
    <t xml:space="preserve">Дно ящика LBX, корпус 600х450, чер  </t>
  </si>
  <si>
    <t xml:space="preserve">Дно ящика LBX, корпус 600х500, чер  </t>
  </si>
  <si>
    <t xml:space="preserve">Дно ящика LBX, корпус 700х350, чер  </t>
  </si>
  <si>
    <t xml:space="preserve">Дно ящика LBX, корпус 700х400, чер  </t>
  </si>
  <si>
    <t xml:space="preserve">Дно ящика LBX, корпус 700х450, чер  </t>
  </si>
  <si>
    <t xml:space="preserve">Дно ящика LBX, корпус 700х500, чер  </t>
  </si>
  <si>
    <t xml:space="preserve">Дно ящика LBX, корпус 800х350, чер  </t>
  </si>
  <si>
    <t xml:space="preserve">Дно ящика LBX, корпус 800х400, чер  </t>
  </si>
  <si>
    <t xml:space="preserve">Дно ящика LBX, корпус 800х450, чер  </t>
  </si>
  <si>
    <t xml:space="preserve">Дно ящика LBX, корпус 800х500, чер  </t>
  </si>
  <si>
    <t xml:space="preserve">Дно ящика LBX, корпус 900х350, чер  </t>
  </si>
  <si>
    <t xml:space="preserve">Дно ящика LBX, корпус 900х400, чер  </t>
  </si>
  <si>
    <t xml:space="preserve">Дно ящика LBX, корпус 900х450, чер  </t>
  </si>
  <si>
    <t xml:space="preserve">Дно ящика LBX, корпус 900х500, чер  </t>
  </si>
  <si>
    <t xml:space="preserve">Дно ящика LBX, корпус 1000х350, чер </t>
  </si>
  <si>
    <t xml:space="preserve">Дно ящика LBX, корпус 1000х400, чер </t>
  </si>
  <si>
    <t xml:space="preserve">Дно ящика LBX, корпус 1000х450, чер </t>
  </si>
  <si>
    <t xml:space="preserve">Дно ящика LBX, корпус 1000х500, чер </t>
  </si>
  <si>
    <t xml:space="preserve">Дно ящика LBX, корпус 1200х350, чер </t>
  </si>
  <si>
    <t xml:space="preserve">Дно ящика LBX, корпус 1200х400, чер </t>
  </si>
  <si>
    <t xml:space="preserve">Дно ящика LBX, корпус 1200х450, чер </t>
  </si>
  <si>
    <t xml:space="preserve">Дно ящика LBX, корпус 1200х500, чер </t>
  </si>
  <si>
    <t xml:space="preserve">Дно ящика LBX, корпус 300х500, сер  </t>
  </si>
  <si>
    <t xml:space="preserve">Дно ящика LBX, корпус 400х350, сер  </t>
  </si>
  <si>
    <t xml:space="preserve">Дно ящика LBX, корпус 400х400, сер  </t>
  </si>
  <si>
    <t xml:space="preserve">Дно ящика LBX, корпус 400х450, сер  </t>
  </si>
  <si>
    <t xml:space="preserve">Дно ящика LBX, корпус 400х500, сер  </t>
  </si>
  <si>
    <t xml:space="preserve">Дно ящика LBX, корпус 450х350, сер  </t>
  </si>
  <si>
    <t xml:space="preserve">Дно ящика LBX, корпус 450х400, сер  </t>
  </si>
  <si>
    <t xml:space="preserve">Дно ящика LBX, корпус 450х450, сер  </t>
  </si>
  <si>
    <t xml:space="preserve">Дно ящика LBX, корпус 450х500, сер  </t>
  </si>
  <si>
    <t xml:space="preserve">Дно ящика LBX, корпус 500х350, сер  </t>
  </si>
  <si>
    <t xml:space="preserve">Дно ящика LBX, корпус 500х400, сер  </t>
  </si>
  <si>
    <t xml:space="preserve">Дно ящика LBX, корпус 500х450, сер  </t>
  </si>
  <si>
    <t xml:space="preserve">Дно ящика LBX, корпус 500х500, сер  </t>
  </si>
  <si>
    <t xml:space="preserve">Дно ящика LBX, корпус 600х350, сер  </t>
  </si>
  <si>
    <t xml:space="preserve">Дно ящика LBX, корпус 600х400, сер  </t>
  </si>
  <si>
    <t xml:space="preserve">Дно ящика LBX, корпус 600х450, сер  </t>
  </si>
  <si>
    <t xml:space="preserve">Дно ящика LBX, корпус 600х500, сер  </t>
  </si>
  <si>
    <t xml:space="preserve">Дно ящика LBX, корпус 700х350, сер  </t>
  </si>
  <si>
    <t xml:space="preserve">Дно ящика LBX, корпус 700х400, сер  </t>
  </si>
  <si>
    <t xml:space="preserve">Дно ящика LBX, корпус 700х450, сер  </t>
  </si>
  <si>
    <t xml:space="preserve">Дно ящика LBX, корпус 700х500, сер  </t>
  </si>
  <si>
    <t xml:space="preserve">Дно ящика LBX, корпус 800х350, сер  </t>
  </si>
  <si>
    <t xml:space="preserve">Дно ящика LBX, корпус 800х400, сер  </t>
  </si>
  <si>
    <t xml:space="preserve">Дно ящика LBX, корпус 800х450, сер  </t>
  </si>
  <si>
    <t xml:space="preserve">Дно ящика LBX, корпус 800х500, сер  </t>
  </si>
  <si>
    <t xml:space="preserve">Дно ящика LBX, корпус 900х350, сер  </t>
  </si>
  <si>
    <t xml:space="preserve">Дно ящика LBX, корпус 900х400, сер  </t>
  </si>
  <si>
    <t xml:space="preserve">Дно ящика LBX, корпус 900х450, сер  </t>
  </si>
  <si>
    <t xml:space="preserve">Дно ящика LBX, корпус 900х500, сер  </t>
  </si>
  <si>
    <t xml:space="preserve">Дно ящика LBX, корпус 1000х350, сер </t>
  </si>
  <si>
    <t xml:space="preserve">Дно ящика LBX, корпус 1000х400, сер </t>
  </si>
  <si>
    <t xml:space="preserve">Дно ящика LBX, корпус 1000х450, сер </t>
  </si>
  <si>
    <t xml:space="preserve">Дно ящика LBX, корпус 1000х500, сер </t>
  </si>
  <si>
    <t xml:space="preserve">Дно ящика LBX, корпус 1200х350, сер </t>
  </si>
  <si>
    <t xml:space="preserve">Дно ящика LBX, корпус 1200х400, сер </t>
  </si>
  <si>
    <t xml:space="preserve">Дно ящика LBX, корпус 1200х450, сер </t>
  </si>
  <si>
    <t xml:space="preserve">Дно ящика LBX, корпус 1200х500, сер </t>
  </si>
  <si>
    <t xml:space="preserve">Дно ящика LBX, корпус 300х500, бел  </t>
  </si>
  <si>
    <t xml:space="preserve">Дно ящика LBX, корпус 400х350, бел  </t>
  </si>
  <si>
    <t xml:space="preserve">Дно ящика LBX, корпус 400х400, бел  </t>
  </si>
  <si>
    <t xml:space="preserve">Дно ящика LBX, корпус 400х450, бел  </t>
  </si>
  <si>
    <t xml:space="preserve">Дно ящика LBX, корпус 400х500, бел  </t>
  </si>
  <si>
    <t xml:space="preserve">Дно ящика LBX, корпус 450х350, бел  </t>
  </si>
  <si>
    <t xml:space="preserve">Дно ящика LBX, корпус 450х400, бел  </t>
  </si>
  <si>
    <t xml:space="preserve">Дно ящика LBX, корпус 450х450, бел  </t>
  </si>
  <si>
    <t xml:space="preserve">Дно ящика LBX, корпус 450х500, бел  </t>
  </si>
  <si>
    <t xml:space="preserve">Дно ящика LBX, корпус 500х350, бел  </t>
  </si>
  <si>
    <t xml:space="preserve">Дно ящика LBX, корпус 500х400, бел  </t>
  </si>
  <si>
    <t xml:space="preserve">Дно ящика LBX, корпус 500х450, бел  </t>
  </si>
  <si>
    <t xml:space="preserve">Дно ящика LBX, корпус 500х500, бел  </t>
  </si>
  <si>
    <t xml:space="preserve">Дно ящика LBX, корпус 600х350, бел  </t>
  </si>
  <si>
    <t xml:space="preserve">Дно ящика LBX, корпус 600х400, бел  </t>
  </si>
  <si>
    <t xml:space="preserve">Дно ящика LBX, корпус 600х450, бел  </t>
  </si>
  <si>
    <t xml:space="preserve">Дно ящика LBX, корпус 600х500, бел  </t>
  </si>
  <si>
    <t xml:space="preserve">Дно ящика LBX, корпус 700х350, бел  </t>
  </si>
  <si>
    <t xml:space="preserve">Дно ящика LBX, корпус 700х400, бел  </t>
  </si>
  <si>
    <t xml:space="preserve">Дно ящика LBX, корпус 700х450, бел  </t>
  </si>
  <si>
    <t xml:space="preserve">Дно ящика LBX, корпус 700х500, бел  </t>
  </si>
  <si>
    <t xml:space="preserve">Дно ящика LBX, корпус 800х350, бел  </t>
  </si>
  <si>
    <t xml:space="preserve">Дно ящика LBX, корпус 800х400, бел  </t>
  </si>
  <si>
    <t xml:space="preserve">Дно ящика LBX, корпус 800х450, бел  </t>
  </si>
  <si>
    <t xml:space="preserve">Дно ящика LBX, корпус 800х500, бел  </t>
  </si>
  <si>
    <t xml:space="preserve">Дно ящика LBX, корпус 900х350, бел  </t>
  </si>
  <si>
    <t xml:space="preserve">Дно ящика LBX, корпус 900х400, бел  </t>
  </si>
  <si>
    <t xml:space="preserve">Дно ящика LBX, корпус 900х450, бел  </t>
  </si>
  <si>
    <t xml:space="preserve">Дно ящика LBX, корпус 900х500, бел  </t>
  </si>
  <si>
    <t xml:space="preserve">Дно ящика LBX, корпус 1000х350, бел </t>
  </si>
  <si>
    <t xml:space="preserve">Дно ящика LBX, корпус 1000х400, бел </t>
  </si>
  <si>
    <t xml:space="preserve">Дно ящика LBX, корпус 1000х450, бел </t>
  </si>
  <si>
    <t xml:space="preserve">Дно ящика LBX, корпус 1000х500, бел </t>
  </si>
  <si>
    <t xml:space="preserve">Дно ящика LBX, корпус 1200х350, бел </t>
  </si>
  <si>
    <t xml:space="preserve">Дно ящика LBX, корпус 1200х400, бел </t>
  </si>
  <si>
    <t xml:space="preserve">Дно ящика LBX, корпус 1200х450, бел </t>
  </si>
  <si>
    <t xml:space="preserve">Дно ящика LBX, корпус 1200х500, бел </t>
  </si>
  <si>
    <t>270,350,400,450,500.</t>
  </si>
  <si>
    <t xml:space="preserve">   350,400,450,500.</t>
  </si>
  <si>
    <t>мм  рейлинг</t>
  </si>
  <si>
    <t xml:space="preserve">   </t>
  </si>
  <si>
    <t>Н   480-1040мм</t>
  </si>
  <si>
    <t>◄ до   1800   мм►</t>
  </si>
  <si>
    <t>Н   350-800   мм</t>
  </si>
  <si>
    <t>Н   300-580   мм</t>
  </si>
  <si>
    <t>Н   205-600мм</t>
  </si>
  <si>
    <t>складнойверх</t>
  </si>
  <si>
    <t>складной  низ</t>
  </si>
  <si>
    <t>Название</t>
  </si>
  <si>
    <t xml:space="preserve"> Для встроенного холодильника или морозильной камеры</t>
  </si>
  <si>
    <t xml:space="preserve"> Для встроенного холодильника с морозильной камерой</t>
  </si>
  <si>
    <t xml:space="preserve"> Для посудомоечной машины</t>
  </si>
  <si>
    <t>За последние 10 дней</t>
  </si>
  <si>
    <t>Дата</t>
  </si>
  <si>
    <t>Курс</t>
  </si>
  <si>
    <t>Изменение</t>
  </si>
  <si>
    <t>Пожалуйста, выберите, в какой валюте показывать цену:</t>
  </si>
  <si>
    <t>ЕВРО</t>
  </si>
  <si>
    <t>РУБ.</t>
  </si>
  <si>
    <t>Задать курс ЕВРО, отличающийся от курса ЦБ РФ на текущую дату</t>
  </si>
  <si>
    <t>Выберите город:</t>
  </si>
  <si>
    <t>ЕКАТЕРИНБУРГ</t>
  </si>
  <si>
    <t>623700, СВЕРДЛОВСКАЯ ОБЛ., БЕРЕЗОВСКИЙ, УЛ. КОЛЬЦЕВАЯ, 4И
+7 (343) 345 05 15
e-mail: ekaterinburg@fiera.ru</t>
  </si>
  <si>
    <t>ИЖЕВСК</t>
  </si>
  <si>
    <t>426063, ИЖЕВСК, УЛ. ГОЛЬЯНСКИЙ ПОС., 1
+7 (3412) 337 477
E-mail: izhevsk@fiera.ru</t>
  </si>
  <si>
    <t>ЙОШКАР-ОЛА</t>
  </si>
  <si>
    <t>424016, ЙОШКАР-ОЛА, УЛ. ЛУНАЧАРСКОГО, 93
+7 (8362) 23 18 81
E-mail: yoshkar-ola@fiera.ru</t>
  </si>
  <si>
    <t>КАЗАНЬ</t>
  </si>
  <si>
    <t>420132, КАЗАНЬ, УЛ. АДОРАТСКОГО, 63А
+7 (843) 515 93 85
E-mail: kazan@fiera.ru</t>
  </si>
  <si>
    <t>КИРОВ</t>
  </si>
  <si>
    <t>610014, КИРОВ, УЛ. ПОТРЕБКООПЕРАЦИИ, 6А
+7 (8332) 766 601
E-mail: kirov@fiera.ru</t>
  </si>
  <si>
    <t>КУРГАН</t>
  </si>
  <si>
    <t>640007, КУРГАН, ПР. МАШИНОСТРОИТЕЛЕЙ, 23/12
+7 (3522) 26 55 45
E-mail: kurgan@fiera.ru</t>
  </si>
  <si>
    <t>МАГНИТОГОРСК</t>
  </si>
  <si>
    <t>455016, МАГНИТОГОРСК, УЛ. ПОЛЕВАЯ 2, СТР. 2
+7 (3519) 490 292
E-mail: magnitogorsk@fiera.ru</t>
  </si>
  <si>
    <t>МОСКВА - РЕУТОВ</t>
  </si>
  <si>
    <t xml:space="preserve">143960, МОСКОВСКАЯ ОБЛ., РЕУТОВ, УЛ. ФАБРИЧНАЯ 7, ОФИС 402
+7 (495) 13 432 13
E-mail: moscow@fiera.ru </t>
  </si>
  <si>
    <t>МОСКВА - ТЦ «КУХНИ ПАРК»</t>
  </si>
  <si>
    <t>143441, М.О., МКАД, 71-Й КМ (ВНЕШНЯЯ СТОРОНА), СТР. 16, , ТЦ «КУХНИ ПАРК»
+7 (495) 729 01 72
e-mail: moscow@fiera.ru</t>
  </si>
  <si>
    <t>НАБЕРЕЖНЫЕ ЧЕЛНЫ</t>
  </si>
  <si>
    <t>423800, НАБЕРЕЖНЫЕ ЧЕЛНЫ, КАЗАНСКИЙ ПРОСПЕКТ (М7), 220
+7 (8552) 20 46 46
e-mail: chelny@fiera.ru</t>
  </si>
  <si>
    <t>НИЖНИЙ ТАГИЛ</t>
  </si>
  <si>
    <t>622042, НИЖНИЙ ТАГИЛ, УЛ.БЕРЕГОВАЯ-КРАСНОКАМЕНСКАЯ, 31А
+7 (3435) 96 36 95
E-mail: tagil@fiera.ru</t>
  </si>
  <si>
    <t>ОРЕНБУРГ</t>
  </si>
  <si>
    <t>460050, ОРЕНБУРГ, УЛ. НОВАЯ, 4Е
+7 (3532) 53 0133
E-mail: orenburg@fiera.ru</t>
  </si>
  <si>
    <t>ПЕНЗА</t>
  </si>
  <si>
    <t xml:space="preserve">440039, ПЕНЗА, УЛ. КОММУНИСТИЧЕСКАЯ, 32Б
+7 (8412) 26 26 20
e-mail: penza@fiera.ru </t>
  </si>
  <si>
    <t>ПЕРМЬ</t>
  </si>
  <si>
    <t xml:space="preserve">614090, ПЕРМЬ, УЛ. ЛОДЫГИНА, 36А
+7 (342) 255 38 88
e-mail: perm@fiera.ru </t>
  </si>
  <si>
    <t>САРАТОВ</t>
  </si>
  <si>
    <t xml:space="preserve">410015, САРАТОВ, УЛ. ОРДЖОНИКИДЗЕ 11, КОРП. 2
+7 (8452) 49 62 61
e-mail: saratov@fiera.ru </t>
  </si>
  <si>
    <t>СУРГУТ</t>
  </si>
  <si>
    <t>628415, СУРГУТ, УЛ. ПРОФСОЮЗОВ, 51/2
+7 (3462) 50 33 58
e-mail: surgut@fiera.ru</t>
  </si>
  <si>
    <t>СЫКТЫВКАР</t>
  </si>
  <si>
    <t>167000, СЫКТЫВКАР, МЕСТЕЧКО ДЫРНОС, 10
+7 (8212) 23 91 25
E-mail: syktyvkar@fiera.ru</t>
  </si>
  <si>
    <t>ТЮМЕНЬ</t>
  </si>
  <si>
    <t>625037, ТЮМЕНЬ, УЛ. КЛАРЫ ЦЕТКИН, 4
+7 (3452) 65 85 85
e-mail: tumen@fiera.ru</t>
  </si>
  <si>
    <t>УЛЬЯНОВСК</t>
  </si>
  <si>
    <t>УФА</t>
  </si>
  <si>
    <t xml:space="preserve">450071, УФА, УЛ. ЛУГАНСКАЯ, 6
+7 (347) 293 4370
e-mail: ufa@fiera.ru </t>
  </si>
  <si>
    <t>ЧЕБОКСАРЫ</t>
  </si>
  <si>
    <t xml:space="preserve">428003, ЧЕБОКСАРЫ, МАРПОСАДСКОЕ ШОССЕ, 32
+7 (8352) 223 723
E-mail: cheboksary@fiera.ru </t>
  </si>
  <si>
    <t>ЧЕЛЯБИНСК</t>
  </si>
  <si>
    <t xml:space="preserve">454091, ЧЕЛЯБИНСК, ПР. ЛЕНИНА, 27
+7 (351) 240 8787
e-mail: chelyabinsk@fiera.ru </t>
  </si>
  <si>
    <r>
      <rPr>
        <b/>
        <sz val="18"/>
        <color indexed="9"/>
        <rFont val="Arial Cyr"/>
        <charset val="204"/>
      </rPr>
      <t>Н</t>
    </r>
    <r>
      <rPr>
        <b/>
        <sz val="10"/>
        <color indexed="9"/>
        <rFont val="Arial Cyr"/>
        <charset val="204"/>
      </rPr>
      <t xml:space="preserve">   до  400   мм</t>
    </r>
  </si>
  <si>
    <t xml:space="preserve">ЯЩИК LBX PURE, C, 350 ММ, БЕЛ. АКЦИЯ    </t>
  </si>
  <si>
    <t xml:space="preserve">ЯЩИК LBX PURE, C, 350 ММ, СЕР. АКЦИЯ    </t>
  </si>
  <si>
    <t xml:space="preserve">ЯЩИК LBX PURE, C, 350 ММ, КОР. АКЦИЯ    </t>
  </si>
  <si>
    <t xml:space="preserve">ЯЩИК LBX PURE, M, 350 ММ, БЕЛ. АКЦИЯ    </t>
  </si>
  <si>
    <t xml:space="preserve">ЯЩИК LBX PURE, M, 350 ММ, СЕР. АКЦИЯ    </t>
  </si>
  <si>
    <t xml:space="preserve">ЯЩИК LBX PURE, M, 350 ММ, КОР. АКЦИЯ    </t>
  </si>
  <si>
    <t xml:space="preserve">Ящик LBX Pure, C, 450 мм, бел. Акция    </t>
  </si>
  <si>
    <t xml:space="preserve">ЯЩИК LBX PURE, C, 450 ММ, СЕР. АКЦИЯ    </t>
  </si>
  <si>
    <t xml:space="preserve">ЯЩИК LBX PURE, C, 450 ММ, КОР. АКЦИЯ    </t>
  </si>
  <si>
    <t xml:space="preserve">ЯЩИК LBX PURE, M, 450 ММ, БЕЛ. АКЦИЯ    </t>
  </si>
  <si>
    <t xml:space="preserve">ЯЩИК LBX PURE, M, 450 ММ, СЕР. АКЦИЯ    </t>
  </si>
  <si>
    <t xml:space="preserve">ЯЩИК LBX PURE, M, 450 ММ, КОР. АКЦИЯ    </t>
  </si>
  <si>
    <t xml:space="preserve">Ящик LBX Pure, C, 500 мм, бел. Акция    </t>
  </si>
  <si>
    <t xml:space="preserve">ЯЩИК LBX PURE, C, 500 ММ, СЕР. АКЦИЯ    </t>
  </si>
  <si>
    <t xml:space="preserve">ЯЩИК LBX PURE, C, 500 ММ, КОР. АКЦИЯ    </t>
  </si>
  <si>
    <t xml:space="preserve">ЯЩИК LBX PURE, M, 500 ММ, БЕЛ. АКЦИЯ    </t>
  </si>
  <si>
    <t xml:space="preserve">ЯЩИК LBX PURE, M, 500 ММ, СЕР. АКЦИЯ    </t>
  </si>
  <si>
    <t xml:space="preserve">ЯЩИК LBX PURE, M, 500 ММ, КОР. АКЦИЯ    </t>
  </si>
  <si>
    <t xml:space="preserve">Ящик TBX D 450мм, сер. акция            </t>
  </si>
  <si>
    <t xml:space="preserve">Ящик TBX M 450мм, сер. акция            </t>
  </si>
  <si>
    <t xml:space="preserve">Ящик TBX D 500мм, сер. акция            </t>
  </si>
  <si>
    <t xml:space="preserve">Ящик TBX M 500мм, сер. акция            </t>
  </si>
  <si>
    <t xml:space="preserve">Ящик TBX ANTARO D 450мм, сер. акция     </t>
  </si>
  <si>
    <t xml:space="preserve">Ящик TBX ANTARO D, 450мм, бел. акция    </t>
  </si>
  <si>
    <t xml:space="preserve">Ящик TBX ANTARO M 450мм, сер. акция     </t>
  </si>
  <si>
    <t xml:space="preserve">Ящик TBX ANTARO M 450мм, бел. акция     </t>
  </si>
  <si>
    <t>TBXAA500CR9006S/</t>
  </si>
  <si>
    <t>ЯЩИК TBX ANTARO C 500ММ, П/Ш, СЕР. АКЦИЯ</t>
  </si>
  <si>
    <t xml:space="preserve">Ящик TBX ANTARO D 500мм, сер. акция     </t>
  </si>
  <si>
    <t>TBXAA500DR9006S/</t>
  </si>
  <si>
    <t>ЯЩИК TBX ANTARO D 500ММ, П/Ш, СЕР. АКЦИЯ</t>
  </si>
  <si>
    <t xml:space="preserve">Ящик TBX ANTARO D, 500мм, бел. акция    </t>
  </si>
  <si>
    <t xml:space="preserve">Ящик TBX ANTARO M 500мм, сер. акция     </t>
  </si>
  <si>
    <t>TBXAA500MR9006S/</t>
  </si>
  <si>
    <t>Ящик TBX ANTARO M 500мм, п/ш, сер. акция</t>
  </si>
  <si>
    <t xml:space="preserve">Ящик TBX ANTARO M 500мм, бел. акция     </t>
  </si>
  <si>
    <t xml:space="preserve">TBX, Задняя стенка, 96/400 мм, сер.     </t>
  </si>
  <si>
    <t xml:space="preserve">TBX, Задняя стенка, 96/450 мм, сер.     </t>
  </si>
  <si>
    <t xml:space="preserve">TBX, Задняя стенка, 96/500 мм, сер.     </t>
  </si>
  <si>
    <t xml:space="preserve">TBX, Задняя стенка, 96/600 мм, сер.     </t>
  </si>
  <si>
    <t xml:space="preserve">TBX, Задняя стенка, 160/400 мм, сер.    </t>
  </si>
  <si>
    <t xml:space="preserve">TBX, Задняя стенка, 160/450 мм, сер.    </t>
  </si>
  <si>
    <t xml:space="preserve">TBX, Задняя стенка, 160/500 мм, сер.    </t>
  </si>
  <si>
    <t xml:space="preserve">TBX, Задняя стенка, 160/600 мм, сер.    </t>
  </si>
  <si>
    <t xml:space="preserve">TBX, Задняя стенка, 160/800 мм, сер.    </t>
  </si>
  <si>
    <t xml:space="preserve">TBX, Задняя стенка, 160/900 мм, сер.    </t>
  </si>
  <si>
    <t xml:space="preserve">TBX, Задняя стенка, 96/900 мм, сер.     </t>
  </si>
  <si>
    <t xml:space="preserve">TBX, Царга 83/300 мм, серая, пр. NEW    </t>
  </si>
  <si>
    <t xml:space="preserve">TBX, Загл. с лого, сер, лев.            </t>
  </si>
  <si>
    <t xml:space="preserve">TBX, Загл. с лого, сер, пр.             </t>
  </si>
  <si>
    <t xml:space="preserve">TBX, Царга 83/600 мм, сер, прав. NEW    </t>
  </si>
  <si>
    <t xml:space="preserve">TBX, Царга 83/600 мм, сер, лев. NEW     </t>
  </si>
  <si>
    <t xml:space="preserve">TBX, Крепл фасада INSERTA, ZSF.3902     </t>
  </si>
  <si>
    <t xml:space="preserve">TBX, Релинг продольн, 500 мм, сер.      </t>
  </si>
  <si>
    <t xml:space="preserve">TBX, Релинг продольн, 400 мм, сер.      </t>
  </si>
  <si>
    <t xml:space="preserve">TBX, Задняя стенка, 96/800 мм, сер.     </t>
  </si>
  <si>
    <t xml:space="preserve">TBX, Царга 83/500 мм, сер, пр.          </t>
  </si>
  <si>
    <t xml:space="preserve">TBX, Царга 83/500 мм, сер, лев.         </t>
  </si>
  <si>
    <t xml:space="preserve">TBX, Релинг продольн, 270 мм, сер.      </t>
  </si>
  <si>
    <t xml:space="preserve">TBX, Релинг продольн, 550 мм, сер.      </t>
  </si>
  <si>
    <t xml:space="preserve">TBX, Релинг продольн, 350 мм, сер.      </t>
  </si>
  <si>
    <t xml:space="preserve">TBX, Релинг продольн, 300 мм, сер.      </t>
  </si>
  <si>
    <t xml:space="preserve">TBX, Царга 83/400 мм, сер, лев.         </t>
  </si>
  <si>
    <t xml:space="preserve">TBX, Царга 83/400 мм, сер, пр.          </t>
  </si>
  <si>
    <t xml:space="preserve">TBX, Царга 83/300 мм, серая, лев.       </t>
  </si>
  <si>
    <t xml:space="preserve">TBX, Царга 83/300 мм, серая, пр.        </t>
  </si>
  <si>
    <t xml:space="preserve">TBX, Царга 83/270 мм, сер, пр.          </t>
  </si>
  <si>
    <t xml:space="preserve">TBX, Царга 83/270 мм, сер, лев.         </t>
  </si>
  <si>
    <t xml:space="preserve">TBX, Напр с BM, 50кг, 600мм, кмп МП     </t>
  </si>
  <si>
    <t xml:space="preserve">TBX, Царга 83/350 мм, сер, пр.          </t>
  </si>
  <si>
    <t xml:space="preserve">TBX, Царга 83/350 мм, сер, лев.         </t>
  </si>
  <si>
    <t xml:space="preserve">TBX, Релинг продольн, 450 мм, сер.      </t>
  </si>
  <si>
    <t xml:space="preserve">TBX, Царги 68/500 мм, сер, лев          </t>
  </si>
  <si>
    <t xml:space="preserve">TBX, Царги 68/500 мм, сер, прав         </t>
  </si>
  <si>
    <t xml:space="preserve">TBX, Царга 83/550 мм, сер, лев.         </t>
  </si>
  <si>
    <t xml:space="preserve">TBX, Царга 83/550 мм, сер, прав         </t>
  </si>
  <si>
    <t xml:space="preserve">TBX, Царга 83/450 мм, сер, лев.         </t>
  </si>
  <si>
    <t xml:space="preserve">TBX, Царга 83/450 мм, сер, пр.          </t>
  </si>
  <si>
    <t xml:space="preserve">TBX, Доп. крепл релинга, сер.           </t>
  </si>
  <si>
    <t xml:space="preserve">TBX, Царга 115/500 мм, сер, пр.         </t>
  </si>
  <si>
    <t xml:space="preserve">TBX, Царга 115/500 мм, сер, лев         </t>
  </si>
  <si>
    <t xml:space="preserve">TBX, Царга 115/450 мм, сер, прав        </t>
  </si>
  <si>
    <t xml:space="preserve">TBX, Царга 115/450 мм, сер, лев         </t>
  </si>
  <si>
    <t xml:space="preserve">TBX, Позиционный дюбель T54.3300        </t>
  </si>
  <si>
    <t xml:space="preserve">TBX, Релинг продольн, 650 мм, сер.      </t>
  </si>
  <si>
    <t xml:space="preserve">TBX, Царга 83/270 мм, сер, пр. NEW      </t>
  </si>
  <si>
    <t xml:space="preserve">TBX, Царга 83/270 мм, сер, лев. NEW     </t>
  </si>
  <si>
    <t xml:space="preserve">TBX, Царга 83/350 мм, сер, пр. NEW      </t>
  </si>
  <si>
    <t xml:space="preserve">TBX, Царга 83/350 мм, сер, лев. NEW     </t>
  </si>
  <si>
    <t xml:space="preserve">TBX, Задняя стенка, 224/450 мм, сер.    </t>
  </si>
  <si>
    <t xml:space="preserve">TBX, Задняя стенка, 224/400 мм, сер.    </t>
  </si>
  <si>
    <t xml:space="preserve">TBX, Задняя стенка, 224/500 мм, сер.    </t>
  </si>
  <si>
    <t xml:space="preserve">TBX, Задняя стенка, 224/600 мм, сер.    </t>
  </si>
  <si>
    <t xml:space="preserve">TBX, Задняя стенка, 224/800 мм, сер.    </t>
  </si>
  <si>
    <t xml:space="preserve">TBX, Задняя стенка, 224/900 мм, сер.    </t>
  </si>
  <si>
    <t xml:space="preserve">TBX, Царга 83/400 мм, сер, пр. NEW      </t>
  </si>
  <si>
    <t xml:space="preserve">TBX, Царга 83/400 мм, сер, лев. NEW     </t>
  </si>
  <si>
    <t xml:space="preserve">TBX, Царга 83/450 мм, сер, пр. NEW      </t>
  </si>
  <si>
    <t xml:space="preserve">TBX, Царга 83/450 мм, сер, лев. NEW     </t>
  </si>
  <si>
    <t xml:space="preserve">TBX, Задняя стенка, 224/550 мм, сер     </t>
  </si>
  <si>
    <t xml:space="preserve">TBX, Царга 83/500 мм, сер, пр. NEW      </t>
  </si>
  <si>
    <t xml:space="preserve">TBX, Царга 83/500 мм, сер, лев. NEW     </t>
  </si>
  <si>
    <t xml:space="preserve">TBX, Релинг продольн, 600 мм, сер.      </t>
  </si>
  <si>
    <t xml:space="preserve">TBX, Царга 83/550 мм, сер, прав. NEW    </t>
  </si>
  <si>
    <t xml:space="preserve">TBX, Царга 83/550 мм, сер, лев. NEW     </t>
  </si>
  <si>
    <t xml:space="preserve">TBX, Уголок д/крепл фасада              </t>
  </si>
  <si>
    <t xml:space="preserve">TBX, Бок. стаб,кмп10 шт,ZST.500BB       </t>
  </si>
  <si>
    <t xml:space="preserve">TBX, Царги 68/450 мм, сер, кмп.         </t>
  </si>
  <si>
    <t xml:space="preserve">TBX, Царги 83/650 мм, сер, кмп.         </t>
  </si>
  <si>
    <t xml:space="preserve">TBX, Царги 115/400 мм, сер, кмп         </t>
  </si>
  <si>
    <t xml:space="preserve">TBX, Царги 115/450 мм, сер, кмп.        </t>
  </si>
  <si>
    <t xml:space="preserve">TBX, Царга 68/450 мм, сер, прав NEW     </t>
  </si>
  <si>
    <t xml:space="preserve">TBX, Царга 68/450 мм, сер, лев NEW      </t>
  </si>
  <si>
    <t xml:space="preserve">TBX, Царга 68/500 мм, сер, прав NEW     </t>
  </si>
  <si>
    <t xml:space="preserve">TBX, Царга 68/500 мм, сер, лев NEW      </t>
  </si>
  <si>
    <t xml:space="preserve">TBX, Углов. задн. крепл M, сер, лев     </t>
  </si>
  <si>
    <t xml:space="preserve">TBX, Углов. задн. крепл M, сер, прав    </t>
  </si>
  <si>
    <t xml:space="preserve">TBX, Углов. задн. крепл D, сер, лев     </t>
  </si>
  <si>
    <t xml:space="preserve">TBX, Углов. задн. крепл D, сер, прав    </t>
  </si>
  <si>
    <t xml:space="preserve">TBX, Подъемный мех-м цок. ящ, кмп.      </t>
  </si>
  <si>
    <t xml:space="preserve">TBX, Стабилизатор фасада   Z96.10E1     </t>
  </si>
  <si>
    <t xml:space="preserve">TBX, Царги 83/600 мм, сер, кмп.         </t>
  </si>
  <si>
    <t xml:space="preserve">TBX, Ручка д/внутр. ящ, ZIF.7005        </t>
  </si>
  <si>
    <t xml:space="preserve">TBX, Адаптеры к Z30N под мойку, кмп.    </t>
  </si>
  <si>
    <t xml:space="preserve">TBX, R-Царга 83/500 мм, сер, прав       </t>
  </si>
  <si>
    <t xml:space="preserve">TBX, R-Царга 83/500 мм, сер, лев        </t>
  </si>
  <si>
    <t xml:space="preserve">TBX, Загл-R, сер, симм. ZAA.530C        </t>
  </si>
  <si>
    <t xml:space="preserve">Syncromotion D, сер, кмп, Z33D00E0A6    </t>
  </si>
  <si>
    <t xml:space="preserve">Syncromotion M, сер, кмп, Z33M00E0A6    </t>
  </si>
  <si>
    <t xml:space="preserve">TBX, Царга 115/400 мм, сер, пр NEW      </t>
  </si>
  <si>
    <t xml:space="preserve">TBX, Царга 115/400 мм, сер, лев NEW     </t>
  </si>
  <si>
    <t xml:space="preserve">TBX, Царга 115/450 мм, сер, пр NEW      </t>
  </si>
  <si>
    <t xml:space="preserve">TBX, Царга 115/450 мм, сер, лев NEW     </t>
  </si>
  <si>
    <t xml:space="preserve">TBX, Царга 115/500 мм, сер, пр. NEW     </t>
  </si>
  <si>
    <t xml:space="preserve">TBX, Царга 115/500 мм, сер, лев NEW     </t>
  </si>
  <si>
    <t xml:space="preserve">TBX, Напр с BM, 65кг, 500мм, кмп        </t>
  </si>
  <si>
    <t xml:space="preserve">TBX, Углов. задн. крепл M, сер, кмп     </t>
  </si>
  <si>
    <t xml:space="preserve">ТВХ plus 500 высота М, серый            </t>
  </si>
  <si>
    <t xml:space="preserve">TBX, Релинг продольн, 500 мм, бел.      </t>
  </si>
  <si>
    <t xml:space="preserve">TBX, Релинг продольн, 400 мм, бел       </t>
  </si>
  <si>
    <t xml:space="preserve">TBX, Царга 83/500 мм, бел, прав         </t>
  </si>
  <si>
    <t xml:space="preserve">TBX, Царга 83/500 мм, бел, лев.         </t>
  </si>
  <si>
    <t xml:space="preserve">TBX, Релинг продольн, 350 мм, бел       </t>
  </si>
  <si>
    <t xml:space="preserve">TBX, Царга 83/270 мм, бел, прав         </t>
  </si>
  <si>
    <t xml:space="preserve">TBX, Царга 83/270 мм, бел, лев.         </t>
  </si>
  <si>
    <t xml:space="preserve">TBX, Царги 83/350 мм, бел, прав         </t>
  </si>
  <si>
    <t xml:space="preserve">TBX, Царги 83/350 мм, бел, лев          </t>
  </si>
  <si>
    <t xml:space="preserve">TBX, Релинг продольн, 450 мм, бел       </t>
  </si>
  <si>
    <t xml:space="preserve">TBX, Царга 83/450 мм, белая, лев.       </t>
  </si>
  <si>
    <t xml:space="preserve">TBX, Царга 83/450 мм, белая, прав       </t>
  </si>
  <si>
    <t xml:space="preserve">TBX, Крепл. для рел, бел, ZRR.5000      </t>
  </si>
  <si>
    <t xml:space="preserve">TBX, Царга 115/500 мм, бел, прав        </t>
  </si>
  <si>
    <t xml:space="preserve">TBX, Царга 115/500 мм, бел, лев.        </t>
  </si>
  <si>
    <t xml:space="preserve">TBX, Царга 68/500 мм, белая, прав       </t>
  </si>
  <si>
    <t xml:space="preserve">TBX, Царга 68/500 мм, белая, лев        </t>
  </si>
  <si>
    <t xml:space="preserve">TBX, Царга 83/350 мм, белая, пр. NEW    </t>
  </si>
  <si>
    <t xml:space="preserve">TBX, Царга 83/400 мм, белая, пр. NEW    </t>
  </si>
  <si>
    <t xml:space="preserve">TBX, Царги 83/400 мм, бел, кмп.         </t>
  </si>
  <si>
    <t xml:space="preserve">TBX, Царга 115/500 мм, бел, кмп         </t>
  </si>
  <si>
    <t xml:space="preserve">TBX, Царга 83/500 мм, бел, прав. NEW    </t>
  </si>
  <si>
    <t xml:space="preserve">TBX, Царга 83/500 мм, бел, лев. NEW     </t>
  </si>
  <si>
    <t xml:space="preserve">TBX, Царга 83/270 мм, бел, прав NEW     </t>
  </si>
  <si>
    <t xml:space="preserve">TBX, Царга 83/270 мм, бел, лев NEW      </t>
  </si>
  <si>
    <t xml:space="preserve">TBX, Релинг поперечн, 1000 мм, хром     </t>
  </si>
  <si>
    <t xml:space="preserve">TBX, Релинг продольн, 500 мм, нерж.     </t>
  </si>
  <si>
    <t xml:space="preserve">TBX, Царги 83/270 мм, нерж, прав        </t>
  </si>
  <si>
    <t xml:space="preserve">TBX, Царги 83/270 мм, нерж, лев         </t>
  </si>
  <si>
    <t xml:space="preserve">TBX, Царга 83/500 мм, нерж, пр.         </t>
  </si>
  <si>
    <t xml:space="preserve">TBX, Царга 83/500 мм, нерж, лев.        </t>
  </si>
  <si>
    <t xml:space="preserve">TBX, Царга 83/450 мм, нерж, лев.        </t>
  </si>
  <si>
    <t xml:space="preserve">TBX, Царга 83/450 мм, нерж, пр.         </t>
  </si>
  <si>
    <t xml:space="preserve">TBX, Релинг продольн, 450 мм, нерж.     </t>
  </si>
  <si>
    <t xml:space="preserve">TBX, Двухст Boxside 450 мм нерж, кмп    </t>
  </si>
  <si>
    <t xml:space="preserve">TBX, Межсекц.стенка, 500 мм, нерж       </t>
  </si>
  <si>
    <t xml:space="preserve">TBX, Царга 68/450 мм, нерж, кмп.        </t>
  </si>
  <si>
    <t xml:space="preserve">TBX, Царги 68/500 мм, нерж, кмп.        </t>
  </si>
  <si>
    <t xml:space="preserve">TBX, Царги 83/270 мм, нерж, кмп.СНЯТ    </t>
  </si>
  <si>
    <t xml:space="preserve">TBX, Царги 83/350 мм, нерж, кмп.        </t>
  </si>
  <si>
    <t xml:space="preserve">TBX, Царги 83/400 мм, нерж, кмп         </t>
  </si>
  <si>
    <t xml:space="preserve">TBX, Релинг продольн, 650 мм, нерж.     </t>
  </si>
  <si>
    <t xml:space="preserve">TBX, Углов. задн. крепл M, нерж, лев    </t>
  </si>
  <si>
    <t xml:space="preserve">TBX, Углов. задн. крепл D, нерж, лев    </t>
  </si>
  <si>
    <t xml:space="preserve">TBX, Царги 83/600 мм, нерж, кмп.        </t>
  </si>
  <si>
    <t xml:space="preserve">TBX-A, Царга 83/270 мм, бел лев NEW     </t>
  </si>
  <si>
    <t xml:space="preserve">TBX-A, Царга 83/350 мм, бел, прав.      </t>
  </si>
  <si>
    <t xml:space="preserve">TBX-A, Царга 83/350 мм, бел, лев.       </t>
  </si>
  <si>
    <t xml:space="preserve">TBX-A, Царга 83/400мм, бел, прав NEW    </t>
  </si>
  <si>
    <t xml:space="preserve">TBX-A, Царга 83/400мм, бел, лев NEW     </t>
  </si>
  <si>
    <t xml:space="preserve">TBX-A, Царга 68/450 мм, бел, пр NEW     </t>
  </si>
  <si>
    <t xml:space="preserve">TBX-A, Царга 68/450 мм, бел, лев NEW    </t>
  </si>
  <si>
    <t xml:space="preserve">TBX-A, Царга 83/400мм, бел, прав V20    </t>
  </si>
  <si>
    <t xml:space="preserve">TBX-A, Царга 83/400мм, бел, лев V20     </t>
  </si>
  <si>
    <t xml:space="preserve">TBX-A, Царга 83/450 мм, бел, прав.      </t>
  </si>
  <si>
    <t xml:space="preserve">TBX-A, Царга 83/450 мм, бел, лев.       </t>
  </si>
  <si>
    <t xml:space="preserve">TBX-A, Царга 83/500 мм, бел, прав.      </t>
  </si>
  <si>
    <t xml:space="preserve">TBX-A, Царга 83/500 мм, бел, лев.       </t>
  </si>
  <si>
    <t xml:space="preserve">TBX-A, Царги 115/400 мм, бел, кмп       </t>
  </si>
  <si>
    <t xml:space="preserve">TBX-A, Царга 83/270 мм, бел, прав.      </t>
  </si>
  <si>
    <t xml:space="preserve">TBX-A, Царга 83/270 мм, бел лев         </t>
  </si>
  <si>
    <t xml:space="preserve">TBX-A, BOXCOVER задн, бел, прав         </t>
  </si>
  <si>
    <t xml:space="preserve">TBX-A, BOXCOVER задн, бел, лев          </t>
  </si>
  <si>
    <t xml:space="preserve">TBX-A, Царги 68/450 мм, бел, кмп NEW    </t>
  </si>
  <si>
    <t xml:space="preserve">TBX-A, L-Крепл фасада симм на шурупы    </t>
  </si>
  <si>
    <t xml:space="preserve">TBX-A, L-Крепл фасада Intivo EXPANDO    </t>
  </si>
  <si>
    <t xml:space="preserve">TBX-A, BOXCOVER передн, бел, симм       </t>
  </si>
  <si>
    <t xml:space="preserve">TBX-A, Царга 68/450 мм, бел, прав       </t>
  </si>
  <si>
    <t xml:space="preserve">TBX-A, Царга 68/450 мм, бел, лев        </t>
  </si>
  <si>
    <t xml:space="preserve">TBX-A, Царга 68/500 мм, бел, прав.      </t>
  </si>
  <si>
    <t xml:space="preserve">TBX-A, Царга 68/500 мм, бел, лев.       </t>
  </si>
  <si>
    <t xml:space="preserve">TBX-A, Царга 83/300 мм, бел, прав.      </t>
  </si>
  <si>
    <t xml:space="preserve">TBX-A, Царга 83/300 мм, бел, лев.       </t>
  </si>
  <si>
    <t xml:space="preserve">TBX-A, Царга 83/350 мм, бел, кмп        </t>
  </si>
  <si>
    <t xml:space="preserve">TBX-A, Царга 83/400мм, бел, кмп V1      </t>
  </si>
  <si>
    <t xml:space="preserve">TBX-A, Царги 83/450 мм, бел, кмп        </t>
  </si>
  <si>
    <t xml:space="preserve">TBX-A, Царги 83/550 мм, бел, кмп        </t>
  </si>
  <si>
    <t xml:space="preserve">TBX-A, Царги 83/600 мм, бел, кмп        </t>
  </si>
  <si>
    <t xml:space="preserve">TBX-A, Царга 68/400, бел, кмп           </t>
  </si>
  <si>
    <t xml:space="preserve">TBX-A, Царги 68/450 мм, бел, кмп        </t>
  </si>
  <si>
    <t xml:space="preserve">TBX-A, Царги 68/500 мм, бел, кмп        </t>
  </si>
  <si>
    <t xml:space="preserve">TBX-A, ORG 300/500, набор д/бут, бел    </t>
  </si>
  <si>
    <t xml:space="preserve">TBX-A, ORG 300/550, набор д/бут, бел    </t>
  </si>
  <si>
    <t xml:space="preserve">TBX-A, Царга 101/350 мм, бел, прав.     </t>
  </si>
  <si>
    <t xml:space="preserve">TBX-A, Царга 101/350 мм, бел, лев.      </t>
  </si>
  <si>
    <t xml:space="preserve">TBX-A, Царга 101/400 мм, бел, прав.     </t>
  </si>
  <si>
    <t xml:space="preserve">TBX-A, Царга 101/400 мм, бел, лев.      </t>
  </si>
  <si>
    <t xml:space="preserve">TBX-A, Царга 101/450 мм, бел, прав.     </t>
  </si>
  <si>
    <t xml:space="preserve">TBX-A, Царга 101/450 мм, бел, лев.      </t>
  </si>
  <si>
    <t xml:space="preserve">TBX-A, Царга 101/500 мм, бел, прав.     </t>
  </si>
  <si>
    <t xml:space="preserve">TBX-A, Царга 101/500 мм, бел, лев.      </t>
  </si>
  <si>
    <t xml:space="preserve">TBX-A, Царга 101/270 мм, бел, прав.     </t>
  </si>
  <si>
    <t xml:space="preserve">TBX-A, Царга 101/270 мм, бел, лев.      </t>
  </si>
  <si>
    <t xml:space="preserve">TBX-A, Царга 101/350 мм, бел, кмп       </t>
  </si>
  <si>
    <t xml:space="preserve">TBX-A, Царга 101/400 мм, бел, кмп       </t>
  </si>
  <si>
    <t xml:space="preserve">TBX-A, Царги 101/550 мм, бел, кмп       </t>
  </si>
  <si>
    <t xml:space="preserve">TBX-A, Царги 101/600 мм, бел, кмп       </t>
  </si>
  <si>
    <t xml:space="preserve">TBX-A, Царги 101/650 мм, бел, кмп       </t>
  </si>
  <si>
    <t xml:space="preserve">TBX-A, Царга 83/450 мм, черн, прав      </t>
  </si>
  <si>
    <t xml:space="preserve">TBX-A, Царга 83/450 мм, черн, лев       </t>
  </si>
  <si>
    <t xml:space="preserve">TBX-A, Царга 83/500 мм, черн, прав      </t>
  </si>
  <si>
    <t xml:space="preserve">TBX-A, Царга 83/500 мм, черн, лев       </t>
  </si>
  <si>
    <t xml:space="preserve">TBX-A, BOXCOVER задн, черн, прав        </t>
  </si>
  <si>
    <t xml:space="preserve">TBX-A, BOXCOVER задн, черн, лев         </t>
  </si>
  <si>
    <t xml:space="preserve">TBX-A, BOXCOVER передн, черн, симм      </t>
  </si>
  <si>
    <t xml:space="preserve">ORG, Проф-держ поп разд Z49L572S        </t>
  </si>
  <si>
    <t xml:space="preserve">TBX-A, Царга 68/500 мм, черн, пр        </t>
  </si>
  <si>
    <t xml:space="preserve">TBX-A, Царга 68/500 мм, черн, лев       </t>
  </si>
  <si>
    <t xml:space="preserve">TBX-A, Царги 83/350 мм, черн, кмп       </t>
  </si>
  <si>
    <t xml:space="preserve">TBX-A, Царга 83/400 мм, черн, кмп V1    </t>
  </si>
  <si>
    <t xml:space="preserve">TBX-A, Царги 83/450 мм, черн, кмп       </t>
  </si>
  <si>
    <t xml:space="preserve">TBX-A, Царга 83/600 мм, черн, кмп       </t>
  </si>
  <si>
    <t xml:space="preserve">TBX-A, Царги 83/650 мм, черн, кмп       </t>
  </si>
  <si>
    <t xml:space="preserve">TBX-A, Царги 68/450 мм, черн, кмп       </t>
  </si>
  <si>
    <t xml:space="preserve">TBX-A, Царги 68/500 мм, черн, кмп       </t>
  </si>
  <si>
    <t xml:space="preserve">TBX-A, Загл черн с лого ZAA.532C.BT     </t>
  </si>
  <si>
    <t xml:space="preserve">TBX-A, Царга 101/350 мм, черн, прав     </t>
  </si>
  <si>
    <t xml:space="preserve">TBX-A, Царга 101/350 мм, черн, лев      </t>
  </si>
  <si>
    <t xml:space="preserve">TBX-A, Царга 101/400 мм, черн, прав     </t>
  </si>
  <si>
    <t xml:space="preserve">TBX-A, Царга 101/400 мм, черн, лев      </t>
  </si>
  <si>
    <t xml:space="preserve">TBX-A, Царга 101/450 мм, черн, прав     </t>
  </si>
  <si>
    <t xml:space="preserve">TBX-A, Царга 101/450 мм, черн, лев      </t>
  </si>
  <si>
    <t xml:space="preserve">TBX-A, Царга 101/500 мм, черн, прав     </t>
  </si>
  <si>
    <t xml:space="preserve">TBX-A, Царга 101/500 мм, черн, лев      </t>
  </si>
  <si>
    <t xml:space="preserve">TBX-A, Царга 101/270 мм, черн, прав     </t>
  </si>
  <si>
    <t xml:space="preserve">TBX-A, Царга 101/270 мм, черн, лев      </t>
  </si>
  <si>
    <t xml:space="preserve">TBX-A, Царги 101/350 мм, черн, кмп      </t>
  </si>
  <si>
    <t xml:space="preserve">TBX-A, Царги 101/400 мм, черн, кмп      </t>
  </si>
  <si>
    <t xml:space="preserve">TBX-A, Царга 101/600 мм, черн, кмп      </t>
  </si>
  <si>
    <t xml:space="preserve">TBX-A, Царги 101/650 мм, черн, кмп      </t>
  </si>
  <si>
    <t xml:space="preserve">TBX-A, Царга 83/500 мм, нерж, прав      </t>
  </si>
  <si>
    <t xml:space="preserve">TBX-A, Царга 83/500 мм, нерж, лев       </t>
  </si>
  <si>
    <t xml:space="preserve">TBX-A, BOXCOVER задн, нерж, прав        </t>
  </si>
  <si>
    <t xml:space="preserve">TBX-A, BOXCOVER задн, нерж, лев         </t>
  </si>
  <si>
    <t xml:space="preserve">TBX-A, Загл нерж без лого ZAA.5329      </t>
  </si>
  <si>
    <t xml:space="preserve">TBX-A, Загл нерж с лого, ZAA.5329.BT    </t>
  </si>
  <si>
    <t xml:space="preserve">TBX-A, Царги 83/270 мм, нерж, кмп       </t>
  </si>
  <si>
    <t xml:space="preserve">TBX-A, Царги 83/350 мм, нерж, кмп       </t>
  </si>
  <si>
    <t xml:space="preserve">TBX-A, Царги 83/400 мм, нерж, кмп       </t>
  </si>
  <si>
    <t xml:space="preserve">TBX-A, Царги 83/450 мм, нерж, кмп       </t>
  </si>
  <si>
    <t xml:space="preserve">TBX-A, Царга 83/600 мм, нерж, кмп       </t>
  </si>
  <si>
    <t xml:space="preserve">TBX-A, Царга 68/500 мм, нерж, кмп       </t>
  </si>
  <si>
    <t xml:space="preserve">TBX-A, Царга 101/500 мм, нерж, прав     </t>
  </si>
  <si>
    <t xml:space="preserve">TBX-A, Царга 101/500 мм, нерж, лев      </t>
  </si>
  <si>
    <t xml:space="preserve">TBX-A, Царги 101/270 мм, нерж, кмп      </t>
  </si>
  <si>
    <t xml:space="preserve">TBX-A, Царга 101/350 мм, нерж, кмп      </t>
  </si>
  <si>
    <t xml:space="preserve">TBX-A, Царги 101/400 мм, нерж, кмп      </t>
  </si>
  <si>
    <t xml:space="preserve">TBX-A, Царги 101/450 мм, нерж, кмп      </t>
  </si>
  <si>
    <t xml:space="preserve">TBX-A, Царги 101/600 мм, нерж, кмп      </t>
  </si>
  <si>
    <t xml:space="preserve">TBX-A, Царги 101/650 мм, нерж, кмп      </t>
  </si>
  <si>
    <t xml:space="preserve">TBX-A, BOXCOVER передн, нерж, симм      </t>
  </si>
  <si>
    <t xml:space="preserve">TBX-A, Царга 68/450 мм, нерж, кмп       </t>
  </si>
  <si>
    <t xml:space="preserve">TBX-A, Царги 83/270 мм, нерж, кмп V1    </t>
  </si>
  <si>
    <t xml:space="preserve">TBX-A, Царги 83/450 мм, нерж, прав      </t>
  </si>
  <si>
    <t xml:space="preserve">TBX-A, Царги 83/450 мм, нерж, лев       </t>
  </si>
  <si>
    <t xml:space="preserve">TBX-A, Царга 83/500 мм, нерж, прав.     </t>
  </si>
  <si>
    <t xml:space="preserve">TBX-A, Царга 83/500 мм, нерж, лев.      </t>
  </si>
  <si>
    <t xml:space="preserve">TBX-A, Царга 83/650 мм, нерж, кмп       </t>
  </si>
  <si>
    <t xml:space="preserve">TBX-A, Царга 101/600 мм, нерж, кмп      </t>
  </si>
  <si>
    <t xml:space="preserve">TBX-A, Царга 101/650 мм, нерж, кмп      </t>
  </si>
  <si>
    <t xml:space="preserve">TBX-A, Вставка кожа, бел стр, 500 мм    </t>
  </si>
  <si>
    <t xml:space="preserve">TBX-A, Вставка кожа, черн кл, 500 мм    </t>
  </si>
  <si>
    <t xml:space="preserve">TBX-A, Вставка кожа, перл, 500 мм       </t>
  </si>
  <si>
    <t xml:space="preserve">TBX-A, Вставка кожа, красн, 500 мм      </t>
  </si>
  <si>
    <t xml:space="preserve">TBX-A, Вставка кожа, перл, 1180 мм      </t>
  </si>
  <si>
    <t xml:space="preserve">TBX-A, Вставка кожа, красн, 1180 мм     </t>
  </si>
  <si>
    <t xml:space="preserve">TBX-A, Вставка кожа, беж, 500 мм        </t>
  </si>
  <si>
    <t xml:space="preserve">TBX-A, Вставка кожа, беж, 1180 мм       </t>
  </si>
  <si>
    <t xml:space="preserve">TBX-A, Царга 83/350 мм, сер, прав.      </t>
  </si>
  <si>
    <t xml:space="preserve">TBX-AA, Рел прод 450 мм сер лев         </t>
  </si>
  <si>
    <t xml:space="preserve">TBX-A, Царга 83/350 мм, сер, лев.       </t>
  </si>
  <si>
    <t xml:space="preserve">TBX-A, Царга 83/400 мм, сер, прав.      </t>
  </si>
  <si>
    <t xml:space="preserve">TBX-A, Царга 83/400 мм, сер, лев.       </t>
  </si>
  <si>
    <t xml:space="preserve">TBX-AA, Рел прод 270 мм сер лев         </t>
  </si>
  <si>
    <t xml:space="preserve">TBX-AA, Рел прод 350 мм сер лев         </t>
  </si>
  <si>
    <t xml:space="preserve">TBX-AA, Рел прод 300 мм, сер, лев       </t>
  </si>
  <si>
    <t xml:space="preserve">TBX-A, Царга 83/450 мм, сер, прав.      </t>
  </si>
  <si>
    <t xml:space="preserve">TBX-AA, Рел прод 300 мм, сер, прав      </t>
  </si>
  <si>
    <t xml:space="preserve">TBX-A, Царга 83/450 мм, сер, лев.       </t>
  </si>
  <si>
    <t xml:space="preserve">TBX-AA, Рел прод 400 мм сер лев         </t>
  </si>
  <si>
    <t xml:space="preserve">TBX-AA, Рел прод 500 мм, сер лев        </t>
  </si>
  <si>
    <t xml:space="preserve">TBX-A, Царга 83/500 мм, сер, прав.      </t>
  </si>
  <si>
    <t xml:space="preserve">TBX-A, Царга 83/500 мм, сер, лев.       </t>
  </si>
  <si>
    <t xml:space="preserve">TBX-AA, Рел прод 500 мм, сер прав       </t>
  </si>
  <si>
    <t xml:space="preserve">TBX-A, Царга 83/270 мм, сер, пр. NEW    </t>
  </si>
  <si>
    <t xml:space="preserve">TBX-A, Царга 68/400, сер, кмп           </t>
  </si>
  <si>
    <t xml:space="preserve">TBX-AA, Рел прод 400 мм сер прав        </t>
  </si>
  <si>
    <t xml:space="preserve">TBX-AA, Рел прод 450 мм сер прав        </t>
  </si>
  <si>
    <t xml:space="preserve">TBX-A, Царга 83/300, сер, пр. NEW       </t>
  </si>
  <si>
    <t xml:space="preserve">TBX-A, Царга 83/300, сер, лев. NEW      </t>
  </si>
  <si>
    <t xml:space="preserve">TBX-A, Царга 83/270 мм, сер, прав.      </t>
  </si>
  <si>
    <t xml:space="preserve">TBX-A, Царга 83/270 мм, сер, лев.       </t>
  </si>
  <si>
    <t xml:space="preserve">TBX-AA, Рел прод 270 мм сер прав        </t>
  </si>
  <si>
    <t xml:space="preserve">TBX-AA, ORG, Разд прод сер Z43L100S     </t>
  </si>
  <si>
    <t xml:space="preserve">TBX-A, Царга 68/450, сер, прав          </t>
  </si>
  <si>
    <t xml:space="preserve">TBX-A, Царга 68/450, сер, лев           </t>
  </si>
  <si>
    <t xml:space="preserve">TBX-A, Царга 68/500, сер, прав          </t>
  </si>
  <si>
    <t xml:space="preserve">TBX-A, Царга 68/500, сер, лев           </t>
  </si>
  <si>
    <t xml:space="preserve">TBX-A, Царга 83/300, сер, прав          </t>
  </si>
  <si>
    <t xml:space="preserve">TBX-A, Царга 83/300, сер, лев           </t>
  </si>
  <si>
    <t xml:space="preserve">TBX-AA, Рел прод 350 мм сер прав        </t>
  </si>
  <si>
    <t xml:space="preserve">TBX-AA, Релинг поперечн. 1104, сер.     </t>
  </si>
  <si>
    <t xml:space="preserve">TBX antaro 500 высота М серый           </t>
  </si>
  <si>
    <t xml:space="preserve">TBX-AA, Рел прод 500 мм, бел, лев       </t>
  </si>
  <si>
    <t xml:space="preserve">TBX-AA, Задн ст 81,5/900, бел, (18)     </t>
  </si>
  <si>
    <t xml:space="preserve">TBX-AA, Рел прод 450 мм бел лев         </t>
  </si>
  <si>
    <t xml:space="preserve">TBX-AA, Рел прод 300 мм бел лев         </t>
  </si>
  <si>
    <t xml:space="preserve">TBX-AA, Головка релинга ZRG.000R5F      </t>
  </si>
  <si>
    <t xml:space="preserve">TBX-AA, Задн ст 224/600, бел, (18)      </t>
  </si>
  <si>
    <t xml:space="preserve">TBX-AA, Задн ст 224/900, бел, (18)      </t>
  </si>
  <si>
    <t xml:space="preserve">TBX-AA, Крепл дна к пер пан Z31A0008    </t>
  </si>
  <si>
    <t xml:space="preserve">TBX-AA, Рел прод 270 мм бел лев         </t>
  </si>
  <si>
    <t xml:space="preserve">TBX-AA, Рел прод 350 мм, бел, лев       </t>
  </si>
  <si>
    <t xml:space="preserve">TBX-AA, Рел прод 270 мм бел прав        </t>
  </si>
  <si>
    <t xml:space="preserve">TBX-AA, Рел прод 450 мм бел прав        </t>
  </si>
  <si>
    <t xml:space="preserve">TBX-AA, Рел прод 350 мм, бел, прав      </t>
  </si>
  <si>
    <t xml:space="preserve">TBX-AA, Держ поп рел, бел ZRU.01E0      </t>
  </si>
  <si>
    <t xml:space="preserve">TBX-AA, Рел прод 500 мм, бел, прав      </t>
  </si>
  <si>
    <t xml:space="preserve">TBX-AA, Задн ст 96,5/600, бел, (18)     </t>
  </si>
  <si>
    <t xml:space="preserve">TBX-AA, Задн ст 96,5/900, бел, (18)     </t>
  </si>
  <si>
    <t xml:space="preserve">TBX-AA, Рел прод 400 мм бел лев         </t>
  </si>
  <si>
    <t xml:space="preserve">TBX-AA, Рел прод 300 мм бел прав        </t>
  </si>
  <si>
    <t xml:space="preserve">TBX-AA, Рел прод 400 мм бел прав        </t>
  </si>
  <si>
    <t xml:space="preserve">TBX antaro 500 высота М белый           </t>
  </si>
  <si>
    <t xml:space="preserve">TBX-AA, Рел прод 270 мм черн лев        </t>
  </si>
  <si>
    <t xml:space="preserve">TBX-AA, Рел прод 270 мм черн, прав      </t>
  </si>
  <si>
    <t xml:space="preserve">TBX-AA, Рел прод 350 мм, черн, лев      </t>
  </si>
  <si>
    <t xml:space="preserve">TBX-AA, Рел прод 450 мм черн лев        </t>
  </si>
  <si>
    <t xml:space="preserve">TBX-AA, Рел прод 400 мм черн лев        </t>
  </si>
  <si>
    <t xml:space="preserve">TBX-AA, Рел прод 400 мм черн прав       </t>
  </si>
  <si>
    <t xml:space="preserve">TBX-AA, Крепл п/п черн, кмп ZIF.71M0    </t>
  </si>
  <si>
    <t xml:space="preserve">TBX-AA, Рел прод 500 мм, черн лев       </t>
  </si>
  <si>
    <t xml:space="preserve">TBX-AA, Рел прод 450 мм черн прав       </t>
  </si>
  <si>
    <t xml:space="preserve">TBX-AA, Рел прод 350 мм, черн, прав     </t>
  </si>
  <si>
    <t xml:space="preserve">TBX-AA, Рел прод 600 мм, черн кмп МП    </t>
  </si>
  <si>
    <t xml:space="preserve">TBX-AA, Рел прод 500 мм, черн прав      </t>
  </si>
  <si>
    <t xml:space="preserve">TBX antaro 500 высота М черный          </t>
  </si>
  <si>
    <t>TBX-AA, Рел прод сред 400 мм,сер орион,R</t>
  </si>
  <si>
    <t>4525369/</t>
  </si>
  <si>
    <t>TBX-AA, Рел прод сред 400 мм,сер орион,L</t>
  </si>
  <si>
    <t>6430760/</t>
  </si>
  <si>
    <t xml:space="preserve">TBX-A, Царга 83/550 мм, сер орион, пр.  </t>
  </si>
  <si>
    <t>6440588/</t>
  </si>
  <si>
    <t xml:space="preserve">TBX-A, Царга 83/550 мм, сер орион, лев. </t>
  </si>
  <si>
    <t>7877960/</t>
  </si>
  <si>
    <t xml:space="preserve">TBX-AA, Держ зад ст,160 мм,сер орион пр </t>
  </si>
  <si>
    <t>7878020/</t>
  </si>
  <si>
    <t>TBX-AA, Держ зад ст,160 мм,сер орион лев</t>
  </si>
  <si>
    <t>9233419/</t>
  </si>
  <si>
    <t>3059294/</t>
  </si>
  <si>
    <t>TBX-AA, Пер держ вставки C сер орион сим</t>
  </si>
  <si>
    <t>5636902/</t>
  </si>
  <si>
    <t xml:space="preserve">TBX-AA, Задн держ вст C сер орион, пр   </t>
  </si>
  <si>
    <t xml:space="preserve">TBX-AA, Задн держ вст D сер орион, прав </t>
  </si>
  <si>
    <t>8277548/</t>
  </si>
  <si>
    <t>TBX-AA, Пер держ вставки D сер орион сим</t>
  </si>
  <si>
    <t>8277780/</t>
  </si>
  <si>
    <t xml:space="preserve">TBX-AA, Задн держ вст C сер орион, лев  </t>
  </si>
  <si>
    <t xml:space="preserve">TBX-AA, Задн держ вст D сер орион, лев  </t>
  </si>
  <si>
    <t xml:space="preserve">TBX, Tip-on, Штанги д/синх, д/900 мм    </t>
  </si>
  <si>
    <t xml:space="preserve">TBX, Tip-on, Штанги д/синх, д/600 мм    </t>
  </si>
  <si>
    <t xml:space="preserve">TBX, Tip-on, Синхрон-р, п/шуруп         </t>
  </si>
  <si>
    <t xml:space="preserve">TBX, Tip-on, Штанги д/синх, д/800 мм    </t>
  </si>
  <si>
    <t xml:space="preserve">TBX, Tip-on, Напр 350мм с фикс, кмп     </t>
  </si>
  <si>
    <t xml:space="preserve">TBX, Tip-on, Напр 400мм с фикс, кмп     </t>
  </si>
  <si>
    <t xml:space="preserve">TBX, Tip-on, Штанги д/синх, д/650 мм    </t>
  </si>
  <si>
    <t xml:space="preserve">TBX, Tip-on, Штанги д/синх, д/750 мм    </t>
  </si>
  <si>
    <t xml:space="preserve">TBX, Tip-on, Штанги д/синх, д/700 мм    </t>
  </si>
  <si>
    <t xml:space="preserve">TBX, Tip-on, Штанги д/синх, д/850 мм    </t>
  </si>
  <si>
    <t xml:space="preserve">TBX, Tip-on, Штанги д/синх, д/950 мм    </t>
  </si>
  <si>
    <t xml:space="preserve">TBX, Tip-on, Фиксатор, п/шуруп, лев     </t>
  </si>
  <si>
    <t xml:space="preserve">TBX, Tip-on, Фиксатор, п/шуруп, прав    </t>
  </si>
  <si>
    <t xml:space="preserve">TBX, Tip-on, Синхрон-р, экспандо        </t>
  </si>
  <si>
    <t xml:space="preserve">TBX, Tip-on, Фиксатор, экспандо, лев    </t>
  </si>
  <si>
    <t xml:space="preserve">SD-Uno, Задняя стенка 96/600 мм         </t>
  </si>
  <si>
    <t xml:space="preserve">SD, Блок привода NEW, Z10A3000.03       </t>
  </si>
  <si>
    <t xml:space="preserve">SD-Uno, Релинг 430 мм, ZRG.376V.IE      </t>
  </si>
  <si>
    <t xml:space="preserve">SD, Блок привода оптимиз,Z10A3000.02    </t>
  </si>
  <si>
    <t xml:space="preserve">SD-uno, дистанционный амортизатор       </t>
  </si>
  <si>
    <t xml:space="preserve">SD-Uno, Набор, кмп, new Z10NA30EF       </t>
  </si>
  <si>
    <t xml:space="preserve">SD, Combox, Z10ZC00A                    </t>
  </si>
  <si>
    <t xml:space="preserve">SD, Соединительный узел,Z10V1000.01     </t>
  </si>
  <si>
    <t xml:space="preserve">SD, Блок питания 24 Вт, Z10NE030F       </t>
  </si>
  <si>
    <t xml:space="preserve">SD-Uno, Монтажный шаблон,Z10D0319       </t>
  </si>
  <si>
    <t xml:space="preserve">SD, Кабель сетевой д/Европы,Z10M200E    </t>
  </si>
  <si>
    <t xml:space="preserve">SD, Заглушка несущ профиля, Z10T0004    </t>
  </si>
  <si>
    <t xml:space="preserve">SD, Защита концов кабеля,Z10K0008       </t>
  </si>
  <si>
    <t xml:space="preserve">SD, Держ кабеля, Z10K0009               </t>
  </si>
  <si>
    <t xml:space="preserve">SD, Направляющая д/рычага,Z10A3H00      </t>
  </si>
  <si>
    <t xml:space="preserve">SD-Uno, подвесной, 600 мм, кмп          </t>
  </si>
  <si>
    <t xml:space="preserve">SD, Блок питания 72Вт,Z10NE020F         </t>
  </si>
  <si>
    <t xml:space="preserve">ORG, НАБОР СТ/ПР, ZSI.450BI3/СНЯТО      </t>
  </si>
  <si>
    <t xml:space="preserve">ORG, Релинг поперечн, 1104 мм, сер.     </t>
  </si>
  <si>
    <t xml:space="preserve">ORG, Релинг поперечн, 1104 мм, крем.    </t>
  </si>
  <si>
    <t xml:space="preserve">ORG, Релинг поперечн, 1104 мм, бел.     </t>
  </si>
  <si>
    <t xml:space="preserve">ORG, Набор д/ст. приб, ZSI.500BI3       </t>
  </si>
  <si>
    <t xml:space="preserve">ORG, Набор д/ст. приб, ZSI.550BI3       </t>
  </si>
  <si>
    <t xml:space="preserve">ORG, Набор д/ст. приб, ZSI.650BI3       </t>
  </si>
  <si>
    <t xml:space="preserve">ORG, НАБОР РАЗДЕЛИТЕЛЕЙ, ZSI.450FI3     </t>
  </si>
  <si>
    <t xml:space="preserve">ORG, Набор д/ст. приб, ZSI.600BI3       </t>
  </si>
  <si>
    <t xml:space="preserve">ORG, Набор разделителей, ZSI.500FI3     </t>
  </si>
  <si>
    <t xml:space="preserve">ORG, НАБОР РАЗДЕЛИТЕЛЕЙ, ZSI.650FI3     </t>
  </si>
  <si>
    <t xml:space="preserve">ORG, Лоток 88 х 88 мм, ZSI.010SI        </t>
  </si>
  <si>
    <t xml:space="preserve">ORG, Лоток 88 х 264 мм, ZSI.030SI       </t>
  </si>
  <si>
    <t xml:space="preserve">ORG, Лоток 88 х 352 мм, ZSI.040SI       </t>
  </si>
  <si>
    <t xml:space="preserve">ORG, Раздел поп переставляемый 88 мм    </t>
  </si>
  <si>
    <t xml:space="preserve">ORG, Раздел поп п/раскр, 1077мм, сер    </t>
  </si>
  <si>
    <t xml:space="preserve">ORG, Раздел поп п/раскр, 1077мм, бел    </t>
  </si>
  <si>
    <t xml:space="preserve">ORG, Держ поп раздел, сер, Z40H000A     </t>
  </si>
  <si>
    <t>ORG, Межсекц.стенка, 650 мм, сер Z46C620</t>
  </si>
  <si>
    <t xml:space="preserve">ORG, Держ д/специй 300мм, ZFZ.30G0I     </t>
  </si>
  <si>
    <t xml:space="preserve">ORG, Держ д/ножей, ZSZ.02M0             </t>
  </si>
  <si>
    <t xml:space="preserve">ORG, Держ д/специй 400мм, ZFZ.40G0I     </t>
  </si>
  <si>
    <t xml:space="preserve">ORG, Держ д/специй 450мм, ZFZ.45G0I     </t>
  </si>
  <si>
    <t xml:space="preserve">ORG, Набор д/ст. приб, ZSI.500BI2N      </t>
  </si>
  <si>
    <t xml:space="preserve">ORG, Набор д/ст. приб, ZSI.450BI2N      </t>
  </si>
  <si>
    <t xml:space="preserve">ORG, Набор д/ст. приб, ZSI.500KI2N      </t>
  </si>
  <si>
    <t xml:space="preserve">ORG, Набор д/ст. приб, ZSI.500KI3N      </t>
  </si>
  <si>
    <t xml:space="preserve">ORG, Набор разделителей, ZSI.450FI2N    </t>
  </si>
  <si>
    <t xml:space="preserve">ORG, Набор разделителей, ZSI.500FI2N    </t>
  </si>
  <si>
    <t xml:space="preserve">ORG, Присп д/резки пленки, ZSZ.01F0     </t>
  </si>
  <si>
    <t xml:space="preserve">ORG, Присп д/резки фольги, ZSZ.02F0     </t>
  </si>
  <si>
    <t xml:space="preserve">ORG, Присп д/резки пленки, ZSZ.01F1     </t>
  </si>
  <si>
    <t xml:space="preserve">ORG, Присп д/резки фольги, ZSZ.02F1     </t>
  </si>
  <si>
    <t xml:space="preserve">ORG, Набор аксессуаров, ZOU.30U1I       </t>
  </si>
  <si>
    <t xml:space="preserve">Ящик TBX B 350мм, сер.                  </t>
  </si>
  <si>
    <t xml:space="preserve">Ящик TBX M 350мм, сер.                  </t>
  </si>
  <si>
    <t xml:space="preserve">Ящик TBX B 450мм, сер.                  </t>
  </si>
  <si>
    <t xml:space="preserve">Ящик TBX M 450мм, сер.                  </t>
  </si>
  <si>
    <t xml:space="preserve">Ящик TBX ANTARO C 350мм, бел.           </t>
  </si>
  <si>
    <t xml:space="preserve">Ящик TBX ANTARO C 350мм, внутр. бел.    </t>
  </si>
  <si>
    <t xml:space="preserve">Ящик TBX ANTARO D 350мм, бел.           </t>
  </si>
  <si>
    <t xml:space="preserve">Ящик TBX ANTARO D 350мм, внутр. бел.    </t>
  </si>
  <si>
    <t xml:space="preserve">Ящик TBX ANTARO M 350мм, бел.           </t>
  </si>
  <si>
    <t xml:space="preserve">Ящик TBX ANTARO M 350мм, внутр. бел.    </t>
  </si>
  <si>
    <t xml:space="preserve">Ящик TBX ANTARO C 450мм, бел.           </t>
  </si>
  <si>
    <t xml:space="preserve">Ящик TBX ANTARO C 450мм, внутр. бел.    </t>
  </si>
  <si>
    <t xml:space="preserve">Ящик TBX ANTARO D 450мм, бел.           </t>
  </si>
  <si>
    <t xml:space="preserve">Ящик TBX ANTARO D 450мм, внутр. бел.    </t>
  </si>
  <si>
    <t xml:space="preserve">Ящик TBX ANTARO M 450мм, бел.           </t>
  </si>
  <si>
    <t xml:space="preserve">Ящик TBX ANTARO M 450мм, внутр. бел.    </t>
  </si>
  <si>
    <t xml:space="preserve">Ящик TBX ANTARO N 450мм, бел.           </t>
  </si>
  <si>
    <t xml:space="preserve">Ящик TBX ANTARO C 500мм, бел.           </t>
  </si>
  <si>
    <t xml:space="preserve">Ящик TBX ANTARO C 500мм, внутр. бел.    </t>
  </si>
  <si>
    <t xml:space="preserve">Ящик TBX ANTARO D 500мм, бел.           </t>
  </si>
  <si>
    <t xml:space="preserve">Ящик TBX ANTARO D 500мм, внутр. бел.    </t>
  </si>
  <si>
    <t xml:space="preserve">Ящик TBX ANTARO M 500мм, бел.           </t>
  </si>
  <si>
    <t xml:space="preserve">Ящик TBX ANTARO M 500мм, внутр. бел.    </t>
  </si>
  <si>
    <t xml:space="preserve">Ящик TBX ANTARO N 500мм, бел.           </t>
  </si>
  <si>
    <t xml:space="preserve">MBX, Крепл фас п/шурупы, пр,ZSF.1700    </t>
  </si>
  <si>
    <t xml:space="preserve">MBX, Крепл фас п/пресс, лев,ZSF.1800    </t>
  </si>
  <si>
    <t xml:space="preserve">MBX, Релинг продольный, 500 мм, сер.    </t>
  </si>
  <si>
    <t xml:space="preserve">MBX, Релинг продольный, 450 мм, сер.    </t>
  </si>
  <si>
    <t xml:space="preserve">MBX, Релинг продольный, 400 мм, сер.    </t>
  </si>
  <si>
    <t xml:space="preserve">MBX, Крепл фас экспандо,лев,ZSF.130E    </t>
  </si>
  <si>
    <t xml:space="preserve">MBX, Релинг продольный, 350 мм, сер.    </t>
  </si>
  <si>
    <t xml:space="preserve">MBX, Одност. Boxside H, 500 мм, сер     </t>
  </si>
  <si>
    <t xml:space="preserve">MBX, Профиль декор 1200мм ZSD.1200S     </t>
  </si>
  <si>
    <t xml:space="preserve">MBX, Направл, 30 кг, 450 мм, сер, пр    </t>
  </si>
  <si>
    <t xml:space="preserve">MBX, ВМ, крем, Z70.0320                 </t>
  </si>
  <si>
    <t xml:space="preserve">MBX, ВМ, сер, Z70.0320                  </t>
  </si>
  <si>
    <t xml:space="preserve">MBX, ВМ, триггер, крем NEW              </t>
  </si>
  <si>
    <t xml:space="preserve">MBX, ВМ, триггер, крем                  </t>
  </si>
  <si>
    <t xml:space="preserve">MBX, ВМ, триггер, серый                 </t>
  </si>
  <si>
    <t xml:space="preserve">MBX, ВМ, триггер, серый NEW             </t>
  </si>
  <si>
    <t xml:space="preserve">TD, Бок стаб д/ полн выдв, ZST.410TV    </t>
  </si>
  <si>
    <t xml:space="preserve">TD без BM, част.выдв, 450 м (СНЯТ)      </t>
  </si>
  <si>
    <t xml:space="preserve">TD, Бок стаб д/ полн выдв, ZST.750TV    </t>
  </si>
  <si>
    <t xml:space="preserve">TD, Релинг к Tandem 500мм, хром, кмп    </t>
  </si>
  <si>
    <t xml:space="preserve">TD, Фасадный эксцентрик, 295.1000       </t>
  </si>
  <si>
    <t>TD с BM, част. выдв, 30 кг, 400 мм, кмп.</t>
  </si>
  <si>
    <t xml:space="preserve">TD, замок, оранж, лев. T51.1700.04      </t>
  </si>
  <si>
    <t xml:space="preserve">TD, замок, оранж, пр. T51.1700.04       </t>
  </si>
  <si>
    <t>TD с BM, част. выдв, 30 кг, 550 мм, кмп.</t>
  </si>
  <si>
    <t xml:space="preserve">TD, Фасадный эксцентрик 295.1000        </t>
  </si>
  <si>
    <t xml:space="preserve">TD, Фиксация ящика 295.5600             </t>
  </si>
  <si>
    <t xml:space="preserve">TD, стопор POSISTOP 298.5500            </t>
  </si>
  <si>
    <t xml:space="preserve">TD, Бок стаб д/ част выдв, ZST.650TT    </t>
  </si>
  <si>
    <t>TD с BM, част. выдв, 30 кг, 270 мм, кмп.</t>
  </si>
  <si>
    <t>TD с BM, част. выдв, 30 кг, 450 мм, кмп.</t>
  </si>
  <si>
    <t>TD с BM, част. выдв, 30 кг, 500 мм, кмп.</t>
  </si>
  <si>
    <t xml:space="preserve">TD без ВМ, ч/в 30кг, 310мм, лев V24     </t>
  </si>
  <si>
    <t xml:space="preserve">TD без ВМ, ч/в 30кг, 310мм, пр V24      </t>
  </si>
  <si>
    <t xml:space="preserve">TD без ВМ, ч/в 30кг, 410мм, лев V24     </t>
  </si>
  <si>
    <t xml:space="preserve">TD без ВМ, ч/в 30кг, 410мм, пр V24      </t>
  </si>
  <si>
    <t xml:space="preserve">TD без ВМ, ч/в 30кг, 460мм, лев V24     </t>
  </si>
  <si>
    <t xml:space="preserve">TD без ВМ, ч/в 30кг, 460мм, пр V24      </t>
  </si>
  <si>
    <t xml:space="preserve">TD без ВМ, ч/в 30кг, 510мм, лев V24     </t>
  </si>
  <si>
    <t xml:space="preserve">TD без ВМ, ч/в 30кг, 510мм, пр V24      </t>
  </si>
  <si>
    <t xml:space="preserve">TD без ВМ, ч/в 30кг, 560мм, лев V24     </t>
  </si>
  <si>
    <t xml:space="preserve">TD без ВМ, ч/в 30кг, 560мм, пр V24      </t>
  </si>
  <si>
    <t xml:space="preserve">TD, Tip-on, Шестерня, T55.000R          </t>
  </si>
  <si>
    <t xml:space="preserve">TD, Tip-on, Шестерня, кмп T55.000R      </t>
  </si>
  <si>
    <t xml:space="preserve">Movento, 60 кг, 450 мм, 766H4500B       </t>
  </si>
  <si>
    <t xml:space="preserve">Movento, 40 кг, 270 мм, 760H2700B       </t>
  </si>
  <si>
    <t xml:space="preserve">Movento, 40 кг, 450 мм, 760H4500B       </t>
  </si>
  <si>
    <t xml:space="preserve">Movento, 40 кг, 300 мм, 760H3000B       </t>
  </si>
  <si>
    <t xml:space="preserve">Movento, 40 кг, 350 мм, 760H3500B       </t>
  </si>
  <si>
    <t xml:space="preserve">Movento, 40 кг, 600 мм, 760H6000B       </t>
  </si>
  <si>
    <t xml:space="preserve">Movento, 40 кг, 250 мм, 760H2500B       </t>
  </si>
  <si>
    <t xml:space="preserve">Movento, 60 кг, 600 мм, 766H6000B       </t>
  </si>
  <si>
    <t xml:space="preserve">Movento, 40 кг, 500 мм, 760H5000B       </t>
  </si>
  <si>
    <t xml:space="preserve">Movento, 40 кг, 550 мм, 760H5500B       </t>
  </si>
  <si>
    <t xml:space="preserve">Movento, 60 кг, 750 мм, 766H7500B       </t>
  </si>
  <si>
    <t xml:space="preserve">Movento, 60 кг, 650 мм, 766H6500B       </t>
  </si>
  <si>
    <t xml:space="preserve">Movento, 40 кг, 400 мм, 760H4000B       </t>
  </si>
  <si>
    <t xml:space="preserve">Movento, 60 кг, 700 мм, 766H7000B       </t>
  </si>
  <si>
    <t xml:space="preserve">Movento, замок лев, T51.7601            </t>
  </si>
  <si>
    <t xml:space="preserve">Movento, 60 кг, 500 мм, 766H5000B       </t>
  </si>
  <si>
    <t xml:space="preserve">Movento, замок пр, T51.7601             </t>
  </si>
  <si>
    <t xml:space="preserve">Movento, 60 кг, 550 мм, 766H5500B       </t>
  </si>
  <si>
    <t xml:space="preserve">Movento+Tip-on, Вал синхр, ZST.1137W    </t>
  </si>
  <si>
    <t xml:space="preserve">LBX, Держ п/п, лев, ZI7.0M01.01         </t>
  </si>
  <si>
    <t xml:space="preserve">LBX, Бок стабилизатор,кмп, ZS7.650LU    </t>
  </si>
  <si>
    <t xml:space="preserve">LBX, Держ п/п, прав, ZI7.0M01.01        </t>
  </si>
  <si>
    <t xml:space="preserve">LBX, Задн ст 600/18, сер ZB7M532S       </t>
  </si>
  <si>
    <t>LBX, Боковина M 90,3/270 мм, сер,лев V20</t>
  </si>
  <si>
    <t>2029196/</t>
  </si>
  <si>
    <t>LBX, Боковина M 90,3/270 мм, сер, пр V20</t>
  </si>
  <si>
    <t xml:space="preserve">LBX, Загл, внутр, сер, симм (М,С,F)     </t>
  </si>
  <si>
    <t xml:space="preserve">LBX, ЗАГЛ, ВНУТР, СЕР, СИММ (N)         </t>
  </si>
  <si>
    <t xml:space="preserve">LBX, Боковина F 241/500 мм, сер, лев    </t>
  </si>
  <si>
    <t xml:space="preserve">LBX, Боковина F 241/270 мм, сер, лев    </t>
  </si>
  <si>
    <t xml:space="preserve">LBX, Боковина F 241/450 мм, сер, лев    </t>
  </si>
  <si>
    <t>5054685/</t>
  </si>
  <si>
    <t>LBX, Боковина N 66,3/500 мм, сер,лев V20</t>
  </si>
  <si>
    <t xml:space="preserve">LBX, Загл, наружн, сер, симм            </t>
  </si>
  <si>
    <t>5085333/</t>
  </si>
  <si>
    <t>LBX, Боковина N 66,3/500 мм, сер, пр V20</t>
  </si>
  <si>
    <t xml:space="preserve">LBX, Загл, наружн, с лого, сер, симм    </t>
  </si>
  <si>
    <t>7025185/</t>
  </si>
  <si>
    <t>LBX, Боковина С 176,8/400 мм,сер,лев V10</t>
  </si>
  <si>
    <t>7030237/</t>
  </si>
  <si>
    <t>LBX, Боковина M 90,3/350 мм, сер,лев V20</t>
  </si>
  <si>
    <t>7042816/</t>
  </si>
  <si>
    <t>LBX, Боковина M 90,3/350 мм, сер, пр V20</t>
  </si>
  <si>
    <t xml:space="preserve">LBX, Боковина F 241/350 мм, сер, лев    </t>
  </si>
  <si>
    <t>7088555/</t>
  </si>
  <si>
    <t>LBX, Боковина С 176,8/400 мм, сер,пр V10</t>
  </si>
  <si>
    <t>8416077/</t>
  </si>
  <si>
    <t>LBX-F, Боковина 176,8/500 мм,сер,лев V10</t>
  </si>
  <si>
    <t>8477502/</t>
  </si>
  <si>
    <t>LBX-F, Боковина 176,8/500 мм, сер,пр V10</t>
  </si>
  <si>
    <t xml:space="preserve">LBX, Боковины F 241/450 мм, сер, кмп    </t>
  </si>
  <si>
    <t xml:space="preserve">LBX, Боковины F 241/500 мм, сер, кмп    </t>
  </si>
  <si>
    <t xml:space="preserve">LBX, Задн ст 600/18, сер ZB7C532S       </t>
  </si>
  <si>
    <t xml:space="preserve">LBX, Задн. ст. F 900/16, сер ZB7F836    </t>
  </si>
  <si>
    <t xml:space="preserve">LBX, Ящик высотой C, 450 мм. серый      </t>
  </si>
  <si>
    <t xml:space="preserve">LBX, Ящик высотой F, 450 мм. серый      </t>
  </si>
  <si>
    <t xml:space="preserve">LBX, Ящик высотой M, 450 мм. серый      </t>
  </si>
  <si>
    <t xml:space="preserve">LBX, Ящик высотой C, 500 мм. серый      </t>
  </si>
  <si>
    <t xml:space="preserve">LBX, Ящик высотой F, 500 мм. серый      </t>
  </si>
  <si>
    <t xml:space="preserve">LBX, Ящик высотой M, 500 мм. серый      </t>
  </si>
  <si>
    <t xml:space="preserve">LBX, Ящик высотой N, 500 мм. серый      </t>
  </si>
  <si>
    <t xml:space="preserve">LBX, Задн ст 450/16, бел ZB7F386S       </t>
  </si>
  <si>
    <t xml:space="preserve">LBX, Задн ст 500/16, бел ZB7C436S       </t>
  </si>
  <si>
    <t>2052355/</t>
  </si>
  <si>
    <t>LBX, Боковина C 176,8/270 мм,бел,лев V10</t>
  </si>
  <si>
    <t>2078207/</t>
  </si>
  <si>
    <t>LBX, Боковина C 176,8/270 мм, бел,пр V10</t>
  </si>
  <si>
    <t xml:space="preserve">LBX, Задн ст 600/18, бел ZB7M532S       </t>
  </si>
  <si>
    <t xml:space="preserve">LBX, ЗАГЛ, ВНУТР, БЕЛ, СИММ (N)         </t>
  </si>
  <si>
    <t xml:space="preserve">LBX, Боковина F 241/350 мм, бел, лев    </t>
  </si>
  <si>
    <t xml:space="preserve">LBX, Боковина F 241/400 мм, бел, лев    </t>
  </si>
  <si>
    <t xml:space="preserve">LBX, Задн ст 900/16, бел ZB7F836S       </t>
  </si>
  <si>
    <t xml:space="preserve">LBX, Задн ст 1000/16, бел ZB7C936S      </t>
  </si>
  <si>
    <t xml:space="preserve">LBX, Задн ст 450/16, бел ZB7C386S       </t>
  </si>
  <si>
    <t xml:space="preserve">LBX, Боковина F 241/500 мм, бел, лев    </t>
  </si>
  <si>
    <t xml:space="preserve">LBX, Боковина F 241/270 мм, бел, лев    </t>
  </si>
  <si>
    <t xml:space="preserve">LBX, Пп б/п п/раскр, бел ZV7.1043C01    </t>
  </si>
  <si>
    <t xml:space="preserve">LBX, Загл, наружн, бел, симм            </t>
  </si>
  <si>
    <t xml:space="preserve">LBX, Задн ст 500/16, бел ZB7M436S       </t>
  </si>
  <si>
    <t xml:space="preserve">LBX, Загл, наружн, бел, симм с лого     </t>
  </si>
  <si>
    <t xml:space="preserve">LBX, Загл, внутр, бел, симм (М,С,F)     </t>
  </si>
  <si>
    <t xml:space="preserve">LBX, Задн ст 600/18, бел ZB7C532S       </t>
  </si>
  <si>
    <t xml:space="preserve">LBX, Боковины F 241/450 мм, бел, кмп    </t>
  </si>
  <si>
    <t xml:space="preserve">LBX, Задн ст 600/16, бел ZB7C536S.6     </t>
  </si>
  <si>
    <t xml:space="preserve">LBX, Задн ст 450/16, бел ZB7M386S       </t>
  </si>
  <si>
    <t xml:space="preserve">LBX, Боковина F 241/450 мм, бел, лев    </t>
  </si>
  <si>
    <t xml:space="preserve">LBX, Задн ст 600/18, черн ZB7M532S      </t>
  </si>
  <si>
    <t>2174572/</t>
  </si>
  <si>
    <t xml:space="preserve">LBX, ЗАГЛ, ВНУТР, ЧЕРН, СИММ (N)        </t>
  </si>
  <si>
    <t xml:space="preserve">LBX, Задн ст 600/18, черн ZB7C532S      </t>
  </si>
  <si>
    <t xml:space="preserve">LBX, Загл, внутр, черн, симм (М,С,F)    </t>
  </si>
  <si>
    <t xml:space="preserve">LBX, Загл, наружн, черн, симм с лого    </t>
  </si>
  <si>
    <t>9477844/</t>
  </si>
  <si>
    <t xml:space="preserve">LBX, Боковина K 128,5/400 мм, черн, кмп </t>
  </si>
  <si>
    <t xml:space="preserve">LBX, Ящик высотой C, 500 мм. черный     </t>
  </si>
  <si>
    <t xml:space="preserve">LBX, Ящик высотой F, 500 мм. черный     </t>
  </si>
  <si>
    <t xml:space="preserve">LBX, Ящик высотой M, 500 мм. черный     </t>
  </si>
  <si>
    <t xml:space="preserve">LBX, Ящик высотой N, 500 мм. черный     </t>
  </si>
  <si>
    <t xml:space="preserve">LBX, Загл наружн, нерж, симм с лого     </t>
  </si>
  <si>
    <t xml:space="preserve">LBX, загл, внутр, нерж, симм (М,С,F)    </t>
  </si>
  <si>
    <t xml:space="preserve">LBX, держ. задн. ст, 80 мм, нерж, пр    </t>
  </si>
  <si>
    <t xml:space="preserve">LBX, поп. релинг п/раскрой 1080 нерж    </t>
  </si>
  <si>
    <t>9904142/</t>
  </si>
  <si>
    <t xml:space="preserve">LBX, Боковина М 90,5/450 мм, нерж, кмп  </t>
  </si>
  <si>
    <t xml:space="preserve">LBX, Загл внутр, кор, симм  (М,С,F)     </t>
  </si>
  <si>
    <t xml:space="preserve">LBX, Загл наружн, кор, симм             </t>
  </si>
  <si>
    <t xml:space="preserve">LBX, Боковина F 241/500 мм, кор, лев    </t>
  </si>
  <si>
    <t xml:space="preserve">LBX, Загл, внутр, кор, симм (N)         </t>
  </si>
  <si>
    <t xml:space="preserve">LBX-F, Передн держ стекл вст С кор      </t>
  </si>
  <si>
    <t xml:space="preserve">AMB, Адапт С, 242 мм, бел ZC7A0U0C      </t>
  </si>
  <si>
    <t xml:space="preserve">AMB, Разделитель попер 192,6 мм. сер    </t>
  </si>
  <si>
    <t xml:space="preserve">AMB, Разделитель попер 92,6 мм. сер.    </t>
  </si>
  <si>
    <t xml:space="preserve">AMB, Лоток 450 мм, бел ZC7S450BS3       </t>
  </si>
  <si>
    <t xml:space="preserve">AMB, Рамка 500/100, черн ZC7S500RS1     </t>
  </si>
  <si>
    <t xml:space="preserve">AMB, Адапт С, 218 мм, сер ZC7A0P0C      </t>
  </si>
  <si>
    <t xml:space="preserve">AMB, Разделитель попер 110,6 мм. бел    </t>
  </si>
  <si>
    <t xml:space="preserve">AMB, Рамка 450/200, сер ZC7S450RS2      </t>
  </si>
  <si>
    <t xml:space="preserve">AMB, Рамка 500/200, бел ZC7S500RS2      </t>
  </si>
  <si>
    <t xml:space="preserve">AMB, Рамка 270/242/50, дуб небр         </t>
  </si>
  <si>
    <t xml:space="preserve">AMB, Адапт М, 242 мм, сер ZC7A0U0M      </t>
  </si>
  <si>
    <t xml:space="preserve">AMB, Рамка 270/242/100, ор тен          </t>
  </si>
  <si>
    <t xml:space="preserve">AMB, Рамка 450/100, сер ZC7S450RS1      </t>
  </si>
  <si>
    <t xml:space="preserve">AMB, Рамка 270/242/100, дуб бард        </t>
  </si>
  <si>
    <t xml:space="preserve">AMB, Рамка 450/200, бел ZC7S450RS2      </t>
  </si>
  <si>
    <t xml:space="preserve">AMB, Адапт С, 242 мм, сер ZC7A0U0C      </t>
  </si>
  <si>
    <t xml:space="preserve">AMB, Рамка 500/100, бел ZC7S500RS1      </t>
  </si>
  <si>
    <t xml:space="preserve">AMB, Лоток 500мм, сер ZC7S500BS3        </t>
  </si>
  <si>
    <t xml:space="preserve">AMB, Рамка 500/200, сер ZC7S500RS2      </t>
  </si>
  <si>
    <t xml:space="preserve">AMB, Разделитель попер 92,6 мм. бел     </t>
  </si>
  <si>
    <t xml:space="preserve">AMB, Адапт М, 242 мм, черн ZC7A0U0M     </t>
  </si>
  <si>
    <t xml:space="preserve">AMB, Лоток 450 мм, черн ZC7S450BS3      </t>
  </si>
  <si>
    <t xml:space="preserve">AMB, Лоток 500мм, черн ZC7S500BS3       </t>
  </si>
  <si>
    <t xml:space="preserve">AMB, Попер разд, черн, ZC7Q0P0FS        </t>
  </si>
  <si>
    <t xml:space="preserve">AMB, Адапт М, 242 мм, бел ZC7A0U0M      </t>
  </si>
  <si>
    <t xml:space="preserve">AMB, Адапт С, 218 мм, черн ZC7A0P0C     </t>
  </si>
  <si>
    <t xml:space="preserve">AMB, Разделитель попер 192,6 мм. бел    </t>
  </si>
  <si>
    <t xml:space="preserve">AMB, Рамка 270/242/50, ор тен           </t>
  </si>
  <si>
    <t xml:space="preserve">AMB, Рамка 400/218/100, дуб небр        </t>
  </si>
  <si>
    <t xml:space="preserve">AMB, Рамка 450/100, бел ZC7S450RS1      </t>
  </si>
  <si>
    <t xml:space="preserve">AMB, Рамка 400/218/100, дуб бард        </t>
  </si>
  <si>
    <t xml:space="preserve">AMB, Рамка 400/218/100, ор тен          </t>
  </si>
  <si>
    <t xml:space="preserve">AMB, Держ д/специй, ZC7G0P0I            </t>
  </si>
  <si>
    <t xml:space="preserve">AMB, Адапт С, 218 мм, бел ZC7A0P0C      </t>
  </si>
  <si>
    <t xml:space="preserve">AMB, Рамка 450/100, черн ZC7S450RS1     </t>
  </si>
  <si>
    <t xml:space="preserve">AMB, Рамка 500/200, черн ZC7S500RS2     </t>
  </si>
  <si>
    <t xml:space="preserve">AMB, Рамка 500/100, сер ZC7S500RS1      </t>
  </si>
  <si>
    <t xml:space="preserve">AMB, Лоток 500мм, бел ZC7S500BS3        </t>
  </si>
  <si>
    <t xml:space="preserve">AMB, Рамка 450/200, черн ZC7S450RS2     </t>
  </si>
  <si>
    <t xml:space="preserve">AMB, Адапт С, 242 мм, черн ZC7A0U0C     </t>
  </si>
  <si>
    <t xml:space="preserve">AMB, Попер разд, сер, ZC7Q0P0FS         </t>
  </si>
  <si>
    <t xml:space="preserve">AMB, Рамка 270/242/50, дуб бард         </t>
  </si>
  <si>
    <t xml:space="preserve">AMB, Рамка 400/218/100, черн            </t>
  </si>
  <si>
    <t xml:space="preserve">AMB, Попер разд, бел, ZC7Q0P0FS         </t>
  </si>
  <si>
    <t xml:space="preserve">AMB, Рамка 270/242/100, дуб небр        </t>
  </si>
  <si>
    <t xml:space="preserve">AMB, Рамка 550/200, бел ZC7S550RS2      </t>
  </si>
  <si>
    <t xml:space="preserve">AMB, Лоток 450 мм, сер ZC7S450BS3       </t>
  </si>
  <si>
    <t xml:space="preserve">AMB, Держ д/ножей, ZC7M0200             </t>
  </si>
  <si>
    <t xml:space="preserve">Ящик LBX Pure, C, 350 мм, бел.          </t>
  </si>
  <si>
    <t xml:space="preserve">Ящик LBX TB Pure, C, 350 мм, бел.       </t>
  </si>
  <si>
    <t xml:space="preserve">Ящик LBX Pure, C, 350 мм, сер.          </t>
  </si>
  <si>
    <t xml:space="preserve">Ящик LBX TB Pure, C, 350 мм, сер.       </t>
  </si>
  <si>
    <t xml:space="preserve">Ящик LBX Pure, C, 350 мм, черн.         </t>
  </si>
  <si>
    <t xml:space="preserve">Ящик LBX TB Pure, C, 350 мм, черн.      </t>
  </si>
  <si>
    <t xml:space="preserve">Ящик LBX Pure, C, 350 мм, кор.          </t>
  </si>
  <si>
    <t xml:space="preserve">Ящик LBX TB Pure, C, 350 мм, кор.       </t>
  </si>
  <si>
    <t xml:space="preserve">Ящик LBX Pure, F, 350 мм, бел.          </t>
  </si>
  <si>
    <t xml:space="preserve">Ящик LBX TB Pure, F, 350 мм, бел.       </t>
  </si>
  <si>
    <t xml:space="preserve">Ящик LBX Pure, F, 350 мм, сер.          </t>
  </si>
  <si>
    <t xml:space="preserve">Ящик LBX TB Pure, F, 350 мм, сер.       </t>
  </si>
  <si>
    <t xml:space="preserve">Ящик LBX Pure, F, 350 мм, черн.         </t>
  </si>
  <si>
    <t xml:space="preserve">Ящик LBX TB Pure, F, 350 мм, черн.      </t>
  </si>
  <si>
    <t xml:space="preserve">Ящик LBX Pure, M, 350 мм, бел.          </t>
  </si>
  <si>
    <t xml:space="preserve">Ящик LBX TB Pure, M, 350 мм, бел.       </t>
  </si>
  <si>
    <t xml:space="preserve">Ящик LBX Pure, M, 350 мм, сер.          </t>
  </si>
  <si>
    <t xml:space="preserve">Ящик LBX TB Pure, M, 350 мм, сер.       </t>
  </si>
  <si>
    <t xml:space="preserve">Ящик LBX Pure, M, 350 мм, черн.         </t>
  </si>
  <si>
    <t xml:space="preserve">Ящик LBX TB Pure, M, 350 мм, черн.      </t>
  </si>
  <si>
    <t xml:space="preserve">Ящик LBX Pure, M, 350 мм, кор.          </t>
  </si>
  <si>
    <t xml:space="preserve">Ящик LBX TB Pure, M, 350 мм, кор.       </t>
  </si>
  <si>
    <t xml:space="preserve">Ящик LBX Free, C, 500 мм, бел.          </t>
  </si>
  <si>
    <t xml:space="preserve">Ящик LBX TB Free, C, 500 мм, бел.       </t>
  </si>
  <si>
    <t xml:space="preserve">Ящик LBX Free, C, 500 мм, сер.          </t>
  </si>
  <si>
    <t xml:space="preserve">Ящик LBX TB Free, C, 500 мм, сер.       </t>
  </si>
  <si>
    <t xml:space="preserve">Ящик LBX Free, C, 500 мм, черн.         </t>
  </si>
  <si>
    <t xml:space="preserve">Ящик LBX TB Free, C, 500 мм, черн.      </t>
  </si>
  <si>
    <t xml:space="preserve">Ящик LBX Free, C, 500 мм, кор.          </t>
  </si>
  <si>
    <t xml:space="preserve">Ящик LBX TB Free, C, 500 мм, кор.       </t>
  </si>
  <si>
    <t xml:space="preserve">Ящик LBX Pure, C, 500 мм, бел.          </t>
  </si>
  <si>
    <t xml:space="preserve">Ящик LBX TB Pure, C, 500 мм, бел.       </t>
  </si>
  <si>
    <t xml:space="preserve">Ящик LBX Pure, C, 500 мм, сер.          </t>
  </si>
  <si>
    <t xml:space="preserve">Ящик LBX TB Pure, C, 500 мм, сер.       </t>
  </si>
  <si>
    <t xml:space="preserve">Ящик LBX Pure, C, 500 мм, черн.         </t>
  </si>
  <si>
    <t xml:space="preserve">Ящик LBX TB Pure, C, 500 мм, черн.      </t>
  </si>
  <si>
    <t xml:space="preserve">Ящик LBX Pure, C, 500 мм, кор.          </t>
  </si>
  <si>
    <t xml:space="preserve">Ящик LBX TB Pure, C, 500 мм, кор.       </t>
  </si>
  <si>
    <t xml:space="preserve">Ящик LBX Pure, F, 500 мм, бел.          </t>
  </si>
  <si>
    <t xml:space="preserve">Ящик LBX TB Pure, F, 500 мм, бел.       </t>
  </si>
  <si>
    <t xml:space="preserve">Ящик LBX Pure, F, 500 мм, сер.          </t>
  </si>
  <si>
    <t xml:space="preserve">Ящик LBX TB Pure, F, 500 мм, сер.       </t>
  </si>
  <si>
    <t xml:space="preserve">Ящик LBX Pure, F, 500 мм, черн.         </t>
  </si>
  <si>
    <t xml:space="preserve">Ящик LBX TB Pure, F, 500 мм, черн.      </t>
  </si>
  <si>
    <t xml:space="preserve">Ящик LBX Pure, F, 500 мм, кор.          </t>
  </si>
  <si>
    <t xml:space="preserve">Ящик LBX TB Pure, F, 500 мм, кор.       </t>
  </si>
  <si>
    <t xml:space="preserve">Ящик LBX Pure, M, 500 мм, бел.          </t>
  </si>
  <si>
    <t xml:space="preserve">Ящик LBX TB Pure, M, 500 мм, бел.       </t>
  </si>
  <si>
    <t xml:space="preserve">Ящик LBX Pure, M, 500 мм, сер.          </t>
  </si>
  <si>
    <t xml:space="preserve">Ящик LBX TB Pure, M, 500 мм, сер.       </t>
  </si>
  <si>
    <t xml:space="preserve">Ящик LBX Pure, M, 500 мм, черн.         </t>
  </si>
  <si>
    <t xml:space="preserve">Ящик LBX TB Pure, M, 500 мм, черн.      </t>
  </si>
  <si>
    <t xml:space="preserve">Ящик LBX Pure, M, 500 мм, кор.          </t>
  </si>
  <si>
    <t xml:space="preserve">Ящик LBX TB Pure, M, 500 мм, кор.       </t>
  </si>
  <si>
    <t xml:space="preserve">Ящик LBX Pure, N, 500 мм, бел.          </t>
  </si>
  <si>
    <t xml:space="preserve">Ящик LBX TB Pure, N, 500 мм, бел.       </t>
  </si>
  <si>
    <t xml:space="preserve">Ящик LBX Pure, N, 500 мм, сер.          </t>
  </si>
  <si>
    <t xml:space="preserve">Ящик LBX TB Pure, N, 500 мм, сер.       </t>
  </si>
  <si>
    <t xml:space="preserve">Ящик LBX Pure, N, 500 мм, черн.         </t>
  </si>
  <si>
    <t xml:space="preserve">Ящик LBX TB Pure, N, 500 мм, черн.      </t>
  </si>
  <si>
    <t xml:space="preserve">Ящик LBX Pure, N, 500 мм, кор.          </t>
  </si>
  <si>
    <t xml:space="preserve">Ящик LBX TB Pure, N, 500 мм, кор.       </t>
  </si>
  <si>
    <t>4733580/</t>
  </si>
  <si>
    <t>LBX, Боковины C 176,8/500 мм,пол.сер,кмп</t>
  </si>
  <si>
    <t>6324955/</t>
  </si>
  <si>
    <t>LBX, Боковины M 90,5/500 мм, пол.сер,кмп</t>
  </si>
  <si>
    <t>6543062/</t>
  </si>
  <si>
    <t>LBX, Держ. задн. ст, 106 мм, пол.сер,кмп</t>
  </si>
  <si>
    <t>7362305/</t>
  </si>
  <si>
    <t>LBX, Держ. задн. ст, 193 мм, пол.сер,кмп</t>
  </si>
  <si>
    <t xml:space="preserve">Дно ящика LBX, корпус 300х500, чер      </t>
  </si>
  <si>
    <t xml:space="preserve">Дно ящика LBX, корпус 400х350, чер      </t>
  </si>
  <si>
    <t xml:space="preserve">Дно ящика LBX, корпус 400х400, чер      </t>
  </si>
  <si>
    <t xml:space="preserve">Дно ящика LBX, корпус 400х450, чер      </t>
  </si>
  <si>
    <t xml:space="preserve">Дно ящика LBX, корпус 400х500, чер      </t>
  </si>
  <si>
    <t xml:space="preserve">Дно ящика LBX, корпус 450х350, чер      </t>
  </si>
  <si>
    <t xml:space="preserve">Дно ящика LBX, корпус 450х400, чер      </t>
  </si>
  <si>
    <t xml:space="preserve">Дно ящика LBX, корпус 450х450, чер      </t>
  </si>
  <si>
    <t xml:space="preserve">Дно ящика LBX, корпус 450х500, чер      </t>
  </si>
  <si>
    <t xml:space="preserve">Дно ящика LBX, корпус 500х350, чер      </t>
  </si>
  <si>
    <t xml:space="preserve">Дно ящика LBX, корпус 500х400, чер      </t>
  </si>
  <si>
    <t xml:space="preserve">Дно ящика LBX, корпус 500х450, чер      </t>
  </si>
  <si>
    <t xml:space="preserve">Дно ящика LBX, корпус 500х500, чер      </t>
  </si>
  <si>
    <t xml:space="preserve">Дно ящика LBX, корпус 600х350, чер      </t>
  </si>
  <si>
    <t xml:space="preserve">Дно ящика LBX, корпус 600х400, чер      </t>
  </si>
  <si>
    <t xml:space="preserve">Дно ящика LBX, корпус 600х450, чер      </t>
  </si>
  <si>
    <t xml:space="preserve">Дно ящика LBX, корпус 600х500, чер      </t>
  </si>
  <si>
    <t xml:space="preserve">Дно ящика LBX, корпус 700х350, чер      </t>
  </si>
  <si>
    <t xml:space="preserve">Дно ящика LBX, корпус 700х400, чер      </t>
  </si>
  <si>
    <t xml:space="preserve">Дно ящика LBX, корпус 700х450, чер      </t>
  </si>
  <si>
    <t xml:space="preserve">Дно ящика LBX, корпус 700х500, чер      </t>
  </si>
  <si>
    <t xml:space="preserve">Дно ящика LBX, корпус 800х350, чер      </t>
  </si>
  <si>
    <t xml:space="preserve">Дно ящика LBX, корпус 800х400, чер      </t>
  </si>
  <si>
    <t xml:space="preserve">Дно ящика LBX, корпус 800х450, чер      </t>
  </si>
  <si>
    <t xml:space="preserve">Дно ящика LBX, корпус 800х500, чер      </t>
  </si>
  <si>
    <t xml:space="preserve">Дно ящика LBX, корпус 900х350, чер      </t>
  </si>
  <si>
    <t xml:space="preserve">Дно ящика LBX, корпус 900х400, чер      </t>
  </si>
  <si>
    <t xml:space="preserve">Дно ящика LBX, корпус 900х450, чер      </t>
  </si>
  <si>
    <t xml:space="preserve">Дно ящика LBX, корпус 900х500, чер      </t>
  </si>
  <si>
    <t xml:space="preserve">Дно ящика LBX, корпус 1000х350, чер     </t>
  </si>
  <si>
    <t xml:space="preserve">Дно ящика LBX, корпус 1000х400, чер     </t>
  </si>
  <si>
    <t xml:space="preserve">Дно ящика LBX, корпус 1000х450, чер     </t>
  </si>
  <si>
    <t xml:space="preserve">Дно ящика LBX, корпус 1000х500, чер     </t>
  </si>
  <si>
    <t xml:space="preserve">Дно ящика LBX, корпус 1200х350, чер     </t>
  </si>
  <si>
    <t xml:space="preserve">Дно ящика LBX, корпус 1200х400, чер     </t>
  </si>
  <si>
    <t xml:space="preserve">Дно ящика LBX, корпус 1200х450, чер     </t>
  </si>
  <si>
    <t xml:space="preserve">Дно ящика LBX, корпус 1200х500, чер     </t>
  </si>
  <si>
    <t xml:space="preserve">Дно ящика LBX, корпус 300х500, сер      </t>
  </si>
  <si>
    <t xml:space="preserve">Дно ящика LBX, корпус 400х350, сер      </t>
  </si>
  <si>
    <t xml:space="preserve">Дно ящика LBX, корпус 400х400, сер      </t>
  </si>
  <si>
    <t xml:space="preserve">Дно ящика LBX, корпус 400х450, сер      </t>
  </si>
  <si>
    <t xml:space="preserve">Дно ящика LBX, корпус 400х500, сер      </t>
  </si>
  <si>
    <t xml:space="preserve">Дно ящика LBX, корпус 450х350, сер      </t>
  </si>
  <si>
    <t xml:space="preserve">Дно ящика LBX, корпус 450х400, сер      </t>
  </si>
  <si>
    <t xml:space="preserve">Дно ящика LBX, корпус 450х450, сер      </t>
  </si>
  <si>
    <t xml:space="preserve">Дно ящика LBX, корпус 450х500, сер      </t>
  </si>
  <si>
    <t xml:space="preserve">Дно ящика LBX, корпус 500х350, сер      </t>
  </si>
  <si>
    <t xml:space="preserve">Дно ящика LBX, корпус 500х400, сер      </t>
  </si>
  <si>
    <t xml:space="preserve">Дно ящика LBX, корпус 500х450, сер      </t>
  </si>
  <si>
    <t xml:space="preserve">Дно ящика LBX, корпус 500х500, сер      </t>
  </si>
  <si>
    <t xml:space="preserve">Дно ящика LBX, корпус 600х350, сер      </t>
  </si>
  <si>
    <t xml:space="preserve">Дно ящика LBX, корпус 600х400, сер      </t>
  </si>
  <si>
    <t xml:space="preserve">Дно ящика LBX, корпус 600х450, сер      </t>
  </si>
  <si>
    <t xml:space="preserve">Дно ящика LBX, корпус 600х500, сер      </t>
  </si>
  <si>
    <t xml:space="preserve">Дно ящика LBX, корпус 700х350, сер      </t>
  </si>
  <si>
    <t xml:space="preserve">Дно ящика LBX, корпус 700х400, сер      </t>
  </si>
  <si>
    <t xml:space="preserve">Дно ящика LBX, корпус 700х450, сер      </t>
  </si>
  <si>
    <t xml:space="preserve">Дно ящика LBX, корпус 700х500, сер      </t>
  </si>
  <si>
    <t xml:space="preserve">Дно ящика LBX, корпус 800х350, сер      </t>
  </si>
  <si>
    <t xml:space="preserve">Дно ящика LBX, корпус 800х400, сер      </t>
  </si>
  <si>
    <t xml:space="preserve">Дно ящика LBX, корпус 800х450, сер      </t>
  </si>
  <si>
    <t xml:space="preserve">Дно ящика LBX, корпус 800х500, сер      </t>
  </si>
  <si>
    <t xml:space="preserve">Дно ящика LBX, корпус 900х350, сер      </t>
  </si>
  <si>
    <t xml:space="preserve">Дно ящика LBX, корпус 900х400, сер      </t>
  </si>
  <si>
    <t xml:space="preserve">Дно ящика LBX, корпус 900х450, сер      </t>
  </si>
  <si>
    <t xml:space="preserve">Дно ящика LBX, корпус 900х500, сер      </t>
  </si>
  <si>
    <t xml:space="preserve">Дно ящика LBX, корпус 1000х350, сер     </t>
  </si>
  <si>
    <t xml:space="preserve">Дно ящика LBX, корпус 1000х400, сер     </t>
  </si>
  <si>
    <t xml:space="preserve">Дно ящика LBX, корпус 1000х450, сер     </t>
  </si>
  <si>
    <t xml:space="preserve">Дно ящика LBX, корпус 1000х500, сер     </t>
  </si>
  <si>
    <t xml:space="preserve">Дно ящика LBX, корпус 1200х350, сер     </t>
  </si>
  <si>
    <t xml:space="preserve">Дно ящика LBX, корпус 1200х400, сер     </t>
  </si>
  <si>
    <t xml:space="preserve">Дно ящика LBX, корпус 1200х450, сер     </t>
  </si>
  <si>
    <t xml:space="preserve">Дно ящика LBX, корпус 1200х500, сер     </t>
  </si>
  <si>
    <t xml:space="preserve">Дно ящика LBX, корпус 300х500, бел      </t>
  </si>
  <si>
    <t xml:space="preserve">Дно ящика LBX, корпус 400х350, бел      </t>
  </si>
  <si>
    <t xml:space="preserve">Дно ящика LBX, корпус 400х400, бел      </t>
  </si>
  <si>
    <t xml:space="preserve">Дно ящика LBX, корпус 400х450, бел      </t>
  </si>
  <si>
    <t xml:space="preserve">Дно ящика LBX, корпус 400х500, бел      </t>
  </si>
  <si>
    <t xml:space="preserve">Дно ящика LBX, корпус 450х350, бел      </t>
  </si>
  <si>
    <t xml:space="preserve">Дно ящика LBX, корпус 450х400, бел      </t>
  </si>
  <si>
    <t xml:space="preserve">Дно ящика LBX, корпус 450х450, бел      </t>
  </si>
  <si>
    <t xml:space="preserve">Дно ящика LBX, корпус 450х500, бел      </t>
  </si>
  <si>
    <t xml:space="preserve">Дно ящика LBX, корпус 500х350, бел      </t>
  </si>
  <si>
    <t xml:space="preserve">Дно ящика LBX, корпус 500х400, бел      </t>
  </si>
  <si>
    <t xml:space="preserve">Дно ящика LBX, корпус 500х450, бел      </t>
  </si>
  <si>
    <t xml:space="preserve">Дно ящика LBX, корпус 500х500, бел      </t>
  </si>
  <si>
    <t xml:space="preserve">Дно ящика LBX, корпус 600х350, бел      </t>
  </si>
  <si>
    <t xml:space="preserve">Дно ящика LBX, корпус 600х400, бел      </t>
  </si>
  <si>
    <t xml:space="preserve">Дно ящика LBX, корпус 600х450, бел      </t>
  </si>
  <si>
    <t xml:space="preserve">Дно ящика LBX, корпус 600х500, бел      </t>
  </si>
  <si>
    <t xml:space="preserve">Дно ящика LBX, корпус 700х350, бел      </t>
  </si>
  <si>
    <t xml:space="preserve">Дно ящика LBX, корпус 700х400, бел      </t>
  </si>
  <si>
    <t xml:space="preserve">Дно ящика LBX, корпус 700х450, бел      </t>
  </si>
  <si>
    <t xml:space="preserve">Дно ящика LBX, корпус 700х500, бел      </t>
  </si>
  <si>
    <t xml:space="preserve">Дно ящика LBX, корпус 800х350, бел      </t>
  </si>
  <si>
    <t xml:space="preserve">Дно ящика LBX, корпус 800х400, бел      </t>
  </si>
  <si>
    <t xml:space="preserve">Дно ящика LBX, корпус 800х450, бел      </t>
  </si>
  <si>
    <t xml:space="preserve">Дно ящика LBX, корпус 800х500, бел      </t>
  </si>
  <si>
    <t xml:space="preserve">Дно ящика LBX, корпус 900х350, бел      </t>
  </si>
  <si>
    <t xml:space="preserve">Дно ящика LBX, корпус 900х400, бел      </t>
  </si>
  <si>
    <t xml:space="preserve">Дно ящика LBX, корпус 900х450, бел      </t>
  </si>
  <si>
    <t xml:space="preserve">Дно ящика LBX, корпус 900х500, бел      </t>
  </si>
  <si>
    <t xml:space="preserve">Дно ящика LBX, корпус 1000х350, бел     </t>
  </si>
  <si>
    <t xml:space="preserve">Дно ящика LBX, корпус 1000х400, бел     </t>
  </si>
  <si>
    <t xml:space="preserve">Дно ящика LBX, корпус 1000х450, бел     </t>
  </si>
  <si>
    <t xml:space="preserve">Дно ящика LBX, корпус 1000х500, бел     </t>
  </si>
  <si>
    <t xml:space="preserve">Дно ящика LBX, корпус 1200х350, бел     </t>
  </si>
  <si>
    <t xml:space="preserve">Дно ящика LBX, корпус 1200х400, бел     </t>
  </si>
  <si>
    <t xml:space="preserve">Дно ящика LBX, корпус 1200х450, бел     </t>
  </si>
  <si>
    <t xml:space="preserve">Дно ящика LBX, корпус 1200х500, бел     </t>
  </si>
  <si>
    <t xml:space="preserve">Clip Top, Подкладка, 84M3107            </t>
  </si>
  <si>
    <t xml:space="preserve">MPL CLIP, подъем 3 мм, б/в  173L6130    </t>
  </si>
  <si>
    <t xml:space="preserve">MPL CLIP, подъем 3 мм, с/в  173L8130    </t>
  </si>
  <si>
    <t xml:space="preserve">MPL CLIP, подъем 0 мм, б/в  173L6100    </t>
  </si>
  <si>
    <t xml:space="preserve">CLIP, Петля вкл, 100 гр 71M2750         </t>
  </si>
  <si>
    <t xml:space="preserve">MPL CLIP, с эксцентр. 173H7100          </t>
  </si>
  <si>
    <t xml:space="preserve">MPL CLIP, Экспандо 174H710ZE            </t>
  </si>
  <si>
    <t xml:space="preserve">CLIP top, Заглушка без лого 70.1503     </t>
  </si>
  <si>
    <t xml:space="preserve">CLIP top, Петля накл, 107гр 75T1550     </t>
  </si>
  <si>
    <t xml:space="preserve">CLIP top, Петля вкл, 107гр, 75T1750     </t>
  </si>
  <si>
    <t xml:space="preserve">CLIP top, Петля накл, 120гр 71T5550     </t>
  </si>
  <si>
    <t xml:space="preserve">MPL CLIP, подъем 0 мм, с/в  173L8100    </t>
  </si>
  <si>
    <t xml:space="preserve">CLIP top, Петля смежн, 170гр 71T6650    </t>
  </si>
  <si>
    <t xml:space="preserve">CLIP top, Петля накл, 170гр 71T6550     </t>
  </si>
  <si>
    <t xml:space="preserve">CLIP top, Д/проф дв, смежн 71T9650      </t>
  </si>
  <si>
    <t xml:space="preserve">CLIP top, угл. петля 15+  79A9454.T     </t>
  </si>
  <si>
    <t xml:space="preserve">CLIP top, Петля накл, 30+  79A9456.T    </t>
  </si>
  <si>
    <t xml:space="preserve">CLIP top, угл. петля 45+  79A9458.T     </t>
  </si>
  <si>
    <t xml:space="preserve">CLIP top, Петля 45+, тип I 79A9658      </t>
  </si>
  <si>
    <t xml:space="preserve">CLIP top, Петля 45+,тип II 79T5550      </t>
  </si>
  <si>
    <t xml:space="preserve">CLIP top, Загл. на чашку 70T1504        </t>
  </si>
  <si>
    <t xml:space="preserve">MPL CLIP, подъем 6 мм, б/в  175H9160    </t>
  </si>
  <si>
    <t xml:space="preserve">MPL Clip CRISTALLO, д/прикл,175M4C20    </t>
  </si>
  <si>
    <t xml:space="preserve">Саморез 3,5х15мм, 609.1500              </t>
  </si>
  <si>
    <t xml:space="preserve">CLIP top, МИНИ, +20  79A0555.T          </t>
  </si>
  <si>
    <t xml:space="preserve">CLIP top, МИНИ, +45А  79A0558.T         </t>
  </si>
  <si>
    <t xml:space="preserve">CLIP top, Д/стекл.дв, накл. 75Т4100     </t>
  </si>
  <si>
    <t xml:space="preserve">CLIP top, Д/стекл.дв, смежн. 75Т4200    </t>
  </si>
  <si>
    <t xml:space="preserve">CLIP top, Д/стекл.дв. +20, 79A4105.T    </t>
  </si>
  <si>
    <t xml:space="preserve">MPL CLIP, подъем 0 мм, с/в 175L8100     </t>
  </si>
  <si>
    <t xml:space="preserve">CLIP top, Inserta, 15- 79A5493BT        </t>
  </si>
  <si>
    <t xml:space="preserve">CLIP top, Inserta, 45+  79A9698BT       </t>
  </si>
  <si>
    <t xml:space="preserve">MPL CLIP, подъем 9 мм, с/в  175L8190    </t>
  </si>
  <si>
    <t xml:space="preserve">MPL CLIP, подъем 9 мм, б/в 175H7190     </t>
  </si>
  <si>
    <t xml:space="preserve">CLIP, Петля накл, 100 гр 71M2550        </t>
  </si>
  <si>
    <t xml:space="preserve">CLIP, Петля смежн, 100 гр 71M2650       </t>
  </si>
  <si>
    <t xml:space="preserve">CLIP top, Петля смежн 155гр 71T7600N    </t>
  </si>
  <si>
    <t xml:space="preserve">CLIP top, Петля накл 155гр 71T7500N     </t>
  </si>
  <si>
    <t xml:space="preserve">CLIP top, Петля накл, 110гр, 71T3550    </t>
  </si>
  <si>
    <t xml:space="preserve">CLIP top, Петля вкл, 110гр, 71T3750     </t>
  </si>
  <si>
    <t xml:space="preserve">CLIP top BM, Петля накл, 45- 79B3450    </t>
  </si>
  <si>
    <t xml:space="preserve">CLIP top BM, Петля накл, 30- 79B3451    </t>
  </si>
  <si>
    <t xml:space="preserve">CLIP top BM, Петля накл, 15- 79B3453    </t>
  </si>
  <si>
    <t xml:space="preserve">CLIP top BM, Петля накл, 15+ 79B9454    </t>
  </si>
  <si>
    <t xml:space="preserve">CLIP top BM, Петля накл, 20+ 79B9555    </t>
  </si>
  <si>
    <t xml:space="preserve">CLIP top BM, Петля накл, 30+ 79B9556    </t>
  </si>
  <si>
    <t>CLIP top BM, Петля д/проф дв смеж71B9650</t>
  </si>
  <si>
    <t xml:space="preserve">MDL, Загл. с лого сталь, лев 90M2603    </t>
  </si>
  <si>
    <t xml:space="preserve">MDL, Петля накл, 170 гр. 91A6550        </t>
  </si>
  <si>
    <t xml:space="preserve">MDL, Петля п/фальшпан б/пр 98M9550      </t>
  </si>
  <si>
    <t xml:space="preserve">MDL, Петля накл, 100 гр. 91M2550        </t>
  </si>
  <si>
    <t xml:space="preserve">MDL, Петля смежн, 100 гр.  91M2650      </t>
  </si>
  <si>
    <t xml:space="preserve">MDL, Петля вкл, 100 гр.  91M2750        </t>
  </si>
  <si>
    <t xml:space="preserve">MDL, Петля накл, под пресс 91M2580      </t>
  </si>
  <si>
    <t xml:space="preserve">MDL, Петля вкл, под пресс  91M2780      </t>
  </si>
  <si>
    <t xml:space="preserve">MDL, Петля п/фальшпан c BM. 99B9550     </t>
  </si>
  <si>
    <t xml:space="preserve">MPL MODUL, подъем 3 мм, С/В, 14/32      </t>
  </si>
  <si>
    <t xml:space="preserve">MPL MODUL, подъем 0 мм, с/в, 28/32      </t>
  </si>
  <si>
    <t xml:space="preserve">MPL MODUL, подъем 0 мм, с/в, 37/32      </t>
  </si>
  <si>
    <t xml:space="preserve">MPL MODUL, подъем 3 мм, с/в             </t>
  </si>
  <si>
    <t xml:space="preserve">MPL MODUL, подъем 0 мм, без винтов      </t>
  </si>
  <si>
    <t xml:space="preserve">MPL MODUL, подъем 3 мм, без винтов      </t>
  </si>
  <si>
    <t xml:space="preserve">Tip-on, коротк, черн, 956.1002          </t>
  </si>
  <si>
    <t xml:space="preserve">Tip-on, длин, бел, 956A1002             </t>
  </si>
  <si>
    <t xml:space="preserve">Tip-on, коротк, бел, 956.1002           </t>
  </si>
  <si>
    <t xml:space="preserve">Tip-on, коротк, сер, 956.1002           </t>
  </si>
  <si>
    <t xml:space="preserve">Tip-on, длин, сер, 956A1002             </t>
  </si>
  <si>
    <t xml:space="preserve">Tip-on, длин, черн, 956A1002            </t>
  </si>
  <si>
    <t xml:space="preserve">SD, Flex привод, Z10C500A               </t>
  </si>
  <si>
    <t xml:space="preserve">BM, Пластина держателя 970.1201         </t>
  </si>
  <si>
    <t xml:space="preserve">BM, Держатель крест, б/в, 970.1501      </t>
  </si>
  <si>
    <t xml:space="preserve">BM, Держатель прямой, б/в, 970.1201     </t>
  </si>
  <si>
    <t xml:space="preserve">BM, Д/петли +30*, тип II, 973А7360      </t>
  </si>
  <si>
    <t xml:space="preserve">ВМ, Д/петли 170*, 973А6000              </t>
  </si>
  <si>
    <t xml:space="preserve">BM, Д/петли Cristallo, 973A9000         </t>
  </si>
  <si>
    <t xml:space="preserve">ВМ, Д/петли полунакладной, 973А0600     </t>
  </si>
  <si>
    <t xml:space="preserve">ВМ, Д/петли вкладной, 973А0700          </t>
  </si>
  <si>
    <t xml:space="preserve">ВМ, Д/петли накладной, 973A0500.01      </t>
  </si>
  <si>
    <t xml:space="preserve">BM, Д/петли +45*, тип I, 973A7480       </t>
  </si>
  <si>
    <t xml:space="preserve">BM, Д/петли +45*, тип II, 973A7680      </t>
  </si>
  <si>
    <t xml:space="preserve">ВМ, Д/петли 155*, 973А7000              </t>
  </si>
  <si>
    <t>2060031/</t>
  </si>
  <si>
    <t>CLIP top, Петля накл 155 гр, б/пруж, чер</t>
  </si>
  <si>
    <t xml:space="preserve">CT BM, Петля вкл, 110гр, 71B3750 чер    </t>
  </si>
  <si>
    <t>7957485/</t>
  </si>
  <si>
    <t>CLIP top BM, Петля накл 110, п/пресс,чер</t>
  </si>
  <si>
    <t>9136174/</t>
  </si>
  <si>
    <t>CLIP top,Петля д/пр дв,б/пр п/п накл,чер</t>
  </si>
  <si>
    <t>9229448/</t>
  </si>
  <si>
    <t>CLIP top, Загл. б/лого сталь 70.1503 чер</t>
  </si>
  <si>
    <t xml:space="preserve">ВМ, Д/петли 155*, 973А7000 чер          </t>
  </si>
  <si>
    <t xml:space="preserve">AVS HK-S, Cиловой мех-м 20K2C01.02      </t>
  </si>
  <si>
    <t xml:space="preserve">AVS HK-XS, Крепл к корп, 20K5101        </t>
  </si>
  <si>
    <t xml:space="preserve">AVS HK-XS,  Cиловой мех-м,  20K1501     </t>
  </si>
  <si>
    <t>1680048/</t>
  </si>
  <si>
    <t xml:space="preserve">AVS HK-S, Загл. осн. т-сер. пр. 20K8A01 </t>
  </si>
  <si>
    <t xml:space="preserve">AVS HL, Рычаг правый 20L3801.06         </t>
  </si>
  <si>
    <t xml:space="preserve">AVS HF, Блумоушен темносерый            </t>
  </si>
  <si>
    <t>2434552/</t>
  </si>
  <si>
    <t>AVS HK, Загл. осн. т-сер. лев.20K8001.02</t>
  </si>
  <si>
    <t xml:space="preserve">AVS HL, Рычаг левый 20L3901.06          </t>
  </si>
  <si>
    <t xml:space="preserve">AVS HK-S, Держ фасада алю, прав         </t>
  </si>
  <si>
    <t xml:space="preserve">AVS HK-S, Держ фасада алю, лев          </t>
  </si>
  <si>
    <t>3848590/</t>
  </si>
  <si>
    <t>AVS HL, Загл. осн. т-сер. лев.20L8001.02</t>
  </si>
  <si>
    <t xml:space="preserve">AVS HL, Рычаг правый 20L3201.06         </t>
  </si>
  <si>
    <t>4562357/</t>
  </si>
  <si>
    <t xml:space="preserve">AVS HF, Загл. осн. т-сер. пр. 20F8001   </t>
  </si>
  <si>
    <t xml:space="preserve">AVS HF, Блумоушен платино-серый         </t>
  </si>
  <si>
    <t xml:space="preserve">AVS HK-S, Cиловой мех-м 20K2A01.02      </t>
  </si>
  <si>
    <t>4706791/</t>
  </si>
  <si>
    <t>AVS HL, Загл. осн. т-сер. пр. 20L8001.02</t>
  </si>
  <si>
    <t>5200921/</t>
  </si>
  <si>
    <t xml:space="preserve">AVS HS, Загл. осн. т-сер. пр. 20S8001   </t>
  </si>
  <si>
    <t xml:space="preserve">AVS HS, Рычаг правый 20S3501.06         </t>
  </si>
  <si>
    <t xml:space="preserve">AVS HL, Рычаг левый 20L3801.06          </t>
  </si>
  <si>
    <t xml:space="preserve">AVS HF,HL,HS,Загл кр, бел 20F9001       </t>
  </si>
  <si>
    <t xml:space="preserve">AVS HF, Рычаг, h=480-570мм (7588308)    </t>
  </si>
  <si>
    <t xml:space="preserve">AVS HF, Рычаг, h=560-710мм (2034079)    </t>
  </si>
  <si>
    <t xml:space="preserve">AVS HF, Загл. осн. бел. лев. 20F8001    </t>
  </si>
  <si>
    <t xml:space="preserve">AVS HF, Загл. осн. сер. лев. 20F8001    </t>
  </si>
  <si>
    <t xml:space="preserve">AVS HL, Рычаг правый 20L3501.06         </t>
  </si>
  <si>
    <t xml:space="preserve">AVS HS, Держат стабилизатора (СНЯТ)     </t>
  </si>
  <si>
    <t xml:space="preserve">AVS HS, Загл. осн. бел. лев. 20S8001    </t>
  </si>
  <si>
    <t xml:space="preserve">AVS HS, Загл. осн. сер. лев. 20S8001    </t>
  </si>
  <si>
    <t xml:space="preserve">AVS HS, Рычаг лев. 20S3501 (9007203)    </t>
  </si>
  <si>
    <t xml:space="preserve">AVS HK-S, Держ фасада узк алю, кмп      </t>
  </si>
  <si>
    <t xml:space="preserve">AVS HF, Блумоушен черн (замена)         </t>
  </si>
  <si>
    <t xml:space="preserve">AVS HF, Блумоушен св. сер               </t>
  </si>
  <si>
    <t xml:space="preserve">AVS HK, Блумоушен желтый                </t>
  </si>
  <si>
    <t xml:space="preserve">AVS HK, Блумоушен фиолет                </t>
  </si>
  <si>
    <t>7470973/</t>
  </si>
  <si>
    <t>AVS HK-S, Загл. осн. т-сер. лев. 20K8A01</t>
  </si>
  <si>
    <t xml:space="preserve">AVS HK, Загл. с лого, лев 20K9001.BL    </t>
  </si>
  <si>
    <t xml:space="preserve">AVS HS, Рычаг левый 20S3501.06          </t>
  </si>
  <si>
    <t xml:space="preserve">AVS HF, Загл. осн. кор. лев. 20F8001    </t>
  </si>
  <si>
    <t xml:space="preserve">AVS HL, Держат стабилизатора (СНЯТ)     </t>
  </si>
  <si>
    <t xml:space="preserve">AVS HL, Стабилизатор, загл (4391429)    </t>
  </si>
  <si>
    <t>7873085/</t>
  </si>
  <si>
    <t>AVS HK, Загл. осн. т-сер. пр. 20K8001.02</t>
  </si>
  <si>
    <t xml:space="preserve">AVS HK-S, Cиловой мех-м 20K2E01.02      </t>
  </si>
  <si>
    <t xml:space="preserve">AVS HF, Блумоушен черн + адаптер        </t>
  </si>
  <si>
    <t xml:space="preserve">AVS HS, Загл. д/стабилиз. (8262749)     </t>
  </si>
  <si>
    <t>8477129/</t>
  </si>
  <si>
    <t xml:space="preserve">AVS HS, Загл. осн. т-сер. лев. 20S8001  </t>
  </si>
  <si>
    <t xml:space="preserve">AVS HK-XS,  Cиловой мех-м,  20K1101     </t>
  </si>
  <si>
    <t xml:space="preserve">AVS HK-S, Cиловой мех-м 20K2A01         </t>
  </si>
  <si>
    <t xml:space="preserve">AVS HK-S, Блумоушен синий               </t>
  </si>
  <si>
    <t xml:space="preserve">AVS HL, Рычаг правый 20L3901.06         </t>
  </si>
  <si>
    <t xml:space="preserve">AVS HK-XS,  Cиловой мех-м,  20K1301     </t>
  </si>
  <si>
    <t xml:space="preserve">AVS HL, Рычаг левый 20L3501.06          </t>
  </si>
  <si>
    <t>9585528/</t>
  </si>
  <si>
    <t xml:space="preserve">AVS HF, Загл. осн. т-сер. лев. 20F8001  </t>
  </si>
  <si>
    <t xml:space="preserve">AVS HL, Рычаг левый 20L3201.06          </t>
  </si>
  <si>
    <t xml:space="preserve">AVS SD, Держ. радиокнопки, белый        </t>
  </si>
  <si>
    <t xml:space="preserve">AVS SD, Держ. радиокнопки, серый        </t>
  </si>
  <si>
    <t xml:space="preserve">AVS HL, SD, Рычаг лев, 21L3801.01       </t>
  </si>
  <si>
    <t xml:space="preserve">AVS HL, SD, Рычаг левый 21L3201.01      </t>
  </si>
  <si>
    <t xml:space="preserve">AVS HS, SD, Рычаг левый 21S3501.01      </t>
  </si>
  <si>
    <t xml:space="preserve">AVS HL, SD, Рычаг левый 21L3501.01      </t>
  </si>
  <si>
    <t xml:space="preserve">AVS SD, Кнопка-переключатель, бел       </t>
  </si>
  <si>
    <t xml:space="preserve">AVS SD, Кнопка-переключатель, сер       </t>
  </si>
  <si>
    <t xml:space="preserve">AVS HF, SD, Привод                      </t>
  </si>
  <si>
    <t xml:space="preserve">AVS HF, SD, Загл. осн. бел. лев         </t>
  </si>
  <si>
    <t xml:space="preserve">AVS HF, SD, Загл. осн. сер. лев         </t>
  </si>
  <si>
    <t xml:space="preserve">AVS HL, SD, Загл. осн. бел. лев         </t>
  </si>
  <si>
    <t xml:space="preserve">AVS HL, SD, Загл. осн. сер. лев         </t>
  </si>
  <si>
    <t xml:space="preserve">AVS HS, SD, Загл. осн. бел. лев         </t>
  </si>
  <si>
    <t xml:space="preserve">AVS HS, SD, Загл. осн. сер. лев         </t>
  </si>
  <si>
    <t xml:space="preserve">AVS HL, SD, Держат стабилизат (СНЯТ)    </t>
  </si>
  <si>
    <t xml:space="preserve">AVS HS, SD, Рычаг, лев, (3508856)       </t>
  </si>
  <si>
    <t xml:space="preserve">AVS HS, SD, Рычаг правый 21S3501.01     </t>
  </si>
  <si>
    <t xml:space="preserve">AVS HK, SD, Загл. осн. бел. лев         </t>
  </si>
  <si>
    <t xml:space="preserve">AVS HK, SD, Загл. осн. сер. лев         </t>
  </si>
  <si>
    <t xml:space="preserve">AVS HK, SD, Привод, 21KA001             </t>
  </si>
  <si>
    <t xml:space="preserve">AVS HL, SD, Рычаг левый 21L3901.01      </t>
  </si>
  <si>
    <t xml:space="preserve">Aventos HF, механизмы 22, рычаги 35     </t>
  </si>
  <si>
    <t xml:space="preserve">Aventos HF, механизмы 22, рычаги 38     </t>
  </si>
  <si>
    <t xml:space="preserve">Aventos HF, механизмы 25, рычаги 38     </t>
  </si>
  <si>
    <t xml:space="preserve">Aventos HF, механизмы 25, рычаги 39     </t>
  </si>
  <si>
    <t xml:space="preserve">Aventos HF, механизмы 28, рычаги 38     </t>
  </si>
  <si>
    <t xml:space="preserve">Aventos HF, механизмы 28, рычаги 39     </t>
  </si>
  <si>
    <t xml:space="preserve">Aventos HK, механизмы 23                </t>
  </si>
  <si>
    <t xml:space="preserve">Aventos HK Tip-on, механизмы 23         </t>
  </si>
  <si>
    <t xml:space="preserve">Aventos HK, механизмы 25                </t>
  </si>
  <si>
    <t xml:space="preserve">Aventos HK Tip-on, механизмы 25         </t>
  </si>
  <si>
    <t xml:space="preserve">Aventos HK, механизмы 27                </t>
  </si>
  <si>
    <t xml:space="preserve">Aventos HK Tip-on, механизмы 27         </t>
  </si>
  <si>
    <t xml:space="preserve">Aventos HK, механизмы 29                </t>
  </si>
  <si>
    <t xml:space="preserve">Aventos HK Tip-on, механизмы 29         </t>
  </si>
  <si>
    <t xml:space="preserve">Aventos HK-S, механизмы 2C              </t>
  </si>
  <si>
    <t xml:space="preserve">Aventos HK-S Tip-on, механизмы 2C       </t>
  </si>
  <si>
    <t xml:space="preserve">Aventos HK-S, механизмы C+E             </t>
  </si>
  <si>
    <t xml:space="preserve">Aventos HK-S Tip-on, механизмы C+E      </t>
  </si>
  <si>
    <t xml:space="preserve">Aventos HK-S, механизмы 2E              </t>
  </si>
  <si>
    <t xml:space="preserve">Aventos HK-S Tip-on, механизмы 2E       </t>
  </si>
  <si>
    <t xml:space="preserve">Aventos HK-XS, механизм 11              </t>
  </si>
  <si>
    <t xml:space="preserve">Aventos HK-XS Tip-on, механизм 11       </t>
  </si>
  <si>
    <t xml:space="preserve">Aventos HK-XS, механизм 13              </t>
  </si>
  <si>
    <t xml:space="preserve">Aventos HK-XS Tip-on, механизм 13       </t>
  </si>
  <si>
    <t xml:space="preserve">Aventos HK-XS, механизм 15              </t>
  </si>
  <si>
    <t xml:space="preserve">Aventos HK-XS Tip-on, механизм 15       </t>
  </si>
  <si>
    <t xml:space="preserve">Aventos HS, механизмы А                 </t>
  </si>
  <si>
    <t xml:space="preserve">Aventos HS, механизмы B                 </t>
  </si>
  <si>
    <t xml:space="preserve">Aventos HS, механизмы C                 </t>
  </si>
  <si>
    <t xml:space="preserve">Aventos HS, механизмы D                 </t>
  </si>
  <si>
    <t xml:space="preserve">Aventos HS, механизмы E                 </t>
  </si>
  <si>
    <t xml:space="preserve">Aventos HS, механизмы F                 </t>
  </si>
  <si>
    <t xml:space="preserve">Aventos HS, механизмы G                 </t>
  </si>
  <si>
    <t xml:space="preserve">Aventos HS, механизмы H                 </t>
  </si>
  <si>
    <t xml:space="preserve">Aventos HS, механизмы I                 </t>
  </si>
  <si>
    <t xml:space="preserve">ZBH, Угломер Пифагор,  65.5810.01       </t>
  </si>
  <si>
    <t xml:space="preserve">ZBH, Огран. глуб. сверл.  65.0593       </t>
  </si>
  <si>
    <t xml:space="preserve">ZBH, Огран. глуб. сверл. ZML.0035.01    </t>
  </si>
  <si>
    <t xml:space="preserve">ZBH, Огран. глуб. сверл. ZML.0036.01    </t>
  </si>
  <si>
    <t xml:space="preserve">ZBH, Ручка, запчасть для станка         </t>
  </si>
  <si>
    <t xml:space="preserve">ZBH, Опора удл. линейки MP, MZV.2000    </t>
  </si>
  <si>
    <t xml:space="preserve">ZBH, Матр. п/крест.план, MZM.0061.01    </t>
  </si>
  <si>
    <t xml:space="preserve">ZBH, Матр.с шип.к TBX N, ZML.3510       </t>
  </si>
  <si>
    <t xml:space="preserve">ZBH, Шаблон д/зазора TBX, 65.5627       </t>
  </si>
  <si>
    <t xml:space="preserve">ZBH, Матрица к штанг конд Т65.5010      </t>
  </si>
  <si>
    <t xml:space="preserve">ZBH, Упор к линейке, прав, MZS.2000     </t>
  </si>
  <si>
    <t xml:space="preserve">ZBH, Упор к линейке, лев, MZS.2000      </t>
  </si>
  <si>
    <t xml:space="preserve">ZBH, Б/съемн. патрон,пр,MZF.1020        </t>
  </si>
  <si>
    <t xml:space="preserve">ZBH, Защитная маска для станка          </t>
  </si>
  <si>
    <t xml:space="preserve">ZBH, Сверло 35x30мм, прав, M01.ZB35     </t>
  </si>
  <si>
    <t xml:space="preserve">ZBH, Станок PRO-CENTER, M65.2000        </t>
  </si>
  <si>
    <t xml:space="preserve">ZBH, Отвертка BLUM, TORX20              </t>
  </si>
  <si>
    <t xml:space="preserve">ZBH, Шаблон под фас.эксц.к Tandem       </t>
  </si>
  <si>
    <t xml:space="preserve">ZBH, Муфта, кольцо "мама"(снят)         </t>
  </si>
  <si>
    <t xml:space="preserve">ZBH, Держ плана наладки M54.2117        </t>
  </si>
  <si>
    <t xml:space="preserve">ZBH, Забивка для кр.фас.ZSF.1800        </t>
  </si>
  <si>
    <t xml:space="preserve">ZBH, Штуцер для MINIPRESS P             </t>
  </si>
  <si>
    <t xml:space="preserve">ZBH, Отвертка BLUM, крест               </t>
  </si>
  <si>
    <t xml:space="preserve">ZBH, Экодрилл, M31.1000                 </t>
  </si>
  <si>
    <t xml:space="preserve">ZBH, Сверло 8 мм для Экодрели           </t>
  </si>
  <si>
    <t xml:space="preserve">ZBH, Отвертка BLUM, шлиц                </t>
  </si>
  <si>
    <t xml:space="preserve">ZBH, Шаблон д/отв. планок, 65.5070      </t>
  </si>
  <si>
    <t xml:space="preserve">ZBH, Штанга для Boxfix E-L              </t>
  </si>
  <si>
    <t xml:space="preserve">ZBH, Шаблон д/зазора LBX, 65.5630       </t>
  </si>
  <si>
    <t xml:space="preserve">ZBH, Матр.с шип.к MBX N, ZML.1510       </t>
  </si>
  <si>
    <t xml:space="preserve">ZBH, Матр.с шип.к TBX+рел ZML.3600      </t>
  </si>
  <si>
    <t xml:space="preserve">ZBH, Шаблон BM д/дв, 65.5000            </t>
  </si>
  <si>
    <t xml:space="preserve">ZBH, Матр.с шип.к TBX 80кг, ZML.3520    </t>
  </si>
  <si>
    <t xml:space="preserve">ZBH, Матр.с шип.к TBX M,K, ZML.3580     </t>
  </si>
  <si>
    <t xml:space="preserve">ZBH, Центральный вал Minipress P        </t>
  </si>
  <si>
    <t xml:space="preserve">ZBH, Сверло 8x57мм, лев, M01.ZB08.03    </t>
  </si>
  <si>
    <t xml:space="preserve">ZBH, Сверло, D2.7 мм, M01.ZZB3          </t>
  </si>
  <si>
    <t xml:space="preserve">ZBH, Линейка 953мм, к Pro- MZL.2080     </t>
  </si>
  <si>
    <t xml:space="preserve">ZBH, Чемоданчик DYNAMIC-SPACE PK-003    </t>
  </si>
  <si>
    <t xml:space="preserve">ZBH, Шаблон д/Md, 65.9510               </t>
  </si>
  <si>
    <t xml:space="preserve">ZBH, Отвертка BLUM, TORX20 L=100 мм.    </t>
  </si>
  <si>
    <t xml:space="preserve">ZBH, Раб. стол, MZA.1000                </t>
  </si>
  <si>
    <t xml:space="preserve">ZBH, Упор откидной, MP, MZS.1000        </t>
  </si>
  <si>
    <t xml:space="preserve">ZBH, Матр. п/прям.план, MZM.0050        </t>
  </si>
  <si>
    <t xml:space="preserve">ZBH, Матр. п/стяжки 40.0Х, MZM.0070     </t>
  </si>
  <si>
    <t xml:space="preserve">ZBH, Матр. п/стяжки-полк MZM.0075       </t>
  </si>
  <si>
    <t xml:space="preserve">ZBH, Зажимной рычаг                     </t>
  </si>
  <si>
    <t xml:space="preserve">ZBH, Зажимной рычаг M30.A320            </t>
  </si>
  <si>
    <t xml:space="preserve">ZBH, Цент. линейка к Minipress 60см     </t>
  </si>
  <si>
    <t xml:space="preserve">ZBH, Линейка 1250мм, к MР, MZL.2500     </t>
  </si>
  <si>
    <t xml:space="preserve">ZBH, Удл.лин 1250мм к MР, MZL.1250      </t>
  </si>
  <si>
    <t xml:space="preserve">ZBH, BOXFIX M д/сборки TBX, ZMM.3350    </t>
  </si>
  <si>
    <t xml:space="preserve">ZBH, Сверло 3x57мм, лев, M01.ZB03.03    </t>
  </si>
  <si>
    <t xml:space="preserve">ZBH, Сверло 5x57мм, лев, M01.ZB05.03    </t>
  </si>
  <si>
    <t xml:space="preserve">ZBH, Матр. п/стяжки 42.07, MZM.0077     </t>
  </si>
  <si>
    <t xml:space="preserve">ZBH, Матр. п/навески, MZM.0078          </t>
  </si>
  <si>
    <t xml:space="preserve">ZBH, Шаблон д/силовых м-мов, 65.5020    </t>
  </si>
  <si>
    <t xml:space="preserve">ZBH, Угломер ПИФАГОР, 65.5810           </t>
  </si>
  <si>
    <t xml:space="preserve">ZBH, Шаблон BM д/дв у петли 65.5010     </t>
  </si>
  <si>
    <t xml:space="preserve">ZBH, Шаблон д/угл. держат, ZML.0010     </t>
  </si>
  <si>
    <t xml:space="preserve">ZBH, Шаблон д/задн ст  LBX, ZML.7000    </t>
  </si>
  <si>
    <t xml:space="preserve">ZBH, Насадка шуруповерта крест №2       </t>
  </si>
  <si>
    <t xml:space="preserve">ZBH, Устройство фиксации MZE.1300       </t>
  </si>
  <si>
    <t xml:space="preserve">ZBH, Шаблон д/стяжки, 65.5040           </t>
  </si>
  <si>
    <t xml:space="preserve">ZBH, Фильтр, запчасть для станка        </t>
  </si>
  <si>
    <t xml:space="preserve">ZBH, Шаблон д/дист амортиз, ZML.1090    </t>
  </si>
  <si>
    <t xml:space="preserve">ZBH, Сверло 20мм, правое, дл. 57мм      </t>
  </si>
  <si>
    <t xml:space="preserve">ZBH, Забивка для стяжки, ZME.0420       </t>
  </si>
  <si>
    <t xml:space="preserve">ZBH, Набор шпинделей для MINIPRESS      </t>
  </si>
  <si>
    <t xml:space="preserve">ZBH, Чемоданчик DYNAMIC-SPACE /5        </t>
  </si>
  <si>
    <t xml:space="preserve">ZBH, Чемоданчик DYNAMIC-SPACE /6        </t>
  </si>
  <si>
    <t xml:space="preserve">ZBH, Шаблон д/разм.рел.MBX, ZML.805S    </t>
  </si>
  <si>
    <t xml:space="preserve">ZBH, Шаблон, 65.1051   (9027621)        </t>
  </si>
  <si>
    <t xml:space="preserve">ZBH, Матрица д/штанг конд               </t>
  </si>
  <si>
    <t xml:space="preserve">ZBH, Чемодан д/гаражников PK-007        </t>
  </si>
  <si>
    <t xml:space="preserve">ZBH, Угломер Пифагор,  65.5810.02       </t>
  </si>
  <si>
    <t xml:space="preserve">ZBH, Линейка, регулир по глубине        </t>
  </si>
  <si>
    <t xml:space="preserve">ZBH, Втулка для Экодрилла M31.1044      </t>
  </si>
  <si>
    <t xml:space="preserve">ZBH, Шт.кондукт. NEW 65.1000.01         </t>
  </si>
  <si>
    <t xml:space="preserve">ZBH. фиксатор для станка, M30.1301      </t>
  </si>
  <si>
    <t xml:space="preserve">ZBH, Матрица д/всех петель MZM.0040     </t>
  </si>
  <si>
    <t xml:space="preserve">ZBH, Муфта, кольцо ("мама") M51P0303    </t>
  </si>
  <si>
    <t xml:space="preserve">ZBH, Шаблон д/радиодатчика M31.2000     </t>
  </si>
  <si>
    <t xml:space="preserve">ZBH, 8-шп. гол. к M,P (снята)           </t>
  </si>
  <si>
    <t xml:space="preserve">ZBH, Шкала с держ M53.0222              </t>
  </si>
  <si>
    <t xml:space="preserve">ZBH, Шланг д/выдува опилок              </t>
  </si>
  <si>
    <t xml:space="preserve">Забивка для любых петель, ZME.0710      </t>
  </si>
  <si>
    <t xml:space="preserve">ZBH, Напорный клапан для Minipress P    </t>
  </si>
  <si>
    <t xml:space="preserve">ZBH, Клапан для станка Minipress P      </t>
  </si>
  <si>
    <t xml:space="preserve">ZBH, Мотор 3x230/400V с муфт            </t>
  </si>
  <si>
    <t xml:space="preserve">Набор кернеров для ZML.0040             </t>
  </si>
  <si>
    <t xml:space="preserve">Еврошуруп 6 х 13мм                      </t>
  </si>
  <si>
    <t xml:space="preserve">Еврошуруп 6х14,5мм                      </t>
  </si>
  <si>
    <t xml:space="preserve">Ст-трапец п/саморез, отв.ч,40.2020      </t>
  </si>
  <si>
    <t xml:space="preserve">Муфта, диам. сверл 10 мм, 80.3532       </t>
  </si>
  <si>
    <t xml:space="preserve">Заглушка ст-полкод, св беж, 41.5400     </t>
  </si>
  <si>
    <t xml:space="preserve">Заглушка полкодерж.черная.    41.5400   </t>
  </si>
  <si>
    <t xml:space="preserve">Заглушка ст-полкод, бел, 41.5400        </t>
  </si>
  <si>
    <t xml:space="preserve">Заглушка ст-полкод, кор, 41.5400        </t>
  </si>
  <si>
    <t xml:space="preserve">Стяжка-полкодерж. черная  40.4001       </t>
  </si>
  <si>
    <t xml:space="preserve">Евровинт стяжки-п. 6х14,5, 653.1450     </t>
  </si>
  <si>
    <t xml:space="preserve">Корпусн стяжка трапец кор 40.0600N      </t>
  </si>
  <si>
    <t xml:space="preserve">Заглушка полкодерж.белая.    41.5400    </t>
  </si>
  <si>
    <t xml:space="preserve">Заглушка полкодерж.корич.   41.5400     </t>
  </si>
  <si>
    <t xml:space="preserve">Корпусн стяжка кругл бел 40.0500N       </t>
  </si>
  <si>
    <t xml:space="preserve">Корпусн стяжка кругл кор 40.0500N       </t>
  </si>
  <si>
    <t xml:space="preserve">Корпусн стяжка (шуруп)  42.0720         </t>
  </si>
  <si>
    <t xml:space="preserve">CABLOXX, Фиксатор, пр.                  </t>
  </si>
  <si>
    <t xml:space="preserve">Пластм. втулка 17,7мм,   41.1600.21     </t>
  </si>
  <si>
    <t xml:space="preserve">Пластм. втулка 11,5мм,   41.1100        </t>
  </si>
  <si>
    <t xml:space="preserve">CABLOXX, Блокирующая штанга, кмп.       </t>
  </si>
  <si>
    <t>7790918/</t>
  </si>
  <si>
    <t xml:space="preserve">CABLOXX, Ригель, черн, кмп.             </t>
  </si>
  <si>
    <t xml:space="preserve">CABLOXX, Ригель, серый орион, кмп.      </t>
  </si>
  <si>
    <t xml:space="preserve">TBX, Загл. с лого ARLONI, ZAA.330C      </t>
  </si>
  <si>
    <t xml:space="preserve">AVS HF, Заглушка круглая DELTA бел.     </t>
  </si>
  <si>
    <t xml:space="preserve">AVS HK, Загл. овал. DELTA, бел, прав    </t>
  </si>
  <si>
    <t xml:space="preserve">AVS HK, Заглушка Maria, лев 20K9001     </t>
  </si>
  <si>
    <t xml:space="preserve">AVS HF, Загл круглая Greta NEW          </t>
  </si>
  <si>
    <t xml:space="preserve">CLIP TOP Заглушка Mossman штамп.        </t>
  </si>
  <si>
    <t xml:space="preserve">AVS HF, Загл кругл Cоюз-меб 20F9001     </t>
  </si>
  <si>
    <t xml:space="preserve">AVS HK, Загл. Дельта+ лев 20K9001       </t>
  </si>
  <si>
    <t xml:space="preserve">AVS HF, Загл кругл Grosso 20F9001 ИЖ    </t>
  </si>
  <si>
    <t xml:space="preserve">AVS HF, Заглушка круглая Rio Mobili     </t>
  </si>
  <si>
    <t xml:space="preserve">TBX, Загл. с лого, Дельта+, ZAA.330C    </t>
  </si>
  <si>
    <t xml:space="preserve">AVS HK, Загл. Дельта+ прав 20K9001      </t>
  </si>
  <si>
    <t xml:space="preserve">AVS HF, Загл круглая Maria 20F9001      </t>
  </si>
  <si>
    <t xml:space="preserve">AVS HK, Загл. овал. DELTA, бел, лев     </t>
  </si>
  <si>
    <t xml:space="preserve">TBX, Загл. с лого Greta ZAA.330С NEW    </t>
  </si>
  <si>
    <t xml:space="preserve">CLIP top, Заглушка BRAVO                </t>
  </si>
  <si>
    <t xml:space="preserve">CLIP top, Заглушка Titan 70.1503U4D     </t>
  </si>
  <si>
    <t xml:space="preserve">CLIP top, Заглушка Girona, 70.1503      </t>
  </si>
  <si>
    <t xml:space="preserve">CLIP top, Заглушка ТРИО, 70.1503H2O     </t>
  </si>
  <si>
    <t xml:space="preserve">TBX, Загл. с лого Grosso, ZAA.330C      </t>
  </si>
  <si>
    <t xml:space="preserve">TBX, Загл. с лого эstetika, ZAA.330C    </t>
  </si>
  <si>
    <t xml:space="preserve">AVS HF, Загл кругл Greta Kitchen        </t>
  </si>
  <si>
    <t xml:space="preserve">AVS HK, Загл. Mossman лев 20K9001A5O    </t>
  </si>
  <si>
    <t xml:space="preserve">CLIP TOP Заглушка Дельта+ штамп, new    </t>
  </si>
  <si>
    <t xml:space="preserve">CLIP top, Заглушка Inlux,  70.1503      </t>
  </si>
  <si>
    <t xml:space="preserve">AVS HF, Загл кругл Grosso 20F9001       </t>
  </si>
  <si>
    <t xml:space="preserve">LBX, Заглушка с лого Mossman, нерж.     </t>
  </si>
  <si>
    <t xml:space="preserve">TBX-A, Загл. с лого BRAVO, бел, симм    </t>
  </si>
  <si>
    <t xml:space="preserve">AVS HK, Загл ов Giulia Novars, прав     </t>
  </si>
  <si>
    <t xml:space="preserve">CLIP top, Заглушка Greta 90M2503 NEW    </t>
  </si>
  <si>
    <t xml:space="preserve">AVS HK, Заглушка Maria, прав 20K9001    </t>
  </si>
  <si>
    <t xml:space="preserve">Бутылочница A200 TBX antaro,серая       </t>
  </si>
  <si>
    <t xml:space="preserve">Бутылочница A200 TBX antaro,белая       </t>
  </si>
  <si>
    <t xml:space="preserve">Новости Blum Россия                     </t>
  </si>
  <si>
    <t xml:space="preserve">Книга Форарльберг                       </t>
  </si>
  <si>
    <t xml:space="preserve">Демонстрационная модель Мovento         </t>
  </si>
  <si>
    <t xml:space="preserve">EP-246 Брошюра Ambia-Line               </t>
  </si>
  <si>
    <t xml:space="preserve">PO-075 Постер Space Tower               </t>
  </si>
  <si>
    <t xml:space="preserve">PO-083 Постер EASY ASSEMBLY             </t>
  </si>
  <si>
    <t xml:space="preserve">EP-257 Брошюра SD flex                  </t>
  </si>
  <si>
    <t xml:space="preserve">EP-201 Каталог Orga-line для TBX        </t>
  </si>
  <si>
    <t xml:space="preserve">Инструкция по сборке EP-195             </t>
  </si>
  <si>
    <t xml:space="preserve">POS100003 Настольная стойка A3 SD       </t>
  </si>
  <si>
    <t xml:space="preserve">DV-040 Каталог Legrabox (Pure+Free)     </t>
  </si>
  <si>
    <t xml:space="preserve">Ручка шариковая оранжевая               </t>
  </si>
  <si>
    <t xml:space="preserve">EP-334/1 Справочная информация          </t>
  </si>
  <si>
    <t xml:space="preserve">Новости Blum                            </t>
  </si>
  <si>
    <t xml:space="preserve">PM-014 Презентационная модель CTBM      </t>
  </si>
  <si>
    <t xml:space="preserve">Флаг Blum                               </t>
  </si>
  <si>
    <t xml:space="preserve">Настольный планер Blum 2017             </t>
  </si>
  <si>
    <t xml:space="preserve">Фонарик LED                             </t>
  </si>
  <si>
    <t xml:space="preserve">MP-002 Папка Blum                       </t>
  </si>
  <si>
    <t xml:space="preserve">Лента для бейджа                        </t>
  </si>
  <si>
    <t xml:space="preserve">EP-150 Каталог CTBM "Всё внутри"        </t>
  </si>
  <si>
    <t xml:space="preserve">Часы куб Blum                           </t>
  </si>
  <si>
    <t xml:space="preserve">POS-25 SERVO-DRIVE для AVENTOS          </t>
  </si>
  <si>
    <t xml:space="preserve">Набор бит Blum                          </t>
  </si>
  <si>
    <t xml:space="preserve">Рулетка Blum, 3 м.                      </t>
  </si>
  <si>
    <t xml:space="preserve">Визитница "Midnight"                    </t>
  </si>
  <si>
    <t xml:space="preserve">KA-120/6RU-AT Каталог Blum              </t>
  </si>
  <si>
    <t xml:space="preserve">EP-196 Брошюра DYNAMIC SPACE            </t>
  </si>
  <si>
    <t xml:space="preserve">EP-237 Каталог Aventos HK-XS            </t>
  </si>
  <si>
    <t xml:space="preserve">POS120000 Стойка для брошюр             </t>
  </si>
  <si>
    <t xml:space="preserve">Эргонометр                              </t>
  </si>
  <si>
    <t xml:space="preserve">Демонстрационная модель МО-008          </t>
  </si>
  <si>
    <t xml:space="preserve">POS18000X Инф. куб HK-S, HK             </t>
  </si>
  <si>
    <t xml:space="preserve">Ручка Blum со шкалой                    </t>
  </si>
  <si>
    <t xml:space="preserve">Планнер настольный                      </t>
  </si>
  <si>
    <t xml:space="preserve">Каталог Блумоушен, EP-104               </t>
  </si>
  <si>
    <t xml:space="preserve">POS18000M Инф. куб DYNAMIC SPACE        </t>
  </si>
  <si>
    <t xml:space="preserve">Фонарик карманный                       </t>
  </si>
  <si>
    <t xml:space="preserve">Сумка спортивная                        </t>
  </si>
  <si>
    <t xml:space="preserve">POS18000Y Инф. куб HS, HL               </t>
  </si>
  <si>
    <t xml:space="preserve">Демонстрационная модель МО-009          </t>
  </si>
  <si>
    <t xml:space="preserve">EP-286 Брошюра Вдохновение на кухне     </t>
  </si>
  <si>
    <t xml:space="preserve">Рулетка Blum 5 м., см.                  </t>
  </si>
  <si>
    <t xml:space="preserve">EP-223 Книга Фурнитура Blum             </t>
  </si>
  <si>
    <t xml:space="preserve">EP-244 Брошюра SD для LBX и TBX         </t>
  </si>
  <si>
    <t xml:space="preserve">DV-040 Каталог Legrabox (pure+free)     </t>
  </si>
  <si>
    <t xml:space="preserve">Постер                                  </t>
  </si>
  <si>
    <t xml:space="preserve">Каталог Серво-драйв, EP-112             </t>
  </si>
  <si>
    <t xml:space="preserve">EP-250 Каталог LEGRABOX и AMBIA-LINE    </t>
  </si>
  <si>
    <t xml:space="preserve">POS030000 Пляжный флаг Blum             </t>
  </si>
  <si>
    <t xml:space="preserve">Инструкция по сборке                    </t>
  </si>
  <si>
    <t xml:space="preserve">Часы наручные Blum                      </t>
  </si>
  <si>
    <t xml:space="preserve">PO-062 Плакат TBX Antaro                </t>
  </si>
  <si>
    <t xml:space="preserve">Демонстр. модель AVS HK-XS, MO9275      </t>
  </si>
  <si>
    <t xml:space="preserve">FL-241 Флаер Legrabox                   </t>
  </si>
  <si>
    <t xml:space="preserve">Календарь 4 месяца                      </t>
  </si>
  <si>
    <t xml:space="preserve">PO-067 Плакат Aventos                   </t>
  </si>
  <si>
    <t xml:space="preserve">Пояс-сумка Blum                         </t>
  </si>
  <si>
    <t xml:space="preserve">Рулетка Blum, 5 м.                      </t>
  </si>
  <si>
    <t xml:space="preserve">KA-120/1DE-AT Каталог Blum              </t>
  </si>
  <si>
    <t xml:space="preserve">EP-204 Брошюра TANDEMBOX ANTARO         </t>
  </si>
  <si>
    <t xml:space="preserve">Часы наручные Blum оранжевые            </t>
  </si>
  <si>
    <t xml:space="preserve">Зонт карманный                          </t>
  </si>
  <si>
    <t xml:space="preserve">EP-356/1 RU-AL Брошюра INTERZUM         </t>
  </si>
  <si>
    <t xml:space="preserve">PO-050 Постер "Угловая программа"       </t>
  </si>
  <si>
    <t xml:space="preserve">Календарь Blum                          </t>
  </si>
  <si>
    <t xml:space="preserve">Инструкция по сборке EP-265             </t>
  </si>
  <si>
    <t xml:space="preserve">Весы кухонные Blum                      </t>
  </si>
  <si>
    <t xml:space="preserve">Ежедневник Blum 2017                    </t>
  </si>
  <si>
    <t xml:space="preserve">Календарь Blum 2017 EN                  </t>
  </si>
  <si>
    <t xml:space="preserve">Чемодан Blum                            </t>
  </si>
  <si>
    <t xml:space="preserve">Салфетка MICROFIBER BLUM                </t>
  </si>
  <si>
    <t xml:space="preserve">Инструкция по сборке общая КА-090       </t>
  </si>
  <si>
    <t xml:space="preserve">Флаг Blum, малый                        </t>
  </si>
  <si>
    <t xml:space="preserve">Каталог Тип-он Тандембокс, EP-137       </t>
  </si>
  <si>
    <t xml:space="preserve">Каталог Тип-он для дверей, EP-122       </t>
  </si>
  <si>
    <t xml:space="preserve">Портфолио Blum, оранж.                  </t>
  </si>
  <si>
    <t xml:space="preserve">EP-191 брошюра Legrabox                 </t>
  </si>
  <si>
    <t xml:space="preserve">Инструкция по сборке EP-201             </t>
  </si>
  <si>
    <t xml:space="preserve">Каталог Авентос, EP-138                 </t>
  </si>
  <si>
    <t xml:space="preserve">Карандаш автоматический                 </t>
  </si>
  <si>
    <t xml:space="preserve">Ручка шариковая                         </t>
  </si>
  <si>
    <t xml:space="preserve">Рулетка, 3 м.                           </t>
  </si>
  <si>
    <t xml:space="preserve">Рулетка, 5 м.                           </t>
  </si>
  <si>
    <t xml:space="preserve">Ежедневник Blum, черный                 </t>
  </si>
  <si>
    <t xml:space="preserve">Промо, наклейка                         </t>
  </si>
  <si>
    <t xml:space="preserve">POS 061025 Clip top BM                  </t>
  </si>
  <si>
    <t xml:space="preserve">Информационный куб TBX+ ВМ              </t>
  </si>
  <si>
    <t xml:space="preserve">POS-103 Настольный баннер ящики         </t>
  </si>
  <si>
    <t xml:space="preserve">POS-106 Настольный баннер AVS           </t>
  </si>
  <si>
    <t xml:space="preserve">POS090006 Рекламная стойка, Blum        </t>
  </si>
  <si>
    <t xml:space="preserve">ZBH, Чемоданчик с приспособлениями      </t>
  </si>
  <si>
    <t xml:space="preserve">EP-234 Каталог Tip-on для дверей        </t>
  </si>
  <si>
    <t xml:space="preserve">POS300000 Наклейка на двери длинная     </t>
  </si>
  <si>
    <t xml:space="preserve">Календарь Blum 2017                     </t>
  </si>
  <si>
    <t xml:space="preserve">PO-076 Постер "Применение LEGRABOX"     </t>
  </si>
  <si>
    <t xml:space="preserve">POS161000 Воблер Blum-Logo 5 шт.        </t>
  </si>
  <si>
    <t xml:space="preserve">Стикер                                  </t>
  </si>
  <si>
    <t xml:space="preserve">POS172000 Наклейка SERVO-DRIVE 20 шт    </t>
  </si>
  <si>
    <t xml:space="preserve">POS173000 наклейка Blumotion 20 шт.     </t>
  </si>
  <si>
    <t xml:space="preserve">POS174000 наклейка TIP-ON 20 шт.        </t>
  </si>
  <si>
    <t xml:space="preserve">Демонстрационная модель МО-007          </t>
  </si>
  <si>
    <t xml:space="preserve">Инструкция по сборке EP-167             </t>
  </si>
  <si>
    <t xml:space="preserve">Информационный куб                      </t>
  </si>
  <si>
    <t xml:space="preserve">Брошюра ТВХ+ наполнение                 </t>
  </si>
  <si>
    <t xml:space="preserve">EP-206/3 Брошюра Aventos                </t>
  </si>
  <si>
    <t xml:space="preserve">POS-материал 320002                     </t>
  </si>
  <si>
    <t xml:space="preserve">EP-260 Каталог Tip-on Blumotion         </t>
  </si>
  <si>
    <t xml:space="preserve">Календарь настенный Blum                </t>
  </si>
  <si>
    <t xml:space="preserve">CTBM, Презентационная модель, PM-007    </t>
  </si>
  <si>
    <t xml:space="preserve">ZBH, Чемоданчик c приспособлениями      </t>
  </si>
  <si>
    <t xml:space="preserve">FO-081/1 Фолдер Tip-on BM               </t>
  </si>
  <si>
    <t xml:space="preserve">FO-019 буклет Ambia-Line                </t>
  </si>
  <si>
    <t xml:space="preserve">Рюкзак                                  </t>
  </si>
  <si>
    <t xml:space="preserve">EP-185 Альбом Направляющие Movento      </t>
  </si>
  <si>
    <t xml:space="preserve">Suit-case DYNAMIC-SPACE                 </t>
  </si>
  <si>
    <t xml:space="preserve">Флэш-карта USB                          </t>
  </si>
  <si>
    <t xml:space="preserve">Часы механические                       </t>
  </si>
  <si>
    <t xml:space="preserve">FL-223 Раскладка LBX заглушки с ЛОГО    </t>
  </si>
  <si>
    <t xml:space="preserve">Ручка Blum World, серая                 </t>
  </si>
  <si>
    <t xml:space="preserve">Инструкция по сборке EP-181             </t>
  </si>
  <si>
    <t xml:space="preserve">POS280000 Набор плакатов                </t>
  </si>
  <si>
    <t xml:space="preserve">POS18000Z Инф. куб HF, SD для AVS       </t>
  </si>
  <si>
    <t xml:space="preserve">EP-283 Брошюра CABLOXX                  </t>
  </si>
  <si>
    <t xml:space="preserve">FO-044 Каталог EASY ASSEMBLY            </t>
  </si>
  <si>
    <t xml:space="preserve">Презентационный чемодан Интиво          </t>
  </si>
  <si>
    <t xml:space="preserve">PO-062/2 Постер ANTARO                  </t>
  </si>
  <si>
    <t xml:space="preserve">POS165000 Воблер Руки заняты 5 шт.      </t>
  </si>
  <si>
    <t xml:space="preserve">Модуль Servo drive Flex                 </t>
  </si>
  <si>
    <t xml:space="preserve">SD, Настольный стенд, со стойкой        </t>
  </si>
  <si>
    <t xml:space="preserve">Ежедневник Blum                         </t>
  </si>
  <si>
    <t xml:space="preserve">Держатель скрепок                       </t>
  </si>
  <si>
    <t xml:space="preserve">Записной набор Blum                     </t>
  </si>
  <si>
    <t xml:space="preserve">POS-материал 310005                     </t>
  </si>
  <si>
    <t xml:space="preserve">POS271000 наклейка DYNAMIC SPACE        </t>
  </si>
  <si>
    <t xml:space="preserve">EP-264 Брошюра Space Tower              </t>
  </si>
  <si>
    <t xml:space="preserve">FL-249 Флаер Space Tower                </t>
  </si>
  <si>
    <t xml:space="preserve">POS18000V Инф. куб CT BM, Tip-on        </t>
  </si>
  <si>
    <t xml:space="preserve">EP-227 Каталог Интерфейсы к DYNAPLAN    </t>
  </si>
  <si>
    <t xml:space="preserve">Пластиковый экран, плита                </t>
  </si>
  <si>
    <t xml:space="preserve">Пластиковый экран, раковина             </t>
  </si>
  <si>
    <t xml:space="preserve">Панель из ДСП для стенда                </t>
  </si>
  <si>
    <t xml:space="preserve">Демо-модуль CTBM 110 град.              </t>
  </si>
  <si>
    <t xml:space="preserve">Запасная часть стенда                   </t>
  </si>
  <si>
    <t xml:space="preserve">Коробка коричневая                      </t>
  </si>
  <si>
    <t xml:space="preserve">Наклейка белая                          </t>
  </si>
  <si>
    <t xml:space="preserve">Наклейка серая                          </t>
  </si>
  <si>
    <t xml:space="preserve">Инструкция                              </t>
  </si>
  <si>
    <t xml:space="preserve">Дно 478х93 мм, белый шёлк               </t>
  </si>
  <si>
    <t xml:space="preserve">Дно 478х93 мм, серый, RAL9006           </t>
  </si>
  <si>
    <t xml:space="preserve">Наклейка белая с буквой Ф               </t>
  </si>
  <si>
    <t xml:space="preserve">Наклейка серая с буквой Ф               </t>
  </si>
  <si>
    <t xml:space="preserve">Коробка коричневая с лого Фиера         </t>
  </si>
  <si>
    <t xml:space="preserve">Картон для упаковки направляющих        </t>
  </si>
  <si>
    <t xml:space="preserve">Инструкция бутылочница Movento          </t>
  </si>
  <si>
    <t xml:space="preserve">Наклейка R                              </t>
  </si>
  <si>
    <t xml:space="preserve">Наклейка L                              </t>
  </si>
  <si>
    <t xml:space="preserve">Этикетка TBX500M1i                      </t>
  </si>
  <si>
    <t xml:space="preserve">Этикетка TBX500D1i                      </t>
  </si>
  <si>
    <t xml:space="preserve">Инструкция TBX                          </t>
  </si>
  <si>
    <t xml:space="preserve">Инструкция TBX antaro                   </t>
  </si>
  <si>
    <t xml:space="preserve">Этикетка TBA500M2I                      </t>
  </si>
  <si>
    <t xml:space="preserve">Этикетка TBA500D2I                      </t>
  </si>
  <si>
    <t xml:space="preserve">Инструкция LBX                          </t>
  </si>
  <si>
    <t xml:space="preserve">Этикетка LBX500N2E                      </t>
  </si>
  <si>
    <t xml:space="preserve">Этикетка LBX500N1E                      </t>
  </si>
  <si>
    <t xml:space="preserve">Этикетка LBX500N3E                      </t>
  </si>
  <si>
    <t xml:space="preserve">Этикетка LBX500M2E                      </t>
  </si>
  <si>
    <t xml:space="preserve">Этикетка LBX500M1E                      </t>
  </si>
  <si>
    <t xml:space="preserve">Этикетка LBX500M3E                      </t>
  </si>
  <si>
    <t xml:space="preserve">Этикетка LBX500C2E                      </t>
  </si>
  <si>
    <t xml:space="preserve">Этикетка LBX500C1E                      </t>
  </si>
  <si>
    <t xml:space="preserve">Этикетка LBX500C3E                      </t>
  </si>
  <si>
    <t xml:space="preserve">Этикетка LBX500F2E                      </t>
  </si>
  <si>
    <t xml:space="preserve">Этикетка LBX500F1E                      </t>
  </si>
  <si>
    <t xml:space="preserve">Этикетка LBX500F3E                      </t>
  </si>
  <si>
    <t xml:space="preserve">Саморез с полукруглой головой 4х15      </t>
  </si>
  <si>
    <t xml:space="preserve">Пакет с замком 80х60 мм.                </t>
  </si>
  <si>
    <t xml:space="preserve">Дверца шкафчика                         </t>
  </si>
  <si>
    <t xml:space="preserve">Подключение воздуха L-STECKVERS         </t>
  </si>
  <si>
    <t xml:space="preserve">Картонная вставка 691                   </t>
  </si>
  <si>
    <t xml:space="preserve">Картонная вставка 688                   </t>
  </si>
  <si>
    <t xml:space="preserve">TBX, Загл. без лого, сер, пр.           </t>
  </si>
  <si>
    <t xml:space="preserve">TBX, Загл. без лого, сер, лев.          </t>
  </si>
  <si>
    <t xml:space="preserve">Пакетик с замком 6х8 мм                 </t>
  </si>
  <si>
    <t xml:space="preserve">Справочная информация Blum RU           </t>
  </si>
  <si>
    <t xml:space="preserve">Картонная вставка 686                   </t>
  </si>
  <si>
    <t xml:space="preserve">Картонная вставка 687                   </t>
  </si>
  <si>
    <t xml:space="preserve">Винт 4,2x15мм, 618.1500                 </t>
  </si>
  <si>
    <t xml:space="preserve">Пружинный фиксатор 148 х 64 мм          </t>
  </si>
  <si>
    <t xml:space="preserve">Дюбель д.5мм l.=15мм, 174E610-02.03     </t>
  </si>
  <si>
    <t xml:space="preserve">Винты для крепл п/п ZIF.70MO            </t>
  </si>
  <si>
    <t xml:space="preserve">Картонная вставка 690                   </t>
  </si>
  <si>
    <t xml:space="preserve">Картонная вставка 676                   </t>
  </si>
  <si>
    <t xml:space="preserve">Картонная вставка 685                   </t>
  </si>
  <si>
    <t xml:space="preserve">TBX, Царги ALNO, 83/500 мм, кмп         </t>
  </si>
  <si>
    <t xml:space="preserve">Картонная вставка 678                   </t>
  </si>
  <si>
    <t xml:space="preserve">Пакетик с креплениями                   </t>
  </si>
  <si>
    <t xml:space="preserve">Гофрокартон 316 OT                      </t>
  </si>
  <si>
    <t xml:space="preserve">Картонная вставка 677                   </t>
  </si>
  <si>
    <t xml:space="preserve">Наклейка Blum Quality                   </t>
  </si>
  <si>
    <t xml:space="preserve">SD-uno, кабель сетевой                  </t>
  </si>
  <si>
    <t xml:space="preserve">Фиксатор BS лев, пласт                  </t>
  </si>
  <si>
    <t xml:space="preserve">Фиксатор BS прав, пласт                 </t>
  </si>
  <si>
    <t xml:space="preserve">Модуль стенда Blum                      </t>
  </si>
  <si>
    <t xml:space="preserve">AVS, 20K2904.01 - ВМ с адапт, сер       </t>
  </si>
  <si>
    <t xml:space="preserve">ZBH, Станок Minipress P, M53.1050       </t>
  </si>
  <si>
    <t xml:space="preserve">AVS HF, Рычаг, h=700-900мм (7360602)    </t>
  </si>
  <si>
    <t xml:space="preserve">Гофрокартон 168 UT                      </t>
  </si>
  <si>
    <t xml:space="preserve">Гофрокартон 168 OT                      </t>
  </si>
  <si>
    <t xml:space="preserve">TD, Tip-on, запчасти, част выдв, лев    </t>
  </si>
  <si>
    <t xml:space="preserve">SD, Соединительный узел,(6803145)       </t>
  </si>
  <si>
    <t xml:space="preserve">Запасная часть                          </t>
  </si>
  <si>
    <t xml:space="preserve">Гофрокартон 358 UT                      </t>
  </si>
  <si>
    <t xml:space="preserve">Гофрокартон 358 OT                      </t>
  </si>
  <si>
    <t xml:space="preserve">Приспособление для монтажа              </t>
  </si>
  <si>
    <t xml:space="preserve">Гофрокартон 463 UT                      </t>
  </si>
  <si>
    <t xml:space="preserve">SMotion, фиксатор для механизма         </t>
  </si>
  <si>
    <t xml:space="preserve">AVS HK-S, Держ фасада ЗАМЕНА 1630587    </t>
  </si>
  <si>
    <t xml:space="preserve">AVS HS, SD, Привод, 21SA001             </t>
  </si>
  <si>
    <t xml:space="preserve">Запчасть к стенду                       </t>
  </si>
  <si>
    <t xml:space="preserve">TBX-A, Набор вставок №1                 </t>
  </si>
  <si>
    <t xml:space="preserve">TBX-A, Набор вставок №2                 </t>
  </si>
  <si>
    <t xml:space="preserve">TBX-A, Набор вставок №3                 </t>
  </si>
  <si>
    <t xml:space="preserve">Ящик LBX Free, C, 350 мм, бел.          </t>
  </si>
  <si>
    <t xml:space="preserve">Ящик LBX Free, C, 350 мм, сер.          </t>
  </si>
  <si>
    <t xml:space="preserve">Ящик LBX Free, C, 350 мм, черн.         </t>
  </si>
  <si>
    <t xml:space="preserve">Ящик LBX Free, C, 350 мм, кор.          </t>
  </si>
  <si>
    <t xml:space="preserve">Ящик LBX Pure, F, 350 мм, кор.          </t>
  </si>
  <si>
    <t xml:space="preserve">Move+, разделитель, белый               </t>
  </si>
  <si>
    <t xml:space="preserve">Move+, разделитель, серый               </t>
  </si>
  <si>
    <t xml:space="preserve">Move+, разделитель, черный              </t>
  </si>
  <si>
    <t xml:space="preserve">Move+, лоток 300/500, белый             </t>
  </si>
  <si>
    <t xml:space="preserve">Move+, лоток 300/500, черный            </t>
  </si>
  <si>
    <t xml:space="preserve">Move+, лоток 300/500, серый             </t>
  </si>
  <si>
    <t xml:space="preserve">Trend II, 300/450, белый глянец         </t>
  </si>
  <si>
    <t xml:space="preserve">Trend II, 300/450, белый мат            </t>
  </si>
  <si>
    <t xml:space="preserve">Trend II, 300/450, cерый мат            </t>
  </si>
  <si>
    <t xml:space="preserve">Trend II, 400/450, белый глянец         </t>
  </si>
  <si>
    <t xml:space="preserve">Trend II, 400/450, белый мат            </t>
  </si>
  <si>
    <t xml:space="preserve">Trend II, 400/450, cерый мат            </t>
  </si>
  <si>
    <t xml:space="preserve">Trend II, 450/450, белый глянец         </t>
  </si>
  <si>
    <t xml:space="preserve">Trend II, 450/450, белый мат            </t>
  </si>
  <si>
    <t xml:space="preserve">Trend II, 450/450, cерый мат            </t>
  </si>
  <si>
    <t xml:space="preserve">Trend II, 500/450, белый глянец         </t>
  </si>
  <si>
    <t xml:space="preserve">Trend II, 500/450, белый мат            </t>
  </si>
  <si>
    <t xml:space="preserve">Trend II, 500/450, cерый мат            </t>
  </si>
  <si>
    <t xml:space="preserve">Trend II, 600/450, белый глянец         </t>
  </si>
  <si>
    <t xml:space="preserve">Trend II, 600/450, белый мат            </t>
  </si>
  <si>
    <t xml:space="preserve">Trend II, 600/450, cерый мат            </t>
  </si>
  <si>
    <t xml:space="preserve">Trend II, 700/450, белый глянец         </t>
  </si>
  <si>
    <t xml:space="preserve">Trend II, 700/450, белый мат            </t>
  </si>
  <si>
    <t xml:space="preserve">Trend II, 700/450, cерый мат            </t>
  </si>
  <si>
    <t xml:space="preserve">Trend II, 800/450, белый глянец         </t>
  </si>
  <si>
    <t xml:space="preserve">Trend II, 800/450, белый мат            </t>
  </si>
  <si>
    <t xml:space="preserve">Trend II, 800/450, cерый мат            </t>
  </si>
  <si>
    <t xml:space="preserve">Trend II, 900/450, белый глянец         </t>
  </si>
  <si>
    <t xml:space="preserve">Trend II, 900/450, белый мат            </t>
  </si>
  <si>
    <t xml:space="preserve">Trend II, 900/450, cерый мат            </t>
  </si>
  <si>
    <t xml:space="preserve">Trend II, 300/500, белый глянец         </t>
  </si>
  <si>
    <t xml:space="preserve">Trend II, 300/500, белый мат            </t>
  </si>
  <si>
    <t xml:space="preserve">Trend II, 300/500, cерый мат            </t>
  </si>
  <si>
    <t xml:space="preserve">Trend II, 350/500, cерый мат            </t>
  </si>
  <si>
    <t xml:space="preserve">Trend II, 400/500, белый глянец         </t>
  </si>
  <si>
    <t xml:space="preserve">Trend II, 400/500, белый мат            </t>
  </si>
  <si>
    <t xml:space="preserve">Trend II, 400/500, cерый мат            </t>
  </si>
  <si>
    <t xml:space="preserve">Trend II, 450/500, белый глянец         </t>
  </si>
  <si>
    <t xml:space="preserve">Trend II, 450/500, белый мат            </t>
  </si>
  <si>
    <t xml:space="preserve">Trend II, 450/500, cерый мат            </t>
  </si>
  <si>
    <t xml:space="preserve">Trend II, 500/500, белый глянец         </t>
  </si>
  <si>
    <t xml:space="preserve">Trend II, 500/500, белый мат            </t>
  </si>
  <si>
    <t xml:space="preserve">Trend II, 500/500, cерый мат            </t>
  </si>
  <si>
    <t xml:space="preserve">Trend II, 600/500, белый глянец         </t>
  </si>
  <si>
    <t xml:space="preserve">Trend II, 600/500, белый мат            </t>
  </si>
  <si>
    <t xml:space="preserve">Trend II, 600/500, cерый мат            </t>
  </si>
  <si>
    <t xml:space="preserve">Trend II, 700/500, белый глянец         </t>
  </si>
  <si>
    <t xml:space="preserve">Trend II, 700/500, белый мат            </t>
  </si>
  <si>
    <t xml:space="preserve">Trend II, 700/500, cерый мат            </t>
  </si>
  <si>
    <t xml:space="preserve">Trend II, 800/500, белый глянец         </t>
  </si>
  <si>
    <t xml:space="preserve">Trend II, 800/500, белый мат            </t>
  </si>
  <si>
    <t xml:space="preserve">Trend II, 800/500, cерый мат            </t>
  </si>
  <si>
    <t xml:space="preserve">Trend II, 900/500, белый глянец         </t>
  </si>
  <si>
    <t xml:space="preserve">Trend II, 900/500, белый мат            </t>
  </si>
  <si>
    <t xml:space="preserve">Trend II, 900/500, cерый мат            </t>
  </si>
  <si>
    <t xml:space="preserve">Каталог продукции                       </t>
  </si>
  <si>
    <t xml:space="preserve">Каталог аксессуаров                     </t>
  </si>
  <si>
    <t xml:space="preserve">Брошюры Trend II                        </t>
  </si>
  <si>
    <t xml:space="preserve">Образцы новинок                         </t>
  </si>
  <si>
    <t xml:space="preserve">Брошюры AGO-System                      </t>
  </si>
  <si>
    <t>404696/</t>
  </si>
  <si>
    <t xml:space="preserve">Крепление к фасаду                      </t>
  </si>
  <si>
    <t>404697/</t>
  </si>
  <si>
    <t xml:space="preserve">Фиксатор                                </t>
  </si>
  <si>
    <t>404832/</t>
  </si>
  <si>
    <t xml:space="preserve">Запчасть к TopVol, накладка д/цоколя    </t>
  </si>
  <si>
    <t>405135/</t>
  </si>
  <si>
    <t xml:space="preserve">Запчасть к TopVol, клин                 </t>
  </si>
  <si>
    <t>4051350000/</t>
  </si>
  <si>
    <t>Ящик под плиту Top Volume, адаптер цокол</t>
  </si>
  <si>
    <t>405139/</t>
  </si>
  <si>
    <t xml:space="preserve">Адаптер                                 </t>
  </si>
  <si>
    <t>405140/</t>
  </si>
  <si>
    <t xml:space="preserve">Боковое крепление                       </t>
  </si>
  <si>
    <t>405158/</t>
  </si>
  <si>
    <t xml:space="preserve">Запчасть к TopVol, коническая насадка   </t>
  </si>
  <si>
    <t>405166/</t>
  </si>
  <si>
    <t xml:space="preserve">Запчасть к TopVol, цоколь               </t>
  </si>
  <si>
    <t>405171/</t>
  </si>
  <si>
    <t xml:space="preserve">Запчасть к TopVol, опора                </t>
  </si>
  <si>
    <t>40523800001/</t>
  </si>
  <si>
    <t>Ящик п/плиту Top Volume Blum S16, Н 220м</t>
  </si>
  <si>
    <t>405252/</t>
  </si>
  <si>
    <t xml:space="preserve">TopVolume2  H220 мм                     </t>
  </si>
  <si>
    <t>518-0228/</t>
  </si>
  <si>
    <t>Коврик против скольжения, серебр, пупырч</t>
  </si>
  <si>
    <t>518-0334/</t>
  </si>
  <si>
    <t xml:space="preserve">Коврик п/скольжения, черн, пупырч       </t>
  </si>
  <si>
    <t>518-0337/</t>
  </si>
  <si>
    <t xml:space="preserve">Коврик п/скольж, серебр, пупырч W423мм  </t>
  </si>
  <si>
    <t>518-0386/</t>
  </si>
  <si>
    <t xml:space="preserve">Коврик против скольжения, сер, рифл     </t>
  </si>
  <si>
    <t>518-0409/</t>
  </si>
  <si>
    <t>Коврик против скольжения, бел, рифл,W500</t>
  </si>
  <si>
    <t>518-0483/</t>
  </si>
  <si>
    <t xml:space="preserve">Коврик п/скольжения, бел, пупырч        </t>
  </si>
  <si>
    <t>518-0509/</t>
  </si>
  <si>
    <t xml:space="preserve">Коврик п/скольжения, черн, рифл         </t>
  </si>
  <si>
    <t>518-0650/</t>
  </si>
  <si>
    <t>Коврик п/скольз, бел, рифл, 474х25000 мм</t>
  </si>
  <si>
    <t>518-0651/</t>
  </si>
  <si>
    <t xml:space="preserve">Коврик п/скольз,св/сер,рифл,474х25000мм </t>
  </si>
  <si>
    <t>518-0652/</t>
  </si>
  <si>
    <t>Коврик п/скольз, бел, рифл, 424х25000 мм</t>
  </si>
  <si>
    <t>518-0653/</t>
  </si>
  <si>
    <t xml:space="preserve">Коврик п/скольз,св/сер,рифл,424х25000мм </t>
  </si>
  <si>
    <t>518–0663/</t>
  </si>
  <si>
    <t xml:space="preserve">Коврик п/скольз, сер,рифл,474х25000мм   </t>
  </si>
  <si>
    <t>518–0664/</t>
  </si>
  <si>
    <t xml:space="preserve">Коврик п/скольз, сер,рифл,424х25000мм   </t>
  </si>
  <si>
    <t>52/</t>
  </si>
  <si>
    <t xml:space="preserve">Держатель противоскользящего покрытия   </t>
  </si>
  <si>
    <t>520000101/</t>
  </si>
  <si>
    <t xml:space="preserve">Блок для ножей                          </t>
  </si>
  <si>
    <t>520000107/</t>
  </si>
  <si>
    <t>Calima, Перегородка буковая д/широких ящ</t>
  </si>
  <si>
    <t>5200210130/</t>
  </si>
  <si>
    <t xml:space="preserve">Вставка д/стол приб 400/450 сер мат     </t>
  </si>
  <si>
    <t>5200210140/</t>
  </si>
  <si>
    <t xml:space="preserve">Вставка д/стол приб 450/450 сер мат     </t>
  </si>
  <si>
    <t>5200210150/</t>
  </si>
  <si>
    <t xml:space="preserve">Вставка д/стол приб 500/450 сер мат     </t>
  </si>
  <si>
    <t>5200210170/</t>
  </si>
  <si>
    <t xml:space="preserve">Вставка д/стол приб 600/450 сер мат     </t>
  </si>
  <si>
    <t>5200210171/</t>
  </si>
  <si>
    <t xml:space="preserve">Вставка д/стол приб 600/450 бел мат     </t>
  </si>
  <si>
    <t>5200210230/</t>
  </si>
  <si>
    <t xml:space="preserve">Вставка д/стол приб 400/500 сер мат     </t>
  </si>
  <si>
    <t>5200210231/</t>
  </si>
  <si>
    <t xml:space="preserve">Вставка д/стол приб 400/500 бел мат     </t>
  </si>
  <si>
    <t>5200210240/</t>
  </si>
  <si>
    <t xml:space="preserve">Вставка д/стол приб 450/500 сер мат     </t>
  </si>
  <si>
    <t>5200210250/</t>
  </si>
  <si>
    <t xml:space="preserve">Вставка д/стол приб 500/500 сер мат     </t>
  </si>
  <si>
    <t>5200210270/</t>
  </si>
  <si>
    <t xml:space="preserve">Вставка д/стол приб 600/500 сер мат     </t>
  </si>
  <si>
    <t>5200210271/</t>
  </si>
  <si>
    <t xml:space="preserve">Вставка д/стол приб 600/500 бел мат     </t>
  </si>
  <si>
    <t>5200210480/</t>
  </si>
  <si>
    <t xml:space="preserve">Вставка д/стол приб 800/500 сер мат     </t>
  </si>
  <si>
    <t>5200210490/</t>
  </si>
  <si>
    <t xml:space="preserve">Вставка д/стол приб 900/500 сер мат     </t>
  </si>
  <si>
    <t>5200211491/</t>
  </si>
  <si>
    <t xml:space="preserve">Вставка дстол приб 900/450 бел гл       </t>
  </si>
  <si>
    <t>5200211492/</t>
  </si>
  <si>
    <t xml:space="preserve">Вставка дстол приб 900/500 бел гл       </t>
  </si>
  <si>
    <t>5200212130/</t>
  </si>
  <si>
    <t xml:space="preserve">Вставка дстол приб 400/450 сер мат тт   </t>
  </si>
  <si>
    <t>5200212140/</t>
  </si>
  <si>
    <t xml:space="preserve">Вставка дстол приб 450/450 сер мат тт   </t>
  </si>
  <si>
    <t>5200212141/</t>
  </si>
  <si>
    <t xml:space="preserve">Вставка дстол приб 450/450 бел мат тт   </t>
  </si>
  <si>
    <t>5200212150/</t>
  </si>
  <si>
    <t xml:space="preserve">Вставка дстол приб 500/450 сер мат тт   </t>
  </si>
  <si>
    <t>5200212151/</t>
  </si>
  <si>
    <t xml:space="preserve">Вставка дстол приб 500/450 бел мат тт   </t>
  </si>
  <si>
    <t>5200212170/</t>
  </si>
  <si>
    <t xml:space="preserve">Вставка дстол приб 600/450 сер мат тт   </t>
  </si>
  <si>
    <t>5200212211/</t>
  </si>
  <si>
    <t xml:space="preserve">Вставка дстол приб 300/500 сер мат тт   </t>
  </si>
  <si>
    <t>5200212231/</t>
  </si>
  <si>
    <t xml:space="preserve">Вставка дстол приб 400/500 сер мат тт   </t>
  </si>
  <si>
    <t>5200212241/</t>
  </si>
  <si>
    <t xml:space="preserve">Вставка дстол приб 450/500 сер мат тт   </t>
  </si>
  <si>
    <t>5200212242/</t>
  </si>
  <si>
    <t xml:space="preserve">Вставка дстол приб 450/500 бел мат тт   </t>
  </si>
  <si>
    <t>5200212250/</t>
  </si>
  <si>
    <t xml:space="preserve">Вставка дстол приб 500/500 бел мат тт   </t>
  </si>
  <si>
    <t>5200212251/</t>
  </si>
  <si>
    <t xml:space="preserve">Вставка дстол приб 500/500 сер мат тт   </t>
  </si>
  <si>
    <t>5200212270/</t>
  </si>
  <si>
    <t xml:space="preserve">Вставка дстол приб 600/500 сер мат тт   </t>
  </si>
  <si>
    <t>5200212271/</t>
  </si>
  <si>
    <t xml:space="preserve">Вставка дстол приб 600/500 бел мат тт   </t>
  </si>
  <si>
    <t>5200212480/</t>
  </si>
  <si>
    <t xml:space="preserve">Вставка дстол приб 800/450 сер мат тт   </t>
  </si>
  <si>
    <t>5200212481/</t>
  </si>
  <si>
    <t xml:space="preserve">Вставка дстол приб 800/500 сер мат тт   </t>
  </si>
  <si>
    <t>5200212482/</t>
  </si>
  <si>
    <t xml:space="preserve">Вставка дстол приб 800/500 бел мат тт   </t>
  </si>
  <si>
    <t>5200212483/</t>
  </si>
  <si>
    <t xml:space="preserve">Вставка дстол приб 800/450 бел мат тт   </t>
  </si>
  <si>
    <t>5200212490/</t>
  </si>
  <si>
    <t xml:space="preserve">Вставка дстол приб 900/450 сер мат тт   </t>
  </si>
  <si>
    <t>5200212491/</t>
  </si>
  <si>
    <t xml:space="preserve">Вставка дстол приб 900/450 бел мат тт   </t>
  </si>
  <si>
    <t>5200212492/</t>
  </si>
  <si>
    <t xml:space="preserve">Вставка дстол приб 900/500 сер мат тт   </t>
  </si>
  <si>
    <t>5200212493/</t>
  </si>
  <si>
    <t xml:space="preserve">Вставка дстол приб 900/500 бел мат тт   </t>
  </si>
  <si>
    <t>52002124M0/</t>
  </si>
  <si>
    <t xml:space="preserve">Вставка дстол приб 700/450 сер мат тт   </t>
  </si>
  <si>
    <t>52002124M1/</t>
  </si>
  <si>
    <t xml:space="preserve">Вставка дстол приб 700/450 бел мат тт   </t>
  </si>
  <si>
    <t>52002124M2/</t>
  </si>
  <si>
    <t xml:space="preserve">Вставка дстол приб 700/500 сер мат тт   </t>
  </si>
  <si>
    <t>52002124M3/</t>
  </si>
  <si>
    <t xml:space="preserve">Вставка дстол приб 700/500 бел мат тт   </t>
  </si>
  <si>
    <t>5200213130/</t>
  </si>
  <si>
    <t xml:space="preserve">Вставка дстол приб 400/450 бел гл       </t>
  </si>
  <si>
    <t>5200213140/</t>
  </si>
  <si>
    <t xml:space="preserve">Вставка дстол приб 450/450 бел гл       </t>
  </si>
  <si>
    <t>5200213150/</t>
  </si>
  <si>
    <t xml:space="preserve">Вставка дстол приб 500/450 бел гл       </t>
  </si>
  <si>
    <t>5200213170/</t>
  </si>
  <si>
    <t xml:space="preserve">Вставка д/стол приб 600/450 бел гл      </t>
  </si>
  <si>
    <t>5200213210/</t>
  </si>
  <si>
    <t xml:space="preserve">Вставка дстол приб 300/500 бел гл       </t>
  </si>
  <si>
    <t>5200213240/</t>
  </si>
  <si>
    <t xml:space="preserve">Вставка дстол приб 450/500 бел гл       </t>
  </si>
  <si>
    <t>5200213250/</t>
  </si>
  <si>
    <t xml:space="preserve">Вставка дстол приб 500/500 бел гл       </t>
  </si>
  <si>
    <t>5200213270/</t>
  </si>
  <si>
    <t xml:space="preserve">Вставка д/стол приб 600/500 бел гл      </t>
  </si>
  <si>
    <t>5200213480/</t>
  </si>
  <si>
    <t xml:space="preserve">Вставка д/стол приб 800/500 бел гл      </t>
  </si>
  <si>
    <t>5200213481/</t>
  </si>
  <si>
    <t xml:space="preserve">Вставка дстол приб 800/450 бел гл       </t>
  </si>
  <si>
    <t>5200213490/</t>
  </si>
  <si>
    <t xml:space="preserve">Вставка д/стол приб 900/500 бел гл      </t>
  </si>
  <si>
    <t>52002134M1/</t>
  </si>
  <si>
    <t xml:space="preserve">Вставка дстол приб 700/450 бел гл       </t>
  </si>
  <si>
    <t>52002134M2/</t>
  </si>
  <si>
    <t xml:space="preserve">Вставка дстол приб 700/500 бел гл       </t>
  </si>
  <si>
    <t>52002201124/</t>
  </si>
  <si>
    <t>Comfort, Вставка дстол приб 300/450  сер</t>
  </si>
  <si>
    <t>52002201319/</t>
  </si>
  <si>
    <t>Comfort, Вставка д/ст пр 400/450 бел/мат</t>
  </si>
  <si>
    <t>52002201333/</t>
  </si>
  <si>
    <t xml:space="preserve">Comfort, Вставка дстол приб 400/450 сер </t>
  </si>
  <si>
    <t>52002201415/</t>
  </si>
  <si>
    <t>Comfort, Вставка д/ст пр 450/450 бел/мат</t>
  </si>
  <si>
    <t>52002201426/</t>
  </si>
  <si>
    <t xml:space="preserve">Comfort, Вставка дстол приб 450/450 сер </t>
  </si>
  <si>
    <t>52002201528/</t>
  </si>
  <si>
    <t>Comfort, Вставка д/ст пр 500/450 бел/мат</t>
  </si>
  <si>
    <t>52002201548/</t>
  </si>
  <si>
    <t>Comfort, Вставка дстол приб 500/450  сер</t>
  </si>
  <si>
    <t>52002201718/</t>
  </si>
  <si>
    <t>Comfort, Вставка д/ст пр 600/450 бел/мат</t>
  </si>
  <si>
    <t>52002201737/</t>
  </si>
  <si>
    <t xml:space="preserve">Comfort, Вставка дстол приб 600/450 сер </t>
  </si>
  <si>
    <t>520022021112/</t>
  </si>
  <si>
    <t>Comfort, Вставка дстол приб 350/500  сер</t>
  </si>
  <si>
    <t>52002202186/</t>
  </si>
  <si>
    <t>Comfort, Вставка дстол приб 300/500  сер</t>
  </si>
  <si>
    <t>52002202365/</t>
  </si>
  <si>
    <t>Comfort, Вставка д/ст пр 400/500 бел/мат</t>
  </si>
  <si>
    <t>52002202391/</t>
  </si>
  <si>
    <t xml:space="preserve">Comfort, Вставка дстол приб 400/500 сер </t>
  </si>
  <si>
    <t>52002202469/</t>
  </si>
  <si>
    <t>Comfort, Вставка д/ст пр 450/500 бел/мат</t>
  </si>
  <si>
    <t>52002202493/</t>
  </si>
  <si>
    <t xml:space="preserve">Comfort, Вставка дстол приб 450/500 сер </t>
  </si>
  <si>
    <t>520022025108/</t>
  </si>
  <si>
    <t xml:space="preserve">Comfort, Вставка дстол приб 500/500 сер </t>
  </si>
  <si>
    <t>52002202579/</t>
  </si>
  <si>
    <t>Comfort, Вставка д/ст пр 500/500 бел/мат</t>
  </si>
  <si>
    <t>520022027106/</t>
  </si>
  <si>
    <t xml:space="preserve">Comfort, Вставка дстол приб 600/500 сер </t>
  </si>
  <si>
    <t>52002202777/</t>
  </si>
  <si>
    <t>Comfort, Вставка д/ст пр 600/500 бел/мат</t>
  </si>
  <si>
    <t>5200220480/</t>
  </si>
  <si>
    <t>Comfort, Вставка д/ст пр 800/500 бел/мат</t>
  </si>
  <si>
    <t>52002204817/</t>
  </si>
  <si>
    <t xml:space="preserve">Comfort, Вставка дстол приб 800/500 сер </t>
  </si>
  <si>
    <t>52002204934/</t>
  </si>
  <si>
    <t>Comfort, Вставка дстол приб 900/500  сер</t>
  </si>
  <si>
    <t>52002204955/</t>
  </si>
  <si>
    <t>Comfort, Вставка дстол приб 900/450  сер</t>
  </si>
  <si>
    <t>52002204958/</t>
  </si>
  <si>
    <t>Comfort, Вставка д/ст пр 900/450 бел/мат</t>
  </si>
  <si>
    <t>5200220496/</t>
  </si>
  <si>
    <t>Comfort, Вставка д/ст пр 900/500 бел/мат</t>
  </si>
  <si>
    <t>5200221134/</t>
  </si>
  <si>
    <t xml:space="preserve">Comfort, Вставка д/ст пр 400/450 бел/гл </t>
  </si>
  <si>
    <t>5200221143/</t>
  </si>
  <si>
    <t xml:space="preserve">Comfort, Вставка д/ст пр 450/450 бел/гл </t>
  </si>
  <si>
    <t>5200221154/</t>
  </si>
  <si>
    <t xml:space="preserve">Comfort, Вставка д/ст пр 500/450 бел/гл </t>
  </si>
  <si>
    <t>5200221175/</t>
  </si>
  <si>
    <t xml:space="preserve">Comfort, Вставка д/ст пр 600/450 бел/гл </t>
  </si>
  <si>
    <t>5200221233/</t>
  </si>
  <si>
    <t xml:space="preserve">Comfort, Вставка д/ст пр 400/500 бел/гл </t>
  </si>
  <si>
    <t>5200221243/</t>
  </si>
  <si>
    <t xml:space="preserve">Comfort, Вставка д/ст пр 450/500 бел/гл </t>
  </si>
  <si>
    <t>5200221253/</t>
  </si>
  <si>
    <t xml:space="preserve">Comfort, Вставка д/ст пр 500/500 бел/гл </t>
  </si>
  <si>
    <t>5200221273/</t>
  </si>
  <si>
    <t xml:space="preserve">Comfort, Вставка д/ст пр 600/500 бел/гл </t>
  </si>
  <si>
    <t>5200221481/</t>
  </si>
  <si>
    <t xml:space="preserve">Comfort, Вставка д/ст пр 800/500 бел/гл </t>
  </si>
  <si>
    <t>5200221491/</t>
  </si>
  <si>
    <t xml:space="preserve">Comfort, Вставка д/ст пр 900/500 бел/гл </t>
  </si>
  <si>
    <t>52002214919/</t>
  </si>
  <si>
    <t xml:space="preserve">Comfort, Вставка д/ст пр 900/450 бел/гл </t>
  </si>
  <si>
    <t>526012048/</t>
  </si>
  <si>
    <t>Contura, Вставка д/стол приб 800/450 сер</t>
  </si>
  <si>
    <t>52601204А/</t>
  </si>
  <si>
    <t>Contura, Вставка д/стол приб 900/450 сер</t>
  </si>
  <si>
    <t>5260220030/</t>
  </si>
  <si>
    <t>Contura, Вставка д/ст пр 400/450 бел/мат</t>
  </si>
  <si>
    <t>5260220034/</t>
  </si>
  <si>
    <t>Contura, Вставка дстол приб 400/450  сер</t>
  </si>
  <si>
    <t>5260220041/</t>
  </si>
  <si>
    <t>Contura, Вставка д/ст пр 450/450 бел/мат</t>
  </si>
  <si>
    <t>5260220044/</t>
  </si>
  <si>
    <t>Contura, Вставка дстол приб 450/450  сер</t>
  </si>
  <si>
    <t>5260220053/</t>
  </si>
  <si>
    <t>Contura, Вставка д/ст пр 500/450 бел/мат</t>
  </si>
  <si>
    <t>5260220054/</t>
  </si>
  <si>
    <t>Contura, Вставка дстол приб 500/450  сер</t>
  </si>
  <si>
    <t>5260220070/</t>
  </si>
  <si>
    <t>Contura, Вставка д/ст пр 600/450 бел/мат</t>
  </si>
  <si>
    <t>5260220075/</t>
  </si>
  <si>
    <t>Contura, Вставка дстол приб 600/450  сер</t>
  </si>
  <si>
    <t>5260220232/</t>
  </si>
  <si>
    <t>Contura, Вставка дстол приб 400/500  сер</t>
  </si>
  <si>
    <t>5260220235/</t>
  </si>
  <si>
    <t>Contura, Вставка д/ст пр 400/500 бел/мат</t>
  </si>
  <si>
    <t>5260220242/</t>
  </si>
  <si>
    <t>Contura, Вставка дстол приб 450/500  сер</t>
  </si>
  <si>
    <t>5260220247/</t>
  </si>
  <si>
    <t>Contura, Вставка д/ст пр 450/500 бел/мат</t>
  </si>
  <si>
    <t>5260220251/</t>
  </si>
  <si>
    <t>Contura, Вставка д/ст пр 500/500 бел/мат</t>
  </si>
  <si>
    <t>5260220253/</t>
  </si>
  <si>
    <t>Contura, Вставка дстол приб 500/500  сер</t>
  </si>
  <si>
    <t>52602202711/</t>
  </si>
  <si>
    <t>Contura, Вставка д/ст пр 600/500 бел/мат</t>
  </si>
  <si>
    <t>5260220273/</t>
  </si>
  <si>
    <t>Contura, Вставка дстол приб 600/500  сер</t>
  </si>
  <si>
    <t>5260220482/</t>
  </si>
  <si>
    <t>Contura, Вставка д/ст пр 800/500 бел/мат</t>
  </si>
  <si>
    <t>5260220483/</t>
  </si>
  <si>
    <t>Contura, Вставка дстол приб 800/500  сер</t>
  </si>
  <si>
    <t>52602204917/</t>
  </si>
  <si>
    <t>Contura, Вст д/ст пр 900/450 НЕ ПРОИЗВОД</t>
  </si>
  <si>
    <t>52602204918/</t>
  </si>
  <si>
    <t>Contura, Вставка д/ст пр 900/500 бел/мат</t>
  </si>
  <si>
    <t>5260220493/</t>
  </si>
  <si>
    <t>Contura, Вставка д/стол приб 900/500 сер</t>
  </si>
  <si>
    <t>5260221030/</t>
  </si>
  <si>
    <t xml:space="preserve">Contura, Вставка д/ст пр 400/450 бел/гл </t>
  </si>
  <si>
    <t>5260221040/</t>
  </si>
  <si>
    <t xml:space="preserve">Contura, Вставка д/ст пр 450/450 бел/гл </t>
  </si>
  <si>
    <t>5260221050/</t>
  </si>
  <si>
    <t>Contura, Вставка д/ст пр 500/450  бел/гл</t>
  </si>
  <si>
    <t>5260221070/</t>
  </si>
  <si>
    <t>Contura, Вставка д/ст пр 600/450  бел/гл</t>
  </si>
  <si>
    <t>5260221231/</t>
  </si>
  <si>
    <t xml:space="preserve">Contura, Вставка д/ст пр 400/500 бел/гл </t>
  </si>
  <si>
    <t>5260221241/</t>
  </si>
  <si>
    <t xml:space="preserve">Contura, Вставка д/ст пр 450/500 бел/гл </t>
  </si>
  <si>
    <t>5260221251/</t>
  </si>
  <si>
    <t xml:space="preserve">Contura, Вставка д/ст пр 500/500 бел/гл </t>
  </si>
  <si>
    <t>5260221271/</t>
  </si>
  <si>
    <t xml:space="preserve">Contura, Вставка д/ст пр 600/500 бел/гл </t>
  </si>
  <si>
    <t>5260221480/</t>
  </si>
  <si>
    <t xml:space="preserve">Contura, Вставка д/ст пр 800/500 бел/гл </t>
  </si>
  <si>
    <t>5260221491/</t>
  </si>
  <si>
    <t xml:space="preserve">Contura, Вставка д/ст пр 900/500 бел/гл </t>
  </si>
  <si>
    <t>5260221494/</t>
  </si>
  <si>
    <t>432010, УЛЬЯНОВСК , УЛ. ДЕЕВА, 22А
+7 (8422) 79 06 36
e-mail: ulyanovsk@fiera.ru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</si>
</sst>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-* #,##0.00&quot;р.&quot;_-;\-* #,##0.00&quot;р.&quot;_-;_-* &quot;-&quot;??&quot;р.&quot;_-;_-@_-"/>
    <numFmt numFmtId="165" formatCode="#,##0.0"/>
    <numFmt numFmtId="166" formatCode="0.0"/>
  </numFmts>
  <fonts count="124" x14ac:knownFonts="1">
    <font>
      <sz val="10"/>
      <name val="Arial Cyr"/>
      <charset val="204"/>
    </font>
    <font>
      <sz val="10"/>
      <name val="Arial Cyr"/>
      <charset val="204"/>
    </font>
    <font>
      <sz val="8"/>
      <name val="Arial Cyr"/>
      <charset val="204"/>
    </font>
    <font>
      <b/>
      <i/>
      <sz val="10"/>
      <name val="Arial Cyr"/>
      <charset val="204"/>
    </font>
    <font>
      <sz val="16"/>
      <name val="Arial Cyr"/>
      <charset val="204"/>
    </font>
    <font>
      <b/>
      <i/>
      <sz val="16"/>
      <name val="Arial Cyr"/>
      <charset val="204"/>
    </font>
    <font>
      <sz val="10"/>
      <name val="Arial Cyr"/>
      <charset val="204"/>
    </font>
    <font>
      <b/>
      <sz val="10"/>
      <name val="Arial Cyr"/>
      <charset val="204"/>
    </font>
    <font>
      <b/>
      <sz val="10"/>
      <name val="Arial"/>
      <family val="2"/>
      <charset val="204"/>
    </font>
    <font>
      <b/>
      <i/>
      <sz val="10"/>
      <color indexed="10"/>
      <name val="Arial Cyr"/>
      <charset val="204"/>
    </font>
    <font>
      <b/>
      <sz val="12"/>
      <color indexed="10"/>
      <name val="Arial Cyr"/>
      <charset val="204"/>
    </font>
    <font>
      <sz val="8"/>
      <name val="Arial Cyr"/>
      <family val="2"/>
      <charset val="204"/>
    </font>
    <font>
      <b/>
      <i/>
      <sz val="16"/>
      <name val="Arial"/>
      <family val="2"/>
      <charset val="204"/>
    </font>
    <font>
      <b/>
      <i/>
      <sz val="10"/>
      <name val="Arial"/>
      <family val="2"/>
      <charset val="204"/>
    </font>
    <font>
      <b/>
      <i/>
      <sz val="12"/>
      <name val="Arial"/>
      <family val="2"/>
      <charset val="204"/>
    </font>
    <font>
      <i/>
      <sz val="10"/>
      <name val="Arial Cyr"/>
      <charset val="204"/>
    </font>
    <font>
      <b/>
      <i/>
      <sz val="12"/>
      <name val="Arial Cyr"/>
      <charset val="204"/>
    </font>
    <font>
      <sz val="10"/>
      <color indexed="52"/>
      <name val="Arial Cyr"/>
      <charset val="204"/>
    </font>
    <font>
      <b/>
      <i/>
      <sz val="8"/>
      <name val="Arial Cyr"/>
      <charset val="204"/>
    </font>
    <font>
      <b/>
      <sz val="26"/>
      <name val="Arial Cyr"/>
      <charset val="204"/>
    </font>
    <font>
      <b/>
      <sz val="12"/>
      <name val="Arial Cyr"/>
      <charset val="204"/>
    </font>
    <font>
      <b/>
      <i/>
      <sz val="18"/>
      <name val="Arial Cyr"/>
      <charset val="204"/>
    </font>
    <font>
      <sz val="10"/>
      <color indexed="9"/>
      <name val="Arial Cyr"/>
      <charset val="204"/>
    </font>
    <font>
      <b/>
      <i/>
      <sz val="10"/>
      <color indexed="9"/>
      <name val="Arial Cyr"/>
      <charset val="204"/>
    </font>
    <font>
      <b/>
      <sz val="10"/>
      <color indexed="9"/>
      <name val="Arial Cyr"/>
      <charset val="204"/>
    </font>
    <font>
      <b/>
      <i/>
      <sz val="12"/>
      <color indexed="9"/>
      <name val="Arial Cyr"/>
      <charset val="204"/>
    </font>
    <font>
      <b/>
      <i/>
      <sz val="9"/>
      <color indexed="52"/>
      <name val="Arial Cyr"/>
      <charset val="204"/>
    </font>
    <font>
      <i/>
      <sz val="10"/>
      <color indexed="52"/>
      <name val="Arial Cyr"/>
      <charset val="204"/>
    </font>
    <font>
      <b/>
      <i/>
      <sz val="20"/>
      <color indexed="9"/>
      <name val="Arial Cyr"/>
      <charset val="204"/>
    </font>
    <font>
      <b/>
      <i/>
      <sz val="22"/>
      <color indexed="9"/>
      <name val="Arial Cyr"/>
      <charset val="204"/>
    </font>
    <font>
      <b/>
      <i/>
      <sz val="20"/>
      <color indexed="9"/>
      <name val="Arial"/>
      <family val="2"/>
      <charset val="204"/>
    </font>
    <font>
      <b/>
      <i/>
      <sz val="14"/>
      <name val="Arial Cyr"/>
      <charset val="204"/>
    </font>
    <font>
      <b/>
      <i/>
      <sz val="10"/>
      <color indexed="60"/>
      <name val="Arial Cyr"/>
      <charset val="204"/>
    </font>
    <font>
      <b/>
      <i/>
      <sz val="16"/>
      <color indexed="9"/>
      <name val="Arial Cyr"/>
      <charset val="204"/>
    </font>
    <font>
      <sz val="8"/>
      <color indexed="9"/>
      <name val="Arial Cyr"/>
      <charset val="204"/>
    </font>
    <font>
      <b/>
      <sz val="11"/>
      <color indexed="9"/>
      <name val="Arial Cyr"/>
      <charset val="204"/>
    </font>
    <font>
      <b/>
      <i/>
      <sz val="11"/>
      <color indexed="60"/>
      <name val="Arial Cyr"/>
      <charset val="204"/>
    </font>
    <font>
      <b/>
      <sz val="16"/>
      <name val="Arial Cyr"/>
      <charset val="204"/>
    </font>
    <font>
      <i/>
      <sz val="10"/>
      <color indexed="53"/>
      <name val="Arial Cyr"/>
      <charset val="204"/>
    </font>
    <font>
      <b/>
      <sz val="11"/>
      <name val="Arial Cyr"/>
      <charset val="204"/>
    </font>
    <font>
      <b/>
      <sz val="9"/>
      <name val="Arial Cyr"/>
      <charset val="204"/>
    </font>
    <font>
      <b/>
      <i/>
      <sz val="12"/>
      <color indexed="52"/>
      <name val="Arial Cyr"/>
      <charset val="204"/>
    </font>
    <font>
      <b/>
      <i/>
      <sz val="11"/>
      <color indexed="8"/>
      <name val="Arial Cyr"/>
      <charset val="204"/>
    </font>
    <font>
      <b/>
      <sz val="14"/>
      <name val="Arial Cyr"/>
      <charset val="204"/>
    </font>
    <font>
      <b/>
      <sz val="12"/>
      <color indexed="9"/>
      <name val="Arial Cyr"/>
      <charset val="204"/>
    </font>
    <font>
      <b/>
      <i/>
      <sz val="16"/>
      <color indexed="9"/>
      <name val="Arial"/>
      <family val="2"/>
      <charset val="204"/>
    </font>
    <font>
      <b/>
      <i/>
      <sz val="10"/>
      <color indexed="9"/>
      <name val="Arial"/>
      <family val="2"/>
      <charset val="204"/>
    </font>
    <font>
      <b/>
      <sz val="14"/>
      <color indexed="9"/>
      <name val="Arial Cyr"/>
      <charset val="204"/>
    </font>
    <font>
      <b/>
      <i/>
      <sz val="8"/>
      <name val="Arial"/>
      <family val="2"/>
      <charset val="204"/>
    </font>
    <font>
      <b/>
      <sz val="8"/>
      <name val="Arial Cyr"/>
      <charset val="204"/>
    </font>
    <font>
      <sz val="10"/>
      <name val="Arial Cyr"/>
      <charset val="204"/>
    </font>
    <font>
      <b/>
      <sz val="8"/>
      <name val="Arial"/>
      <family val="2"/>
      <charset val="204"/>
    </font>
    <font>
      <sz val="14"/>
      <name val="Arial Cyr"/>
      <charset val="204"/>
    </font>
    <font>
      <sz val="14"/>
      <color indexed="9"/>
      <name val="Arial Cyr"/>
      <charset val="204"/>
    </font>
    <font>
      <b/>
      <i/>
      <sz val="14"/>
      <name val="Arial"/>
      <family val="2"/>
      <charset val="204"/>
    </font>
    <font>
      <b/>
      <i/>
      <sz val="14"/>
      <color indexed="9"/>
      <name val="Arial"/>
      <family val="2"/>
      <charset val="204"/>
    </font>
    <font>
      <sz val="12"/>
      <name val="Arial Cyr"/>
      <charset val="204"/>
    </font>
    <font>
      <sz val="12"/>
      <color indexed="9"/>
      <name val="Arial Cyr"/>
      <charset val="204"/>
    </font>
    <font>
      <sz val="10"/>
      <color indexed="9"/>
      <name val="Arial"/>
      <family val="2"/>
      <charset val="204"/>
    </font>
    <font>
      <b/>
      <sz val="11"/>
      <color indexed="9"/>
      <name val="Arial"/>
      <family val="2"/>
      <charset val="204"/>
    </font>
    <font>
      <b/>
      <i/>
      <sz val="14"/>
      <color indexed="9"/>
      <name val="Arial Cyr"/>
      <charset val="204"/>
    </font>
    <font>
      <sz val="8"/>
      <name val="Arial"/>
      <family val="2"/>
      <charset val="204"/>
    </font>
    <font>
      <sz val="16"/>
      <color indexed="9"/>
      <name val="Arial Cyr"/>
      <charset val="204"/>
    </font>
    <font>
      <b/>
      <sz val="18"/>
      <color indexed="9"/>
      <name val="Arial Cyr"/>
      <charset val="204"/>
    </font>
    <font>
      <sz val="16"/>
      <color indexed="9"/>
      <name val="Arial"/>
      <family val="2"/>
      <charset val="204"/>
    </font>
    <font>
      <b/>
      <sz val="12"/>
      <color indexed="9"/>
      <name val="Arial"/>
      <family val="2"/>
      <charset val="204"/>
    </font>
    <font>
      <i/>
      <sz val="12"/>
      <name val="Arial Cyr"/>
      <charset val="204"/>
    </font>
    <font>
      <b/>
      <i/>
      <u/>
      <sz val="10"/>
      <name val="Arial Cyr"/>
      <charset val="204"/>
    </font>
    <font>
      <i/>
      <sz val="9"/>
      <name val="Arial Cyr"/>
      <charset val="204"/>
    </font>
    <font>
      <b/>
      <i/>
      <sz val="9"/>
      <name val="Arial Cyr"/>
      <charset val="204"/>
    </font>
    <font>
      <b/>
      <sz val="12"/>
      <color indexed="53"/>
      <name val="Arial Cyr"/>
      <charset val="204"/>
    </font>
    <font>
      <b/>
      <sz val="14"/>
      <color indexed="53"/>
      <name val="Arial Cyr"/>
      <charset val="204"/>
    </font>
    <font>
      <b/>
      <sz val="10"/>
      <color indexed="53"/>
      <name val="Arial Cyr"/>
      <charset val="204"/>
    </font>
    <font>
      <sz val="10"/>
      <color indexed="53"/>
      <name val="Arial Cyr"/>
      <charset val="204"/>
    </font>
    <font>
      <sz val="12"/>
      <color indexed="53"/>
      <name val="Arial Cyr"/>
      <charset val="204"/>
    </font>
    <font>
      <sz val="12"/>
      <color indexed="63"/>
      <name val="Arial Cyr"/>
      <charset val="204"/>
    </font>
    <font>
      <sz val="10"/>
      <color theme="0"/>
      <name val="Arial Cyr"/>
      <charset val="204"/>
    </font>
    <font>
      <b/>
      <i/>
      <sz val="20"/>
      <color theme="0"/>
      <name val="Arial Cyr"/>
      <charset val="204"/>
    </font>
    <font>
      <b/>
      <i/>
      <sz val="20"/>
      <name val="Arial Cyr"/>
      <charset val="204"/>
    </font>
    <font>
      <b/>
      <sz val="11"/>
      <color theme="1" tint="0.14999847407452621"/>
      <name val="Arial Cyr"/>
      <charset val="204"/>
    </font>
    <font>
      <b/>
      <sz val="16"/>
      <color theme="0"/>
      <name val="Arial Cyr"/>
      <charset val="204"/>
    </font>
    <font>
      <b/>
      <i/>
      <sz val="16"/>
      <color theme="0"/>
      <name val="Arial Cyr"/>
      <charset val="204"/>
    </font>
    <font>
      <i/>
      <sz val="8"/>
      <name val="Arial Cyr"/>
      <charset val="204"/>
    </font>
    <font>
      <b/>
      <sz val="12"/>
      <color theme="0"/>
      <name val="Arial Cyr"/>
      <charset val="204"/>
    </font>
    <font>
      <b/>
      <sz val="12"/>
      <color theme="1" tint="0.34998626667073579"/>
      <name val="Arial Cyr"/>
      <charset val="204"/>
    </font>
    <font>
      <sz val="12"/>
      <color theme="0" tint="-0.499984740745262"/>
      <name val="Arial Cyr"/>
      <charset val="204"/>
    </font>
    <font>
      <b/>
      <sz val="12"/>
      <color theme="0" tint="-0.499984740745262"/>
      <name val="Arial Cyr"/>
      <charset val="204"/>
    </font>
    <font>
      <b/>
      <i/>
      <sz val="12"/>
      <color theme="0" tint="-0.499984740745262"/>
      <name val="Arial Cyr"/>
      <charset val="204"/>
    </font>
    <font>
      <i/>
      <sz val="10"/>
      <color theme="0" tint="-0.499984740745262"/>
      <name val="Arial Cyr"/>
      <charset val="204"/>
    </font>
    <font>
      <sz val="10"/>
      <color theme="1" tint="0.34998626667073579"/>
      <name val="Arial Cyr"/>
      <charset val="204"/>
    </font>
    <font>
      <b/>
      <sz val="10"/>
      <color theme="0"/>
      <name val="Arial Cyr"/>
      <charset val="204"/>
    </font>
    <font>
      <u/>
      <sz val="10"/>
      <color theme="10"/>
      <name val="Arial Cyr"/>
      <charset val="204"/>
    </font>
    <font>
      <b/>
      <sz val="10"/>
      <color rgb="FFFF9900"/>
      <name val="Calibri"/>
      <family val="2"/>
      <charset val="204"/>
    </font>
    <font>
      <sz val="10"/>
      <color rgb="FFFF9900"/>
      <name val="Arial Cyr"/>
      <charset val="204"/>
    </font>
    <font>
      <b/>
      <sz val="12"/>
      <color rgb="FFFF9900"/>
      <name val="Calibri"/>
      <family val="2"/>
      <charset val="204"/>
    </font>
    <font>
      <b/>
      <sz val="8"/>
      <color indexed="9"/>
      <name val="Arial Cyr"/>
      <charset val="204"/>
    </font>
    <font>
      <b/>
      <sz val="11"/>
      <color rgb="FFFF9900"/>
      <name val="Calibri"/>
      <family val="2"/>
      <charset val="204"/>
    </font>
    <font>
      <sz val="11"/>
      <name val="Arial Cyr"/>
      <charset val="204"/>
    </font>
    <font>
      <sz val="16"/>
      <color rgb="FFFF0000"/>
      <name val="Arial Cyr"/>
      <charset val="204"/>
    </font>
    <font>
      <b/>
      <u/>
      <sz val="12"/>
      <color indexed="53"/>
      <name val="Arial Cyr"/>
      <charset val="204"/>
    </font>
    <font>
      <b/>
      <sz val="10"/>
      <color rgb="FFFF9900"/>
      <name val="Arial Cyr"/>
      <charset val="204"/>
    </font>
    <font>
      <sz val="10"/>
      <color theme="0" tint="-0.249977111117893"/>
      <name val="Arial Cyr"/>
      <charset val="204"/>
    </font>
    <font>
      <b/>
      <i/>
      <sz val="14"/>
      <color theme="0"/>
      <name val="Arial Cyr"/>
      <charset val="204"/>
    </font>
    <font>
      <b/>
      <sz val="20"/>
      <color theme="0"/>
      <name val="Arial Cyr"/>
      <charset val="204"/>
    </font>
    <font>
      <i/>
      <sz val="14"/>
      <name val="Arial Cyr"/>
      <charset val="204"/>
    </font>
    <font>
      <b/>
      <i/>
      <sz val="12"/>
      <color theme="0"/>
      <name val="Arial Cyr"/>
      <charset val="204"/>
    </font>
    <font>
      <b/>
      <i/>
      <sz val="12"/>
      <color rgb="FFFF9900"/>
      <name val="Arial Cyr"/>
      <charset val="204"/>
    </font>
    <font>
      <i/>
      <sz val="10"/>
      <color rgb="FFFF9900"/>
      <name val="Arial Cyr"/>
      <charset val="204"/>
    </font>
    <font>
      <b/>
      <i/>
      <sz val="22"/>
      <color theme="0"/>
      <name val="Arial Cyr"/>
      <charset val="204"/>
    </font>
    <font>
      <b/>
      <i/>
      <sz val="10"/>
      <color theme="1"/>
      <name val="Arial Cyr"/>
      <charset val="204"/>
    </font>
    <font>
      <b/>
      <sz val="11"/>
      <color theme="1"/>
      <name val="Arial Cyr"/>
      <charset val="204"/>
    </font>
    <font>
      <b/>
      <sz val="9"/>
      <color theme="1"/>
      <name val="Arial Cyr"/>
      <charset val="204"/>
    </font>
    <font>
      <sz val="10"/>
      <color rgb="FFFF0000"/>
      <name val="Arial Cyr"/>
      <charset val="204"/>
    </font>
    <font>
      <sz val="9"/>
      <color indexed="81"/>
      <name val="Tahoma"/>
      <family val="2"/>
      <charset val="204"/>
    </font>
    <font>
      <b/>
      <sz val="9"/>
      <color indexed="81"/>
      <name val="Tahoma"/>
      <family val="2"/>
      <charset val="204"/>
    </font>
    <font>
      <sz val="10"/>
      <color rgb="FF0070C0"/>
      <name val="Arial Cyr"/>
      <charset val="204"/>
    </font>
    <font>
      <b/>
      <i/>
      <sz val="10"/>
      <color rgb="FFFF0000"/>
      <name val="Arial Cyr"/>
      <charset val="204"/>
    </font>
    <font>
      <b/>
      <i/>
      <sz val="16"/>
      <color theme="0"/>
      <name val="Arial"/>
      <family val="2"/>
      <charset val="204"/>
    </font>
    <font>
      <b/>
      <i/>
      <sz val="8"/>
      <color theme="0"/>
      <name val="Arial Cyr"/>
      <charset val="204"/>
    </font>
    <font>
      <b/>
      <i/>
      <sz val="10"/>
      <color theme="9"/>
      <name val="Arial Cyr"/>
      <charset val="204"/>
    </font>
    <font>
      <b/>
      <i/>
      <sz val="11"/>
      <name val="Arial Cyr"/>
      <charset val="204"/>
    </font>
    <font>
      <b/>
      <i/>
      <u/>
      <sz val="10"/>
      <color theme="10"/>
      <name val="Arial Cyr"/>
      <charset val="204"/>
    </font>
    <font>
      <sz val="10"/>
      <color rgb="FF7030A0"/>
      <name val="Arial Cyr"/>
      <charset val="204"/>
    </font>
    <font>
      <i/>
      <sz val="11"/>
      <color theme="2" tint="-0.749992370372631"/>
      <name val="Calibri"/>
      <family val="2"/>
      <charset val="204"/>
      <scheme val="minor"/>
    </font>
  </fonts>
  <fills count="19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99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69643B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</fills>
  <borders count="24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 style="thin">
        <color indexed="9"/>
      </top>
      <bottom/>
      <diagonal/>
    </border>
    <border>
      <left style="thin">
        <color indexed="9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9"/>
      </right>
      <top/>
      <bottom style="thin">
        <color indexed="64"/>
      </bottom>
      <diagonal/>
    </border>
    <border>
      <left style="thin">
        <color indexed="9"/>
      </left>
      <right style="thin">
        <color indexed="9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9"/>
      </bottom>
      <diagonal/>
    </border>
    <border>
      <left style="thin">
        <color indexed="9"/>
      </left>
      <right/>
      <top style="thin">
        <color indexed="64"/>
      </top>
      <bottom style="thin">
        <color indexed="64"/>
      </bottom>
      <diagonal/>
    </border>
    <border>
      <left style="thin">
        <color indexed="9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9"/>
      </left>
      <right/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thin">
        <color indexed="9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9"/>
      </right>
      <top/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9"/>
      </bottom>
      <diagonal/>
    </border>
    <border>
      <left style="thin">
        <color indexed="9"/>
      </left>
      <right style="medium">
        <color indexed="64"/>
      </right>
      <top style="medium">
        <color indexed="64"/>
      </top>
      <bottom/>
      <diagonal/>
    </border>
    <border>
      <left style="thin">
        <color indexed="52"/>
      </left>
      <right/>
      <top/>
      <bottom/>
      <diagonal/>
    </border>
    <border>
      <left style="thin">
        <color indexed="52"/>
      </left>
      <right/>
      <top style="medium">
        <color indexed="64"/>
      </top>
      <bottom style="medium">
        <color indexed="64"/>
      </bottom>
      <diagonal/>
    </border>
    <border>
      <left style="thin">
        <color indexed="52"/>
      </left>
      <right/>
      <top/>
      <bottom style="medium">
        <color indexed="64"/>
      </bottom>
      <diagonal/>
    </border>
    <border>
      <left style="thin">
        <color indexed="52"/>
      </left>
      <right/>
      <top style="medium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9"/>
      </left>
      <right/>
      <top/>
      <bottom style="medium">
        <color indexed="64"/>
      </bottom>
      <diagonal/>
    </border>
    <border>
      <left style="thin">
        <color indexed="9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/>
      <bottom style="thin">
        <color theme="0"/>
      </bottom>
      <diagonal/>
    </border>
    <border>
      <left style="medium">
        <color indexed="64"/>
      </left>
      <right/>
      <top/>
      <bottom style="thin">
        <color theme="0"/>
      </bottom>
      <diagonal/>
    </border>
    <border>
      <left style="medium">
        <color indexed="64"/>
      </left>
      <right/>
      <top style="thin">
        <color theme="0"/>
      </top>
      <bottom/>
      <diagonal/>
    </border>
    <border>
      <left/>
      <right style="thin">
        <color indexed="9"/>
      </right>
      <top style="medium">
        <color indexed="64"/>
      </top>
      <bottom/>
      <diagonal/>
    </border>
    <border>
      <left style="thin">
        <color theme="0" tint="-0.34998626667073579"/>
      </left>
      <right/>
      <top/>
      <bottom/>
      <diagonal/>
    </border>
    <border>
      <left/>
      <right style="thin">
        <color theme="0" tint="-0.34998626667073579"/>
      </right>
      <top/>
      <bottom style="medium">
        <color indexed="64"/>
      </bottom>
      <diagonal/>
    </border>
    <border>
      <left/>
      <right style="thin">
        <color theme="0" tint="-0.34998626667073579"/>
      </right>
      <top/>
      <bottom/>
      <diagonal/>
    </border>
    <border>
      <left style="thin">
        <color theme="0" tint="-0.34998626667073579"/>
      </left>
      <right/>
      <top style="medium">
        <color indexed="64"/>
      </top>
      <bottom style="medium">
        <color indexed="64"/>
      </bottom>
      <diagonal/>
    </border>
    <border>
      <left style="thin">
        <color theme="0" tint="-0.34998626667073579"/>
      </left>
      <right/>
      <top/>
      <bottom style="medium">
        <color indexed="64"/>
      </bottom>
      <diagonal/>
    </border>
    <border>
      <left style="thin">
        <color theme="1" tint="0.34998626667073579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theme="0"/>
      </top>
      <bottom/>
      <diagonal/>
    </border>
    <border>
      <left/>
      <right style="thin">
        <color theme="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 tint="-0.499984740745262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 style="medium">
        <color indexed="64"/>
      </left>
      <right/>
      <top/>
      <bottom style="thin">
        <color rgb="FFFF9900"/>
      </bottom>
      <diagonal/>
    </border>
    <border>
      <left style="medium">
        <color indexed="64"/>
      </left>
      <right/>
      <top style="thin">
        <color rgb="FFFF9900"/>
      </top>
      <bottom style="thin">
        <color theme="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9"/>
      </left>
      <right style="thin">
        <color indexed="9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9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9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theme="0"/>
      </top>
      <bottom style="thin">
        <color rgb="FFFF990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rgb="FFFFFFFF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9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9"/>
      </left>
      <right style="thin">
        <color indexed="9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9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9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9"/>
      </bottom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9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indexed="64"/>
      </left>
      <right/>
      <top style="thin">
        <color indexed="9"/>
      </top>
      <bottom style="thin">
        <color theme="0"/>
      </bottom>
      <diagonal/>
    </border>
    <border>
      <left/>
      <right/>
      <top style="thin">
        <color indexed="9"/>
      </top>
      <bottom/>
      <diagonal/>
    </border>
    <border>
      <left/>
      <right/>
      <top style="thin">
        <color indexed="9"/>
      </top>
      <bottom style="thin">
        <color indexed="9"/>
      </bottom>
      <diagonal/>
    </border>
    <border>
      <left/>
      <right/>
      <top style="thin">
        <color indexed="64"/>
      </top>
      <bottom style="thin">
        <color theme="0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9"/>
      </right>
      <top style="thin">
        <color indexed="64"/>
      </top>
      <bottom style="thin">
        <color indexed="64"/>
      </bottom>
      <diagonal/>
    </border>
    <border>
      <left style="thin">
        <color indexed="9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9"/>
      </right>
      <top style="thin">
        <color indexed="64"/>
      </top>
      <bottom style="thin">
        <color indexed="64"/>
      </bottom>
      <diagonal/>
    </border>
    <border>
      <left style="thin">
        <color indexed="9"/>
      </left>
      <right style="thin">
        <color indexed="9"/>
      </right>
      <top style="thin">
        <color indexed="64"/>
      </top>
      <bottom style="thin">
        <color indexed="64"/>
      </bottom>
      <diagonal/>
    </border>
    <border>
      <left style="thin">
        <color indexed="9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indexed="9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indexed="9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indexed="9"/>
      </left>
      <right style="thin">
        <color indexed="9"/>
      </right>
      <top style="thin">
        <color indexed="64"/>
      </top>
      <bottom style="thin">
        <color indexed="64"/>
      </bottom>
      <diagonal/>
    </border>
    <border>
      <left style="thin">
        <color indexed="9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3">
    <xf numFmtId="0" fontId="0" fillId="0" borderId="0"/>
    <xf numFmtId="164" fontId="1" fillId="0" borderId="0" applyFont="0" applyFill="0" applyBorder="0" applyAlignment="0" applyProtection="0"/>
    <xf numFmtId="0" fontId="91" fillId="0" borderId="0" applyNumberFormat="0" applyFill="0" applyBorder="0" applyAlignment="0" applyProtection="0"/>
  </cellStyleXfs>
  <cellXfs count="2480">
    <xf numFmtId="0" fontId="0" fillId="0" borderId="0" xfId="0"/>
    <xf numFmtId="0" fontId="3" fillId="0" borderId="1" xfId="0" applyFont="1" applyBorder="1" applyAlignment="1">
      <alignment horizontal="center"/>
    </xf>
    <xf numFmtId="0" fontId="0" fillId="0" borderId="1" xfId="0" applyBorder="1"/>
    <xf numFmtId="0" fontId="0" fillId="0" borderId="1" xfId="0" applyBorder="1" applyAlignment="1">
      <alignment horizontal="center"/>
    </xf>
    <xf numFmtId="49" fontId="0" fillId="0" borderId="1" xfId="0" applyNumberFormat="1" applyBorder="1" applyAlignment="1">
      <alignment horizontal="justify" vertical="center" wrapText="1"/>
    </xf>
    <xf numFmtId="0" fontId="0" fillId="0" borderId="1" xfId="0" applyBorder="1" applyAlignment="1">
      <alignment horizontal="left"/>
    </xf>
    <xf numFmtId="4" fontId="0" fillId="0" borderId="0" xfId="0" applyNumberFormat="1"/>
    <xf numFmtId="2" fontId="0" fillId="0" borderId="0" xfId="0" applyNumberFormat="1"/>
    <xf numFmtId="0" fontId="0" fillId="2" borderId="0" xfId="0" applyFill="1"/>
    <xf numFmtId="0" fontId="7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0" fillId="0" borderId="0" xfId="0" applyFill="1" applyBorder="1"/>
    <xf numFmtId="2" fontId="0" fillId="3" borderId="1" xfId="0" applyNumberFormat="1" applyFill="1" applyBorder="1" applyAlignment="1">
      <alignment vertical="center" wrapText="1"/>
    </xf>
    <xf numFmtId="0" fontId="0" fillId="3" borderId="0" xfId="0" applyFill="1" applyBorder="1"/>
    <xf numFmtId="2" fontId="0" fillId="0" borderId="1" xfId="0" applyNumberFormat="1" applyFill="1" applyBorder="1" applyAlignment="1">
      <alignment vertical="center" wrapText="1"/>
    </xf>
    <xf numFmtId="0" fontId="0" fillId="0" borderId="0" xfId="0" applyFill="1"/>
    <xf numFmtId="0" fontId="7" fillId="4" borderId="0" xfId="0" applyFont="1" applyFill="1" applyAlignment="1">
      <alignment horizontal="center"/>
    </xf>
    <xf numFmtId="0" fontId="0" fillId="4" borderId="0" xfId="0" applyFill="1"/>
    <xf numFmtId="4" fontId="7" fillId="4" borderId="0" xfId="0" applyNumberFormat="1" applyFont="1" applyFill="1" applyAlignment="1">
      <alignment horizontal="center"/>
    </xf>
    <xf numFmtId="4" fontId="7" fillId="2" borderId="0" xfId="0" applyNumberFormat="1" applyFont="1" applyFill="1" applyBorder="1" applyAlignment="1">
      <alignment horizontal="center" vertical="center" wrapText="1"/>
    </xf>
    <xf numFmtId="4" fontId="7" fillId="0" borderId="0" xfId="0" applyNumberFormat="1" applyFont="1" applyAlignment="1">
      <alignment horizontal="center"/>
    </xf>
    <xf numFmtId="2" fontId="0" fillId="2" borderId="1" xfId="0" applyNumberFormat="1" applyFill="1" applyBorder="1" applyAlignment="1">
      <alignment vertical="center" wrapText="1"/>
    </xf>
    <xf numFmtId="0" fontId="0" fillId="0" borderId="1" xfId="0" applyFill="1" applyBorder="1"/>
    <xf numFmtId="0" fontId="12" fillId="4" borderId="0" xfId="0" applyFont="1" applyFill="1" applyAlignment="1">
      <alignment horizontal="center" vertical="center"/>
    </xf>
    <xf numFmtId="4" fontId="7" fillId="0" borderId="0" xfId="0" applyNumberFormat="1" applyFont="1" applyAlignment="1">
      <alignment horizontal="center" vertical="center"/>
    </xf>
    <xf numFmtId="0" fontId="15" fillId="0" borderId="0" xfId="0" applyFont="1" applyAlignment="1">
      <alignment horizontal="center"/>
    </xf>
    <xf numFmtId="0" fontId="12" fillId="2" borderId="0" xfId="0" applyFont="1" applyFill="1" applyAlignment="1">
      <alignment horizontal="center" vertical="center"/>
    </xf>
    <xf numFmtId="4" fontId="7" fillId="0" borderId="0" xfId="0" applyNumberFormat="1" applyFont="1" applyAlignment="1">
      <alignment vertical="center"/>
    </xf>
    <xf numFmtId="0" fontId="0" fillId="2" borderId="0" xfId="0" applyFill="1" applyBorder="1"/>
    <xf numFmtId="2" fontId="9" fillId="2" borderId="0" xfId="0" applyNumberFormat="1" applyFont="1" applyFill="1" applyBorder="1" applyAlignment="1">
      <alignment horizontal="center"/>
    </xf>
    <xf numFmtId="2" fontId="0" fillId="2" borderId="0" xfId="0" applyNumberFormat="1" applyFill="1"/>
    <xf numFmtId="0" fontId="7" fillId="2" borderId="0" xfId="0" applyFont="1" applyFill="1" applyAlignment="1">
      <alignment horizontal="center"/>
    </xf>
    <xf numFmtId="0" fontId="0" fillId="2" borderId="0" xfId="0" applyFill="1" applyBorder="1" applyAlignment="1">
      <alignment horizontal="center"/>
    </xf>
    <xf numFmtId="49" fontId="0" fillId="2" borderId="0" xfId="0" applyNumberFormat="1" applyFill="1" applyBorder="1" applyAlignment="1">
      <alignment horizontal="justify" vertical="center" wrapText="1"/>
    </xf>
    <xf numFmtId="2" fontId="0" fillId="2" borderId="0" xfId="0" applyNumberFormat="1" applyFill="1" applyBorder="1"/>
    <xf numFmtId="4" fontId="7" fillId="2" borderId="0" xfId="0" applyNumberFormat="1" applyFont="1" applyFill="1" applyAlignment="1">
      <alignment horizontal="center"/>
    </xf>
    <xf numFmtId="0" fontId="9" fillId="2" borderId="0" xfId="0" applyFont="1" applyFill="1" applyBorder="1" applyAlignment="1">
      <alignment horizontal="center"/>
    </xf>
    <xf numFmtId="4" fontId="0" fillId="2" borderId="0" xfId="0" applyNumberFormat="1" applyFill="1"/>
    <xf numFmtId="4" fontId="0" fillId="2" borderId="0" xfId="0" applyNumberFormat="1" applyFill="1" applyBorder="1"/>
    <xf numFmtId="0" fontId="0" fillId="2" borderId="0" xfId="0" applyFill="1" applyBorder="1" applyAlignment="1">
      <alignment horizontal="left"/>
    </xf>
    <xf numFmtId="0" fontId="11" fillId="2" borderId="0" xfId="0" applyFont="1" applyFill="1" applyBorder="1" applyAlignment="1">
      <alignment wrapText="1"/>
    </xf>
    <xf numFmtId="4" fontId="7" fillId="2" borderId="0" xfId="0" applyNumberFormat="1" applyFont="1" applyFill="1" applyBorder="1" applyAlignment="1">
      <alignment vertical="center"/>
    </xf>
    <xf numFmtId="4" fontId="7" fillId="2" borderId="0" xfId="0" applyNumberFormat="1" applyFont="1" applyFill="1" applyAlignment="1">
      <alignment vertical="center"/>
    </xf>
    <xf numFmtId="0" fontId="0" fillId="2" borderId="1" xfId="0" applyFill="1" applyBorder="1"/>
    <xf numFmtId="0" fontId="2" fillId="0" borderId="1" xfId="0" applyFont="1" applyBorder="1" applyAlignment="1">
      <alignment vertical="center"/>
    </xf>
    <xf numFmtId="0" fontId="2" fillId="0" borderId="2" xfId="0" applyFont="1" applyBorder="1" applyAlignment="1">
      <alignment vertical="center"/>
    </xf>
    <xf numFmtId="0" fontId="2" fillId="2" borderId="0" xfId="0" applyFont="1" applyFill="1" applyAlignment="1">
      <alignment vertical="center"/>
    </xf>
    <xf numFmtId="0" fontId="2" fillId="2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3" xfId="0" applyFont="1" applyBorder="1" applyAlignment="1">
      <alignment vertical="center"/>
    </xf>
    <xf numFmtId="0" fontId="2" fillId="0" borderId="4" xfId="0" applyFont="1" applyBorder="1" applyAlignment="1">
      <alignment vertical="center"/>
    </xf>
    <xf numFmtId="0" fontId="2" fillId="0" borderId="5" xfId="0" applyFont="1" applyBorder="1" applyAlignment="1">
      <alignment vertical="center"/>
    </xf>
    <xf numFmtId="4" fontId="0" fillId="4" borderId="0" xfId="0" applyNumberFormat="1" applyFill="1"/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/>
    </xf>
    <xf numFmtId="0" fontId="15" fillId="2" borderId="0" xfId="0" applyFont="1" applyFill="1"/>
    <xf numFmtId="2" fontId="0" fillId="0" borderId="1" xfId="0" applyNumberFormat="1" applyFill="1" applyBorder="1" applyAlignment="1">
      <alignment horizontal="left" vertical="center" wrapText="1"/>
    </xf>
    <xf numFmtId="0" fontId="3" fillId="2" borderId="0" xfId="0" applyFont="1" applyFill="1" applyBorder="1" applyAlignment="1">
      <alignment horizontal="center"/>
    </xf>
    <xf numFmtId="2" fontId="0" fillId="2" borderId="0" xfId="0" applyNumberFormat="1" applyFill="1" applyBorder="1" applyAlignment="1">
      <alignment vertical="center" wrapText="1"/>
    </xf>
    <xf numFmtId="0" fontId="3" fillId="2" borderId="0" xfId="0" applyFont="1" applyFill="1" applyAlignment="1">
      <alignment horizontal="right"/>
    </xf>
    <xf numFmtId="0" fontId="0" fillId="2" borderId="0" xfId="0" applyFill="1" applyAlignment="1"/>
    <xf numFmtId="4" fontId="7" fillId="2" borderId="0" xfId="0" applyNumberFormat="1" applyFont="1" applyFill="1" applyAlignment="1">
      <alignment horizontal="center" vertical="center"/>
    </xf>
    <xf numFmtId="2" fontId="0" fillId="3" borderId="6" xfId="0" applyNumberFormat="1" applyFill="1" applyBorder="1" applyAlignment="1">
      <alignment vertical="center"/>
    </xf>
    <xf numFmtId="4" fontId="0" fillId="3" borderId="1" xfId="0" applyNumberFormat="1" applyFill="1" applyBorder="1"/>
    <xf numFmtId="2" fontId="6" fillId="2" borderId="1" xfId="0" applyNumberFormat="1" applyFont="1" applyFill="1" applyBorder="1" applyAlignment="1">
      <alignment vertical="center" wrapText="1"/>
    </xf>
    <xf numFmtId="0" fontId="0" fillId="3" borderId="1" xfId="0" applyFill="1" applyBorder="1"/>
    <xf numFmtId="0" fontId="6" fillId="0" borderId="1" xfId="0" applyFont="1" applyBorder="1" applyAlignment="1">
      <alignment horizontal="left"/>
    </xf>
    <xf numFmtId="0" fontId="6" fillId="2" borderId="0" xfId="0" applyFont="1" applyFill="1" applyAlignment="1">
      <alignment horizontal="left"/>
    </xf>
    <xf numFmtId="0" fontId="6" fillId="0" borderId="0" xfId="0" applyFont="1" applyAlignment="1">
      <alignment horizontal="left"/>
    </xf>
    <xf numFmtId="0" fontId="3" fillId="4" borderId="0" xfId="0" applyFont="1" applyFill="1" applyBorder="1" applyAlignment="1">
      <alignment horizontal="center"/>
    </xf>
    <xf numFmtId="0" fontId="1" fillId="0" borderId="1" xfId="0" applyFont="1" applyBorder="1" applyAlignment="1">
      <alignment horizontal="center" vertical="center" wrapText="1"/>
    </xf>
    <xf numFmtId="0" fontId="0" fillId="0" borderId="2" xfId="0" applyBorder="1"/>
    <xf numFmtId="2" fontId="0" fillId="3" borderId="1" xfId="0" applyNumberFormat="1" applyFill="1" applyBorder="1"/>
    <xf numFmtId="0" fontId="3" fillId="4" borderId="0" xfId="0" applyFont="1" applyFill="1" applyBorder="1" applyAlignment="1"/>
    <xf numFmtId="0" fontId="3" fillId="0" borderId="0" xfId="0" applyFont="1" applyBorder="1" applyAlignment="1"/>
    <xf numFmtId="0" fontId="0" fillId="4" borderId="0" xfId="0" applyFill="1" applyBorder="1"/>
    <xf numFmtId="0" fontId="12" fillId="4" borderId="0" xfId="0" applyFont="1" applyFill="1" applyAlignment="1">
      <alignment vertical="center"/>
    </xf>
    <xf numFmtId="0" fontId="0" fillId="3" borderId="0" xfId="0" applyFill="1"/>
    <xf numFmtId="0" fontId="13" fillId="2" borderId="0" xfId="0" applyFont="1" applyFill="1" applyAlignment="1">
      <alignment horizontal="right" vertical="center"/>
    </xf>
    <xf numFmtId="2" fontId="0" fillId="3" borderId="0" xfId="0" applyNumberFormat="1" applyFill="1" applyBorder="1" applyAlignment="1">
      <alignment vertical="center" wrapText="1"/>
    </xf>
    <xf numFmtId="0" fontId="0" fillId="2" borderId="1" xfId="0" applyFill="1" applyBorder="1" applyAlignment="1">
      <alignment horizontal="center"/>
    </xf>
    <xf numFmtId="0" fontId="3" fillId="3" borderId="7" xfId="0" applyFont="1" applyFill="1" applyBorder="1" applyAlignment="1"/>
    <xf numFmtId="0" fontId="3" fillId="3" borderId="8" xfId="0" applyFont="1" applyFill="1" applyBorder="1" applyAlignment="1"/>
    <xf numFmtId="4" fontId="0" fillId="0" borderId="0" xfId="0" applyNumberFormat="1" applyFill="1"/>
    <xf numFmtId="4" fontId="0" fillId="0" borderId="0" xfId="0" applyNumberFormat="1" applyFill="1" applyBorder="1"/>
    <xf numFmtId="0" fontId="3" fillId="2" borderId="0" xfId="0" applyFont="1" applyFill="1" applyBorder="1" applyAlignment="1">
      <alignment horizontal="right"/>
    </xf>
    <xf numFmtId="0" fontId="20" fillId="4" borderId="0" xfId="0" applyFont="1" applyFill="1"/>
    <xf numFmtId="0" fontId="20" fillId="2" borderId="0" xfId="0" applyFont="1" applyFill="1"/>
    <xf numFmtId="0" fontId="0" fillId="0" borderId="0" xfId="0" applyBorder="1"/>
    <xf numFmtId="0" fontId="0" fillId="2" borderId="0" xfId="0" applyFill="1" applyBorder="1" applyAlignment="1"/>
    <xf numFmtId="2" fontId="7" fillId="2" borderId="0" xfId="0" applyNumberFormat="1" applyFont="1" applyFill="1" applyBorder="1" applyAlignment="1">
      <alignment vertical="center" wrapText="1"/>
    </xf>
    <xf numFmtId="0" fontId="7" fillId="2" borderId="0" xfId="0" applyFont="1" applyFill="1"/>
    <xf numFmtId="0" fontId="7" fillId="0" borderId="0" xfId="0" applyFont="1"/>
    <xf numFmtId="4" fontId="3" fillId="4" borderId="0" xfId="0" applyNumberFormat="1" applyFont="1" applyFill="1" applyBorder="1" applyAlignment="1"/>
    <xf numFmtId="0" fontId="3" fillId="4" borderId="7" xfId="0" applyFont="1" applyFill="1" applyBorder="1" applyAlignment="1">
      <alignment horizontal="center"/>
    </xf>
    <xf numFmtId="0" fontId="3" fillId="4" borderId="0" xfId="0" applyFont="1" applyFill="1" applyBorder="1" applyAlignment="1">
      <alignment horizontal="left"/>
    </xf>
    <xf numFmtId="0" fontId="0" fillId="2" borderId="0" xfId="0" applyFill="1" applyBorder="1" applyAlignment="1">
      <alignment horizontal="right"/>
    </xf>
    <xf numFmtId="0" fontId="3" fillId="4" borderId="7" xfId="0" applyFont="1" applyFill="1" applyBorder="1" applyAlignment="1"/>
    <xf numFmtId="0" fontId="16" fillId="2" borderId="9" xfId="0" applyFont="1" applyFill="1" applyBorder="1" applyAlignment="1">
      <alignment horizontal="center"/>
    </xf>
    <xf numFmtId="0" fontId="6" fillId="2" borderId="0" xfId="0" applyFont="1" applyFill="1" applyBorder="1" applyAlignment="1">
      <alignment horizontal="left" vertical="center"/>
    </xf>
    <xf numFmtId="0" fontId="1" fillId="2" borderId="0" xfId="0" applyFont="1" applyFill="1" applyBorder="1" applyAlignment="1">
      <alignment horizontal="center" vertical="center" wrapText="1"/>
    </xf>
    <xf numFmtId="2" fontId="0" fillId="2" borderId="0" xfId="0" applyNumberFormat="1" applyFill="1" applyBorder="1" applyAlignment="1">
      <alignment vertical="center"/>
    </xf>
    <xf numFmtId="0" fontId="1" fillId="0" borderId="1" xfId="0" applyFont="1" applyFill="1" applyBorder="1" applyAlignment="1">
      <alignment vertical="center" wrapText="1"/>
    </xf>
    <xf numFmtId="0" fontId="1" fillId="2" borderId="0" xfId="0" applyFont="1" applyFill="1" applyBorder="1" applyAlignment="1">
      <alignment vertical="center" wrapText="1"/>
    </xf>
    <xf numFmtId="0" fontId="0" fillId="0" borderId="0" xfId="0" applyAlignment="1"/>
    <xf numFmtId="2" fontId="7" fillId="2" borderId="0" xfId="0" applyNumberFormat="1" applyFont="1" applyFill="1" applyBorder="1" applyAlignment="1">
      <alignment horizontal="center" vertical="center" wrapText="1"/>
    </xf>
    <xf numFmtId="0" fontId="0" fillId="2" borderId="0" xfId="0" applyFill="1" applyAlignment="1">
      <alignment horizontal="right"/>
    </xf>
    <xf numFmtId="0" fontId="0" fillId="0" borderId="2" xfId="0" applyBorder="1" applyAlignment="1">
      <alignment horizontal="center"/>
    </xf>
    <xf numFmtId="0" fontId="6" fillId="2" borderId="0" xfId="0" applyFont="1" applyFill="1" applyBorder="1" applyAlignment="1">
      <alignment horizontal="left"/>
    </xf>
    <xf numFmtId="4" fontId="0" fillId="0" borderId="1" xfId="0" applyNumberFormat="1" applyFill="1" applyBorder="1" applyAlignment="1">
      <alignment vertical="center" wrapText="1"/>
    </xf>
    <xf numFmtId="4" fontId="3" fillId="2" borderId="0" xfId="0" applyNumberFormat="1" applyFont="1" applyFill="1" applyBorder="1" applyAlignment="1">
      <alignment horizontal="center" vertical="center"/>
    </xf>
    <xf numFmtId="0" fontId="16" fillId="2" borderId="11" xfId="0" applyFont="1" applyFill="1" applyBorder="1" applyAlignment="1">
      <alignment horizontal="center"/>
    </xf>
    <xf numFmtId="0" fontId="2" fillId="0" borderId="0" xfId="0" applyFont="1" applyBorder="1" applyAlignment="1">
      <alignment vertical="center"/>
    </xf>
    <xf numFmtId="4" fontId="7" fillId="0" borderId="1" xfId="0" applyNumberFormat="1" applyFont="1" applyBorder="1" applyAlignment="1">
      <alignment vertical="center"/>
    </xf>
    <xf numFmtId="4" fontId="0" fillId="4" borderId="0" xfId="0" applyNumberFormat="1" applyFill="1" applyBorder="1"/>
    <xf numFmtId="4" fontId="3" fillId="4" borderId="0" xfId="0" applyNumberFormat="1" applyFont="1" applyFill="1" applyBorder="1" applyAlignment="1">
      <alignment horizontal="left"/>
    </xf>
    <xf numFmtId="4" fontId="0" fillId="0" borderId="1" xfId="0" applyNumberFormat="1" applyBorder="1" applyAlignment="1">
      <alignment horizontal="center"/>
    </xf>
    <xf numFmtId="4" fontId="0" fillId="2" borderId="0" xfId="0" applyNumberFormat="1" applyFill="1" applyBorder="1" applyAlignment="1">
      <alignment horizontal="center"/>
    </xf>
    <xf numFmtId="4" fontId="7" fillId="0" borderId="0" xfId="0" applyNumberFormat="1" applyFont="1" applyBorder="1" applyAlignment="1">
      <alignment vertical="center"/>
    </xf>
    <xf numFmtId="4" fontId="7" fillId="4" borderId="12" xfId="0" applyNumberFormat="1" applyFont="1" applyFill="1" applyBorder="1" applyAlignment="1">
      <alignment vertical="center"/>
    </xf>
    <xf numFmtId="0" fontId="0" fillId="2" borderId="13" xfId="0" applyFill="1" applyBorder="1" applyAlignment="1">
      <alignment horizontal="center"/>
    </xf>
    <xf numFmtId="0" fontId="0" fillId="2" borderId="5" xfId="0" applyFill="1" applyBorder="1"/>
    <xf numFmtId="0" fontId="0" fillId="2" borderId="10" xfId="0" applyFill="1" applyBorder="1" applyAlignment="1">
      <alignment horizontal="center"/>
    </xf>
    <xf numFmtId="0" fontId="0" fillId="2" borderId="4" xfId="0" applyFill="1" applyBorder="1"/>
    <xf numFmtId="4" fontId="7" fillId="0" borderId="9" xfId="0" applyNumberFormat="1" applyFont="1" applyBorder="1" applyAlignment="1">
      <alignment vertical="center"/>
    </xf>
    <xf numFmtId="0" fontId="0" fillId="2" borderId="9" xfId="0" applyFill="1" applyBorder="1" applyAlignment="1">
      <alignment horizontal="center"/>
    </xf>
    <xf numFmtId="0" fontId="0" fillId="2" borderId="9" xfId="0" applyFill="1" applyBorder="1"/>
    <xf numFmtId="0" fontId="0" fillId="2" borderId="14" xfId="0" applyFill="1" applyBorder="1" applyAlignment="1">
      <alignment horizontal="center"/>
    </xf>
    <xf numFmtId="0" fontId="0" fillId="2" borderId="14" xfId="0" applyFill="1" applyBorder="1"/>
    <xf numFmtId="0" fontId="3" fillId="4" borderId="0" xfId="0" applyFont="1" applyFill="1" applyAlignment="1">
      <alignment horizontal="right"/>
    </xf>
    <xf numFmtId="0" fontId="26" fillId="2" borderId="0" xfId="0" applyFont="1" applyFill="1" applyBorder="1" applyAlignment="1"/>
    <xf numFmtId="0" fontId="3" fillId="2" borderId="0" xfId="0" applyFont="1" applyFill="1" applyBorder="1" applyAlignment="1">
      <alignment vertical="justify"/>
    </xf>
    <xf numFmtId="0" fontId="3" fillId="2" borderId="0" xfId="0" applyFont="1" applyFill="1" applyBorder="1" applyAlignment="1"/>
    <xf numFmtId="2" fontId="7" fillId="4" borderId="0" xfId="0" applyNumberFormat="1" applyFont="1" applyFill="1" applyBorder="1" applyAlignment="1">
      <alignment horizontal="center" vertical="center" wrapText="1"/>
    </xf>
    <xf numFmtId="0" fontId="22" fillId="2" borderId="0" xfId="0" applyFont="1" applyFill="1"/>
    <xf numFmtId="0" fontId="2" fillId="2" borderId="0" xfId="0" applyFont="1" applyFill="1" applyBorder="1" applyAlignment="1">
      <alignment horizontal="center"/>
    </xf>
    <xf numFmtId="2" fontId="2" fillId="2" borderId="7" xfId="0" applyNumberFormat="1" applyFont="1" applyFill="1" applyBorder="1" applyAlignment="1">
      <alignment horizontal="center" vertical="center" wrapText="1"/>
    </xf>
    <xf numFmtId="0" fontId="2" fillId="2" borderId="7" xfId="0" applyFont="1" applyFill="1" applyBorder="1" applyAlignment="1">
      <alignment horizontal="center"/>
    </xf>
    <xf numFmtId="0" fontId="0" fillId="0" borderId="4" xfId="0" applyBorder="1"/>
    <xf numFmtId="2" fontId="2" fillId="2" borderId="14" xfId="0" applyNumberFormat="1" applyFont="1" applyFill="1" applyBorder="1" applyAlignment="1">
      <alignment horizontal="center" vertical="center" wrapText="1"/>
    </xf>
    <xf numFmtId="0" fontId="2" fillId="2" borderId="14" xfId="0" applyFont="1" applyFill="1" applyBorder="1" applyAlignment="1">
      <alignment horizontal="center"/>
    </xf>
    <xf numFmtId="2" fontId="2" fillId="2" borderId="4" xfId="0" applyNumberFormat="1" applyFont="1" applyFill="1" applyBorder="1" applyAlignment="1">
      <alignment horizontal="center" vertical="center" wrapText="1"/>
    </xf>
    <xf numFmtId="0" fontId="6" fillId="0" borderId="4" xfId="0" applyFont="1" applyBorder="1" applyAlignment="1">
      <alignment horizontal="left" vertical="center"/>
    </xf>
    <xf numFmtId="0" fontId="32" fillId="2" borderId="0" xfId="0" applyFont="1" applyFill="1" applyBorder="1" applyAlignment="1">
      <alignment horizontal="right"/>
    </xf>
    <xf numFmtId="2" fontId="2" fillId="2" borderId="0" xfId="0" applyNumberFormat="1" applyFont="1" applyFill="1" applyBorder="1" applyAlignment="1">
      <alignment horizontal="center" vertical="center" wrapText="1"/>
    </xf>
    <xf numFmtId="2" fontId="0" fillId="2" borderId="0" xfId="0" applyNumberFormat="1" applyFill="1" applyBorder="1" applyAlignment="1">
      <alignment horizontal="left" vertical="center" wrapText="1"/>
    </xf>
    <xf numFmtId="0" fontId="0" fillId="2" borderId="15" xfId="0" applyFill="1" applyBorder="1"/>
    <xf numFmtId="0" fontId="0" fillId="2" borderId="8" xfId="0" applyFill="1" applyBorder="1"/>
    <xf numFmtId="0" fontId="0" fillId="2" borderId="8" xfId="0" applyFill="1" applyBorder="1" applyAlignment="1">
      <alignment horizontal="center"/>
    </xf>
    <xf numFmtId="0" fontId="0" fillId="2" borderId="16" xfId="0" applyFill="1" applyBorder="1"/>
    <xf numFmtId="0" fontId="2" fillId="2" borderId="17" xfId="0" applyFont="1" applyFill="1" applyBorder="1" applyAlignment="1">
      <alignment horizontal="center"/>
    </xf>
    <xf numFmtId="2" fontId="2" fillId="2" borderId="18" xfId="0" applyNumberFormat="1" applyFont="1" applyFill="1" applyBorder="1" applyAlignment="1">
      <alignment horizontal="center" vertical="center" wrapText="1"/>
    </xf>
    <xf numFmtId="0" fontId="0" fillId="2" borderId="17" xfId="0" applyFill="1" applyBorder="1"/>
    <xf numFmtId="2" fontId="0" fillId="2" borderId="18" xfId="0" applyNumberFormat="1" applyFill="1" applyBorder="1" applyAlignment="1">
      <alignment vertical="center" wrapText="1"/>
    </xf>
    <xf numFmtId="0" fontId="6" fillId="0" borderId="4" xfId="0" applyFont="1" applyBorder="1" applyAlignment="1">
      <alignment horizontal="left"/>
    </xf>
    <xf numFmtId="0" fontId="0" fillId="0" borderId="4" xfId="0" applyBorder="1" applyAlignment="1">
      <alignment horizontal="center"/>
    </xf>
    <xf numFmtId="0" fontId="0" fillId="0" borderId="4" xfId="0" applyBorder="1" applyAlignment="1">
      <alignment horizontal="left"/>
    </xf>
    <xf numFmtId="0" fontId="0" fillId="0" borderId="4" xfId="0" applyBorder="1" applyAlignment="1"/>
    <xf numFmtId="0" fontId="0" fillId="2" borderId="19" xfId="0" applyFill="1" applyBorder="1"/>
    <xf numFmtId="4" fontId="2" fillId="2" borderId="4" xfId="0" applyNumberFormat="1" applyFont="1" applyFill="1" applyBorder="1" applyAlignment="1">
      <alignment horizontal="center" vertical="center" wrapText="1"/>
    </xf>
    <xf numFmtId="4" fontId="0" fillId="0" borderId="10" xfId="0" applyNumberFormat="1" applyFill="1" applyBorder="1" applyAlignment="1">
      <alignment vertical="center" wrapText="1"/>
    </xf>
    <xf numFmtId="0" fontId="0" fillId="0" borderId="1" xfId="0" applyBorder="1" applyAlignment="1"/>
    <xf numFmtId="4" fontId="39" fillId="2" borderId="0" xfId="0" applyNumberFormat="1" applyFont="1" applyFill="1" applyBorder="1" applyAlignment="1">
      <alignment horizontal="center" vertical="center" wrapText="1"/>
    </xf>
    <xf numFmtId="4" fontId="1" fillId="2" borderId="1" xfId="0" applyNumberFormat="1" applyFont="1" applyFill="1" applyBorder="1" applyAlignment="1">
      <alignment vertical="center" wrapText="1"/>
    </xf>
    <xf numFmtId="0" fontId="1" fillId="2" borderId="1" xfId="0" applyFont="1" applyFill="1" applyBorder="1" applyAlignment="1">
      <alignment horizontal="left"/>
    </xf>
    <xf numFmtId="0" fontId="0" fillId="5" borderId="0" xfId="0" applyFill="1"/>
    <xf numFmtId="0" fontId="0" fillId="4" borderId="16" xfId="0" applyFill="1" applyBorder="1"/>
    <xf numFmtId="0" fontId="0" fillId="4" borderId="18" xfId="0" applyFill="1" applyBorder="1"/>
    <xf numFmtId="0" fontId="0" fillId="4" borderId="17" xfId="0" applyFill="1" applyBorder="1"/>
    <xf numFmtId="0" fontId="0" fillId="4" borderId="0" xfId="0" applyFill="1" applyBorder="1" applyAlignment="1">
      <alignment horizontal="center"/>
    </xf>
    <xf numFmtId="0" fontId="41" fillId="2" borderId="9" xfId="0" applyFont="1" applyFill="1" applyBorder="1" applyAlignment="1">
      <alignment horizontal="center"/>
    </xf>
    <xf numFmtId="0" fontId="0" fillId="4" borderId="5" xfId="0" applyFill="1" applyBorder="1"/>
    <xf numFmtId="0" fontId="2" fillId="2" borderId="21" xfId="0" applyFont="1" applyFill="1" applyBorder="1" applyAlignment="1">
      <alignment horizontal="center"/>
    </xf>
    <xf numFmtId="2" fontId="2" fillId="2" borderId="22" xfId="0" applyNumberFormat="1" applyFont="1" applyFill="1" applyBorder="1" applyAlignment="1">
      <alignment horizontal="center" vertical="center" wrapText="1"/>
    </xf>
    <xf numFmtId="4" fontId="2" fillId="2" borderId="25" xfId="0" applyNumberFormat="1" applyFont="1" applyFill="1" applyBorder="1" applyAlignment="1">
      <alignment horizontal="center" vertical="center" wrapText="1"/>
    </xf>
    <xf numFmtId="0" fontId="6" fillId="4" borderId="0" xfId="0" applyFont="1" applyFill="1" applyBorder="1" applyAlignment="1">
      <alignment horizontal="left"/>
    </xf>
    <xf numFmtId="0" fontId="0" fillId="4" borderId="0" xfId="0" applyFill="1" applyBorder="1" applyAlignment="1"/>
    <xf numFmtId="4" fontId="0" fillId="4" borderId="0" xfId="0" applyNumberFormat="1" applyFill="1" applyBorder="1" applyAlignment="1">
      <alignment vertical="center" wrapText="1"/>
    </xf>
    <xf numFmtId="4" fontId="2" fillId="2" borderId="14" xfId="0" applyNumberFormat="1" applyFont="1" applyFill="1" applyBorder="1" applyAlignment="1">
      <alignment horizontal="center" vertical="center" wrapText="1"/>
    </xf>
    <xf numFmtId="4" fontId="1" fillId="4" borderId="0" xfId="0" applyNumberFormat="1" applyFont="1" applyFill="1" applyBorder="1" applyAlignment="1">
      <alignment vertical="center" wrapText="1"/>
    </xf>
    <xf numFmtId="0" fontId="16" fillId="4" borderId="0" xfId="0" applyFont="1" applyFill="1" applyBorder="1" applyAlignment="1">
      <alignment horizontal="center"/>
    </xf>
    <xf numFmtId="0" fontId="20" fillId="4" borderId="0" xfId="0" applyFont="1" applyFill="1" applyAlignment="1">
      <alignment horizontal="right"/>
    </xf>
    <xf numFmtId="0" fontId="45" fillId="2" borderId="0" xfId="0" applyFont="1" applyFill="1" applyAlignment="1">
      <alignment horizontal="center" vertical="center"/>
    </xf>
    <xf numFmtId="0" fontId="46" fillId="2" borderId="0" xfId="0" applyFont="1" applyFill="1" applyAlignment="1">
      <alignment horizontal="right" vertical="center"/>
    </xf>
    <xf numFmtId="0" fontId="25" fillId="4" borderId="0" xfId="0" applyFont="1" applyFill="1" applyBorder="1" applyAlignment="1">
      <alignment horizontal="center"/>
    </xf>
    <xf numFmtId="0" fontId="7" fillId="4" borderId="0" xfId="0" applyFont="1" applyFill="1" applyAlignment="1">
      <alignment horizontal="right"/>
    </xf>
    <xf numFmtId="0" fontId="2" fillId="0" borderId="1" xfId="0" applyFont="1" applyBorder="1"/>
    <xf numFmtId="0" fontId="48" fillId="2" borderId="0" xfId="0" applyFont="1" applyFill="1" applyAlignment="1">
      <alignment horizontal="center" vertical="center"/>
    </xf>
    <xf numFmtId="0" fontId="2" fillId="2" borderId="0" xfId="0" applyFont="1" applyFill="1"/>
    <xf numFmtId="0" fontId="2" fillId="0" borderId="0" xfId="0" applyFont="1"/>
    <xf numFmtId="0" fontId="7" fillId="0" borderId="1" xfId="0" applyFont="1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2" fillId="2" borderId="0" xfId="0" applyFont="1" applyFill="1" applyBorder="1"/>
    <xf numFmtId="0" fontId="49" fillId="2" borderId="0" xfId="0" applyFont="1" applyFill="1" applyBorder="1" applyAlignment="1">
      <alignment horizontal="center"/>
    </xf>
    <xf numFmtId="0" fontId="2" fillId="2" borderId="0" xfId="0" applyFont="1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43" fillId="2" borderId="0" xfId="0" applyFont="1" applyFill="1" applyAlignment="1">
      <alignment horizontal="center" vertical="center"/>
    </xf>
    <xf numFmtId="0" fontId="2" fillId="4" borderId="0" xfId="0" applyFont="1" applyFill="1" applyBorder="1" applyAlignment="1">
      <alignment horizontal="center"/>
    </xf>
    <xf numFmtId="0" fontId="44" fillId="4" borderId="11" xfId="0" applyFont="1" applyFill="1" applyBorder="1" applyAlignment="1">
      <alignment horizontal="center"/>
    </xf>
    <xf numFmtId="0" fontId="25" fillId="4" borderId="11" xfId="0" applyFont="1" applyFill="1" applyBorder="1" applyAlignment="1">
      <alignment horizontal="center"/>
    </xf>
    <xf numFmtId="0" fontId="45" fillId="4" borderId="0" xfId="0" applyFont="1" applyFill="1" applyAlignment="1">
      <alignment horizontal="center" vertical="center"/>
    </xf>
    <xf numFmtId="4" fontId="24" fillId="2" borderId="0" xfId="0" applyNumberFormat="1" applyFont="1" applyFill="1" applyAlignment="1">
      <alignment horizontal="center" vertical="center"/>
    </xf>
    <xf numFmtId="0" fontId="15" fillId="3" borderId="0" xfId="0" applyFont="1" applyFill="1" applyAlignment="1">
      <alignment horizontal="right"/>
    </xf>
    <xf numFmtId="0" fontId="15" fillId="3" borderId="0" xfId="0" applyFont="1" applyFill="1" applyAlignment="1">
      <alignment horizontal="center"/>
    </xf>
    <xf numFmtId="0" fontId="0" fillId="3" borderId="0" xfId="0" applyFill="1" applyAlignment="1">
      <alignment horizontal="right"/>
    </xf>
    <xf numFmtId="0" fontId="15" fillId="3" borderId="0" xfId="0" applyFont="1" applyFill="1" applyBorder="1"/>
    <xf numFmtId="0" fontId="1" fillId="3" borderId="0" xfId="0" applyFont="1" applyFill="1" applyAlignment="1">
      <alignment horizontal="right"/>
    </xf>
    <xf numFmtId="0" fontId="1" fillId="3" borderId="0" xfId="0" applyFont="1" applyFill="1" applyBorder="1" applyAlignment="1">
      <alignment horizontal="right"/>
    </xf>
    <xf numFmtId="0" fontId="0" fillId="3" borderId="0" xfId="0" applyFill="1" applyBorder="1" applyAlignment="1"/>
    <xf numFmtId="0" fontId="7" fillId="2" borderId="0" xfId="0" applyFont="1" applyFill="1" applyAlignment="1">
      <alignment horizontal="right"/>
    </xf>
    <xf numFmtId="0" fontId="47" fillId="2" borderId="9" xfId="0" applyFont="1" applyFill="1" applyBorder="1" applyAlignment="1">
      <alignment horizontal="center"/>
    </xf>
    <xf numFmtId="0" fontId="25" fillId="2" borderId="11" xfId="0" applyFont="1" applyFill="1" applyBorder="1" applyAlignment="1">
      <alignment horizontal="center"/>
    </xf>
    <xf numFmtId="0" fontId="44" fillId="2" borderId="11" xfId="0" applyFont="1" applyFill="1" applyBorder="1" applyAlignment="1">
      <alignment horizontal="center"/>
    </xf>
    <xf numFmtId="0" fontId="25" fillId="2" borderId="0" xfId="0" applyFont="1" applyFill="1" applyBorder="1" applyAlignment="1">
      <alignment horizontal="center"/>
    </xf>
    <xf numFmtId="0" fontId="7" fillId="2" borderId="0" xfId="0" applyFont="1" applyFill="1" applyBorder="1" applyAlignment="1">
      <alignment horizontal="center"/>
    </xf>
    <xf numFmtId="0" fontId="12" fillId="2" borderId="0" xfId="0" applyFont="1" applyFill="1" applyBorder="1" applyAlignment="1">
      <alignment horizontal="center" vertical="center"/>
    </xf>
    <xf numFmtId="0" fontId="47" fillId="2" borderId="0" xfId="0" applyFont="1" applyFill="1" applyBorder="1" applyAlignment="1">
      <alignment horizontal="center"/>
    </xf>
    <xf numFmtId="0" fontId="44" fillId="2" borderId="0" xfId="0" applyFont="1" applyFill="1" applyBorder="1" applyAlignment="1">
      <alignment horizontal="center"/>
    </xf>
    <xf numFmtId="0" fontId="2" fillId="0" borderId="10" xfId="0" applyFont="1" applyBorder="1"/>
    <xf numFmtId="0" fontId="25" fillId="4" borderId="28" xfId="0" applyFont="1" applyFill="1" applyBorder="1" applyAlignment="1">
      <alignment horizontal="center"/>
    </xf>
    <xf numFmtId="0" fontId="47" fillId="4" borderId="0" xfId="0" applyFont="1" applyFill="1" applyBorder="1" applyAlignment="1">
      <alignment horizontal="center"/>
    </xf>
    <xf numFmtId="0" fontId="44" fillId="4" borderId="0" xfId="0" applyFont="1" applyFill="1" applyBorder="1" applyAlignment="1">
      <alignment horizontal="center"/>
    </xf>
    <xf numFmtId="3" fontId="20" fillId="4" borderId="0" xfId="0" applyNumberFormat="1" applyFont="1" applyFill="1" applyBorder="1" applyAlignment="1">
      <alignment horizontal="left"/>
    </xf>
    <xf numFmtId="0" fontId="43" fillId="4" borderId="9" xfId="0" applyFont="1" applyFill="1" applyBorder="1" applyAlignment="1">
      <alignment horizontal="center"/>
    </xf>
    <xf numFmtId="0" fontId="16" fillId="2" borderId="0" xfId="0" applyFont="1" applyFill="1" applyAlignment="1">
      <alignment horizontal="left" vertical="center"/>
    </xf>
    <xf numFmtId="2" fontId="2" fillId="4" borderId="8" xfId="0" applyNumberFormat="1" applyFont="1" applyFill="1" applyBorder="1" applyAlignment="1">
      <alignment horizontal="center" vertical="center" wrapText="1"/>
    </xf>
    <xf numFmtId="0" fontId="2" fillId="4" borderId="8" xfId="0" applyFont="1" applyFill="1" applyBorder="1" applyAlignment="1">
      <alignment horizontal="center"/>
    </xf>
    <xf numFmtId="2" fontId="2" fillId="4" borderId="16" xfId="0" applyNumberFormat="1" applyFont="1" applyFill="1" applyBorder="1" applyAlignment="1">
      <alignment horizontal="center" vertical="center" wrapText="1"/>
    </xf>
    <xf numFmtId="0" fontId="2" fillId="2" borderId="18" xfId="0" applyFont="1" applyFill="1" applyBorder="1" applyAlignment="1">
      <alignment horizontal="center" vertical="center"/>
    </xf>
    <xf numFmtId="0" fontId="13" fillId="2" borderId="17" xfId="0" applyFont="1" applyFill="1" applyBorder="1" applyAlignment="1">
      <alignment horizontal="right" vertical="center"/>
    </xf>
    <xf numFmtId="0" fontId="13" fillId="2" borderId="17" xfId="0" applyFont="1" applyFill="1" applyBorder="1" applyAlignment="1">
      <alignment horizontal="center" vertical="center"/>
    </xf>
    <xf numFmtId="0" fontId="43" fillId="4" borderId="0" xfId="0" applyFont="1" applyFill="1" applyBorder="1" applyAlignment="1">
      <alignment horizontal="center"/>
    </xf>
    <xf numFmtId="2" fontId="2" fillId="4" borderId="0" xfId="0" applyNumberFormat="1" applyFont="1" applyFill="1" applyBorder="1" applyAlignment="1">
      <alignment horizontal="center" vertical="center" wrapText="1"/>
    </xf>
    <xf numFmtId="0" fontId="1" fillId="2" borderId="0" xfId="0" applyFont="1" applyFill="1"/>
    <xf numFmtId="0" fontId="1" fillId="2" borderId="0" xfId="0" applyFont="1" applyFill="1" applyBorder="1" applyAlignment="1">
      <alignment horizontal="center"/>
    </xf>
    <xf numFmtId="0" fontId="50" fillId="2" borderId="0" xfId="0" applyFont="1" applyFill="1"/>
    <xf numFmtId="0" fontId="13" fillId="2" borderId="0" xfId="0" applyFont="1" applyFill="1" applyAlignment="1">
      <alignment horizontal="center" vertical="center"/>
    </xf>
    <xf numFmtId="0" fontId="13" fillId="2" borderId="0" xfId="0" applyFont="1" applyFill="1" applyBorder="1" applyAlignment="1">
      <alignment horizontal="center" vertical="center"/>
    </xf>
    <xf numFmtId="0" fontId="2" fillId="0" borderId="10" xfId="0" applyFont="1" applyBorder="1" applyAlignment="1">
      <alignment horizontal="center"/>
    </xf>
    <xf numFmtId="0" fontId="51" fillId="2" borderId="1" xfId="0" applyFont="1" applyFill="1" applyBorder="1" applyAlignment="1">
      <alignment horizontal="center" vertical="center"/>
    </xf>
    <xf numFmtId="0" fontId="51" fillId="2" borderId="0" xfId="0" applyFont="1" applyFill="1" applyBorder="1" applyAlignment="1">
      <alignment horizontal="center" vertical="center"/>
    </xf>
    <xf numFmtId="0" fontId="2" fillId="0" borderId="4" xfId="0" applyFont="1" applyBorder="1" applyAlignment="1">
      <alignment horizontal="center"/>
    </xf>
    <xf numFmtId="0" fontId="2" fillId="0" borderId="1" xfId="0" applyFont="1" applyFill="1" applyBorder="1" applyAlignment="1">
      <alignment horizontal="center"/>
    </xf>
    <xf numFmtId="0" fontId="48" fillId="2" borderId="1" xfId="0" applyFont="1" applyFill="1" applyBorder="1" applyAlignment="1">
      <alignment horizontal="center" vertical="center"/>
    </xf>
    <xf numFmtId="0" fontId="48" fillId="2" borderId="4" xfId="0" applyFont="1" applyFill="1" applyBorder="1" applyAlignment="1">
      <alignment horizontal="center" vertical="center"/>
    </xf>
    <xf numFmtId="0" fontId="34" fillId="2" borderId="1" xfId="0" applyFont="1" applyFill="1" applyBorder="1"/>
    <xf numFmtId="0" fontId="34" fillId="2" borderId="0" xfId="0" applyFont="1" applyFill="1" applyBorder="1"/>
    <xf numFmtId="0" fontId="48" fillId="2" borderId="0" xfId="0" applyFont="1" applyFill="1" applyBorder="1" applyAlignment="1">
      <alignment horizontal="center" vertical="center"/>
    </xf>
    <xf numFmtId="0" fontId="48" fillId="2" borderId="18" xfId="0" applyFont="1" applyFill="1" applyBorder="1" applyAlignment="1">
      <alignment horizontal="center" vertical="center"/>
    </xf>
    <xf numFmtId="0" fontId="48" fillId="2" borderId="7" xfId="0" applyFont="1" applyFill="1" applyBorder="1" applyAlignment="1">
      <alignment horizontal="center" vertical="center"/>
    </xf>
    <xf numFmtId="0" fontId="48" fillId="2" borderId="5" xfId="0" applyFont="1" applyFill="1" applyBorder="1" applyAlignment="1">
      <alignment horizontal="center" vertical="center"/>
    </xf>
    <xf numFmtId="0" fontId="13" fillId="2" borderId="1" xfId="0" applyFont="1" applyFill="1" applyBorder="1" applyAlignment="1">
      <alignment horizontal="center" vertical="center"/>
    </xf>
    <xf numFmtId="0" fontId="52" fillId="4" borderId="0" xfId="0" applyFont="1" applyFill="1" applyBorder="1"/>
    <xf numFmtId="0" fontId="53" fillId="2" borderId="0" xfId="0" applyFont="1" applyFill="1"/>
    <xf numFmtId="0" fontId="54" fillId="2" borderId="0" xfId="0" applyFont="1" applyFill="1" applyAlignment="1">
      <alignment horizontal="center" vertical="center"/>
    </xf>
    <xf numFmtId="0" fontId="54" fillId="2" borderId="0" xfId="0" applyFont="1" applyFill="1" applyBorder="1" applyAlignment="1">
      <alignment horizontal="center" vertical="center"/>
    </xf>
    <xf numFmtId="0" fontId="54" fillId="2" borderId="0" xfId="0" applyFont="1" applyFill="1" applyAlignment="1">
      <alignment horizontal="right" vertical="center"/>
    </xf>
    <xf numFmtId="0" fontId="55" fillId="2" borderId="0" xfId="0" applyFont="1" applyFill="1" applyAlignment="1">
      <alignment horizontal="center" vertical="center"/>
    </xf>
    <xf numFmtId="0" fontId="52" fillId="2" borderId="0" xfId="0" applyFont="1" applyFill="1"/>
    <xf numFmtId="0" fontId="52" fillId="3" borderId="0" xfId="0" applyFont="1" applyFill="1" applyAlignment="1">
      <alignment horizontal="right"/>
    </xf>
    <xf numFmtId="0" fontId="52" fillId="3" borderId="0" xfId="0" applyFont="1" applyFill="1"/>
    <xf numFmtId="0" fontId="52" fillId="0" borderId="0" xfId="0" applyFont="1"/>
    <xf numFmtId="0" fontId="2" fillId="2" borderId="0" xfId="0" applyFont="1" applyFill="1" applyAlignment="1">
      <alignment horizontal="left"/>
    </xf>
    <xf numFmtId="0" fontId="2" fillId="2" borderId="0" xfId="0" applyFont="1" applyFill="1" applyBorder="1" applyAlignment="1">
      <alignment horizontal="left"/>
    </xf>
    <xf numFmtId="0" fontId="40" fillId="2" borderId="0" xfId="0" applyFont="1" applyFill="1" applyBorder="1"/>
    <xf numFmtId="0" fontId="2" fillId="2" borderId="1" xfId="0" applyFont="1" applyFill="1" applyBorder="1"/>
    <xf numFmtId="4" fontId="2" fillId="0" borderId="1" xfId="0" applyNumberFormat="1" applyFont="1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0" borderId="0" xfId="0" applyAlignment="1">
      <alignment vertical="center"/>
    </xf>
    <xf numFmtId="0" fontId="2" fillId="2" borderId="13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2" fontId="2" fillId="2" borderId="5" xfId="0" applyNumberFormat="1" applyFont="1" applyFill="1" applyBorder="1" applyAlignment="1">
      <alignment horizontal="center" vertical="center" wrapText="1"/>
    </xf>
    <xf numFmtId="0" fontId="20" fillId="4" borderId="0" xfId="0" applyFont="1" applyFill="1" applyAlignment="1">
      <alignment horizontal="center"/>
    </xf>
    <xf numFmtId="0" fontId="56" fillId="4" borderId="0" xfId="0" applyFont="1" applyFill="1"/>
    <xf numFmtId="0" fontId="44" fillId="4" borderId="0" xfId="0" applyFont="1" applyFill="1" applyAlignment="1">
      <alignment horizontal="center"/>
    </xf>
    <xf numFmtId="0" fontId="50" fillId="4" borderId="0" xfId="0" applyFont="1" applyFill="1"/>
    <xf numFmtId="0" fontId="50" fillId="0" borderId="0" xfId="0" applyFont="1"/>
    <xf numFmtId="0" fontId="2" fillId="0" borderId="0" xfId="0" applyFont="1" applyBorder="1"/>
    <xf numFmtId="2" fontId="2" fillId="3" borderId="0" xfId="0" applyNumberFormat="1" applyFont="1" applyFill="1" applyBorder="1" applyAlignment="1">
      <alignment vertical="center" wrapText="1"/>
    </xf>
    <xf numFmtId="2" fontId="2" fillId="2" borderId="0" xfId="0" applyNumberFormat="1" applyFont="1" applyFill="1" applyBorder="1" applyAlignment="1">
      <alignment vertical="center" wrapText="1"/>
    </xf>
    <xf numFmtId="0" fontId="20" fillId="2" borderId="0" xfId="0" applyFont="1" applyFill="1" applyAlignment="1">
      <alignment horizontal="left" vertical="center"/>
    </xf>
    <xf numFmtId="4" fontId="2" fillId="0" borderId="0" xfId="0" applyNumberFormat="1" applyFont="1" applyFill="1" applyBorder="1" applyAlignment="1">
      <alignment vertical="center" wrapText="1"/>
    </xf>
    <xf numFmtId="0" fontId="0" fillId="2" borderId="0" xfId="0" applyFill="1" applyBorder="1" applyAlignment="1">
      <alignment vertical="center"/>
    </xf>
    <xf numFmtId="4" fontId="7" fillId="2" borderId="0" xfId="0" applyNumberFormat="1" applyFont="1" applyFill="1" applyAlignment="1">
      <alignment horizontal="right"/>
    </xf>
    <xf numFmtId="0" fontId="0" fillId="4" borderId="0" xfId="0" applyFill="1" applyAlignment="1">
      <alignment vertical="center"/>
    </xf>
    <xf numFmtId="4" fontId="2" fillId="2" borderId="0" xfId="0" applyNumberFormat="1" applyFont="1" applyFill="1" applyBorder="1" applyAlignment="1">
      <alignment vertical="center" wrapText="1"/>
    </xf>
    <xf numFmtId="2" fontId="2" fillId="3" borderId="4" xfId="0" applyNumberFormat="1" applyFont="1" applyFill="1" applyBorder="1" applyAlignment="1">
      <alignment vertical="center" wrapText="1"/>
    </xf>
    <xf numFmtId="0" fontId="2" fillId="3" borderId="4" xfId="0" applyFont="1" applyFill="1" applyBorder="1"/>
    <xf numFmtId="0" fontId="22" fillId="2" borderId="0" xfId="0" applyFont="1" applyFill="1" applyBorder="1" applyAlignment="1">
      <alignment vertical="center"/>
    </xf>
    <xf numFmtId="4" fontId="7" fillId="2" borderId="0" xfId="0" applyNumberFormat="1" applyFont="1" applyFill="1" applyAlignment="1">
      <alignment horizontal="left"/>
    </xf>
    <xf numFmtId="4" fontId="50" fillId="2" borderId="0" xfId="0" applyNumberFormat="1" applyFont="1" applyFill="1"/>
    <xf numFmtId="0" fontId="57" fillId="4" borderId="0" xfId="0" applyFont="1" applyFill="1"/>
    <xf numFmtId="0" fontId="20" fillId="4" borderId="9" xfId="0" applyFont="1" applyFill="1" applyBorder="1" applyAlignment="1">
      <alignment horizontal="center"/>
    </xf>
    <xf numFmtId="0" fontId="20" fillId="4" borderId="9" xfId="0" applyFont="1" applyFill="1" applyBorder="1" applyAlignment="1">
      <alignment horizontal="right"/>
    </xf>
    <xf numFmtId="0" fontId="56" fillId="4" borderId="9" xfId="0" applyFont="1" applyFill="1" applyBorder="1"/>
    <xf numFmtId="0" fontId="50" fillId="4" borderId="9" xfId="0" applyFont="1" applyFill="1" applyBorder="1"/>
    <xf numFmtId="0" fontId="20" fillId="4" borderId="11" xfId="0" applyFont="1" applyFill="1" applyBorder="1" applyAlignment="1">
      <alignment horizontal="right"/>
    </xf>
    <xf numFmtId="0" fontId="20" fillId="4" borderId="11" xfId="0" applyFont="1" applyFill="1" applyBorder="1" applyAlignment="1">
      <alignment horizontal="center"/>
    </xf>
    <xf numFmtId="0" fontId="56" fillId="4" borderId="11" xfId="0" applyFont="1" applyFill="1" applyBorder="1"/>
    <xf numFmtId="0" fontId="57" fillId="4" borderId="11" xfId="0" applyFont="1" applyFill="1" applyBorder="1"/>
    <xf numFmtId="0" fontId="50" fillId="4" borderId="11" xfId="0" applyFont="1" applyFill="1" applyBorder="1"/>
    <xf numFmtId="0" fontId="50" fillId="0" borderId="11" xfId="0" applyFont="1" applyBorder="1"/>
    <xf numFmtId="0" fontId="20" fillId="4" borderId="0" xfId="0" applyFont="1" applyFill="1" applyBorder="1" applyAlignment="1">
      <alignment horizontal="left"/>
    </xf>
    <xf numFmtId="0" fontId="7" fillId="4" borderId="9" xfId="0" applyFont="1" applyFill="1" applyBorder="1"/>
    <xf numFmtId="0" fontId="20" fillId="2" borderId="9" xfId="0" applyFont="1" applyFill="1" applyBorder="1" applyAlignment="1">
      <alignment horizontal="right"/>
    </xf>
    <xf numFmtId="0" fontId="20" fillId="2" borderId="9" xfId="0" applyFont="1" applyFill="1" applyBorder="1" applyAlignment="1">
      <alignment horizontal="center"/>
    </xf>
    <xf numFmtId="0" fontId="56" fillId="2" borderId="9" xfId="0" applyFont="1" applyFill="1" applyBorder="1"/>
    <xf numFmtId="0" fontId="7" fillId="4" borderId="9" xfId="0" applyFont="1" applyFill="1" applyBorder="1" applyAlignment="1">
      <alignment horizontal="center"/>
    </xf>
    <xf numFmtId="0" fontId="2" fillId="2" borderId="10" xfId="0" applyFont="1" applyFill="1" applyBorder="1"/>
    <xf numFmtId="4" fontId="2" fillId="2" borderId="0" xfId="0" applyNumberFormat="1" applyFont="1" applyFill="1" applyBorder="1"/>
    <xf numFmtId="0" fontId="20" fillId="2" borderId="11" xfId="0" applyFont="1" applyFill="1" applyBorder="1" applyAlignment="1">
      <alignment horizontal="right"/>
    </xf>
    <xf numFmtId="0" fontId="20" fillId="2" borderId="0" xfId="0" applyFont="1" applyFill="1" applyAlignment="1">
      <alignment horizontal="right"/>
    </xf>
    <xf numFmtId="0" fontId="56" fillId="2" borderId="11" xfId="0" applyFont="1" applyFill="1" applyBorder="1"/>
    <xf numFmtId="0" fontId="56" fillId="2" borderId="0" xfId="0" applyFont="1" applyFill="1"/>
    <xf numFmtId="0" fontId="57" fillId="2" borderId="11" xfId="0" applyFont="1" applyFill="1" applyBorder="1"/>
    <xf numFmtId="0" fontId="57" fillId="2" borderId="0" xfId="0" applyFont="1" applyFill="1"/>
    <xf numFmtId="0" fontId="50" fillId="2" borderId="0" xfId="0" applyFont="1" applyFill="1" applyBorder="1"/>
    <xf numFmtId="4" fontId="20" fillId="4" borderId="0" xfId="0" applyNumberFormat="1" applyFont="1" applyFill="1" applyBorder="1" applyAlignment="1">
      <alignment horizontal="right"/>
    </xf>
    <xf numFmtId="0" fontId="56" fillId="4" borderId="0" xfId="0" applyFont="1" applyFill="1" applyBorder="1"/>
    <xf numFmtId="0" fontId="56" fillId="4" borderId="0" xfId="0" applyFont="1" applyFill="1" applyBorder="1" applyAlignment="1">
      <alignment horizontal="center"/>
    </xf>
    <xf numFmtId="0" fontId="20" fillId="4" borderId="0" xfId="0" applyFont="1" applyFill="1" applyBorder="1" applyAlignment="1">
      <alignment horizontal="center"/>
    </xf>
    <xf numFmtId="0" fontId="56" fillId="2" borderId="0" xfId="0" applyFont="1" applyFill="1" applyBorder="1" applyAlignment="1">
      <alignment horizontal="right"/>
    </xf>
    <xf numFmtId="0" fontId="56" fillId="2" borderId="0" xfId="0" applyFont="1" applyFill="1" applyBorder="1"/>
    <xf numFmtId="0" fontId="56" fillId="2" borderId="0" xfId="0" applyFont="1" applyFill="1" applyBorder="1" applyAlignment="1">
      <alignment horizontal="center"/>
    </xf>
    <xf numFmtId="0" fontId="20" fillId="2" borderId="0" xfId="0" applyFont="1" applyFill="1" applyBorder="1" applyAlignment="1">
      <alignment horizontal="center"/>
    </xf>
    <xf numFmtId="0" fontId="20" fillId="2" borderId="0" xfId="0" applyFont="1" applyFill="1" applyAlignment="1">
      <alignment vertical="center" wrapText="1"/>
    </xf>
    <xf numFmtId="0" fontId="1" fillId="2" borderId="0" xfId="0" applyFont="1" applyFill="1" applyAlignment="1">
      <alignment horizontal="right"/>
    </xf>
    <xf numFmtId="0" fontId="53" fillId="4" borderId="0" xfId="0" applyFont="1" applyFill="1"/>
    <xf numFmtId="0" fontId="54" fillId="4" borderId="0" xfId="0" applyFont="1" applyFill="1" applyAlignment="1">
      <alignment horizontal="center" vertical="center"/>
    </xf>
    <xf numFmtId="0" fontId="22" fillId="4" borderId="0" xfId="0" applyFont="1" applyFill="1"/>
    <xf numFmtId="0" fontId="52" fillId="4" borderId="0" xfId="0" applyFont="1" applyFill="1"/>
    <xf numFmtId="0" fontId="55" fillId="4" borderId="0" xfId="0" applyFont="1" applyFill="1" applyAlignment="1">
      <alignment horizontal="center" vertical="center"/>
    </xf>
    <xf numFmtId="0" fontId="2" fillId="2" borderId="1" xfId="0" applyFont="1" applyFill="1" applyBorder="1" applyAlignment="1">
      <alignment horizontal="center"/>
    </xf>
    <xf numFmtId="0" fontId="49" fillId="2" borderId="1" xfId="0" applyFont="1" applyFill="1" applyBorder="1" applyAlignment="1">
      <alignment horizontal="center"/>
    </xf>
    <xf numFmtId="2" fontId="2" fillId="2" borderId="1" xfId="0" applyNumberFormat="1" applyFont="1" applyFill="1" applyBorder="1" applyAlignment="1">
      <alignment vertical="center" wrapText="1"/>
    </xf>
    <xf numFmtId="4" fontId="2" fillId="2" borderId="1" xfId="0" applyNumberFormat="1" applyFont="1" applyFill="1" applyBorder="1" applyAlignment="1">
      <alignment vertical="center" wrapText="1"/>
    </xf>
    <xf numFmtId="0" fontId="12" fillId="4" borderId="0" xfId="0" applyFont="1" applyFill="1" applyBorder="1" applyAlignment="1">
      <alignment horizontal="center" vertical="center"/>
    </xf>
    <xf numFmtId="0" fontId="54" fillId="4" borderId="0" xfId="0" applyFont="1" applyFill="1" applyBorder="1" applyAlignment="1">
      <alignment horizontal="center" vertical="center"/>
    </xf>
    <xf numFmtId="4" fontId="7" fillId="2" borderId="0" xfId="0" applyNumberFormat="1" applyFont="1" applyFill="1" applyBorder="1" applyAlignment="1">
      <alignment vertical="center" wrapText="1"/>
    </xf>
    <xf numFmtId="4" fontId="7" fillId="2" borderId="0" xfId="0" applyNumberFormat="1" applyFont="1" applyFill="1"/>
    <xf numFmtId="4" fontId="0" fillId="3" borderId="0" xfId="0" applyNumberFormat="1" applyFill="1" applyBorder="1"/>
    <xf numFmtId="4" fontId="44" fillId="4" borderId="0" xfId="0" applyNumberFormat="1" applyFont="1" applyFill="1" applyBorder="1" applyAlignment="1">
      <alignment horizontal="center"/>
    </xf>
    <xf numFmtId="4" fontId="0" fillId="0" borderId="1" xfId="0" applyNumberFormat="1" applyBorder="1"/>
    <xf numFmtId="0" fontId="0" fillId="4" borderId="0" xfId="0" applyFill="1" applyAlignment="1">
      <alignment horizontal="center"/>
    </xf>
    <xf numFmtId="0" fontId="5" fillId="2" borderId="0" xfId="0" applyFont="1" applyFill="1" applyBorder="1" applyAlignment="1">
      <alignment horizontal="center" vertical="center" wrapText="1"/>
    </xf>
    <xf numFmtId="0" fontId="3" fillId="4" borderId="29" xfId="0" applyFont="1" applyFill="1" applyBorder="1" applyAlignment="1"/>
    <xf numFmtId="0" fontId="3" fillId="4" borderId="29" xfId="0" applyFont="1" applyFill="1" applyBorder="1" applyAlignment="1">
      <alignment horizontal="center"/>
    </xf>
    <xf numFmtId="0" fontId="2" fillId="2" borderId="30" xfId="0" applyFont="1" applyFill="1" applyBorder="1" applyAlignment="1">
      <alignment horizontal="center" vertical="center"/>
    </xf>
    <xf numFmtId="2" fontId="2" fillId="2" borderId="25" xfId="0" applyNumberFormat="1" applyFont="1" applyFill="1" applyBorder="1" applyAlignment="1">
      <alignment horizontal="center" vertical="center" wrapText="1"/>
    </xf>
    <xf numFmtId="0" fontId="2" fillId="2" borderId="14" xfId="0" applyFont="1" applyFill="1" applyBorder="1" applyAlignment="1">
      <alignment horizontal="center" vertical="center"/>
    </xf>
    <xf numFmtId="0" fontId="7" fillId="4" borderId="29" xfId="0" applyFont="1" applyFill="1" applyBorder="1"/>
    <xf numFmtId="2" fontId="7" fillId="4" borderId="31" xfId="0" applyNumberFormat="1" applyFont="1" applyFill="1" applyBorder="1" applyAlignment="1">
      <alignment horizontal="center" vertical="center" wrapText="1"/>
    </xf>
    <xf numFmtId="0" fontId="0" fillId="0" borderId="3" xfId="0" applyBorder="1"/>
    <xf numFmtId="2" fontId="0" fillId="2" borderId="3" xfId="0" applyNumberFormat="1" applyFill="1" applyBorder="1" applyAlignment="1">
      <alignment vertical="center" wrapText="1"/>
    </xf>
    <xf numFmtId="0" fontId="0" fillId="0" borderId="3" xfId="0" applyBorder="1" applyAlignment="1">
      <alignment horizontal="center"/>
    </xf>
    <xf numFmtId="2" fontId="0" fillId="3" borderId="3" xfId="0" applyNumberFormat="1" applyFill="1" applyBorder="1" applyAlignment="1">
      <alignment vertical="center" wrapText="1"/>
    </xf>
    <xf numFmtId="2" fontId="7" fillId="4" borderId="32" xfId="0" applyNumberFormat="1" applyFont="1" applyFill="1" applyBorder="1" applyAlignment="1">
      <alignment horizontal="center" vertical="center" wrapText="1"/>
    </xf>
    <xf numFmtId="2" fontId="0" fillId="4" borderId="0" xfId="0" applyNumberFormat="1" applyFill="1" applyBorder="1" applyAlignment="1">
      <alignment vertical="center" wrapText="1"/>
    </xf>
    <xf numFmtId="2" fontId="0" fillId="2" borderId="33" xfId="0" applyNumberFormat="1" applyFill="1" applyBorder="1" applyAlignment="1">
      <alignment vertical="center" wrapText="1"/>
    </xf>
    <xf numFmtId="0" fontId="0" fillId="0" borderId="33" xfId="0" applyBorder="1" applyAlignment="1">
      <alignment horizontal="center"/>
    </xf>
    <xf numFmtId="2" fontId="0" fillId="3" borderId="33" xfId="0" applyNumberFormat="1" applyFill="1" applyBorder="1" applyAlignment="1">
      <alignment vertical="center" wrapText="1"/>
    </xf>
    <xf numFmtId="2" fontId="7" fillId="4" borderId="34" xfId="0" applyNumberFormat="1" applyFont="1" applyFill="1" applyBorder="1" applyAlignment="1">
      <alignment horizontal="center" vertical="center" wrapText="1"/>
    </xf>
    <xf numFmtId="0" fontId="0" fillId="0" borderId="26" xfId="0" applyBorder="1"/>
    <xf numFmtId="0" fontId="0" fillId="2" borderId="35" xfId="0" applyFill="1" applyBorder="1" applyAlignment="1">
      <alignment horizontal="center"/>
    </xf>
    <xf numFmtId="0" fontId="3" fillId="2" borderId="0" xfId="0" applyFont="1" applyFill="1" applyBorder="1" applyAlignment="1">
      <alignment horizontal="right" vertical="center"/>
    </xf>
    <xf numFmtId="0" fontId="0" fillId="4" borderId="35" xfId="0" applyFill="1" applyBorder="1" applyAlignment="1">
      <alignment horizontal="center"/>
    </xf>
    <xf numFmtId="0" fontId="2" fillId="4" borderId="0" xfId="0" applyFont="1" applyFill="1" applyBorder="1" applyAlignment="1">
      <alignment horizontal="center" vertical="center"/>
    </xf>
    <xf numFmtId="0" fontId="0" fillId="0" borderId="36" xfId="0" applyBorder="1"/>
    <xf numFmtId="2" fontId="7" fillId="4" borderId="31" xfId="0" applyNumberFormat="1" applyFont="1" applyFill="1" applyBorder="1" applyAlignment="1">
      <alignment vertical="center" wrapText="1"/>
    </xf>
    <xf numFmtId="2" fontId="7" fillId="4" borderId="32" xfId="0" applyNumberFormat="1" applyFont="1" applyFill="1" applyBorder="1" applyAlignment="1">
      <alignment vertical="center" wrapText="1"/>
    </xf>
    <xf numFmtId="0" fontId="5" fillId="3" borderId="37" xfId="0" applyFont="1" applyFill="1" applyBorder="1" applyAlignment="1">
      <alignment vertical="center" wrapText="1"/>
    </xf>
    <xf numFmtId="4" fontId="5" fillId="4" borderId="38" xfId="0" applyNumberFormat="1" applyFont="1" applyFill="1" applyBorder="1" applyAlignment="1">
      <alignment vertical="center" wrapText="1"/>
    </xf>
    <xf numFmtId="0" fontId="5" fillId="3" borderId="0" xfId="0" applyFont="1" applyFill="1" applyBorder="1" applyAlignment="1">
      <alignment vertical="center" wrapText="1"/>
    </xf>
    <xf numFmtId="4" fontId="5" fillId="4" borderId="29" xfId="0" applyNumberFormat="1" applyFont="1" applyFill="1" applyBorder="1" applyAlignment="1">
      <alignment vertical="center" wrapText="1"/>
    </xf>
    <xf numFmtId="4" fontId="3" fillId="4" borderId="29" xfId="0" applyNumberFormat="1" applyFont="1" applyFill="1" applyBorder="1" applyAlignment="1"/>
    <xf numFmtId="4" fontId="3" fillId="4" borderId="29" xfId="0" applyNumberFormat="1" applyFont="1" applyFill="1" applyBorder="1" applyAlignment="1">
      <alignment horizontal="center"/>
    </xf>
    <xf numFmtId="4" fontId="7" fillId="4" borderId="31" xfId="0" applyNumberFormat="1" applyFont="1" applyFill="1" applyBorder="1"/>
    <xf numFmtId="0" fontId="0" fillId="0" borderId="35" xfId="0" applyBorder="1"/>
    <xf numFmtId="0" fontId="0" fillId="0" borderId="39" xfId="0" applyBorder="1"/>
    <xf numFmtId="0" fontId="0" fillId="0" borderId="3" xfId="0" applyFill="1" applyBorder="1"/>
    <xf numFmtId="0" fontId="0" fillId="2" borderId="3" xfId="0" applyFill="1" applyBorder="1" applyAlignment="1">
      <alignment horizontal="center"/>
    </xf>
    <xf numFmtId="0" fontId="0" fillId="3" borderId="3" xfId="0" applyFill="1" applyBorder="1"/>
    <xf numFmtId="4" fontId="7" fillId="4" borderId="32" xfId="0" applyNumberFormat="1" applyFont="1" applyFill="1" applyBorder="1"/>
    <xf numFmtId="0" fontId="3" fillId="3" borderId="37" xfId="0" applyFont="1" applyFill="1" applyBorder="1" applyAlignment="1">
      <alignment horizontal="center"/>
    </xf>
    <xf numFmtId="4" fontId="3" fillId="4" borderId="38" xfId="0" applyNumberFormat="1" applyFont="1" applyFill="1" applyBorder="1" applyAlignment="1">
      <alignment horizontal="center"/>
    </xf>
    <xf numFmtId="0" fontId="0" fillId="2" borderId="40" xfId="0" applyFill="1" applyBorder="1" applyAlignment="1"/>
    <xf numFmtId="4" fontId="7" fillId="4" borderId="31" xfId="0" applyNumberFormat="1" applyFont="1" applyFill="1" applyBorder="1" applyAlignment="1">
      <alignment vertical="center" wrapText="1"/>
    </xf>
    <xf numFmtId="0" fontId="0" fillId="2" borderId="41" xfId="0" applyFill="1" applyBorder="1" applyAlignment="1"/>
    <xf numFmtId="0" fontId="0" fillId="2" borderId="42" xfId="0" applyFill="1" applyBorder="1" applyAlignment="1"/>
    <xf numFmtId="4" fontId="7" fillId="4" borderId="32" xfId="0" applyNumberFormat="1" applyFont="1" applyFill="1" applyBorder="1" applyAlignment="1">
      <alignment vertical="center" wrapText="1"/>
    </xf>
    <xf numFmtId="2" fontId="0" fillId="2" borderId="14" xfId="0" applyNumberFormat="1" applyFill="1" applyBorder="1" applyAlignment="1">
      <alignment vertical="center" wrapText="1"/>
    </xf>
    <xf numFmtId="0" fontId="0" fillId="2" borderId="37" xfId="0" applyFill="1" applyBorder="1"/>
    <xf numFmtId="2" fontId="0" fillId="4" borderId="0" xfId="0" applyNumberFormat="1" applyFill="1" applyBorder="1" applyAlignment="1">
      <alignment horizontal="left" vertical="center" wrapText="1"/>
    </xf>
    <xf numFmtId="0" fontId="5" fillId="2" borderId="0" xfId="0" applyFont="1" applyFill="1" applyAlignment="1">
      <alignment vertical="center" wrapText="1"/>
    </xf>
    <xf numFmtId="4" fontId="3" fillId="2" borderId="0" xfId="0" applyNumberFormat="1" applyFont="1" applyFill="1" applyBorder="1" applyAlignment="1">
      <alignment horizontal="center"/>
    </xf>
    <xf numFmtId="0" fontId="7" fillId="2" borderId="0" xfId="0" applyFont="1" applyFill="1" applyBorder="1" applyAlignment="1">
      <alignment horizontal="center" vertical="center" wrapText="1"/>
    </xf>
    <xf numFmtId="0" fontId="7" fillId="2" borderId="0" xfId="0" applyFont="1" applyFill="1" applyBorder="1" applyAlignment="1">
      <alignment vertical="center" wrapText="1"/>
    </xf>
    <xf numFmtId="2" fontId="0" fillId="2" borderId="1" xfId="0" applyNumberFormat="1" applyFill="1" applyBorder="1" applyAlignment="1">
      <alignment horizontal="left" vertical="center" wrapText="1"/>
    </xf>
    <xf numFmtId="0" fontId="1" fillId="2" borderId="1" xfId="0" applyFont="1" applyFill="1" applyBorder="1" applyAlignment="1"/>
    <xf numFmtId="0" fontId="5" fillId="4" borderId="38" xfId="0" applyFont="1" applyFill="1" applyBorder="1" applyAlignment="1">
      <alignment vertical="center" wrapText="1"/>
    </xf>
    <xf numFmtId="0" fontId="5" fillId="4" borderId="29" xfId="0" applyFont="1" applyFill="1" applyBorder="1" applyAlignment="1">
      <alignment vertical="center" wrapText="1"/>
    </xf>
    <xf numFmtId="0" fontId="3" fillId="4" borderId="31" xfId="0" applyFont="1" applyFill="1" applyBorder="1" applyAlignment="1">
      <alignment horizontal="center"/>
    </xf>
    <xf numFmtId="2" fontId="7" fillId="4" borderId="31" xfId="0" applyNumberFormat="1" applyFont="1" applyFill="1" applyBorder="1" applyAlignment="1">
      <alignment horizontal="center"/>
    </xf>
    <xf numFmtId="0" fontId="0" fillId="2" borderId="3" xfId="0" applyFill="1" applyBorder="1"/>
    <xf numFmtId="2" fontId="0" fillId="2" borderId="3" xfId="0" applyNumberFormat="1" applyFill="1" applyBorder="1" applyAlignment="1">
      <alignment horizontal="left" vertical="center" wrapText="1"/>
    </xf>
    <xf numFmtId="0" fontId="7" fillId="4" borderId="29" xfId="0" applyFont="1" applyFill="1" applyBorder="1" applyAlignment="1">
      <alignment horizontal="center"/>
    </xf>
    <xf numFmtId="0" fontId="0" fillId="0" borderId="44" xfId="0" applyBorder="1"/>
    <xf numFmtId="2" fontId="0" fillId="0" borderId="3" xfId="0" applyNumberFormat="1" applyFill="1" applyBorder="1" applyAlignment="1">
      <alignment horizontal="left" vertical="center" wrapText="1"/>
    </xf>
    <xf numFmtId="2" fontId="0" fillId="0" borderId="3" xfId="0" applyNumberFormat="1" applyFill="1" applyBorder="1" applyAlignment="1">
      <alignment vertical="center" wrapText="1"/>
    </xf>
    <xf numFmtId="0" fontId="3" fillId="4" borderId="35" xfId="0" applyFont="1" applyFill="1" applyBorder="1" applyAlignment="1">
      <alignment horizontal="right"/>
    </xf>
    <xf numFmtId="2" fontId="7" fillId="4" borderId="29" xfId="0" applyNumberFormat="1" applyFont="1" applyFill="1" applyBorder="1" applyAlignment="1">
      <alignment horizontal="center" vertical="center" wrapText="1"/>
    </xf>
    <xf numFmtId="2" fontId="7" fillId="4" borderId="29" xfId="0" applyNumberFormat="1" applyFont="1" applyFill="1" applyBorder="1" applyAlignment="1">
      <alignment vertical="center" wrapText="1"/>
    </xf>
    <xf numFmtId="0" fontId="0" fillId="2" borderId="45" xfId="0" applyFill="1" applyBorder="1"/>
    <xf numFmtId="2" fontId="0" fillId="2" borderId="9" xfId="0" applyNumberFormat="1" applyFill="1" applyBorder="1" applyAlignment="1">
      <alignment horizontal="left" vertical="center" wrapText="1"/>
    </xf>
    <xf numFmtId="2" fontId="0" fillId="2" borderId="9" xfId="0" applyNumberFormat="1" applyFill="1" applyBorder="1" applyAlignment="1">
      <alignment vertical="center" wrapText="1"/>
    </xf>
    <xf numFmtId="2" fontId="0" fillId="2" borderId="46" xfId="0" applyNumberFormat="1" applyFill="1" applyBorder="1" applyAlignment="1">
      <alignment vertical="center" wrapText="1"/>
    </xf>
    <xf numFmtId="0" fontId="7" fillId="4" borderId="47" xfId="0" applyFont="1" applyFill="1" applyBorder="1" applyAlignment="1">
      <alignment vertical="center" wrapText="1"/>
    </xf>
    <xf numFmtId="0" fontId="0" fillId="0" borderId="43" xfId="0" applyBorder="1"/>
    <xf numFmtId="0" fontId="26" fillId="2" borderId="35" xfId="0" applyFont="1" applyFill="1" applyBorder="1" applyAlignment="1">
      <alignment horizontal="right"/>
    </xf>
    <xf numFmtId="2" fontId="0" fillId="4" borderId="0" xfId="0" applyNumberFormat="1" applyFill="1"/>
    <xf numFmtId="0" fontId="59" fillId="4" borderId="0" xfId="0" applyFont="1" applyFill="1" applyAlignment="1">
      <alignment horizontal="center" vertical="center"/>
    </xf>
    <xf numFmtId="0" fontId="59" fillId="4" borderId="0" xfId="0" applyFont="1" applyFill="1" applyAlignment="1">
      <alignment horizontal="center" vertical="justify"/>
    </xf>
    <xf numFmtId="0" fontId="3" fillId="2" borderId="0" xfId="0" applyFont="1" applyFill="1"/>
    <xf numFmtId="2" fontId="0" fillId="0" borderId="1" xfId="0" applyNumberFormat="1" applyFill="1" applyBorder="1" applyAlignment="1">
      <alignment horizontal="right" vertical="center" wrapText="1"/>
    </xf>
    <xf numFmtId="0" fontId="27" fillId="2" borderId="35" xfId="0" applyFont="1" applyFill="1" applyBorder="1" applyAlignment="1">
      <alignment horizontal="right"/>
    </xf>
    <xf numFmtId="4" fontId="7" fillId="4" borderId="29" xfId="0" applyNumberFormat="1" applyFont="1" applyFill="1" applyBorder="1" applyAlignment="1">
      <alignment horizontal="center"/>
    </xf>
    <xf numFmtId="4" fontId="7" fillId="4" borderId="38" xfId="0" applyNumberFormat="1" applyFont="1" applyFill="1" applyBorder="1" applyAlignment="1">
      <alignment horizontal="center"/>
    </xf>
    <xf numFmtId="4" fontId="7" fillId="4" borderId="31" xfId="0" applyNumberFormat="1" applyFont="1" applyFill="1" applyBorder="1" applyAlignment="1">
      <alignment horizontal="center" vertical="center" wrapText="1"/>
    </xf>
    <xf numFmtId="0" fontId="6" fillId="0" borderId="44" xfId="0" applyFont="1" applyBorder="1" applyAlignment="1">
      <alignment horizontal="left"/>
    </xf>
    <xf numFmtId="2" fontId="0" fillId="3" borderId="3" xfId="0" applyNumberFormat="1" applyFill="1" applyBorder="1"/>
    <xf numFmtId="4" fontId="7" fillId="4" borderId="32" xfId="0" applyNumberFormat="1" applyFont="1" applyFill="1" applyBorder="1" applyAlignment="1">
      <alignment horizontal="center" vertical="center" wrapText="1"/>
    </xf>
    <xf numFmtId="2" fontId="0" fillId="0" borderId="3" xfId="0" applyNumberFormat="1" applyFill="1" applyBorder="1" applyAlignment="1">
      <alignment horizontal="right" vertical="center" wrapText="1"/>
    </xf>
    <xf numFmtId="0" fontId="0" fillId="2" borderId="35" xfId="0" applyFill="1" applyBorder="1"/>
    <xf numFmtId="0" fontId="0" fillId="0" borderId="44" xfId="0" applyBorder="1" applyAlignment="1">
      <alignment horizontal="center"/>
    </xf>
    <xf numFmtId="4" fontId="0" fillId="3" borderId="3" xfId="0" applyNumberFormat="1" applyFill="1" applyBorder="1"/>
    <xf numFmtId="2" fontId="6" fillId="2" borderId="3" xfId="0" applyNumberFormat="1" applyFont="1" applyFill="1" applyBorder="1" applyAlignment="1">
      <alignment vertical="center" wrapText="1"/>
    </xf>
    <xf numFmtId="4" fontId="7" fillId="2" borderId="29" xfId="0" applyNumberFormat="1" applyFont="1" applyFill="1" applyBorder="1" applyAlignment="1">
      <alignment horizontal="center"/>
    </xf>
    <xf numFmtId="2" fontId="0" fillId="4" borderId="0" xfId="0" applyNumberFormat="1" applyFill="1" applyBorder="1" applyAlignment="1">
      <alignment horizontal="right" vertical="center" wrapText="1"/>
    </xf>
    <xf numFmtId="2" fontId="0" fillId="4" borderId="0" xfId="0" applyNumberFormat="1" applyFill="1" applyBorder="1"/>
    <xf numFmtId="0" fontId="0" fillId="4" borderId="35" xfId="0" applyFill="1" applyBorder="1"/>
    <xf numFmtId="0" fontId="16" fillId="4" borderId="7" xfId="0" applyFont="1" applyFill="1" applyBorder="1" applyAlignment="1">
      <alignment horizontal="center"/>
    </xf>
    <xf numFmtId="2" fontId="0" fillId="0" borderId="10" xfId="0" applyNumberFormat="1" applyFill="1" applyBorder="1" applyAlignment="1">
      <alignment vertical="center" wrapText="1"/>
    </xf>
    <xf numFmtId="2" fontId="0" fillId="0" borderId="48" xfId="0" applyNumberFormat="1" applyFill="1" applyBorder="1" applyAlignment="1">
      <alignment vertical="center" wrapText="1"/>
    </xf>
    <xf numFmtId="0" fontId="6" fillId="4" borderId="0" xfId="0" applyFont="1" applyFill="1" applyBorder="1" applyAlignment="1">
      <alignment horizontal="left" vertical="center"/>
    </xf>
    <xf numFmtId="49" fontId="0" fillId="4" borderId="0" xfId="0" applyNumberFormat="1" applyFill="1" applyBorder="1" applyAlignment="1">
      <alignment horizontal="justify" vertical="center" wrapText="1"/>
    </xf>
    <xf numFmtId="0" fontId="1" fillId="4" borderId="0" xfId="0" applyFont="1" applyFill="1" applyBorder="1" applyAlignment="1">
      <alignment horizontal="center" vertical="center" wrapText="1"/>
    </xf>
    <xf numFmtId="2" fontId="0" fillId="4" borderId="0" xfId="0" applyNumberFormat="1" applyFill="1" applyBorder="1" applyAlignment="1">
      <alignment vertical="center"/>
    </xf>
    <xf numFmtId="0" fontId="1" fillId="4" borderId="0" xfId="0" applyFont="1" applyFill="1" applyBorder="1" applyAlignment="1">
      <alignment vertical="center" wrapText="1"/>
    </xf>
    <xf numFmtId="0" fontId="0" fillId="4" borderId="0" xfId="0" applyFill="1" applyAlignment="1"/>
    <xf numFmtId="0" fontId="21" fillId="4" borderId="38" xfId="0" applyFont="1" applyFill="1" applyBorder="1" applyAlignment="1">
      <alignment vertical="center" wrapText="1"/>
    </xf>
    <xf numFmtId="0" fontId="21" fillId="4" borderId="29" xfId="0" applyFont="1" applyFill="1" applyBorder="1" applyAlignment="1">
      <alignment vertical="center" wrapText="1"/>
    </xf>
    <xf numFmtId="0" fontId="0" fillId="2" borderId="29" xfId="0" applyFill="1" applyBorder="1"/>
    <xf numFmtId="0" fontId="0" fillId="0" borderId="3" xfId="0" applyBorder="1" applyAlignment="1">
      <alignment horizontal="left"/>
    </xf>
    <xf numFmtId="0" fontId="6" fillId="0" borderId="44" xfId="0" applyFont="1" applyBorder="1" applyAlignment="1">
      <alignment horizontal="left" vertical="center"/>
    </xf>
    <xf numFmtId="49" fontId="0" fillId="0" borderId="3" xfId="0" applyNumberFormat="1" applyBorder="1" applyAlignment="1">
      <alignment horizontal="justify" vertical="center" wrapText="1"/>
    </xf>
    <xf numFmtId="0" fontId="1" fillId="0" borderId="3" xfId="0" applyFont="1" applyBorder="1" applyAlignment="1">
      <alignment horizontal="center" vertical="center" wrapText="1"/>
    </xf>
    <xf numFmtId="2" fontId="0" fillId="3" borderId="3" xfId="0" applyNumberFormat="1" applyFill="1" applyBorder="1" applyAlignment="1">
      <alignment vertical="center"/>
    </xf>
    <xf numFmtId="0" fontId="1" fillId="0" borderId="3" xfId="0" applyFont="1" applyFill="1" applyBorder="1" applyAlignment="1">
      <alignment vertical="center" wrapText="1"/>
    </xf>
    <xf numFmtId="0" fontId="0" fillId="4" borderId="29" xfId="0" applyFill="1" applyBorder="1"/>
    <xf numFmtId="2" fontId="0" fillId="0" borderId="0" xfId="0" applyNumberFormat="1" applyBorder="1"/>
    <xf numFmtId="0" fontId="6" fillId="0" borderId="3" xfId="0" applyFont="1" applyBorder="1" applyAlignment="1">
      <alignment horizontal="left"/>
    </xf>
    <xf numFmtId="0" fontId="3" fillId="4" borderId="49" xfId="0" applyFont="1" applyFill="1" applyBorder="1" applyAlignment="1">
      <alignment horizontal="right"/>
    </xf>
    <xf numFmtId="0" fontId="6" fillId="4" borderId="0" xfId="0" applyFont="1" applyFill="1" applyAlignment="1">
      <alignment horizontal="left"/>
    </xf>
    <xf numFmtId="0" fontId="12" fillId="3" borderId="37" xfId="0" applyFont="1" applyFill="1" applyBorder="1" applyAlignment="1">
      <alignment vertical="center"/>
    </xf>
    <xf numFmtId="0" fontId="12" fillId="4" borderId="38" xfId="0" applyFont="1" applyFill="1" applyBorder="1" applyAlignment="1">
      <alignment vertical="center"/>
    </xf>
    <xf numFmtId="0" fontId="12" fillId="3" borderId="0" xfId="0" applyFont="1" applyFill="1" applyBorder="1" applyAlignment="1">
      <alignment vertical="center"/>
    </xf>
    <xf numFmtId="0" fontId="12" fillId="4" borderId="29" xfId="0" applyFont="1" applyFill="1" applyBorder="1" applyAlignment="1">
      <alignment vertical="center"/>
    </xf>
    <xf numFmtId="4" fontId="7" fillId="4" borderId="31" xfId="0" applyNumberFormat="1" applyFont="1" applyFill="1" applyBorder="1" applyAlignment="1">
      <alignment horizontal="center"/>
    </xf>
    <xf numFmtId="4" fontId="7" fillId="4" borderId="32" xfId="0" applyNumberFormat="1" applyFont="1" applyFill="1" applyBorder="1" applyAlignment="1">
      <alignment horizontal="center"/>
    </xf>
    <xf numFmtId="0" fontId="0" fillId="0" borderId="43" xfId="0" applyFill="1" applyBorder="1"/>
    <xf numFmtId="4" fontId="7" fillId="4" borderId="50" xfId="0" applyNumberFormat="1" applyFont="1" applyFill="1" applyBorder="1" applyAlignment="1">
      <alignment horizontal="center"/>
    </xf>
    <xf numFmtId="4" fontId="13" fillId="4" borderId="51" xfId="0" applyNumberFormat="1" applyFont="1" applyFill="1" applyBorder="1" applyAlignment="1">
      <alignment horizontal="center"/>
    </xf>
    <xf numFmtId="4" fontId="13" fillId="4" borderId="29" xfId="0" applyNumberFormat="1" applyFont="1" applyFill="1" applyBorder="1" applyAlignment="1">
      <alignment horizontal="center"/>
    </xf>
    <xf numFmtId="0" fontId="0" fillId="0" borderId="52" xfId="0" applyFill="1" applyBorder="1"/>
    <xf numFmtId="4" fontId="20" fillId="2" borderId="0" xfId="0" applyNumberFormat="1" applyFont="1" applyFill="1" applyBorder="1" applyAlignment="1">
      <alignment vertical="center"/>
    </xf>
    <xf numFmtId="4" fontId="20" fillId="2" borderId="29" xfId="0" applyNumberFormat="1" applyFont="1" applyFill="1" applyBorder="1" applyAlignment="1">
      <alignment horizontal="center" vertical="center"/>
    </xf>
    <xf numFmtId="0" fontId="7" fillId="2" borderId="29" xfId="0" applyFont="1" applyFill="1" applyBorder="1" applyAlignment="1">
      <alignment horizontal="right"/>
    </xf>
    <xf numFmtId="0" fontId="3" fillId="2" borderId="35" xfId="0" applyFont="1" applyFill="1" applyBorder="1" applyAlignment="1"/>
    <xf numFmtId="4" fontId="1" fillId="2" borderId="1" xfId="0" applyNumberFormat="1" applyFont="1" applyFill="1" applyBorder="1" applyAlignment="1">
      <alignment horizontal="center"/>
    </xf>
    <xf numFmtId="4" fontId="1" fillId="2" borderId="10" xfId="0" applyNumberFormat="1" applyFont="1" applyFill="1" applyBorder="1" applyAlignment="1">
      <alignment horizontal="center"/>
    </xf>
    <xf numFmtId="4" fontId="1" fillId="2" borderId="48" xfId="0" applyNumberFormat="1" applyFont="1" applyFill="1" applyBorder="1" applyAlignment="1">
      <alignment horizontal="center"/>
    </xf>
    <xf numFmtId="0" fontId="3" fillId="2" borderId="29" xfId="0" applyFont="1" applyFill="1" applyBorder="1" applyAlignment="1">
      <alignment horizontal="right"/>
    </xf>
    <xf numFmtId="0" fontId="12" fillId="4" borderId="29" xfId="0" applyFont="1" applyFill="1" applyBorder="1" applyAlignment="1">
      <alignment horizontal="center" vertical="center"/>
    </xf>
    <xf numFmtId="4" fontId="3" fillId="2" borderId="0" xfId="0" applyNumberFormat="1" applyFont="1" applyFill="1" applyBorder="1" applyAlignment="1">
      <alignment horizontal="right"/>
    </xf>
    <xf numFmtId="4" fontId="7" fillId="4" borderId="29" xfId="0" applyNumberFormat="1" applyFont="1" applyFill="1" applyBorder="1" applyAlignment="1">
      <alignment vertical="center"/>
    </xf>
    <xf numFmtId="4" fontId="3" fillId="4" borderId="31" xfId="0" applyNumberFormat="1" applyFont="1" applyFill="1" applyBorder="1" applyAlignment="1">
      <alignment horizontal="center"/>
    </xf>
    <xf numFmtId="4" fontId="0" fillId="0" borderId="3" xfId="0" applyNumberFormat="1" applyBorder="1"/>
    <xf numFmtId="0" fontId="12" fillId="3" borderId="0" xfId="0" applyFont="1" applyFill="1" applyBorder="1" applyAlignment="1">
      <alignment horizontal="center" vertical="center"/>
    </xf>
    <xf numFmtId="4" fontId="13" fillId="2" borderId="0" xfId="0" applyNumberFormat="1" applyFont="1" applyFill="1" applyBorder="1" applyAlignment="1">
      <alignment horizontal="right" vertical="center"/>
    </xf>
    <xf numFmtId="4" fontId="3" fillId="3" borderId="0" xfId="0" applyNumberFormat="1" applyFont="1" applyFill="1" applyBorder="1" applyAlignment="1">
      <alignment horizontal="right"/>
    </xf>
    <xf numFmtId="0" fontId="3" fillId="3" borderId="0" xfId="0" applyFont="1" applyFill="1" applyBorder="1" applyAlignment="1">
      <alignment horizontal="right"/>
    </xf>
    <xf numFmtId="4" fontId="7" fillId="4" borderId="53" xfId="0" applyNumberFormat="1" applyFont="1" applyFill="1" applyBorder="1" applyAlignment="1">
      <alignment vertical="center"/>
    </xf>
    <xf numFmtId="4" fontId="7" fillId="4" borderId="31" xfId="0" applyNumberFormat="1" applyFont="1" applyFill="1" applyBorder="1" applyAlignment="1">
      <alignment vertical="center"/>
    </xf>
    <xf numFmtId="0" fontId="19" fillId="2" borderId="0" xfId="0" applyFont="1" applyFill="1" applyBorder="1" applyAlignment="1">
      <alignment horizontal="center" vertical="center"/>
    </xf>
    <xf numFmtId="0" fontId="0" fillId="4" borderId="0" xfId="0" applyFill="1" applyBorder="1" applyAlignment="1">
      <alignment horizontal="left"/>
    </xf>
    <xf numFmtId="0" fontId="38" fillId="2" borderId="35" xfId="0" applyFont="1" applyFill="1" applyBorder="1" applyAlignment="1">
      <alignment horizontal="right"/>
    </xf>
    <xf numFmtId="0" fontId="0" fillId="0" borderId="44" xfId="0" applyBorder="1" applyAlignment="1">
      <alignment horizontal="left"/>
    </xf>
    <xf numFmtId="0" fontId="7" fillId="4" borderId="54" xfId="0" applyFont="1" applyFill="1" applyBorder="1" applyAlignment="1">
      <alignment horizontal="right"/>
    </xf>
    <xf numFmtId="0" fontId="7" fillId="4" borderId="37" xfId="0" applyFont="1" applyFill="1" applyBorder="1" applyAlignment="1">
      <alignment horizontal="right"/>
    </xf>
    <xf numFmtId="0" fontId="7" fillId="2" borderId="37" xfId="0" applyFont="1" applyFill="1" applyBorder="1" applyAlignment="1">
      <alignment horizontal="right"/>
    </xf>
    <xf numFmtId="0" fontId="7" fillId="4" borderId="37" xfId="0" applyFont="1" applyFill="1" applyBorder="1" applyAlignment="1">
      <alignment horizontal="center"/>
    </xf>
    <xf numFmtId="0" fontId="0" fillId="4" borderId="37" xfId="0" applyFill="1" applyBorder="1"/>
    <xf numFmtId="0" fontId="0" fillId="4" borderId="38" xfId="0" applyFill="1" applyBorder="1"/>
    <xf numFmtId="2" fontId="2" fillId="2" borderId="35" xfId="0" applyNumberFormat="1" applyFont="1" applyFill="1" applyBorder="1" applyAlignment="1">
      <alignment horizontal="center" vertical="center" wrapText="1"/>
    </xf>
    <xf numFmtId="0" fontId="2" fillId="2" borderId="51" xfId="0" applyFont="1" applyFill="1" applyBorder="1" applyAlignment="1">
      <alignment horizontal="center" vertical="center"/>
    </xf>
    <xf numFmtId="0" fontId="2" fillId="2" borderId="43" xfId="0" applyFont="1" applyFill="1" applyBorder="1"/>
    <xf numFmtId="0" fontId="49" fillId="2" borderId="31" xfId="0" applyFont="1" applyFill="1" applyBorder="1" applyAlignment="1">
      <alignment horizontal="center"/>
    </xf>
    <xf numFmtId="0" fontId="2" fillId="2" borderId="35" xfId="0" applyFont="1" applyFill="1" applyBorder="1"/>
    <xf numFmtId="0" fontId="2" fillId="2" borderId="29" xfId="0" applyFont="1" applyFill="1" applyBorder="1" applyAlignment="1">
      <alignment horizontal="center"/>
    </xf>
    <xf numFmtId="0" fontId="2" fillId="2" borderId="52" xfId="0" applyFont="1" applyFill="1" applyBorder="1"/>
    <xf numFmtId="0" fontId="2" fillId="2" borderId="3" xfId="0" applyFont="1" applyFill="1" applyBorder="1" applyAlignment="1">
      <alignment horizontal="center"/>
    </xf>
    <xf numFmtId="0" fontId="49" fillId="2" borderId="3" xfId="0" applyFont="1" applyFill="1" applyBorder="1" applyAlignment="1">
      <alignment horizontal="center"/>
    </xf>
    <xf numFmtId="0" fontId="2" fillId="2" borderId="3" xfId="0" applyFont="1" applyFill="1" applyBorder="1"/>
    <xf numFmtId="0" fontId="2" fillId="2" borderId="9" xfId="0" applyFont="1" applyFill="1" applyBorder="1"/>
    <xf numFmtId="0" fontId="2" fillId="2" borderId="9" xfId="0" applyFont="1" applyFill="1" applyBorder="1" applyAlignment="1">
      <alignment horizontal="center"/>
    </xf>
    <xf numFmtId="0" fontId="0" fillId="2" borderId="47" xfId="0" applyFill="1" applyBorder="1"/>
    <xf numFmtId="0" fontId="51" fillId="2" borderId="4" xfId="0" applyFont="1" applyFill="1" applyBorder="1" applyAlignment="1">
      <alignment horizontal="center" vertical="center"/>
    </xf>
    <xf numFmtId="0" fontId="2" fillId="4" borderId="54" xfId="0" applyFont="1" applyFill="1" applyBorder="1" applyAlignment="1">
      <alignment horizontal="center"/>
    </xf>
    <xf numFmtId="2" fontId="2" fillId="4" borderId="37" xfId="0" applyNumberFormat="1" applyFont="1" applyFill="1" applyBorder="1" applyAlignment="1">
      <alignment horizontal="center" vertical="center" wrapText="1"/>
    </xf>
    <xf numFmtId="0" fontId="2" fillId="4" borderId="37" xfId="0" applyFont="1" applyFill="1" applyBorder="1" applyAlignment="1">
      <alignment horizontal="center"/>
    </xf>
    <xf numFmtId="2" fontId="2" fillId="4" borderId="38" xfId="0" applyNumberFormat="1" applyFont="1" applyFill="1" applyBorder="1" applyAlignment="1">
      <alignment horizontal="center" vertical="center" wrapText="1"/>
    </xf>
    <xf numFmtId="0" fontId="2" fillId="2" borderId="29" xfId="0" applyFont="1" applyFill="1" applyBorder="1" applyAlignment="1">
      <alignment horizontal="center" vertical="center"/>
    </xf>
    <xf numFmtId="0" fontId="2" fillId="0" borderId="43" xfId="0" applyFont="1" applyBorder="1"/>
    <xf numFmtId="0" fontId="48" fillId="2" borderId="35" xfId="0" applyFont="1" applyFill="1" applyBorder="1" applyAlignment="1">
      <alignment horizontal="center" vertical="center"/>
    </xf>
    <xf numFmtId="0" fontId="48" fillId="2" borderId="29" xfId="0" applyFont="1" applyFill="1" applyBorder="1" applyAlignment="1">
      <alignment horizontal="center" vertical="center"/>
    </xf>
    <xf numFmtId="0" fontId="2" fillId="0" borderId="52" xfId="0" applyFont="1" applyBorder="1"/>
    <xf numFmtId="0" fontId="2" fillId="0" borderId="3" xfId="0" applyFont="1" applyBorder="1" applyAlignment="1">
      <alignment horizontal="center"/>
    </xf>
    <xf numFmtId="0" fontId="49" fillId="2" borderId="9" xfId="0" applyFont="1" applyFill="1" applyBorder="1" applyAlignment="1">
      <alignment horizontal="center"/>
    </xf>
    <xf numFmtId="0" fontId="34" fillId="2" borderId="9" xfId="0" applyFont="1" applyFill="1" applyBorder="1"/>
    <xf numFmtId="0" fontId="48" fillId="2" borderId="9" xfId="0" applyFont="1" applyFill="1" applyBorder="1" applyAlignment="1">
      <alignment horizontal="center" vertical="center"/>
    </xf>
    <xf numFmtId="0" fontId="48" fillId="2" borderId="47" xfId="0" applyFont="1" applyFill="1" applyBorder="1" applyAlignment="1">
      <alignment horizontal="center" vertical="center"/>
    </xf>
    <xf numFmtId="0" fontId="0" fillId="0" borderId="5" xfId="0" applyBorder="1"/>
    <xf numFmtId="0" fontId="25" fillId="4" borderId="35" xfId="0" applyFont="1" applyFill="1" applyBorder="1" applyAlignment="1">
      <alignment horizontal="left"/>
    </xf>
    <xf numFmtId="4" fontId="7" fillId="4" borderId="55" xfId="0" applyNumberFormat="1" applyFont="1" applyFill="1" applyBorder="1" applyAlignment="1">
      <alignment vertical="center" wrapText="1"/>
    </xf>
    <xf numFmtId="0" fontId="0" fillId="0" borderId="46" xfId="0" applyBorder="1"/>
    <xf numFmtId="4" fontId="0" fillId="0" borderId="3" xfId="0" applyNumberFormat="1" applyFill="1" applyBorder="1" applyAlignment="1">
      <alignment vertical="center" wrapText="1"/>
    </xf>
    <xf numFmtId="0" fontId="20" fillId="0" borderId="0" xfId="0" applyFont="1"/>
    <xf numFmtId="0" fontId="7" fillId="4" borderId="50" xfId="0" applyFont="1" applyFill="1" applyBorder="1" applyAlignment="1">
      <alignment horizontal="center"/>
    </xf>
    <xf numFmtId="0" fontId="0" fillId="4" borderId="15" xfId="0" applyFill="1" applyBorder="1"/>
    <xf numFmtId="0" fontId="0" fillId="4" borderId="13" xfId="0" applyFill="1" applyBorder="1"/>
    <xf numFmtId="0" fontId="7" fillId="2" borderId="50" xfId="0" applyFont="1" applyFill="1" applyBorder="1" applyAlignment="1">
      <alignment horizontal="center"/>
    </xf>
    <xf numFmtId="0" fontId="0" fillId="4" borderId="45" xfId="0" applyFill="1" applyBorder="1"/>
    <xf numFmtId="0" fontId="0" fillId="4" borderId="46" xfId="0" applyFill="1" applyBorder="1"/>
    <xf numFmtId="0" fontId="7" fillId="4" borderId="53" xfId="0" applyFont="1" applyFill="1" applyBorder="1" applyAlignment="1">
      <alignment horizontal="center"/>
    </xf>
    <xf numFmtId="0" fontId="7" fillId="0" borderId="27" xfId="0" applyFont="1" applyBorder="1" applyAlignment="1">
      <alignment horizontal="center"/>
    </xf>
    <xf numFmtId="0" fontId="16" fillId="2" borderId="1" xfId="0" applyFont="1" applyFill="1" applyBorder="1" applyAlignment="1">
      <alignment horizontal="center" vertical="center"/>
    </xf>
    <xf numFmtId="0" fontId="66" fillId="2" borderId="1" xfId="0" applyFont="1" applyFill="1" applyBorder="1" applyAlignment="1">
      <alignment horizontal="center" vertical="center"/>
    </xf>
    <xf numFmtId="0" fontId="16" fillId="2" borderId="0" xfId="0" applyFont="1" applyFill="1" applyBorder="1" applyAlignment="1">
      <alignment horizontal="center" vertical="center"/>
    </xf>
    <xf numFmtId="0" fontId="0" fillId="2" borderId="29" xfId="0" applyFill="1" applyBorder="1" applyAlignment="1">
      <alignment horizontal="center"/>
    </xf>
    <xf numFmtId="0" fontId="20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7" fillId="2" borderId="0" xfId="0" applyFont="1" applyFill="1" applyBorder="1"/>
    <xf numFmtId="3" fontId="7" fillId="2" borderId="0" xfId="0" applyNumberFormat="1" applyFont="1" applyFill="1" applyBorder="1" applyAlignment="1">
      <alignment horizontal="center"/>
    </xf>
    <xf numFmtId="0" fontId="0" fillId="4" borderId="39" xfId="0" applyFill="1" applyBorder="1"/>
    <xf numFmtId="0" fontId="0" fillId="4" borderId="47" xfId="0" applyFill="1" applyBorder="1"/>
    <xf numFmtId="0" fontId="0" fillId="4" borderId="38" xfId="0" applyFill="1" applyBorder="1" applyAlignment="1">
      <alignment horizontal="center"/>
    </xf>
    <xf numFmtId="0" fontId="0" fillId="4" borderId="29" xfId="0" applyFill="1" applyBorder="1" applyAlignment="1">
      <alignment horizontal="center"/>
    </xf>
    <xf numFmtId="0" fontId="0" fillId="4" borderId="47" xfId="0" applyFill="1" applyBorder="1" applyAlignment="1">
      <alignment horizontal="center"/>
    </xf>
    <xf numFmtId="0" fontId="7" fillId="4" borderId="31" xfId="0" applyFont="1" applyFill="1" applyBorder="1" applyAlignment="1">
      <alignment horizontal="center"/>
    </xf>
    <xf numFmtId="0" fontId="16" fillId="4" borderId="1" xfId="0" applyFont="1" applyFill="1" applyBorder="1" applyAlignment="1">
      <alignment horizontal="center" vertical="center"/>
    </xf>
    <xf numFmtId="0" fontId="66" fillId="4" borderId="1" xfId="0" applyFont="1" applyFill="1" applyBorder="1" applyAlignment="1">
      <alignment horizontal="center" vertical="center"/>
    </xf>
    <xf numFmtId="0" fontId="66" fillId="4" borderId="7" xfId="0" applyFont="1" applyFill="1" applyBorder="1" applyAlignment="1">
      <alignment horizontal="center" vertical="center"/>
    </xf>
    <xf numFmtId="0" fontId="16" fillId="2" borderId="4" xfId="0" applyFont="1" applyFill="1" applyBorder="1" applyAlignment="1">
      <alignment horizontal="center" vertical="center"/>
    </xf>
    <xf numFmtId="0" fontId="16" fillId="4" borderId="4" xfId="0" applyFont="1" applyFill="1" applyBorder="1" applyAlignment="1">
      <alignment horizontal="center" vertical="center"/>
    </xf>
    <xf numFmtId="0" fontId="0" fillId="4" borderId="9" xfId="0" applyFill="1" applyBorder="1"/>
    <xf numFmtId="0" fontId="0" fillId="4" borderId="56" xfId="0" applyFill="1" applyBorder="1"/>
    <xf numFmtId="0" fontId="0" fillId="4" borderId="57" xfId="0" applyFill="1" applyBorder="1"/>
    <xf numFmtId="0" fontId="0" fillId="4" borderId="58" xfId="0" applyFill="1" applyBorder="1"/>
    <xf numFmtId="0" fontId="1" fillId="4" borderId="58" xfId="0" applyFont="1" applyFill="1" applyBorder="1" applyAlignment="1">
      <alignment horizontal="right"/>
    </xf>
    <xf numFmtId="0" fontId="0" fillId="4" borderId="59" xfId="0" applyFill="1" applyBorder="1"/>
    <xf numFmtId="165" fontId="20" fillId="4" borderId="46" xfId="0" applyNumberFormat="1" applyFont="1" applyFill="1" applyBorder="1" applyAlignment="1">
      <alignment horizontal="center"/>
    </xf>
    <xf numFmtId="0" fontId="7" fillId="0" borderId="36" xfId="0" applyFont="1" applyBorder="1" applyAlignment="1">
      <alignment horizontal="center"/>
    </xf>
    <xf numFmtId="0" fontId="7" fillId="0" borderId="60" xfId="0" applyFont="1" applyBorder="1" applyAlignment="1">
      <alignment horizontal="center"/>
    </xf>
    <xf numFmtId="0" fontId="7" fillId="0" borderId="53" xfId="0" applyFont="1" applyBorder="1" applyAlignment="1">
      <alignment horizontal="center"/>
    </xf>
    <xf numFmtId="0" fontId="20" fillId="4" borderId="45" xfId="0" applyFont="1" applyFill="1" applyBorder="1" applyAlignment="1">
      <alignment horizontal="left"/>
    </xf>
    <xf numFmtId="0" fontId="20" fillId="2" borderId="0" xfId="0" applyFont="1" applyFill="1" applyBorder="1" applyAlignment="1">
      <alignment horizontal="left"/>
    </xf>
    <xf numFmtId="165" fontId="20" fillId="2" borderId="0" xfId="0" applyNumberFormat="1" applyFont="1" applyFill="1" applyBorder="1" applyAlignment="1">
      <alignment horizontal="center"/>
    </xf>
    <xf numFmtId="0" fontId="20" fillId="2" borderId="0" xfId="0" applyFont="1" applyFill="1" applyBorder="1"/>
    <xf numFmtId="0" fontId="7" fillId="2" borderId="0" xfId="0" applyFont="1" applyFill="1" applyBorder="1" applyAlignment="1">
      <alignment horizontal="center" vertical="center"/>
    </xf>
    <xf numFmtId="0" fontId="20" fillId="4" borderId="61" xfId="0" applyFont="1" applyFill="1" applyBorder="1" applyAlignment="1">
      <alignment horizontal="left"/>
    </xf>
    <xf numFmtId="165" fontId="20" fillId="4" borderId="62" xfId="0" applyNumberFormat="1" applyFont="1" applyFill="1" applyBorder="1" applyAlignment="1">
      <alignment horizontal="center"/>
    </xf>
    <xf numFmtId="0" fontId="20" fillId="4" borderId="63" xfId="0" applyFont="1" applyFill="1" applyBorder="1" applyAlignment="1">
      <alignment horizontal="center"/>
    </xf>
    <xf numFmtId="0" fontId="20" fillId="4" borderId="64" xfId="0" applyFont="1" applyFill="1" applyBorder="1" applyAlignment="1">
      <alignment horizontal="left"/>
    </xf>
    <xf numFmtId="0" fontId="20" fillId="0" borderId="63" xfId="0" applyFont="1" applyBorder="1" applyAlignment="1">
      <alignment horizontal="center"/>
    </xf>
    <xf numFmtId="0" fontId="7" fillId="0" borderId="65" xfId="0" applyFont="1" applyBorder="1" applyAlignment="1">
      <alignment horizontal="center"/>
    </xf>
    <xf numFmtId="0" fontId="7" fillId="0" borderId="66" xfId="0" applyFont="1" applyBorder="1" applyAlignment="1">
      <alignment horizontal="center"/>
    </xf>
    <xf numFmtId="165" fontId="20" fillId="4" borderId="67" xfId="0" applyNumberFormat="1" applyFont="1" applyFill="1" applyBorder="1" applyAlignment="1">
      <alignment horizontal="center"/>
    </xf>
    <xf numFmtId="0" fontId="7" fillId="4" borderId="66" xfId="0" applyFont="1" applyFill="1" applyBorder="1"/>
    <xf numFmtId="0" fontId="20" fillId="4" borderId="66" xfId="0" applyFont="1" applyFill="1" applyBorder="1"/>
    <xf numFmtId="0" fontId="20" fillId="4" borderId="66" xfId="0" applyFont="1" applyFill="1" applyBorder="1" applyAlignment="1">
      <alignment horizontal="center"/>
    </xf>
    <xf numFmtId="0" fontId="20" fillId="2" borderId="35" xfId="0" applyFont="1" applyFill="1" applyBorder="1" applyAlignment="1">
      <alignment horizontal="center" vertical="center"/>
    </xf>
    <xf numFmtId="0" fontId="7" fillId="2" borderId="29" xfId="0" applyFont="1" applyFill="1" applyBorder="1" applyAlignment="1">
      <alignment horizontal="center"/>
    </xf>
    <xf numFmtId="0" fontId="20" fillId="2" borderId="35" xfId="0" applyFont="1" applyFill="1" applyBorder="1" applyAlignment="1">
      <alignment horizontal="center"/>
    </xf>
    <xf numFmtId="0" fontId="7" fillId="2" borderId="0" xfId="0" applyFont="1" applyFill="1" applyAlignment="1"/>
    <xf numFmtId="0" fontId="20" fillId="2" borderId="29" xfId="0" applyFont="1" applyFill="1" applyBorder="1" applyAlignment="1">
      <alignment horizontal="center" vertical="center"/>
    </xf>
    <xf numFmtId="0" fontId="20" fillId="2" borderId="29" xfId="0" applyFont="1" applyFill="1" applyBorder="1"/>
    <xf numFmtId="0" fontId="20" fillId="2" borderId="29" xfId="0" applyFont="1" applyFill="1" applyBorder="1" applyAlignment="1">
      <alignment horizontal="center"/>
    </xf>
    <xf numFmtId="165" fontId="20" fillId="4" borderId="9" xfId="0" applyNumberFormat="1" applyFont="1" applyFill="1" applyBorder="1" applyAlignment="1">
      <alignment horizontal="center"/>
    </xf>
    <xf numFmtId="165" fontId="20" fillId="4" borderId="11" xfId="0" applyNumberFormat="1" applyFont="1" applyFill="1" applyBorder="1" applyAlignment="1">
      <alignment horizontal="center"/>
    </xf>
    <xf numFmtId="0" fontId="20" fillId="4" borderId="48" xfId="0" applyFont="1" applyFill="1" applyBorder="1" applyAlignment="1">
      <alignment horizontal="center" vertical="center"/>
    </xf>
    <xf numFmtId="0" fontId="20" fillId="2" borderId="45" xfId="0" applyFont="1" applyFill="1" applyBorder="1" applyAlignment="1">
      <alignment horizontal="center" vertical="center"/>
    </xf>
    <xf numFmtId="165" fontId="20" fillId="4" borderId="61" xfId="0" applyNumberFormat="1" applyFont="1" applyFill="1" applyBorder="1" applyAlignment="1">
      <alignment horizontal="center"/>
    </xf>
    <xf numFmtId="3" fontId="7" fillId="4" borderId="68" xfId="0" applyNumberFormat="1" applyFont="1" applyFill="1" applyBorder="1" applyAlignment="1">
      <alignment horizontal="center"/>
    </xf>
    <xf numFmtId="165" fontId="20" fillId="4" borderId="66" xfId="0" applyNumberFormat="1" applyFont="1" applyFill="1" applyBorder="1" applyAlignment="1">
      <alignment horizontal="center"/>
    </xf>
    <xf numFmtId="0" fontId="7" fillId="4" borderId="33" xfId="0" applyFont="1" applyFill="1" applyBorder="1" applyAlignment="1">
      <alignment horizontal="center"/>
    </xf>
    <xf numFmtId="0" fontId="20" fillId="2" borderId="63" xfId="0" applyFont="1" applyFill="1" applyBorder="1" applyAlignment="1">
      <alignment horizontal="center" vertical="center"/>
    </xf>
    <xf numFmtId="0" fontId="20" fillId="2" borderId="65" xfId="0" applyFont="1" applyFill="1" applyBorder="1" applyAlignment="1">
      <alignment horizontal="center" vertical="center"/>
    </xf>
    <xf numFmtId="0" fontId="20" fillId="2" borderId="66" xfId="0" applyFont="1" applyFill="1" applyBorder="1" applyAlignment="1">
      <alignment horizontal="center" vertical="center"/>
    </xf>
    <xf numFmtId="0" fontId="20" fillId="4" borderId="0" xfId="0" applyFont="1" applyFill="1" applyBorder="1"/>
    <xf numFmtId="0" fontId="20" fillId="2" borderId="9" xfId="0" applyFont="1" applyFill="1" applyBorder="1" applyAlignment="1">
      <alignment horizontal="center" vertical="center"/>
    </xf>
    <xf numFmtId="4" fontId="7" fillId="2" borderId="0" xfId="0" applyNumberFormat="1" applyFont="1" applyFill="1" applyBorder="1" applyAlignment="1">
      <alignment horizontal="center"/>
    </xf>
    <xf numFmtId="0" fontId="7" fillId="2" borderId="35" xfId="0" applyFont="1" applyFill="1" applyBorder="1"/>
    <xf numFmtId="0" fontId="20" fillId="4" borderId="35" xfId="0" applyFont="1" applyFill="1" applyBorder="1" applyAlignment="1">
      <alignment horizontal="left"/>
    </xf>
    <xf numFmtId="0" fontId="7" fillId="4" borderId="35" xfId="0" applyFont="1" applyFill="1" applyBorder="1"/>
    <xf numFmtId="0" fontId="20" fillId="2" borderId="35" xfId="0" applyFont="1" applyFill="1" applyBorder="1"/>
    <xf numFmtId="0" fontId="44" fillId="4" borderId="35" xfId="0" applyFont="1" applyFill="1" applyBorder="1" applyAlignment="1">
      <alignment horizontal="center"/>
    </xf>
    <xf numFmtId="4" fontId="68" fillId="2" borderId="0" xfId="0" applyNumberFormat="1" applyFont="1" applyFill="1" applyBorder="1"/>
    <xf numFmtId="4" fontId="7" fillId="0" borderId="0" xfId="0" applyNumberFormat="1" applyFont="1" applyFill="1" applyBorder="1" applyAlignment="1">
      <alignment horizontal="center" vertical="center" wrapText="1"/>
    </xf>
    <xf numFmtId="0" fontId="1" fillId="4" borderId="0" xfId="0" applyNumberFormat="1" applyFont="1" applyFill="1" applyBorder="1" applyAlignment="1">
      <alignment horizontal="left" vertical="center" wrapText="1"/>
    </xf>
    <xf numFmtId="2" fontId="0" fillId="3" borderId="10" xfId="0" applyNumberFormat="1" applyFill="1" applyBorder="1" applyAlignment="1">
      <alignment vertical="center" wrapText="1"/>
    </xf>
    <xf numFmtId="2" fontId="0" fillId="3" borderId="48" xfId="0" applyNumberFormat="1" applyFill="1" applyBorder="1" applyAlignment="1">
      <alignment vertical="center" wrapText="1"/>
    </xf>
    <xf numFmtId="0" fontId="0" fillId="6" borderId="0" xfId="0" applyFill="1" applyBorder="1"/>
    <xf numFmtId="0" fontId="0" fillId="6" borderId="0" xfId="0" applyFill="1" applyBorder="1" applyAlignment="1">
      <alignment horizontal="center"/>
    </xf>
    <xf numFmtId="0" fontId="0" fillId="6" borderId="1" xfId="0" applyFill="1" applyBorder="1"/>
    <xf numFmtId="0" fontId="0" fillId="6" borderId="4" xfId="0" applyFill="1" applyBorder="1"/>
    <xf numFmtId="0" fontId="0" fillId="6" borderId="10" xfId="0" applyFill="1" applyBorder="1" applyAlignment="1">
      <alignment horizontal="center"/>
    </xf>
    <xf numFmtId="0" fontId="0" fillId="6" borderId="0" xfId="0" applyFill="1"/>
    <xf numFmtId="0" fontId="0" fillId="6" borderId="10" xfId="0" applyFill="1" applyBorder="1" applyAlignment="1">
      <alignment horizontal="left"/>
    </xf>
    <xf numFmtId="0" fontId="7" fillId="2" borderId="1" xfId="0" applyFont="1" applyFill="1" applyBorder="1"/>
    <xf numFmtId="0" fontId="0" fillId="6" borderId="0" xfId="0" applyFill="1" applyAlignment="1">
      <alignment horizontal="center"/>
    </xf>
    <xf numFmtId="0" fontId="0" fillId="6" borderId="1" xfId="0" applyFill="1" applyBorder="1" applyAlignment="1">
      <alignment horizontal="left"/>
    </xf>
    <xf numFmtId="2" fontId="0" fillId="4" borderId="1" xfId="0" applyNumberFormat="1" applyFill="1" applyBorder="1" applyAlignment="1">
      <alignment vertical="center" wrapText="1"/>
    </xf>
    <xf numFmtId="0" fontId="0" fillId="4" borderId="1" xfId="0" applyFill="1" applyBorder="1" applyAlignment="1">
      <alignment horizontal="center"/>
    </xf>
    <xf numFmtId="2" fontId="0" fillId="4" borderId="3" xfId="0" applyNumberFormat="1" applyFill="1" applyBorder="1" applyAlignment="1">
      <alignment vertical="center" wrapText="1"/>
    </xf>
    <xf numFmtId="0" fontId="0" fillId="4" borderId="3" xfId="0" applyFill="1" applyBorder="1" applyAlignment="1">
      <alignment horizontal="center"/>
    </xf>
    <xf numFmtId="0" fontId="7" fillId="4" borderId="0" xfId="0" applyFont="1" applyFill="1"/>
    <xf numFmtId="0" fontId="7" fillId="2" borderId="35" xfId="0" applyFont="1" applyFill="1" applyBorder="1" applyAlignment="1">
      <alignment horizontal="center"/>
    </xf>
    <xf numFmtId="0" fontId="7" fillId="2" borderId="0" xfId="0" applyFont="1" applyFill="1" applyBorder="1" applyAlignment="1"/>
    <xf numFmtId="0" fontId="56" fillId="2" borderId="4" xfId="0" applyFont="1" applyFill="1" applyBorder="1" applyAlignment="1">
      <alignment horizontal="left"/>
    </xf>
    <xf numFmtId="0" fontId="20" fillId="4" borderId="29" xfId="0" applyFont="1" applyFill="1" applyBorder="1"/>
    <xf numFmtId="0" fontId="56" fillId="0" borderId="0" xfId="0" applyFont="1"/>
    <xf numFmtId="0" fontId="56" fillId="2" borderId="0" xfId="0" applyFont="1" applyFill="1" applyAlignment="1">
      <alignment horizontal="center"/>
    </xf>
    <xf numFmtId="0" fontId="40" fillId="4" borderId="0" xfId="0" applyFont="1" applyFill="1"/>
    <xf numFmtId="0" fontId="40" fillId="4" borderId="0" xfId="0" applyFont="1" applyFill="1" applyBorder="1" applyAlignment="1">
      <alignment horizontal="center"/>
    </xf>
    <xf numFmtId="0" fontId="69" fillId="4" borderId="29" xfId="0" applyFont="1" applyFill="1" applyBorder="1" applyAlignment="1">
      <alignment horizontal="center"/>
    </xf>
    <xf numFmtId="0" fontId="40" fillId="2" borderId="0" xfId="0" applyFont="1" applyFill="1"/>
    <xf numFmtId="0" fontId="40" fillId="2" borderId="0" xfId="0" applyFont="1" applyFill="1" applyAlignment="1">
      <alignment horizontal="center"/>
    </xf>
    <xf numFmtId="0" fontId="40" fillId="0" borderId="0" xfId="0" applyFont="1"/>
    <xf numFmtId="0" fontId="40" fillId="4" borderId="35" xfId="0" applyFont="1" applyFill="1" applyBorder="1" applyAlignment="1">
      <alignment horizontal="center"/>
    </xf>
    <xf numFmtId="0" fontId="40" fillId="4" borderId="26" xfId="0" applyFont="1" applyFill="1" applyBorder="1" applyAlignment="1">
      <alignment horizontal="center"/>
    </xf>
    <xf numFmtId="0" fontId="20" fillId="2" borderId="69" xfId="0" applyFont="1" applyFill="1" applyBorder="1" applyAlignment="1">
      <alignment horizontal="left"/>
    </xf>
    <xf numFmtId="0" fontId="20" fillId="2" borderId="33" xfId="0" applyFont="1" applyFill="1" applyBorder="1" applyAlignment="1">
      <alignment horizontal="center"/>
    </xf>
    <xf numFmtId="0" fontId="56" fillId="0" borderId="48" xfId="0" applyFont="1" applyBorder="1" applyAlignment="1">
      <alignment horizontal="center"/>
    </xf>
    <xf numFmtId="0" fontId="20" fillId="2" borderId="44" xfId="0" applyFont="1" applyFill="1" applyBorder="1" applyAlignment="1">
      <alignment horizontal="center"/>
    </xf>
    <xf numFmtId="0" fontId="2" fillId="2" borderId="70" xfId="0" applyFont="1" applyFill="1" applyBorder="1" applyAlignment="1">
      <alignment horizontal="center" vertical="center"/>
    </xf>
    <xf numFmtId="2" fontId="2" fillId="2" borderId="20" xfId="0" applyNumberFormat="1" applyFont="1" applyFill="1" applyBorder="1" applyAlignment="1">
      <alignment horizontal="center" vertical="center" wrapText="1"/>
    </xf>
    <xf numFmtId="0" fontId="0" fillId="4" borderId="69" xfId="0" applyFill="1" applyBorder="1"/>
    <xf numFmtId="2" fontId="0" fillId="4" borderId="36" xfId="0" applyNumberFormat="1" applyFill="1" applyBorder="1" applyAlignment="1">
      <alignment vertical="center" wrapText="1"/>
    </xf>
    <xf numFmtId="0" fontId="0" fillId="4" borderId="36" xfId="0" applyFill="1" applyBorder="1" applyAlignment="1">
      <alignment horizontal="center"/>
    </xf>
    <xf numFmtId="2" fontId="0" fillId="3" borderId="61" xfId="0" applyNumberFormat="1" applyFill="1" applyBorder="1" applyAlignment="1">
      <alignment vertical="center" wrapText="1"/>
    </xf>
    <xf numFmtId="0" fontId="0" fillId="4" borderId="43" xfId="0" applyFill="1" applyBorder="1"/>
    <xf numFmtId="0" fontId="0" fillId="4" borderId="52" xfId="0" applyFill="1" applyBorder="1"/>
    <xf numFmtId="0" fontId="20" fillId="0" borderId="71" xfId="0" applyFont="1" applyFill="1" applyBorder="1"/>
    <xf numFmtId="0" fontId="14" fillId="4" borderId="7" xfId="0" applyFont="1" applyFill="1" applyBorder="1" applyAlignment="1"/>
    <xf numFmtId="0" fontId="2" fillId="4" borderId="1" xfId="0" applyFont="1" applyFill="1" applyBorder="1" applyAlignment="1">
      <alignment horizontal="center"/>
    </xf>
    <xf numFmtId="0" fontId="61" fillId="4" borderId="1" xfId="0" applyFont="1" applyFill="1" applyBorder="1" applyAlignment="1">
      <alignment horizontal="center"/>
    </xf>
    <xf numFmtId="4" fontId="61" fillId="4" borderId="1" xfId="0" applyNumberFormat="1" applyFont="1" applyFill="1" applyBorder="1" applyAlignment="1">
      <alignment horizontal="center"/>
    </xf>
    <xf numFmtId="4" fontId="2" fillId="4" borderId="1" xfId="0" applyNumberFormat="1" applyFont="1" applyFill="1" applyBorder="1" applyAlignment="1">
      <alignment horizontal="center"/>
    </xf>
    <xf numFmtId="0" fontId="0" fillId="3" borderId="0" xfId="0" applyFill="1" applyAlignment="1">
      <alignment horizontal="center"/>
    </xf>
    <xf numFmtId="0" fontId="62" fillId="4" borderId="0" xfId="0" applyFont="1" applyFill="1" applyBorder="1" applyAlignment="1">
      <alignment horizontal="center" vertical="justify"/>
    </xf>
    <xf numFmtId="0" fontId="61" fillId="4" borderId="2" xfId="0" applyFont="1" applyFill="1" applyBorder="1" applyAlignment="1">
      <alignment horizontal="center"/>
    </xf>
    <xf numFmtId="0" fontId="0" fillId="3" borderId="15" xfId="0" applyFill="1" applyBorder="1"/>
    <xf numFmtId="0" fontId="0" fillId="3" borderId="16" xfId="0" applyFill="1" applyBorder="1"/>
    <xf numFmtId="0" fontId="0" fillId="3" borderId="17" xfId="0" applyFill="1" applyBorder="1"/>
    <xf numFmtId="0" fontId="0" fillId="3" borderId="18" xfId="0" applyFill="1" applyBorder="1"/>
    <xf numFmtId="0" fontId="0" fillId="3" borderId="8" xfId="0" applyFill="1" applyBorder="1"/>
    <xf numFmtId="0" fontId="15" fillId="4" borderId="0" xfId="0" applyFont="1" applyFill="1" applyBorder="1" applyAlignment="1">
      <alignment horizontal="center"/>
    </xf>
    <xf numFmtId="4" fontId="7" fillId="4" borderId="38" xfId="0" applyNumberFormat="1" applyFont="1" applyFill="1" applyBorder="1" applyAlignment="1">
      <alignment vertical="center"/>
    </xf>
    <xf numFmtId="0" fontId="59" fillId="2" borderId="0" xfId="0" applyFont="1" applyFill="1" applyAlignment="1">
      <alignment horizontal="center" vertical="justify"/>
    </xf>
    <xf numFmtId="0" fontId="0" fillId="0" borderId="52" xfId="0" applyBorder="1"/>
    <xf numFmtId="0" fontId="70" fillId="2" borderId="0" xfId="0" applyFont="1" applyFill="1"/>
    <xf numFmtId="0" fontId="0" fillId="0" borderId="6" xfId="0" applyFill="1" applyBorder="1"/>
    <xf numFmtId="4" fontId="10" fillId="4" borderId="37" xfId="0" applyNumberFormat="1" applyFont="1" applyFill="1" applyBorder="1" applyAlignment="1">
      <alignment horizontal="center"/>
    </xf>
    <xf numFmtId="0" fontId="17" fillId="4" borderId="38" xfId="0" applyFont="1" applyFill="1" applyBorder="1"/>
    <xf numFmtId="4" fontId="71" fillId="0" borderId="9" xfId="0" applyNumberFormat="1" applyFont="1" applyFill="1" applyBorder="1" applyAlignment="1">
      <alignment horizontal="center" vertical="center"/>
    </xf>
    <xf numFmtId="0" fontId="20" fillId="4" borderId="72" xfId="0" applyFont="1" applyFill="1" applyBorder="1"/>
    <xf numFmtId="0" fontId="20" fillId="4" borderId="23" xfId="0" applyFont="1" applyFill="1" applyBorder="1"/>
    <xf numFmtId="4" fontId="33" fillId="2" borderId="0" xfId="0" applyNumberFormat="1" applyFont="1" applyFill="1" applyBorder="1" applyAlignment="1">
      <alignment vertical="center" wrapText="1"/>
    </xf>
    <xf numFmtId="2" fontId="44" fillId="4" borderId="0" xfId="0" applyNumberFormat="1" applyFont="1" applyFill="1" applyBorder="1" applyAlignment="1">
      <alignment vertical="center"/>
    </xf>
    <xf numFmtId="0" fontId="27" fillId="2" borderId="54" xfId="0" applyFont="1" applyFill="1" applyBorder="1" applyAlignment="1">
      <alignment horizontal="right"/>
    </xf>
    <xf numFmtId="0" fontId="3" fillId="2" borderId="37" xfId="0" applyFont="1" applyFill="1" applyBorder="1" applyAlignment="1">
      <alignment vertical="justify"/>
    </xf>
    <xf numFmtId="0" fontId="23" fillId="4" borderId="0" xfId="0" applyFont="1" applyFill="1" applyBorder="1" applyAlignment="1">
      <alignment horizontal="center"/>
    </xf>
    <xf numFmtId="0" fontId="23" fillId="4" borderId="0" xfId="0" applyFont="1" applyFill="1" applyBorder="1" applyAlignment="1"/>
    <xf numFmtId="4" fontId="23" fillId="4" borderId="0" xfId="0" applyNumberFormat="1" applyFont="1" applyFill="1" applyBorder="1" applyAlignment="1">
      <alignment horizontal="left"/>
    </xf>
    <xf numFmtId="0" fontId="2" fillId="2" borderId="13" xfId="0" applyFont="1" applyFill="1" applyBorder="1" applyAlignment="1">
      <alignment horizontal="center"/>
    </xf>
    <xf numFmtId="0" fontId="1" fillId="0" borderId="1" xfId="0" applyFont="1" applyBorder="1" applyAlignment="1">
      <alignment horizontal="left"/>
    </xf>
    <xf numFmtId="4" fontId="0" fillId="0" borderId="48" xfId="0" applyNumberFormat="1" applyFill="1" applyBorder="1" applyAlignment="1">
      <alignment vertical="center" wrapText="1"/>
    </xf>
    <xf numFmtId="0" fontId="5" fillId="2" borderId="37" xfId="0" applyFont="1" applyFill="1" applyBorder="1" applyAlignment="1">
      <alignment horizontal="center" vertical="center" wrapText="1"/>
    </xf>
    <xf numFmtId="4" fontId="7" fillId="2" borderId="73" xfId="0" applyNumberFormat="1" applyFont="1" applyFill="1" applyBorder="1" applyAlignment="1">
      <alignment horizontal="center"/>
    </xf>
    <xf numFmtId="0" fontId="44" fillId="4" borderId="29" xfId="0" applyFont="1" applyFill="1" applyBorder="1" applyAlignment="1">
      <alignment horizontal="center" vertical="center"/>
    </xf>
    <xf numFmtId="0" fontId="1" fillId="2" borderId="1" xfId="0" applyFont="1" applyFill="1" applyBorder="1"/>
    <xf numFmtId="0" fontId="1" fillId="2" borderId="1" xfId="0" applyFont="1" applyFill="1" applyBorder="1" applyAlignment="1">
      <alignment horizontal="center"/>
    </xf>
    <xf numFmtId="0" fontId="1" fillId="0" borderId="2" xfId="0" applyFont="1" applyBorder="1" applyAlignment="1">
      <alignment horizontal="left"/>
    </xf>
    <xf numFmtId="0" fontId="1" fillId="2" borderId="3" xfId="0" applyFont="1" applyFill="1" applyBorder="1" applyAlignment="1">
      <alignment horizontal="left"/>
    </xf>
    <xf numFmtId="0" fontId="1" fillId="2" borderId="3" xfId="0" applyFont="1" applyFill="1" applyBorder="1"/>
    <xf numFmtId="0" fontId="1" fillId="2" borderId="3" xfId="0" applyFont="1" applyFill="1" applyBorder="1" applyAlignment="1">
      <alignment horizontal="center"/>
    </xf>
    <xf numFmtId="4" fontId="1" fillId="2" borderId="3" xfId="0" applyNumberFormat="1" applyFont="1" applyFill="1" applyBorder="1" applyAlignment="1">
      <alignment vertical="center" wrapText="1"/>
    </xf>
    <xf numFmtId="0" fontId="1" fillId="4" borderId="0" xfId="0" applyFont="1" applyFill="1" applyBorder="1" applyAlignment="1">
      <alignment horizontal="left"/>
    </xf>
    <xf numFmtId="0" fontId="1" fillId="4" borderId="0" xfId="0" applyFont="1" applyFill="1" applyBorder="1"/>
    <xf numFmtId="0" fontId="1" fillId="4" borderId="0" xfId="0" applyFont="1" applyFill="1" applyBorder="1" applyAlignment="1">
      <alignment horizontal="center"/>
    </xf>
    <xf numFmtId="2" fontId="1" fillId="4" borderId="0" xfId="0" applyNumberFormat="1" applyFont="1" applyFill="1" applyBorder="1"/>
    <xf numFmtId="0" fontId="1" fillId="2" borderId="0" xfId="0" applyFont="1" applyFill="1" applyBorder="1" applyAlignment="1">
      <alignment horizontal="left"/>
    </xf>
    <xf numFmtId="0" fontId="1" fillId="2" borderId="0" xfId="0" applyFont="1" applyFill="1" applyBorder="1"/>
    <xf numFmtId="2" fontId="1" fillId="2" borderId="0" xfId="0" applyNumberFormat="1" applyFont="1" applyFill="1" applyBorder="1"/>
    <xf numFmtId="4" fontId="1" fillId="2" borderId="0" xfId="0" applyNumberFormat="1" applyFont="1" applyFill="1" applyBorder="1" applyAlignment="1">
      <alignment vertical="center" wrapText="1"/>
    </xf>
    <xf numFmtId="4" fontId="7" fillId="2" borderId="74" xfId="0" applyNumberFormat="1" applyFont="1" applyFill="1" applyBorder="1" applyAlignment="1">
      <alignment horizontal="center"/>
    </xf>
    <xf numFmtId="0" fontId="3" fillId="2" borderId="54" xfId="0" applyFont="1" applyFill="1" applyBorder="1" applyAlignment="1">
      <alignment horizontal="right"/>
    </xf>
    <xf numFmtId="0" fontId="41" fillId="2" borderId="37" xfId="0" applyFont="1" applyFill="1" applyBorder="1" applyAlignment="1">
      <alignment horizontal="center"/>
    </xf>
    <xf numFmtId="0" fontId="3" fillId="2" borderId="37" xfId="0" applyFont="1" applyFill="1" applyBorder="1" applyAlignment="1"/>
    <xf numFmtId="4" fontId="3" fillId="2" borderId="37" xfId="0" applyNumberFormat="1" applyFont="1" applyFill="1" applyBorder="1" applyAlignment="1"/>
    <xf numFmtId="4" fontId="3" fillId="2" borderId="38" xfId="0" applyNumberFormat="1" applyFont="1" applyFill="1" applyBorder="1" applyAlignment="1">
      <alignment horizontal="center"/>
    </xf>
    <xf numFmtId="4" fontId="3" fillId="4" borderId="7" xfId="0" applyNumberFormat="1" applyFont="1" applyFill="1" applyBorder="1" applyAlignment="1"/>
    <xf numFmtId="4" fontId="0" fillId="2" borderId="1" xfId="0" applyNumberFormat="1" applyFill="1" applyBorder="1" applyAlignment="1">
      <alignment vertical="center" wrapText="1"/>
    </xf>
    <xf numFmtId="49" fontId="0" fillId="0" borderId="1" xfId="0" applyNumberFormat="1" applyFill="1" applyBorder="1"/>
    <xf numFmtId="49" fontId="0" fillId="0" borderId="9" xfId="0" applyNumberFormat="1" applyFill="1" applyBorder="1"/>
    <xf numFmtId="4" fontId="0" fillId="2" borderId="3" xfId="0" applyNumberFormat="1" applyFill="1" applyBorder="1" applyAlignment="1">
      <alignment vertical="center" wrapText="1"/>
    </xf>
    <xf numFmtId="0" fontId="3" fillId="4" borderId="75" xfId="0" applyFont="1" applyFill="1" applyBorder="1" applyAlignment="1">
      <alignment horizontal="center"/>
    </xf>
    <xf numFmtId="4" fontId="39" fillId="2" borderId="76" xfId="0" applyNumberFormat="1" applyFont="1" applyFill="1" applyBorder="1" applyAlignment="1">
      <alignment horizontal="center" vertical="center" wrapText="1"/>
    </xf>
    <xf numFmtId="0" fontId="15" fillId="2" borderId="54" xfId="0" applyFont="1" applyFill="1" applyBorder="1" applyAlignment="1">
      <alignment horizontal="right"/>
    </xf>
    <xf numFmtId="0" fontId="23" fillId="4" borderId="7" xfId="0" applyFont="1" applyFill="1" applyBorder="1" applyAlignment="1"/>
    <xf numFmtId="4" fontId="23" fillId="4" borderId="7" xfId="0" applyNumberFormat="1" applyFont="1" applyFill="1" applyBorder="1" applyAlignment="1"/>
    <xf numFmtId="0" fontId="0" fillId="0" borderId="3" xfId="0" applyBorder="1" applyAlignment="1"/>
    <xf numFmtId="0" fontId="3" fillId="4" borderId="76" xfId="0" applyFont="1" applyFill="1" applyBorder="1" applyAlignment="1">
      <alignment horizontal="center"/>
    </xf>
    <xf numFmtId="49" fontId="0" fillId="0" borderId="0" xfId="0" applyNumberFormat="1" applyFill="1"/>
    <xf numFmtId="2" fontId="1" fillId="3" borderId="1" xfId="0" applyNumberFormat="1" applyFont="1" applyFill="1" applyBorder="1"/>
    <xf numFmtId="2" fontId="1" fillId="3" borderId="3" xfId="0" applyNumberFormat="1" applyFont="1" applyFill="1" applyBorder="1"/>
    <xf numFmtId="4" fontId="7" fillId="2" borderId="77" xfId="0" applyNumberFormat="1" applyFont="1" applyFill="1" applyBorder="1" applyAlignment="1">
      <alignment horizontal="center" vertical="center" wrapText="1"/>
    </xf>
    <xf numFmtId="0" fontId="1" fillId="2" borderId="2" xfId="0" applyFont="1" applyFill="1" applyBorder="1"/>
    <xf numFmtId="0" fontId="1" fillId="2" borderId="2" xfId="0" applyFont="1" applyFill="1" applyBorder="1" applyAlignment="1">
      <alignment horizontal="center"/>
    </xf>
    <xf numFmtId="0" fontId="1" fillId="3" borderId="2" xfId="0" applyFont="1" applyFill="1" applyBorder="1" applyAlignment="1">
      <alignment horizontal="center"/>
    </xf>
    <xf numFmtId="0" fontId="1" fillId="2" borderId="13" xfId="0" applyFont="1" applyFill="1" applyBorder="1" applyAlignment="1">
      <alignment horizontal="right"/>
    </xf>
    <xf numFmtId="0" fontId="1" fillId="2" borderId="48" xfId="0" applyFont="1" applyFill="1" applyBorder="1" applyAlignment="1">
      <alignment horizontal="right"/>
    </xf>
    <xf numFmtId="4" fontId="7" fillId="0" borderId="3" xfId="0" applyNumberFormat="1" applyFont="1" applyBorder="1" applyAlignment="1">
      <alignment vertical="center"/>
    </xf>
    <xf numFmtId="4" fontId="7" fillId="4" borderId="32" xfId="0" applyNumberFormat="1" applyFont="1" applyFill="1" applyBorder="1" applyAlignment="1">
      <alignment vertical="center"/>
    </xf>
    <xf numFmtId="0" fontId="0" fillId="2" borderId="44" xfId="0" applyFill="1" applyBorder="1"/>
    <xf numFmtId="0" fontId="2" fillId="0" borderId="3" xfId="0" applyFont="1" applyBorder="1"/>
    <xf numFmtId="4" fontId="0" fillId="4" borderId="29" xfId="0" applyNumberFormat="1" applyFill="1" applyBorder="1"/>
    <xf numFmtId="0" fontId="2" fillId="2" borderId="9" xfId="0" applyFont="1" applyFill="1" applyBorder="1" applyAlignment="1">
      <alignment vertical="center"/>
    </xf>
    <xf numFmtId="4" fontId="7" fillId="2" borderId="9" xfId="0" applyNumberFormat="1" applyFont="1" applyFill="1" applyBorder="1" applyAlignment="1">
      <alignment vertical="center"/>
    </xf>
    <xf numFmtId="4" fontId="0" fillId="4" borderId="47" xfId="0" applyNumberFormat="1" applyFill="1" applyBorder="1"/>
    <xf numFmtId="4" fontId="0" fillId="4" borderId="38" xfId="0" applyNumberFormat="1" applyFill="1" applyBorder="1"/>
    <xf numFmtId="4" fontId="7" fillId="4" borderId="29" xfId="0" applyNumberFormat="1" applyFont="1" applyFill="1" applyBorder="1" applyAlignment="1">
      <alignment horizontal="center" vertical="center"/>
    </xf>
    <xf numFmtId="0" fontId="0" fillId="2" borderId="9" xfId="0" applyFill="1" applyBorder="1" applyAlignment="1">
      <alignment horizontal="left"/>
    </xf>
    <xf numFmtId="4" fontId="0" fillId="2" borderId="9" xfId="0" applyNumberFormat="1" applyFill="1" applyBorder="1" applyAlignment="1">
      <alignment horizontal="center"/>
    </xf>
    <xf numFmtId="4" fontId="7" fillId="4" borderId="47" xfId="0" applyNumberFormat="1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/>
    </xf>
    <xf numFmtId="4" fontId="3" fillId="4" borderId="50" xfId="0" applyNumberFormat="1" applyFont="1" applyFill="1" applyBorder="1" applyAlignment="1">
      <alignment horizontal="center"/>
    </xf>
    <xf numFmtId="4" fontId="3" fillId="4" borderId="29" xfId="0" applyNumberFormat="1" applyFont="1" applyFill="1" applyBorder="1" applyAlignment="1">
      <alignment horizontal="center" vertical="center"/>
    </xf>
    <xf numFmtId="0" fontId="2" fillId="0" borderId="44" xfId="0" applyFont="1" applyBorder="1" applyAlignment="1">
      <alignment vertical="center"/>
    </xf>
    <xf numFmtId="0" fontId="0" fillId="2" borderId="48" xfId="0" applyFill="1" applyBorder="1" applyAlignment="1">
      <alignment horizontal="center"/>
    </xf>
    <xf numFmtId="4" fontId="7" fillId="4" borderId="50" xfId="0" applyNumberFormat="1" applyFont="1" applyFill="1" applyBorder="1" applyAlignment="1">
      <alignment vertical="center"/>
    </xf>
    <xf numFmtId="4" fontId="7" fillId="4" borderId="51" xfId="0" applyNumberFormat="1" applyFont="1" applyFill="1" applyBorder="1" applyAlignment="1">
      <alignment vertical="center"/>
    </xf>
    <xf numFmtId="0" fontId="3" fillId="3" borderId="0" xfId="0" applyFont="1" applyFill="1" applyBorder="1" applyAlignment="1"/>
    <xf numFmtId="0" fontId="7" fillId="2" borderId="29" xfId="0" applyFont="1" applyFill="1" applyBorder="1"/>
    <xf numFmtId="2" fontId="7" fillId="4" borderId="55" xfId="0" applyNumberFormat="1" applyFont="1" applyFill="1" applyBorder="1" applyAlignment="1">
      <alignment horizontal="center" vertical="center" wrapText="1"/>
    </xf>
    <xf numFmtId="0" fontId="0" fillId="0" borderId="6" xfId="0" applyBorder="1"/>
    <xf numFmtId="0" fontId="0" fillId="0" borderId="0" xfId="0"/>
    <xf numFmtId="0" fontId="0" fillId="4" borderId="0" xfId="0" applyFill="1" applyAlignment="1">
      <alignment horizontal="center"/>
    </xf>
    <xf numFmtId="0" fontId="3" fillId="4" borderId="35" xfId="0" applyFont="1" applyFill="1" applyBorder="1" applyAlignment="1">
      <alignment horizontal="right"/>
    </xf>
    <xf numFmtId="0" fontId="76" fillId="7" borderId="0" xfId="0" applyFont="1" applyFill="1"/>
    <xf numFmtId="0" fontId="0" fillId="7" borderId="0" xfId="0" applyFill="1"/>
    <xf numFmtId="0" fontId="0" fillId="7" borderId="35" xfId="0" applyFill="1" applyBorder="1" applyAlignment="1">
      <alignment horizontal="center"/>
    </xf>
    <xf numFmtId="0" fontId="76" fillId="7" borderId="0" xfId="0" applyFont="1" applyFill="1" applyAlignment="1">
      <alignment horizontal="center"/>
    </xf>
    <xf numFmtId="0" fontId="0" fillId="7" borderId="0" xfId="0" applyFill="1" applyAlignment="1">
      <alignment horizontal="center"/>
    </xf>
    <xf numFmtId="0" fontId="39" fillId="4" borderId="90" xfId="0" applyFont="1" applyFill="1" applyBorder="1" applyAlignment="1">
      <alignment horizontal="left"/>
    </xf>
    <xf numFmtId="0" fontId="20" fillId="4" borderId="91" xfId="0" applyFont="1" applyFill="1" applyBorder="1" applyAlignment="1">
      <alignment horizontal="left"/>
    </xf>
    <xf numFmtId="0" fontId="20" fillId="4" borderId="92" xfId="0" applyFont="1" applyFill="1" applyBorder="1" applyAlignment="1">
      <alignment horizontal="left"/>
    </xf>
    <xf numFmtId="2" fontId="0" fillId="2" borderId="6" xfId="0" applyNumberFormat="1" applyFill="1" applyBorder="1" applyAlignment="1">
      <alignment vertical="center" wrapText="1"/>
    </xf>
    <xf numFmtId="0" fontId="0" fillId="0" borderId="6" xfId="0" applyBorder="1" applyAlignment="1">
      <alignment horizontal="center"/>
    </xf>
    <xf numFmtId="2" fontId="0" fillId="3" borderId="6" xfId="0" applyNumberFormat="1" applyFill="1" applyBorder="1" applyAlignment="1">
      <alignment vertical="center" wrapText="1"/>
    </xf>
    <xf numFmtId="0" fontId="0" fillId="7" borderId="0" xfId="0" applyFill="1" applyBorder="1" applyAlignment="1">
      <alignment horizontal="center"/>
    </xf>
    <xf numFmtId="0" fontId="0" fillId="7" borderId="0" xfId="0" applyFill="1" applyBorder="1"/>
    <xf numFmtId="2" fontId="0" fillId="7" borderId="0" xfId="0" applyNumberFormat="1" applyFill="1" applyBorder="1" applyAlignment="1">
      <alignment vertical="center" wrapText="1"/>
    </xf>
    <xf numFmtId="0" fontId="16" fillId="7" borderId="9" xfId="0" applyFont="1" applyFill="1" applyBorder="1" applyAlignment="1">
      <alignment horizontal="center"/>
    </xf>
    <xf numFmtId="0" fontId="6" fillId="7" borderId="0" xfId="0" applyFont="1" applyFill="1" applyBorder="1" applyAlignment="1">
      <alignment horizontal="left"/>
    </xf>
    <xf numFmtId="2" fontId="0" fillId="7" borderId="0" xfId="0" applyNumberFormat="1" applyFill="1" applyBorder="1"/>
    <xf numFmtId="4" fontId="7" fillId="7" borderId="0" xfId="0" applyNumberFormat="1" applyFont="1" applyFill="1" applyBorder="1" applyAlignment="1">
      <alignment horizontal="center" vertical="center" wrapText="1"/>
    </xf>
    <xf numFmtId="0" fontId="79" fillId="4" borderId="0" xfId="0" applyFont="1" applyFill="1" applyBorder="1" applyAlignment="1">
      <alignment horizontal="left"/>
    </xf>
    <xf numFmtId="0" fontId="79" fillId="4" borderId="90" xfId="0" applyFont="1" applyFill="1" applyBorder="1" applyAlignment="1">
      <alignment horizontal="left"/>
    </xf>
    <xf numFmtId="0" fontId="0" fillId="2" borderId="39" xfId="0" applyFill="1" applyBorder="1" applyAlignment="1">
      <alignment horizontal="center"/>
    </xf>
    <xf numFmtId="0" fontId="0" fillId="2" borderId="9" xfId="0" applyFill="1" applyBorder="1" applyAlignment="1">
      <alignment horizontal="center"/>
    </xf>
    <xf numFmtId="0" fontId="0" fillId="2" borderId="41" xfId="0" applyFill="1" applyBorder="1" applyAlignment="1">
      <alignment horizontal="center"/>
    </xf>
    <xf numFmtId="0" fontId="0" fillId="0" borderId="0" xfId="0"/>
    <xf numFmtId="0" fontId="3" fillId="2" borderId="0" xfId="0" applyFont="1" applyFill="1" applyBorder="1" applyAlignment="1">
      <alignment horizontal="right"/>
    </xf>
    <xf numFmtId="4" fontId="3" fillId="4" borderId="29" xfId="0" applyNumberFormat="1" applyFont="1" applyFill="1" applyBorder="1" applyAlignment="1">
      <alignment horizontal="center"/>
    </xf>
    <xf numFmtId="0" fontId="3" fillId="4" borderId="35" xfId="0" applyFont="1" applyFill="1" applyBorder="1" applyAlignment="1">
      <alignment horizontal="right"/>
    </xf>
    <xf numFmtId="2" fontId="0" fillId="4" borderId="0" xfId="0" applyNumberFormat="1" applyFill="1" applyBorder="1" applyAlignment="1">
      <alignment horizontal="center"/>
    </xf>
    <xf numFmtId="0" fontId="16" fillId="4" borderId="35" xfId="0" applyFont="1" applyFill="1" applyBorder="1" applyAlignment="1">
      <alignment horizontal="right"/>
    </xf>
    <xf numFmtId="4" fontId="0" fillId="7" borderId="0" xfId="0" applyNumberFormat="1" applyFill="1" applyBorder="1"/>
    <xf numFmtId="4" fontId="3" fillId="7" borderId="0" xfId="0" applyNumberFormat="1" applyFont="1" applyFill="1" applyBorder="1" applyAlignment="1">
      <alignment horizontal="center" vertical="center"/>
    </xf>
    <xf numFmtId="4" fontId="0" fillId="7" borderId="0" xfId="0" applyNumberFormat="1" applyFill="1"/>
    <xf numFmtId="0" fontId="2" fillId="7" borderId="0" xfId="0" applyFont="1" applyFill="1" applyAlignment="1">
      <alignment vertical="center"/>
    </xf>
    <xf numFmtId="4" fontId="7" fillId="7" borderId="0" xfId="0" applyNumberFormat="1" applyFont="1" applyFill="1" applyAlignment="1">
      <alignment vertical="center"/>
    </xf>
    <xf numFmtId="4" fontId="7" fillId="4" borderId="0" xfId="0" applyNumberFormat="1" applyFont="1" applyFill="1" applyBorder="1" applyAlignment="1">
      <alignment horizontal="center" vertical="center"/>
    </xf>
    <xf numFmtId="4" fontId="7" fillId="4" borderId="54" xfId="0" applyNumberFormat="1" applyFont="1" applyFill="1" applyBorder="1" applyAlignment="1">
      <alignment horizontal="center" vertical="center"/>
    </xf>
    <xf numFmtId="4" fontId="7" fillId="4" borderId="37" xfId="0" applyNumberFormat="1" applyFont="1" applyFill="1" applyBorder="1" applyAlignment="1">
      <alignment horizontal="center" vertical="center"/>
    </xf>
    <xf numFmtId="4" fontId="7" fillId="4" borderId="38" xfId="0" applyNumberFormat="1" applyFont="1" applyFill="1" applyBorder="1" applyAlignment="1">
      <alignment horizontal="center" vertical="center"/>
    </xf>
    <xf numFmtId="0" fontId="0" fillId="8" borderId="1" xfId="0" applyFill="1" applyBorder="1"/>
    <xf numFmtId="0" fontId="0" fillId="0" borderId="0" xfId="0" applyBorder="1" applyAlignment="1">
      <alignment horizontal="left"/>
    </xf>
    <xf numFmtId="4" fontId="0" fillId="2" borderId="1" xfId="0" applyNumberFormat="1" applyFill="1" applyBorder="1"/>
    <xf numFmtId="0" fontId="82" fillId="0" borderId="1" xfId="0" applyFont="1" applyBorder="1" applyAlignment="1">
      <alignment horizontal="center"/>
    </xf>
    <xf numFmtId="4" fontId="2" fillId="0" borderId="1" xfId="0" applyNumberFormat="1" applyFont="1" applyBorder="1" applyAlignment="1">
      <alignment vertical="center"/>
    </xf>
    <xf numFmtId="0" fontId="82" fillId="0" borderId="10" xfId="0" applyFont="1" applyBorder="1" applyAlignment="1">
      <alignment horizontal="center"/>
    </xf>
    <xf numFmtId="0" fontId="0" fillId="0" borderId="0" xfId="0"/>
    <xf numFmtId="0" fontId="0" fillId="2" borderId="0" xfId="0" applyFill="1" applyAlignment="1">
      <alignment horizontal="center"/>
    </xf>
    <xf numFmtId="0" fontId="18" fillId="2" borderId="0" xfId="0" applyFont="1" applyFill="1" applyBorder="1" applyAlignment="1">
      <alignment horizontal="right" vertical="center"/>
    </xf>
    <xf numFmtId="0" fontId="0" fillId="4" borderId="0" xfId="0" applyFill="1" applyAlignment="1">
      <alignment horizontal="center"/>
    </xf>
    <xf numFmtId="0" fontId="20" fillId="4" borderId="34" xfId="0" applyFont="1" applyFill="1" applyBorder="1" applyAlignment="1">
      <alignment horizontal="center" vertical="center"/>
    </xf>
    <xf numFmtId="0" fontId="20" fillId="4" borderId="53" xfId="0" applyFont="1" applyFill="1" applyBorder="1" applyAlignment="1">
      <alignment horizontal="center" vertical="center"/>
    </xf>
    <xf numFmtId="0" fontId="83" fillId="2" borderId="33" xfId="0" applyFont="1" applyFill="1" applyBorder="1" applyAlignment="1">
      <alignment horizontal="center"/>
    </xf>
    <xf numFmtId="0" fontId="2" fillId="0" borderId="36" xfId="0" applyFont="1" applyBorder="1" applyAlignment="1">
      <alignment vertical="center"/>
    </xf>
    <xf numFmtId="4" fontId="7" fillId="4" borderId="60" xfId="0" applyNumberFormat="1" applyFont="1" applyFill="1" applyBorder="1" applyAlignment="1">
      <alignment vertical="center"/>
    </xf>
    <xf numFmtId="0" fontId="2" fillId="0" borderId="36" xfId="0" applyFont="1" applyBorder="1"/>
    <xf numFmtId="0" fontId="2" fillId="0" borderId="6" xfId="0" applyFont="1" applyBorder="1"/>
    <xf numFmtId="4" fontId="7" fillId="4" borderId="55" xfId="0" applyNumberFormat="1" applyFont="1" applyFill="1" applyBorder="1" applyAlignment="1">
      <alignment vertical="center"/>
    </xf>
    <xf numFmtId="0" fontId="3" fillId="2" borderId="0" xfId="0" applyFont="1" applyFill="1" applyBorder="1" applyAlignment="1">
      <alignment horizontal="center"/>
    </xf>
    <xf numFmtId="0" fontId="0" fillId="0" borderId="0" xfId="0"/>
    <xf numFmtId="0" fontId="0" fillId="2" borderId="0" xfId="0" applyFill="1" applyAlignment="1">
      <alignment horizontal="center"/>
    </xf>
    <xf numFmtId="0" fontId="3" fillId="4" borderId="35" xfId="0" applyFont="1" applyFill="1" applyBorder="1" applyAlignment="1">
      <alignment horizontal="right"/>
    </xf>
    <xf numFmtId="0" fontId="0" fillId="0" borderId="16" xfId="0" applyBorder="1"/>
    <xf numFmtId="0" fontId="44" fillId="4" borderId="0" xfId="0" applyFont="1" applyFill="1" applyBorder="1" applyAlignment="1">
      <alignment horizontal="center" vertical="center"/>
    </xf>
    <xf numFmtId="4" fontId="3" fillId="2" borderId="73" xfId="0" applyNumberFormat="1" applyFont="1" applyFill="1" applyBorder="1" applyAlignment="1">
      <alignment horizontal="right"/>
    </xf>
    <xf numFmtId="0" fontId="3" fillId="2" borderId="37" xfId="0" applyFont="1" applyFill="1" applyBorder="1" applyAlignment="1">
      <alignment vertical="justify" wrapText="1"/>
    </xf>
    <xf numFmtId="0" fontId="3" fillId="2" borderId="93" xfId="0" applyFont="1" applyFill="1" applyBorder="1" applyAlignment="1">
      <alignment vertical="justify" wrapText="1"/>
    </xf>
    <xf numFmtId="0" fontId="75" fillId="7" borderId="0" xfId="0" applyFont="1" applyFill="1" applyBorder="1" applyAlignment="1">
      <alignment horizontal="center"/>
    </xf>
    <xf numFmtId="0" fontId="74" fillId="7" borderId="0" xfId="0" applyFont="1" applyFill="1" applyBorder="1" applyAlignment="1">
      <alignment horizontal="center"/>
    </xf>
    <xf numFmtId="0" fontId="72" fillId="7" borderId="0" xfId="0" applyFont="1" applyFill="1"/>
    <xf numFmtId="0" fontId="73" fillId="7" borderId="0" xfId="0" applyFont="1" applyFill="1" applyBorder="1"/>
    <xf numFmtId="0" fontId="3" fillId="2" borderId="0" xfId="0" applyFont="1" applyFill="1" applyBorder="1" applyAlignment="1">
      <alignment horizontal="center"/>
    </xf>
    <xf numFmtId="0" fontId="0" fillId="0" borderId="0" xfId="0"/>
    <xf numFmtId="0" fontId="0" fillId="2" borderId="0" xfId="0" applyFill="1" applyAlignment="1">
      <alignment horizontal="center"/>
    </xf>
    <xf numFmtId="2" fontId="44" fillId="9" borderId="0" xfId="0" applyNumberFormat="1" applyFont="1" applyFill="1" applyBorder="1" applyAlignment="1">
      <alignment vertical="center"/>
    </xf>
    <xf numFmtId="0" fontId="56" fillId="9" borderId="0" xfId="0" applyFont="1" applyFill="1"/>
    <xf numFmtId="0" fontId="3" fillId="9" borderId="35" xfId="0" applyFont="1" applyFill="1" applyBorder="1" applyAlignment="1">
      <alignment horizontal="right"/>
    </xf>
    <xf numFmtId="0" fontId="3" fillId="9" borderId="0" xfId="0" applyFont="1" applyFill="1" applyBorder="1" applyAlignment="1">
      <alignment horizontal="left"/>
    </xf>
    <xf numFmtId="0" fontId="23" fillId="9" borderId="0" xfId="0" applyFont="1" applyFill="1" applyBorder="1" applyAlignment="1">
      <alignment horizontal="center"/>
    </xf>
    <xf numFmtId="4" fontId="23" fillId="9" borderId="0" xfId="0" applyNumberFormat="1" applyFont="1" applyFill="1" applyBorder="1" applyAlignment="1">
      <alignment horizontal="left"/>
    </xf>
    <xf numFmtId="0" fontId="85" fillId="9" borderId="0" xfId="0" applyFont="1" applyFill="1" applyBorder="1"/>
    <xf numFmtId="0" fontId="85" fillId="9" borderId="0" xfId="0" applyFont="1" applyFill="1"/>
    <xf numFmtId="0" fontId="87" fillId="2" borderId="9" xfId="0" applyFont="1" applyFill="1" applyBorder="1" applyAlignment="1">
      <alignment horizontal="center"/>
    </xf>
    <xf numFmtId="0" fontId="88" fillId="2" borderId="54" xfId="0" applyFont="1" applyFill="1" applyBorder="1" applyAlignment="1">
      <alignment horizontal="right"/>
    </xf>
    <xf numFmtId="0" fontId="3" fillId="9" borderId="0" xfId="0" applyFont="1" applyFill="1" applyBorder="1" applyAlignment="1"/>
    <xf numFmtId="4" fontId="3" fillId="9" borderId="0" xfId="0" applyNumberFormat="1" applyFont="1" applyFill="1" applyBorder="1" applyAlignment="1"/>
    <xf numFmtId="0" fontId="3" fillId="9" borderId="0" xfId="0" applyFont="1" applyFill="1" applyBorder="1" applyAlignment="1">
      <alignment horizontal="center"/>
    </xf>
    <xf numFmtId="0" fontId="1" fillId="9" borderId="0" xfId="0" applyFont="1" applyFill="1" applyBorder="1" applyAlignment="1">
      <alignment horizontal="left"/>
    </xf>
    <xf numFmtId="0" fontId="1" fillId="9" borderId="0" xfId="0" applyFont="1" applyFill="1" applyBorder="1"/>
    <xf numFmtId="0" fontId="1" fillId="9" borderId="0" xfId="0" applyFont="1" applyFill="1" applyBorder="1" applyAlignment="1">
      <alignment horizontal="center"/>
    </xf>
    <xf numFmtId="2" fontId="1" fillId="9" borderId="0" xfId="0" applyNumberFormat="1" applyFont="1" applyFill="1" applyBorder="1"/>
    <xf numFmtId="4" fontId="1" fillId="9" borderId="0" xfId="0" applyNumberFormat="1" applyFont="1" applyFill="1" applyBorder="1" applyAlignment="1">
      <alignment vertical="center" wrapText="1"/>
    </xf>
    <xf numFmtId="0" fontId="44" fillId="9" borderId="29" xfId="0" applyFont="1" applyFill="1" applyBorder="1" applyAlignment="1">
      <alignment horizontal="center" vertical="center"/>
    </xf>
    <xf numFmtId="0" fontId="3" fillId="9" borderId="75" xfId="0" applyFont="1" applyFill="1" applyBorder="1" applyAlignment="1">
      <alignment horizontal="center"/>
    </xf>
    <xf numFmtId="0" fontId="0" fillId="9" borderId="0" xfId="0" applyFill="1" applyBorder="1" applyAlignment="1"/>
    <xf numFmtId="0" fontId="0" fillId="9" borderId="0" xfId="0" applyFill="1" applyBorder="1"/>
    <xf numFmtId="0" fontId="0" fillId="9" borderId="0" xfId="0" applyFill="1" applyBorder="1" applyAlignment="1">
      <alignment horizontal="center"/>
    </xf>
    <xf numFmtId="4" fontId="0" fillId="9" borderId="0" xfId="0" applyNumberFormat="1" applyFill="1" applyBorder="1"/>
    <xf numFmtId="4" fontId="0" fillId="9" borderId="0" xfId="0" applyNumberFormat="1" applyFill="1" applyBorder="1" applyAlignment="1">
      <alignment vertical="center" wrapText="1"/>
    </xf>
    <xf numFmtId="0" fontId="3" fillId="9" borderId="7" xfId="0" applyFont="1" applyFill="1" applyBorder="1" applyAlignment="1"/>
    <xf numFmtId="4" fontId="3" fillId="9" borderId="7" xfId="0" applyNumberFormat="1" applyFont="1" applyFill="1" applyBorder="1" applyAlignment="1"/>
    <xf numFmtId="0" fontId="23" fillId="9" borderId="7" xfId="0" applyFont="1" applyFill="1" applyBorder="1" applyAlignment="1"/>
    <xf numFmtId="4" fontId="23" fillId="9" borderId="7" xfId="0" applyNumberFormat="1" applyFont="1" applyFill="1" applyBorder="1" applyAlignment="1"/>
    <xf numFmtId="0" fontId="3" fillId="9" borderId="76" xfId="0" applyFont="1" applyFill="1" applyBorder="1" applyAlignment="1">
      <alignment horizontal="center"/>
    </xf>
    <xf numFmtId="4" fontId="39" fillId="2" borderId="97" xfId="0" applyNumberFormat="1" applyFont="1" applyFill="1" applyBorder="1" applyAlignment="1">
      <alignment horizontal="center" vertical="center" wrapText="1"/>
    </xf>
    <xf numFmtId="4" fontId="7" fillId="2" borderId="94" xfId="0" applyNumberFormat="1" applyFont="1" applyFill="1" applyBorder="1" applyAlignment="1">
      <alignment horizontal="center"/>
    </xf>
    <xf numFmtId="4" fontId="7" fillId="2" borderId="98" xfId="0" applyNumberFormat="1" applyFont="1" applyFill="1" applyBorder="1" applyAlignment="1">
      <alignment horizontal="center"/>
    </xf>
    <xf numFmtId="0" fontId="1" fillId="0" borderId="0" xfId="0" applyFont="1" applyBorder="1" applyAlignment="1">
      <alignment horizontal="left"/>
    </xf>
    <xf numFmtId="4" fontId="7" fillId="2" borderId="98" xfId="0" applyNumberFormat="1" applyFont="1" applyFill="1" applyBorder="1" applyAlignment="1">
      <alignment horizontal="center" vertical="center" wrapText="1"/>
    </xf>
    <xf numFmtId="4" fontId="39" fillId="2" borderId="98" xfId="0" applyNumberFormat="1" applyFont="1" applyFill="1" applyBorder="1" applyAlignment="1">
      <alignment horizontal="center" vertical="center" wrapText="1"/>
    </xf>
    <xf numFmtId="0" fontId="0" fillId="0" borderId="0" xfId="0"/>
    <xf numFmtId="0" fontId="0" fillId="0" borderId="0" xfId="0"/>
    <xf numFmtId="0" fontId="0" fillId="2" borderId="0" xfId="0" applyFill="1" applyAlignment="1">
      <alignment horizontal="center"/>
    </xf>
    <xf numFmtId="0" fontId="0" fillId="0" borderId="0" xfId="0"/>
    <xf numFmtId="0" fontId="0" fillId="2" borderId="0" xfId="0" applyFill="1" applyAlignment="1">
      <alignment horizontal="center"/>
    </xf>
    <xf numFmtId="0" fontId="84" fillId="4" borderId="91" xfId="0" applyFont="1" applyFill="1" applyBorder="1" applyAlignment="1">
      <alignment horizontal="left"/>
    </xf>
    <xf numFmtId="0" fontId="89" fillId="7" borderId="0" xfId="0" applyFont="1" applyFill="1"/>
    <xf numFmtId="0" fontId="0" fillId="7" borderId="0" xfId="0" applyFill="1" applyAlignment="1">
      <alignment horizontal="right"/>
    </xf>
    <xf numFmtId="0" fontId="1" fillId="7" borderId="1" xfId="0" applyFont="1" applyFill="1" applyBorder="1" applyAlignment="1">
      <alignment horizontal="left"/>
    </xf>
    <xf numFmtId="4" fontId="7" fillId="7" borderId="0" xfId="0" applyNumberFormat="1" applyFont="1" applyFill="1" applyAlignment="1">
      <alignment horizontal="center"/>
    </xf>
    <xf numFmtId="0" fontId="0" fillId="7" borderId="1" xfId="0" applyFill="1" applyBorder="1"/>
    <xf numFmtId="0" fontId="56" fillId="7" borderId="0" xfId="0" applyFont="1" applyFill="1"/>
    <xf numFmtId="0" fontId="7" fillId="7" borderId="0" xfId="0" applyFont="1" applyFill="1"/>
    <xf numFmtId="0" fontId="0" fillId="7" borderId="100" xfId="0" applyFill="1" applyBorder="1"/>
    <xf numFmtId="0" fontId="1" fillId="0" borderId="100" xfId="0" applyFont="1" applyBorder="1" applyAlignment="1">
      <alignment horizontal="left"/>
    </xf>
    <xf numFmtId="0" fontId="0" fillId="2" borderId="100" xfId="0" applyFill="1" applyBorder="1"/>
    <xf numFmtId="0" fontId="89" fillId="7" borderId="100" xfId="0" applyFont="1" applyFill="1" applyBorder="1"/>
    <xf numFmtId="0" fontId="0" fillId="2" borderId="100" xfId="0" applyFill="1" applyBorder="1" applyAlignment="1">
      <alignment horizontal="center"/>
    </xf>
    <xf numFmtId="0" fontId="86" fillId="9" borderId="29" xfId="0" applyFont="1" applyFill="1" applyBorder="1" applyAlignment="1">
      <alignment vertical="center"/>
    </xf>
    <xf numFmtId="0" fontId="86" fillId="7" borderId="29" xfId="0" applyFont="1" applyFill="1" applyBorder="1" applyAlignment="1">
      <alignment vertical="center"/>
    </xf>
    <xf numFmtId="0" fontId="0" fillId="4" borderId="102" xfId="0" applyFill="1" applyBorder="1"/>
    <xf numFmtId="0" fontId="89" fillId="4" borderId="102" xfId="0" applyFont="1" applyFill="1" applyBorder="1"/>
    <xf numFmtId="0" fontId="0" fillId="0" borderId="103" xfId="0" applyBorder="1"/>
    <xf numFmtId="0" fontId="0" fillId="2" borderId="103" xfId="0" applyFill="1" applyBorder="1"/>
    <xf numFmtId="0" fontId="0" fillId="2" borderId="103" xfId="0" applyFill="1" applyBorder="1" applyAlignment="1">
      <alignment horizontal="center"/>
    </xf>
    <xf numFmtId="4" fontId="0" fillId="2" borderId="103" xfId="0" applyNumberFormat="1" applyFill="1" applyBorder="1" applyAlignment="1">
      <alignment vertical="center" wrapText="1"/>
    </xf>
    <xf numFmtId="0" fontId="88" fillId="2" borderId="35" xfId="0" applyFont="1" applyFill="1" applyBorder="1" applyAlignment="1">
      <alignment horizontal="right"/>
    </xf>
    <xf numFmtId="0" fontId="20" fillId="4" borderId="104" xfId="0" applyFont="1" applyFill="1" applyBorder="1" applyAlignment="1">
      <alignment horizontal="left"/>
    </xf>
    <xf numFmtId="0" fontId="7" fillId="9" borderId="0" xfId="0" applyFont="1" applyFill="1" applyAlignment="1">
      <alignment horizontal="right"/>
    </xf>
    <xf numFmtId="0" fontId="7" fillId="9" borderId="0" xfId="0" applyFont="1" applyFill="1" applyAlignment="1">
      <alignment horizontal="center"/>
    </xf>
    <xf numFmtId="0" fontId="0" fillId="7" borderId="105" xfId="0" applyFill="1" applyBorder="1"/>
    <xf numFmtId="0" fontId="84" fillId="4" borderId="90" xfId="0" applyFont="1" applyFill="1" applyBorder="1"/>
    <xf numFmtId="0" fontId="0" fillId="0" borderId="0" xfId="0"/>
    <xf numFmtId="0" fontId="0" fillId="2" borderId="0" xfId="0" applyFill="1" applyAlignment="1">
      <alignment horizontal="center"/>
    </xf>
    <xf numFmtId="0" fontId="70" fillId="2" borderId="0" xfId="0" applyFont="1" applyFill="1" applyAlignment="1">
      <alignment vertical="center"/>
    </xf>
    <xf numFmtId="0" fontId="0" fillId="2" borderId="0" xfId="2" applyFont="1" applyFill="1"/>
    <xf numFmtId="0" fontId="0" fillId="7" borderId="101" xfId="0" applyFill="1" applyBorder="1"/>
    <xf numFmtId="0" fontId="0" fillId="0" borderId="0" xfId="0"/>
    <xf numFmtId="0" fontId="0" fillId="12" borderId="0" xfId="0" applyFill="1"/>
    <xf numFmtId="0" fontId="0" fillId="12" borderId="47" xfId="0" applyFill="1" applyBorder="1"/>
    <xf numFmtId="0" fontId="0" fillId="13" borderId="0" xfId="0" applyFill="1"/>
    <xf numFmtId="0" fontId="0" fillId="0" borderId="0" xfId="0"/>
    <xf numFmtId="0" fontId="64" fillId="4" borderId="29" xfId="0" applyFont="1" applyFill="1" applyBorder="1" applyAlignment="1">
      <alignment horizontal="center" vertical="justify"/>
    </xf>
    <xf numFmtId="0" fontId="7" fillId="12" borderId="0" xfId="0" applyFont="1" applyFill="1" applyBorder="1"/>
    <xf numFmtId="0" fontId="7" fillId="12" borderId="90" xfId="0" applyFont="1" applyFill="1" applyBorder="1"/>
    <xf numFmtId="0" fontId="7" fillId="12" borderId="90" xfId="0" applyFont="1" applyFill="1" applyBorder="1" applyAlignment="1">
      <alignment horizontal="right"/>
    </xf>
    <xf numFmtId="0" fontId="7" fillId="12" borderId="108" xfId="0" applyFont="1" applyFill="1" applyBorder="1"/>
    <xf numFmtId="0" fontId="7" fillId="12" borderId="108" xfId="0" applyFont="1" applyFill="1" applyBorder="1" applyAlignment="1">
      <alignment horizontal="right"/>
    </xf>
    <xf numFmtId="0" fontId="90" fillId="12" borderId="107" xfId="0" applyFont="1" applyFill="1" applyBorder="1"/>
    <xf numFmtId="0" fontId="90" fillId="12" borderId="106" xfId="0" applyFont="1" applyFill="1" applyBorder="1"/>
    <xf numFmtId="49" fontId="7" fillId="12" borderId="0" xfId="0" applyNumberFormat="1" applyFont="1" applyFill="1" applyBorder="1" applyAlignment="1">
      <alignment horizontal="right"/>
    </xf>
    <xf numFmtId="0" fontId="7" fillId="12" borderId="101" xfId="0" applyFont="1" applyFill="1" applyBorder="1"/>
    <xf numFmtId="0" fontId="7" fillId="12" borderId="101" xfId="0" applyFont="1" applyFill="1" applyBorder="1" applyAlignment="1">
      <alignment horizontal="right"/>
    </xf>
    <xf numFmtId="0" fontId="90" fillId="0" borderId="0" xfId="0" applyFont="1" applyFill="1" applyBorder="1" applyAlignment="1">
      <alignment horizontal="right"/>
    </xf>
    <xf numFmtId="0" fontId="20" fillId="12" borderId="0" xfId="2" applyFont="1" applyFill="1" applyBorder="1"/>
    <xf numFmtId="0" fontId="20" fillId="12" borderId="0" xfId="2" applyFont="1" applyFill="1" applyAlignment="1">
      <alignment horizontal="right"/>
    </xf>
    <xf numFmtId="0" fontId="7" fillId="12" borderId="0" xfId="2" applyFont="1" applyFill="1" applyBorder="1"/>
    <xf numFmtId="0" fontId="7" fillId="12" borderId="0" xfId="2" applyFont="1" applyFill="1" applyAlignment="1">
      <alignment horizontal="right"/>
    </xf>
    <xf numFmtId="0" fontId="7" fillId="7" borderId="108" xfId="0" applyFont="1" applyFill="1" applyBorder="1" applyAlignment="1">
      <alignment horizontal="right"/>
    </xf>
    <xf numFmtId="0" fontId="7" fillId="7" borderId="90" xfId="0" applyFont="1" applyFill="1" applyBorder="1" applyAlignment="1">
      <alignment horizontal="right"/>
    </xf>
    <xf numFmtId="0" fontId="90" fillId="12" borderId="10" xfId="0" applyFont="1" applyFill="1" applyBorder="1"/>
    <xf numFmtId="0" fontId="90" fillId="12" borderId="4" xfId="0" applyFont="1" applyFill="1" applyBorder="1"/>
    <xf numFmtId="0" fontId="7" fillId="13" borderId="108" xfId="0" applyFont="1" applyFill="1" applyBorder="1" applyAlignment="1">
      <alignment horizontal="right"/>
    </xf>
    <xf numFmtId="0" fontId="0" fillId="13" borderId="0" xfId="0" applyFill="1" applyBorder="1"/>
    <xf numFmtId="2" fontId="0" fillId="13" borderId="0" xfId="0" applyNumberFormat="1" applyFill="1" applyBorder="1"/>
    <xf numFmtId="0" fontId="92" fillId="7" borderId="0" xfId="0" applyFont="1" applyFill="1" applyBorder="1" applyAlignment="1">
      <alignment horizontal="right"/>
    </xf>
    <xf numFmtId="0" fontId="92" fillId="0" borderId="0" xfId="2" applyFont="1" applyFill="1" applyAlignment="1">
      <alignment horizontal="right"/>
    </xf>
    <xf numFmtId="0" fontId="93" fillId="2" borderId="0" xfId="0" applyFont="1" applyFill="1"/>
    <xf numFmtId="0" fontId="94" fillId="0" borderId="0" xfId="2" applyFont="1" applyFill="1" applyAlignment="1">
      <alignment horizontal="right"/>
    </xf>
    <xf numFmtId="0" fontId="49" fillId="0" borderId="1" xfId="0" applyFont="1" applyBorder="1" applyAlignment="1">
      <alignment horizontal="center"/>
    </xf>
    <xf numFmtId="0" fontId="51" fillId="2" borderId="31" xfId="0" applyFont="1" applyFill="1" applyBorder="1" applyAlignment="1">
      <alignment horizontal="center" vertical="center"/>
    </xf>
    <xf numFmtId="0" fontId="49" fillId="2" borderId="1" xfId="0" applyFont="1" applyFill="1" applyBorder="1"/>
    <xf numFmtId="0" fontId="95" fillId="2" borderId="0" xfId="0" applyFont="1" applyFill="1" applyBorder="1"/>
    <xf numFmtId="0" fontId="49" fillId="2" borderId="29" xfId="0" applyFont="1" applyFill="1" applyBorder="1"/>
    <xf numFmtId="0" fontId="49" fillId="2" borderId="0" xfId="0" applyFont="1" applyFill="1" applyBorder="1"/>
    <xf numFmtId="0" fontId="49" fillId="0" borderId="3" xfId="0" applyFont="1" applyBorder="1" applyAlignment="1">
      <alignment horizontal="center"/>
    </xf>
    <xf numFmtId="0" fontId="20" fillId="4" borderId="109" xfId="0" applyFont="1" applyFill="1" applyBorder="1" applyAlignment="1">
      <alignment horizontal="left"/>
    </xf>
    <xf numFmtId="0" fontId="20" fillId="4" borderId="110" xfId="0" applyFont="1" applyFill="1" applyBorder="1" applyAlignment="1">
      <alignment horizontal="left"/>
    </xf>
    <xf numFmtId="0" fontId="7" fillId="4" borderId="0" xfId="0" applyFont="1" applyFill="1" applyBorder="1" applyAlignment="1">
      <alignment horizontal="left"/>
    </xf>
    <xf numFmtId="49" fontId="7" fillId="0" borderId="0" xfId="0" applyNumberFormat="1" applyFont="1" applyFill="1" applyBorder="1" applyAlignment="1">
      <alignment horizontal="left"/>
    </xf>
    <xf numFmtId="0" fontId="92" fillId="7" borderId="0" xfId="0" applyFont="1" applyFill="1" applyBorder="1" applyAlignment="1">
      <alignment horizontal="center" vertical="center"/>
    </xf>
    <xf numFmtId="0" fontId="7" fillId="4" borderId="0" xfId="0" applyFont="1" applyFill="1" applyBorder="1" applyAlignment="1">
      <alignment horizontal="center" vertical="center"/>
    </xf>
    <xf numFmtId="0" fontId="7" fillId="4" borderId="0" xfId="0" applyFont="1" applyFill="1" applyBorder="1" applyAlignment="1">
      <alignment horizontal="left" vertical="center"/>
    </xf>
    <xf numFmtId="0" fontId="92" fillId="7" borderId="0" xfId="0" applyFont="1" applyFill="1" applyBorder="1" applyAlignment="1">
      <alignment horizontal="right" vertical="center"/>
    </xf>
    <xf numFmtId="49" fontId="7" fillId="13" borderId="0" xfId="0" applyNumberFormat="1" applyFont="1" applyFill="1" applyBorder="1" applyAlignment="1">
      <alignment horizontal="left"/>
    </xf>
    <xf numFmtId="0" fontId="7" fillId="4" borderId="90" xfId="0" applyFont="1" applyFill="1" applyBorder="1" applyAlignment="1">
      <alignment horizontal="left" vertical="center"/>
    </xf>
    <xf numFmtId="0" fontId="0" fillId="2" borderId="0" xfId="0" applyFill="1" applyAlignment="1">
      <alignment horizontal="left"/>
    </xf>
    <xf numFmtId="0" fontId="0" fillId="2" borderId="0" xfId="0" applyFill="1" applyAlignment="1">
      <alignment horizontal="left" vertical="center"/>
    </xf>
    <xf numFmtId="0" fontId="52" fillId="2" borderId="0" xfId="0" applyFont="1" applyFill="1" applyAlignment="1">
      <alignment horizontal="left"/>
    </xf>
    <xf numFmtId="49" fontId="7" fillId="12" borderId="0" xfId="0" applyNumberFormat="1" applyFont="1" applyFill="1" applyBorder="1" applyAlignment="1">
      <alignment horizontal="right" vertical="center"/>
    </xf>
    <xf numFmtId="49" fontId="7" fillId="12" borderId="101" xfId="0" applyNumberFormat="1" applyFont="1" applyFill="1" applyBorder="1" applyAlignment="1">
      <alignment horizontal="right"/>
    </xf>
    <xf numFmtId="49" fontId="7" fillId="0" borderId="0" xfId="0" applyNumberFormat="1" applyFont="1" applyFill="1" applyBorder="1" applyAlignment="1">
      <alignment horizontal="right" vertical="center"/>
    </xf>
    <xf numFmtId="0" fontId="96" fillId="0" borderId="0" xfId="2" applyFont="1" applyFill="1" applyAlignment="1">
      <alignment horizontal="right"/>
    </xf>
    <xf numFmtId="0" fontId="39" fillId="12" borderId="0" xfId="2" applyFont="1" applyFill="1" applyBorder="1"/>
    <xf numFmtId="0" fontId="39" fillId="12" borderId="0" xfId="2" applyFont="1" applyFill="1" applyAlignment="1">
      <alignment horizontal="right"/>
    </xf>
    <xf numFmtId="0" fontId="97" fillId="7" borderId="0" xfId="0" applyFont="1" applyFill="1"/>
    <xf numFmtId="0" fontId="7" fillId="7" borderId="0" xfId="0" applyFont="1" applyFill="1" applyAlignment="1">
      <alignment horizontal="right"/>
    </xf>
    <xf numFmtId="0" fontId="7" fillId="2" borderId="0" xfId="0" applyFont="1" applyFill="1" applyAlignment="1">
      <alignment vertical="center" wrapText="1"/>
    </xf>
    <xf numFmtId="0" fontId="7" fillId="2" borderId="0" xfId="0" applyFont="1" applyFill="1" applyAlignment="1">
      <alignment horizontal="right" vertical="center" wrapText="1"/>
    </xf>
    <xf numFmtId="0" fontId="39" fillId="4" borderId="0" xfId="0" applyFont="1" applyFill="1" applyBorder="1" applyAlignment="1">
      <alignment horizontal="left"/>
    </xf>
    <xf numFmtId="0" fontId="0" fillId="0" borderId="0" xfId="0"/>
    <xf numFmtId="0" fontId="0" fillId="2" borderId="0" xfId="0" applyFill="1" applyAlignment="1">
      <alignment horizontal="center"/>
    </xf>
    <xf numFmtId="0" fontId="3" fillId="4" borderId="35" xfId="0" applyFont="1" applyFill="1" applyBorder="1" applyAlignment="1">
      <alignment horizontal="right"/>
    </xf>
    <xf numFmtId="0" fontId="0" fillId="7" borderId="0" xfId="0" applyFill="1" applyBorder="1" applyAlignment="1">
      <alignment horizontal="right"/>
    </xf>
    <xf numFmtId="0" fontId="0" fillId="0" borderId="111" xfId="0" applyBorder="1"/>
    <xf numFmtId="0" fontId="0" fillId="7" borderId="111" xfId="0" applyFill="1" applyBorder="1"/>
    <xf numFmtId="0" fontId="6" fillId="0" borderId="111" xfId="0" applyFont="1" applyBorder="1" applyAlignment="1">
      <alignment horizontal="left"/>
    </xf>
    <xf numFmtId="0" fontId="0" fillId="0" borderId="111" xfId="0" applyBorder="1" applyAlignment="1"/>
    <xf numFmtId="0" fontId="1" fillId="0" borderId="111" xfId="0" applyFont="1" applyBorder="1" applyAlignment="1">
      <alignment horizontal="left"/>
    </xf>
    <xf numFmtId="0" fontId="1" fillId="2" borderId="111" xfId="0" applyFont="1" applyFill="1" applyBorder="1" applyAlignment="1">
      <alignment horizontal="left"/>
    </xf>
    <xf numFmtId="0" fontId="1" fillId="2" borderId="111" xfId="0" applyFont="1" applyFill="1" applyBorder="1"/>
    <xf numFmtId="0" fontId="3" fillId="2" borderId="37" xfId="0" applyFont="1" applyFill="1" applyBorder="1" applyAlignment="1">
      <alignment horizontal="right" wrapText="1"/>
    </xf>
    <xf numFmtId="0" fontId="3" fillId="2" borderId="37" xfId="0" applyFont="1" applyFill="1" applyBorder="1" applyAlignment="1">
      <alignment wrapText="1"/>
    </xf>
    <xf numFmtId="2" fontId="2" fillId="2" borderId="116" xfId="0" applyNumberFormat="1" applyFont="1" applyFill="1" applyBorder="1" applyAlignment="1">
      <alignment horizontal="center" vertical="center" wrapText="1"/>
    </xf>
    <xf numFmtId="0" fontId="2" fillId="2" borderId="117" xfId="0" applyFont="1" applyFill="1" applyBorder="1" applyAlignment="1">
      <alignment horizontal="center"/>
    </xf>
    <xf numFmtId="2" fontId="2" fillId="2" borderId="117" xfId="0" applyNumberFormat="1" applyFont="1" applyFill="1" applyBorder="1" applyAlignment="1">
      <alignment horizontal="center" vertical="center" wrapText="1"/>
    </xf>
    <xf numFmtId="4" fontId="2" fillId="2" borderId="118" xfId="0" applyNumberFormat="1" applyFont="1" applyFill="1" applyBorder="1" applyAlignment="1">
      <alignment horizontal="center" vertical="center" wrapText="1"/>
    </xf>
    <xf numFmtId="0" fontId="1" fillId="2" borderId="119" xfId="0" applyFont="1" applyFill="1" applyBorder="1"/>
    <xf numFmtId="2" fontId="1" fillId="3" borderId="119" xfId="0" applyNumberFormat="1" applyFont="1" applyFill="1" applyBorder="1"/>
    <xf numFmtId="4" fontId="1" fillId="2" borderId="119" xfId="0" applyNumberFormat="1" applyFont="1" applyFill="1" applyBorder="1" applyAlignment="1">
      <alignment vertical="center" wrapText="1"/>
    </xf>
    <xf numFmtId="0" fontId="1" fillId="2" borderId="112" xfId="0" applyFont="1" applyFill="1" applyBorder="1"/>
    <xf numFmtId="2" fontId="1" fillId="3" borderId="112" xfId="0" applyNumberFormat="1" applyFont="1" applyFill="1" applyBorder="1"/>
    <xf numFmtId="4" fontId="1" fillId="2" borderId="112" xfId="0" applyNumberFormat="1" applyFont="1" applyFill="1" applyBorder="1" applyAlignment="1">
      <alignment vertical="center" wrapText="1"/>
    </xf>
    <xf numFmtId="0" fontId="0" fillId="7" borderId="111" xfId="0" applyFill="1" applyBorder="1" applyAlignment="1">
      <alignment horizontal="right"/>
    </xf>
    <xf numFmtId="0" fontId="56" fillId="7" borderId="0" xfId="0" applyFont="1" applyFill="1" applyBorder="1"/>
    <xf numFmtId="4" fontId="16" fillId="2" borderId="73" xfId="0" applyNumberFormat="1" applyFont="1" applyFill="1" applyBorder="1" applyAlignment="1">
      <alignment horizontal="left"/>
    </xf>
    <xf numFmtId="0" fontId="1" fillId="7" borderId="112" xfId="0" applyFont="1" applyFill="1" applyBorder="1" applyAlignment="1">
      <alignment horizontal="center"/>
    </xf>
    <xf numFmtId="4" fontId="1" fillId="2" borderId="115" xfId="0" applyNumberFormat="1" applyFont="1" applyFill="1" applyBorder="1" applyAlignment="1">
      <alignment vertical="center" wrapText="1"/>
    </xf>
    <xf numFmtId="0" fontId="1" fillId="7" borderId="119" xfId="0" applyFont="1" applyFill="1" applyBorder="1" applyAlignment="1">
      <alignment horizontal="center"/>
    </xf>
    <xf numFmtId="0" fontId="2" fillId="2" borderId="122" xfId="0" applyFont="1" applyFill="1" applyBorder="1" applyAlignment="1">
      <alignment horizontal="center"/>
    </xf>
    <xf numFmtId="0" fontId="1" fillId="2" borderId="113" xfId="0" applyFont="1" applyFill="1" applyBorder="1"/>
    <xf numFmtId="0" fontId="1" fillId="2" borderId="114" xfId="0" applyFont="1" applyFill="1" applyBorder="1"/>
    <xf numFmtId="0" fontId="1" fillId="2" borderId="123" xfId="0" applyFont="1" applyFill="1" applyBorder="1"/>
    <xf numFmtId="0" fontId="92" fillId="7" borderId="0" xfId="2" applyFont="1" applyFill="1" applyAlignment="1">
      <alignment horizontal="right"/>
    </xf>
    <xf numFmtId="0" fontId="0" fillId="7" borderId="111" xfId="0" applyFill="1" applyBorder="1" applyAlignment="1"/>
    <xf numFmtId="0" fontId="0" fillId="7" borderId="121" xfId="0" applyFill="1" applyBorder="1" applyAlignment="1"/>
    <xf numFmtId="0" fontId="6" fillId="7" borderId="111" xfId="0" applyFont="1" applyFill="1" applyBorder="1" applyAlignment="1">
      <alignment horizontal="left"/>
    </xf>
    <xf numFmtId="49" fontId="0" fillId="7" borderId="111" xfId="0" applyNumberFormat="1" applyFill="1" applyBorder="1"/>
    <xf numFmtId="0" fontId="1" fillId="7" borderId="111" xfId="0" applyFont="1" applyFill="1" applyBorder="1" applyAlignment="1">
      <alignment horizontal="left"/>
    </xf>
    <xf numFmtId="0" fontId="0" fillId="7" borderId="121" xfId="0" applyFill="1" applyBorder="1"/>
    <xf numFmtId="0" fontId="1" fillId="7" borderId="111" xfId="0" applyFont="1" applyFill="1" applyBorder="1"/>
    <xf numFmtId="0" fontId="91" fillId="7" borderId="0" xfId="2" applyFill="1"/>
    <xf numFmtId="0" fontId="91" fillId="2" borderId="0" xfId="2" applyFill="1"/>
    <xf numFmtId="0" fontId="0" fillId="0" borderId="0" xfId="0"/>
    <xf numFmtId="0" fontId="13" fillId="2" borderId="0" xfId="0" applyFont="1" applyFill="1" applyBorder="1" applyAlignment="1">
      <alignment horizontal="right"/>
    </xf>
    <xf numFmtId="0" fontId="0" fillId="0" borderId="0" xfId="0"/>
    <xf numFmtId="0" fontId="0" fillId="0" borderId="119" xfId="0" applyBorder="1"/>
    <xf numFmtId="4" fontId="7" fillId="4" borderId="125" xfId="0" applyNumberFormat="1" applyFont="1" applyFill="1" applyBorder="1" applyAlignment="1">
      <alignment horizontal="center"/>
    </xf>
    <xf numFmtId="0" fontId="70" fillId="7" borderId="0" xfId="0" applyFont="1" applyFill="1"/>
    <xf numFmtId="0" fontId="0" fillId="0" borderId="119" xfId="0" applyBorder="1" applyAlignment="1">
      <alignment horizontal="center"/>
    </xf>
    <xf numFmtId="4" fontId="0" fillId="3" borderId="119" xfId="0" applyNumberFormat="1" applyFill="1" applyBorder="1"/>
    <xf numFmtId="4" fontId="0" fillId="0" borderId="119" xfId="0" applyNumberFormat="1" applyBorder="1"/>
    <xf numFmtId="0" fontId="98" fillId="2" borderId="0" xfId="0" applyFont="1" applyFill="1"/>
    <xf numFmtId="0" fontId="0" fillId="7" borderId="2" xfId="0" applyFill="1" applyBorder="1"/>
    <xf numFmtId="0" fontId="3" fillId="2" borderId="0" xfId="0" applyFont="1" applyFill="1" applyBorder="1" applyAlignment="1">
      <alignment horizontal="center"/>
    </xf>
    <xf numFmtId="0" fontId="0" fillId="0" borderId="0" xfId="0"/>
    <xf numFmtId="0" fontId="0" fillId="2" borderId="0" xfId="0" applyFill="1" applyAlignment="1">
      <alignment horizontal="center"/>
    </xf>
    <xf numFmtId="0" fontId="0" fillId="0" borderId="0" xfId="0"/>
    <xf numFmtId="0" fontId="0" fillId="2" borderId="0" xfId="0" applyFont="1" applyFill="1"/>
    <xf numFmtId="0" fontId="84" fillId="4" borderId="126" xfId="0" applyFont="1" applyFill="1" applyBorder="1" applyAlignment="1">
      <alignment horizontal="left"/>
    </xf>
    <xf numFmtId="0" fontId="91" fillId="2" borderId="0" xfId="2" applyFill="1" applyAlignment="1">
      <alignment vertical="center"/>
    </xf>
    <xf numFmtId="0" fontId="87" fillId="9" borderId="7" xfId="0" applyFont="1" applyFill="1" applyBorder="1" applyAlignment="1">
      <alignment horizontal="center"/>
    </xf>
    <xf numFmtId="4" fontId="7" fillId="9" borderId="120" xfId="0" applyNumberFormat="1" applyFont="1" applyFill="1" applyBorder="1" applyAlignment="1">
      <alignment vertical="center" wrapText="1"/>
    </xf>
    <xf numFmtId="0" fontId="1" fillId="2" borderId="119" xfId="0" applyFont="1" applyFill="1" applyBorder="1" applyAlignment="1">
      <alignment horizontal="center"/>
    </xf>
    <xf numFmtId="0" fontId="1" fillId="2" borderId="119" xfId="0" applyFont="1" applyFill="1" applyBorder="1" applyAlignment="1">
      <alignment horizontal="left"/>
    </xf>
    <xf numFmtId="0" fontId="0" fillId="2" borderId="119" xfId="0" applyFill="1" applyBorder="1"/>
    <xf numFmtId="4" fontId="7" fillId="9" borderId="32" xfId="0" applyNumberFormat="1" applyFont="1" applyFill="1" applyBorder="1" applyAlignment="1">
      <alignment vertical="center" wrapText="1"/>
    </xf>
    <xf numFmtId="4" fontId="2" fillId="2" borderId="117" xfId="0" applyNumberFormat="1" applyFont="1" applyFill="1" applyBorder="1" applyAlignment="1">
      <alignment horizontal="center" vertical="center" wrapText="1"/>
    </xf>
    <xf numFmtId="0" fontId="1" fillId="2" borderId="27" xfId="0" applyFont="1" applyFill="1" applyBorder="1"/>
    <xf numFmtId="0" fontId="1" fillId="2" borderId="27" xfId="0" applyFont="1" applyFill="1" applyBorder="1" applyAlignment="1">
      <alignment horizontal="center"/>
    </xf>
    <xf numFmtId="0" fontId="1" fillId="3" borderId="27" xfId="0" applyFont="1" applyFill="1" applyBorder="1" applyAlignment="1">
      <alignment horizontal="center"/>
    </xf>
    <xf numFmtId="0" fontId="1" fillId="2" borderId="45" xfId="0" applyFont="1" applyFill="1" applyBorder="1" applyAlignment="1">
      <alignment horizontal="right"/>
    </xf>
    <xf numFmtId="0" fontId="0" fillId="2" borderId="3" xfId="0" applyFont="1" applyFill="1" applyBorder="1"/>
    <xf numFmtId="4" fontId="3" fillId="2" borderId="38" xfId="0" applyNumberFormat="1" applyFont="1" applyFill="1" applyBorder="1" applyAlignment="1">
      <alignment horizontal="right"/>
    </xf>
    <xf numFmtId="0" fontId="0" fillId="2" borderId="119" xfId="0" applyFill="1" applyBorder="1" applyAlignment="1">
      <alignment horizontal="center"/>
    </xf>
    <xf numFmtId="4" fontId="0" fillId="2" borderId="119" xfId="0" applyNumberFormat="1" applyFill="1" applyBorder="1" applyAlignment="1">
      <alignment vertical="center" wrapText="1"/>
    </xf>
    <xf numFmtId="49" fontId="0" fillId="0" borderId="3" xfId="0" applyNumberFormat="1" applyFill="1" applyBorder="1"/>
    <xf numFmtId="0" fontId="44" fillId="9" borderId="29" xfId="0" applyFont="1" applyFill="1" applyBorder="1" applyAlignment="1">
      <alignment vertical="center"/>
    </xf>
    <xf numFmtId="0" fontId="44" fillId="7" borderId="29" xfId="0" applyFont="1" applyFill="1" applyBorder="1" applyAlignment="1">
      <alignment vertical="center"/>
    </xf>
    <xf numFmtId="0" fontId="93" fillId="12" borderId="0" xfId="0" applyFont="1" applyFill="1"/>
    <xf numFmtId="0" fontId="0" fillId="4" borderId="128" xfId="0" applyFill="1" applyBorder="1"/>
    <xf numFmtId="0" fontId="2" fillId="2" borderId="131" xfId="0" applyFont="1" applyFill="1" applyBorder="1" applyAlignment="1">
      <alignment horizontal="center"/>
    </xf>
    <xf numFmtId="2" fontId="2" fillId="2" borderId="131" xfId="0" applyNumberFormat="1" applyFont="1" applyFill="1" applyBorder="1" applyAlignment="1">
      <alignment horizontal="center" vertical="center" wrapText="1"/>
    </xf>
    <xf numFmtId="0" fontId="1" fillId="2" borderId="112" xfId="0" applyFont="1" applyFill="1" applyBorder="1" applyAlignment="1">
      <alignment horizontal="center"/>
    </xf>
    <xf numFmtId="0" fontId="0" fillId="2" borderId="3" xfId="0" applyFont="1" applyFill="1" applyBorder="1" applyAlignment="1">
      <alignment horizontal="left"/>
    </xf>
    <xf numFmtId="0" fontId="0" fillId="7" borderId="119" xfId="0" applyFill="1" applyBorder="1"/>
    <xf numFmtId="0" fontId="0" fillId="2" borderId="119" xfId="0" applyFont="1" applyFill="1" applyBorder="1"/>
    <xf numFmtId="0" fontId="0" fillId="2" borderId="119" xfId="0" applyFont="1" applyFill="1" applyBorder="1" applyAlignment="1">
      <alignment horizontal="left"/>
    </xf>
    <xf numFmtId="0" fontId="0" fillId="0" borderId="0" xfId="0"/>
    <xf numFmtId="0" fontId="0" fillId="0" borderId="0" xfId="0"/>
    <xf numFmtId="0" fontId="0" fillId="2" borderId="0" xfId="0" applyFill="1" applyAlignment="1">
      <alignment horizontal="center"/>
    </xf>
    <xf numFmtId="0" fontId="0" fillId="0" borderId="0" xfId="0"/>
    <xf numFmtId="0" fontId="0" fillId="2" borderId="0" xfId="0" applyFill="1" applyAlignment="1">
      <alignment horizontal="center"/>
    </xf>
    <xf numFmtId="0" fontId="0" fillId="12" borderId="0" xfId="0" applyFill="1" applyBorder="1"/>
    <xf numFmtId="0" fontId="20" fillId="13" borderId="0" xfId="0" applyFont="1" applyFill="1" applyBorder="1" applyAlignment="1">
      <alignment horizontal="center"/>
    </xf>
    <xf numFmtId="0" fontId="0" fillId="12" borderId="0" xfId="0" applyFill="1" applyBorder="1" applyAlignment="1">
      <alignment horizontal="center"/>
    </xf>
    <xf numFmtId="0" fontId="0" fillId="12" borderId="7" xfId="0" applyFill="1" applyBorder="1"/>
    <xf numFmtId="0" fontId="7" fillId="12" borderId="0" xfId="0" applyFont="1" applyFill="1" applyBorder="1" applyAlignment="1">
      <alignment horizontal="right"/>
    </xf>
    <xf numFmtId="0" fontId="7" fillId="12" borderId="7" xfId="0" applyFont="1" applyFill="1" applyBorder="1" applyAlignment="1">
      <alignment horizontal="center"/>
    </xf>
    <xf numFmtId="0" fontId="20" fillId="13" borderId="7" xfId="0" applyFont="1" applyFill="1" applyBorder="1" applyAlignment="1">
      <alignment horizontal="center"/>
    </xf>
    <xf numFmtId="0" fontId="0" fillId="2" borderId="133" xfId="0" applyFill="1" applyBorder="1"/>
    <xf numFmtId="0" fontId="7" fillId="7" borderId="0" xfId="2" applyFont="1" applyFill="1" applyBorder="1"/>
    <xf numFmtId="0" fontId="20" fillId="7" borderId="0" xfId="2" applyFont="1" applyFill="1" applyAlignment="1">
      <alignment horizontal="right"/>
    </xf>
    <xf numFmtId="4" fontId="7" fillId="12" borderId="5" xfId="0" applyNumberFormat="1" applyFont="1" applyFill="1" applyBorder="1" applyAlignment="1">
      <alignment horizontal="center"/>
    </xf>
    <xf numFmtId="4" fontId="7" fillId="12" borderId="18" xfId="0" applyNumberFormat="1" applyFont="1" applyFill="1" applyBorder="1" applyAlignment="1">
      <alignment horizontal="center"/>
    </xf>
    <xf numFmtId="0" fontId="3" fillId="2" borderId="93" xfId="0" applyFont="1" applyFill="1" applyBorder="1" applyAlignment="1">
      <alignment horizontal="right" wrapText="1"/>
    </xf>
    <xf numFmtId="0" fontId="0" fillId="0" borderId="133" xfId="0" applyBorder="1"/>
    <xf numFmtId="0" fontId="1" fillId="0" borderId="133" xfId="0" applyFont="1" applyBorder="1" applyAlignment="1">
      <alignment horizontal="left"/>
    </xf>
    <xf numFmtId="14" fontId="0" fillId="7" borderId="0" xfId="0" applyNumberFormat="1" applyFill="1"/>
    <xf numFmtId="0" fontId="0" fillId="0" borderId="133" xfId="0" applyFont="1" applyBorder="1" applyAlignment="1">
      <alignment horizontal="left"/>
    </xf>
    <xf numFmtId="0" fontId="0" fillId="7" borderId="133" xfId="0" applyFill="1" applyBorder="1"/>
    <xf numFmtId="0" fontId="0" fillId="0" borderId="2" xfId="0" applyFont="1" applyBorder="1" applyAlignment="1">
      <alignment horizontal="left"/>
    </xf>
    <xf numFmtId="0" fontId="89" fillId="7" borderId="133" xfId="0" applyFont="1" applyFill="1" applyBorder="1"/>
    <xf numFmtId="0" fontId="1" fillId="2" borderId="133" xfId="0" applyFont="1" applyFill="1" applyBorder="1" applyAlignment="1">
      <alignment horizontal="left"/>
    </xf>
    <xf numFmtId="0" fontId="2" fillId="2" borderId="136" xfId="0" applyFont="1" applyFill="1" applyBorder="1" applyAlignment="1">
      <alignment horizontal="center"/>
    </xf>
    <xf numFmtId="2" fontId="2" fillId="2" borderId="136" xfId="0" applyNumberFormat="1" applyFont="1" applyFill="1" applyBorder="1" applyAlignment="1">
      <alignment horizontal="center" vertical="center" wrapText="1"/>
    </xf>
    <xf numFmtId="0" fontId="99" fillId="2" borderId="0" xfId="0" applyFont="1" applyFill="1" applyAlignment="1">
      <alignment vertical="center"/>
    </xf>
    <xf numFmtId="0" fontId="7" fillId="2" borderId="0" xfId="2" applyFont="1" applyFill="1"/>
    <xf numFmtId="0" fontId="1" fillId="2" borderId="137" xfId="0" applyFont="1" applyFill="1" applyBorder="1"/>
    <xf numFmtId="0" fontId="0" fillId="0" borderId="137" xfId="0" applyBorder="1"/>
    <xf numFmtId="0" fontId="89" fillId="7" borderId="69" xfId="0" applyFont="1" applyFill="1" applyBorder="1"/>
    <xf numFmtId="0" fontId="0" fillId="7" borderId="36" xfId="0" applyFill="1" applyBorder="1"/>
    <xf numFmtId="0" fontId="0" fillId="7" borderId="60" xfId="0" applyFill="1" applyBorder="1"/>
    <xf numFmtId="0" fontId="0" fillId="7" borderId="124" xfId="0" applyFill="1" applyBorder="1"/>
    <xf numFmtId="0" fontId="0" fillId="7" borderId="137" xfId="0" applyFill="1" applyBorder="1"/>
    <xf numFmtId="0" fontId="0" fillId="7" borderId="125" xfId="0" applyFill="1" applyBorder="1"/>
    <xf numFmtId="0" fontId="0" fillId="7" borderId="52" xfId="0" applyFill="1" applyBorder="1"/>
    <xf numFmtId="0" fontId="0" fillId="7" borderId="112" xfId="0" applyFill="1" applyBorder="1"/>
    <xf numFmtId="0" fontId="0" fillId="7" borderId="32" xfId="0" applyFill="1" applyBorder="1"/>
    <xf numFmtId="0" fontId="0" fillId="7" borderId="61" xfId="0" applyFill="1" applyBorder="1"/>
    <xf numFmtId="0" fontId="0" fillId="7" borderId="139" xfId="0" applyFill="1" applyBorder="1"/>
    <xf numFmtId="0" fontId="0" fillId="7" borderId="48" xfId="0" applyFill="1" applyBorder="1"/>
    <xf numFmtId="0" fontId="0" fillId="2" borderId="137" xfId="0" applyFill="1" applyBorder="1"/>
    <xf numFmtId="0" fontId="1" fillId="2" borderId="69" xfId="0" applyFont="1" applyFill="1" applyBorder="1"/>
    <xf numFmtId="0" fontId="1" fillId="2" borderId="36" xfId="0" applyFont="1" applyFill="1" applyBorder="1"/>
    <xf numFmtId="0" fontId="0" fillId="2" borderId="124" xfId="0" applyFill="1" applyBorder="1"/>
    <xf numFmtId="0" fontId="0" fillId="0" borderId="125" xfId="0" applyBorder="1"/>
    <xf numFmtId="0" fontId="0" fillId="0" borderId="69" xfId="0" applyBorder="1"/>
    <xf numFmtId="0" fontId="0" fillId="0" borderId="112" xfId="0" applyBorder="1"/>
    <xf numFmtId="0" fontId="0" fillId="7" borderId="1" xfId="0" applyFont="1" applyFill="1" applyBorder="1" applyAlignment="1">
      <alignment horizontal="left"/>
    </xf>
    <xf numFmtId="4" fontId="0" fillId="12" borderId="0" xfId="0" applyNumberFormat="1" applyFill="1" applyBorder="1"/>
    <xf numFmtId="0" fontId="100" fillId="4" borderId="35" xfId="0" applyFont="1" applyFill="1" applyBorder="1"/>
    <xf numFmtId="0" fontId="0" fillId="15" borderId="0" xfId="0" applyFill="1"/>
    <xf numFmtId="166" fontId="101" fillId="15" borderId="0" xfId="0" applyNumberFormat="1" applyFont="1" applyFill="1"/>
    <xf numFmtId="4" fontId="7" fillId="7" borderId="0" xfId="0" applyNumberFormat="1" applyFont="1" applyFill="1" applyBorder="1" applyAlignment="1">
      <alignment horizontal="center"/>
    </xf>
    <xf numFmtId="0" fontId="0" fillId="0" borderId="0" xfId="0"/>
    <xf numFmtId="0" fontId="0" fillId="2" borderId="0" xfId="0" applyFill="1" applyAlignment="1">
      <alignment horizontal="center"/>
    </xf>
    <xf numFmtId="0" fontId="0" fillId="15" borderId="0" xfId="0" applyFill="1" applyAlignment="1"/>
    <xf numFmtId="0" fontId="0" fillId="0" borderId="141" xfId="0" applyBorder="1"/>
    <xf numFmtId="0" fontId="37" fillId="9" borderId="7" xfId="0" applyFont="1" applyFill="1" applyBorder="1" applyAlignment="1">
      <alignment horizontal="left"/>
    </xf>
    <xf numFmtId="0" fontId="52" fillId="7" borderId="0" xfId="0" applyFont="1" applyFill="1"/>
    <xf numFmtId="0" fontId="52" fillId="7" borderId="0" xfId="0" applyFont="1" applyFill="1" applyBorder="1"/>
    <xf numFmtId="0" fontId="0" fillId="7" borderId="140" xfId="0" applyFill="1" applyBorder="1"/>
    <xf numFmtId="0" fontId="0" fillId="2" borderId="140" xfId="0" applyFill="1" applyBorder="1"/>
    <xf numFmtId="0" fontId="0" fillId="2" borderId="0" xfId="0" applyFill="1" applyAlignment="1">
      <alignment horizontal="center"/>
    </xf>
    <xf numFmtId="0" fontId="0" fillId="2" borderId="141" xfId="0" applyFill="1" applyBorder="1"/>
    <xf numFmtId="0" fontId="0" fillId="7" borderId="141" xfId="0" applyFill="1" applyBorder="1"/>
    <xf numFmtId="0" fontId="0" fillId="0" borderId="0" xfId="0"/>
    <xf numFmtId="0" fontId="0" fillId="2" borderId="0" xfId="0" applyFill="1" applyAlignment="1">
      <alignment horizontal="center"/>
    </xf>
    <xf numFmtId="0" fontId="3" fillId="4" borderId="35" xfId="0" applyFont="1" applyFill="1" applyBorder="1" applyAlignment="1">
      <alignment horizontal="right"/>
    </xf>
    <xf numFmtId="0" fontId="76" fillId="15" borderId="0" xfId="0" applyFont="1" applyFill="1"/>
    <xf numFmtId="0" fontId="1" fillId="2" borderId="112" xfId="0" applyFont="1" applyFill="1" applyBorder="1" applyAlignment="1">
      <alignment horizontal="left"/>
    </xf>
    <xf numFmtId="0" fontId="0" fillId="0" borderId="0" xfId="0"/>
    <xf numFmtId="0" fontId="0" fillId="2" borderId="0" xfId="0" applyFill="1" applyBorder="1" applyAlignment="1">
      <alignment horizontal="center"/>
    </xf>
    <xf numFmtId="0" fontId="3" fillId="4" borderId="35" xfId="0" applyFont="1" applyFill="1" applyBorder="1" applyAlignment="1">
      <alignment horizontal="right"/>
    </xf>
    <xf numFmtId="0" fontId="56" fillId="12" borderId="0" xfId="0" applyFont="1" applyFill="1"/>
    <xf numFmtId="0" fontId="0" fillId="12" borderId="0" xfId="0" applyFill="1" applyAlignment="1">
      <alignment horizontal="center"/>
    </xf>
    <xf numFmtId="4" fontId="0" fillId="12" borderId="0" xfId="0" applyNumberFormat="1" applyFill="1"/>
    <xf numFmtId="0" fontId="0" fillId="12" borderId="37" xfId="0" applyFill="1" applyBorder="1"/>
    <xf numFmtId="0" fontId="0" fillId="12" borderId="37" xfId="0" applyFill="1" applyBorder="1" applyAlignment="1">
      <alignment horizontal="center"/>
    </xf>
    <xf numFmtId="4" fontId="0" fillId="12" borderId="37" xfId="0" applyNumberFormat="1" applyFill="1" applyBorder="1"/>
    <xf numFmtId="4" fontId="7" fillId="12" borderId="38" xfId="0" applyNumberFormat="1" applyFont="1" applyFill="1" applyBorder="1" applyAlignment="1">
      <alignment horizontal="center"/>
    </xf>
    <xf numFmtId="0" fontId="52" fillId="12" borderId="9" xfId="0" applyFont="1" applyFill="1" applyBorder="1"/>
    <xf numFmtId="0" fontId="0" fillId="7" borderId="141" xfId="0" applyFill="1" applyBorder="1" applyAlignment="1">
      <alignment horizontal="center"/>
    </xf>
    <xf numFmtId="0" fontId="7" fillId="7" borderId="0" xfId="0" applyFont="1" applyFill="1" applyBorder="1"/>
    <xf numFmtId="4" fontId="2" fillId="2" borderId="136" xfId="0" applyNumberFormat="1" applyFont="1" applyFill="1" applyBorder="1" applyAlignment="1">
      <alignment horizontal="center" vertical="center" wrapText="1"/>
    </xf>
    <xf numFmtId="0" fontId="1" fillId="2" borderId="141" xfId="0" applyFont="1" applyFill="1" applyBorder="1"/>
    <xf numFmtId="0" fontId="1" fillId="2" borderId="141" xfId="0" applyFont="1" applyFill="1" applyBorder="1" applyAlignment="1">
      <alignment horizontal="center"/>
    </xf>
    <xf numFmtId="0" fontId="1" fillId="2" borderId="139" xfId="0" applyFont="1" applyFill="1" applyBorder="1" applyAlignment="1">
      <alignment horizontal="right"/>
    </xf>
    <xf numFmtId="0" fontId="0" fillId="2" borderId="141" xfId="0" applyFont="1" applyFill="1" applyBorder="1" applyAlignment="1">
      <alignment horizontal="left"/>
    </xf>
    <xf numFmtId="0" fontId="0" fillId="2" borderId="112" xfId="0" applyFont="1" applyFill="1" applyBorder="1" applyAlignment="1">
      <alignment horizontal="left"/>
    </xf>
    <xf numFmtId="0" fontId="7" fillId="7" borderId="0" xfId="0" applyFont="1" applyFill="1" applyBorder="1" applyAlignment="1">
      <alignment horizontal="center"/>
    </xf>
    <xf numFmtId="0" fontId="1" fillId="7" borderId="0" xfId="0" applyFont="1" applyFill="1" applyBorder="1" applyAlignment="1">
      <alignment horizontal="left"/>
    </xf>
    <xf numFmtId="2" fontId="0" fillId="7" borderId="141" xfId="0" applyNumberFormat="1" applyFill="1" applyBorder="1"/>
    <xf numFmtId="0" fontId="0" fillId="7" borderId="0" xfId="0" applyFill="1" applyBorder="1" applyAlignment="1"/>
    <xf numFmtId="0" fontId="31" fillId="12" borderId="54" xfId="0" applyFont="1" applyFill="1" applyBorder="1" applyAlignment="1">
      <alignment horizontal="center"/>
    </xf>
    <xf numFmtId="0" fontId="15" fillId="12" borderId="37" xfId="0" applyFont="1" applyFill="1" applyBorder="1"/>
    <xf numFmtId="0" fontId="104" fillId="7" borderId="9" xfId="0" applyFont="1" applyFill="1" applyBorder="1" applyAlignment="1">
      <alignment horizontal="center"/>
    </xf>
    <xf numFmtId="4" fontId="33" fillId="2" borderId="9" xfId="0" applyNumberFormat="1" applyFont="1" applyFill="1" applyBorder="1" applyAlignment="1">
      <alignment vertical="center" wrapText="1"/>
    </xf>
    <xf numFmtId="4" fontId="33" fillId="2" borderId="47" xfId="0" applyNumberFormat="1" applyFont="1" applyFill="1" applyBorder="1" applyAlignment="1">
      <alignment vertical="center" wrapText="1"/>
    </xf>
    <xf numFmtId="0" fontId="44" fillId="4" borderId="29" xfId="0" applyFont="1" applyFill="1" applyBorder="1" applyAlignment="1">
      <alignment vertical="center"/>
    </xf>
    <xf numFmtId="4" fontId="33" fillId="7" borderId="0" xfId="0" applyNumberFormat="1" applyFont="1" applyFill="1" applyAlignment="1">
      <alignment vertical="center" wrapText="1"/>
    </xf>
    <xf numFmtId="0" fontId="15" fillId="7" borderId="0" xfId="0" applyFont="1" applyFill="1" applyAlignment="1">
      <alignment horizontal="right"/>
    </xf>
    <xf numFmtId="4" fontId="24" fillId="7" borderId="0" xfId="0" applyNumberFormat="1" applyFont="1" applyFill="1" applyAlignment="1">
      <alignment horizontal="center"/>
    </xf>
    <xf numFmtId="0" fontId="41" fillId="7" borderId="9" xfId="0" applyFont="1" applyFill="1" applyBorder="1" applyAlignment="1">
      <alignment horizontal="center"/>
    </xf>
    <xf numFmtId="4" fontId="23" fillId="7" borderId="0" xfId="0" applyNumberFormat="1" applyFont="1" applyFill="1" applyBorder="1" applyAlignment="1">
      <alignment horizontal="center"/>
    </xf>
    <xf numFmtId="0" fontId="2" fillId="7" borderId="0" xfId="0" applyFont="1" applyFill="1" applyBorder="1" applyAlignment="1">
      <alignment horizontal="center"/>
    </xf>
    <xf numFmtId="4" fontId="0" fillId="7" borderId="10" xfId="0" applyNumberFormat="1" applyFill="1" applyBorder="1" applyAlignment="1">
      <alignment vertical="center" wrapText="1"/>
    </xf>
    <xf numFmtId="0" fontId="3" fillId="7" borderId="0" xfId="0" applyFont="1" applyFill="1" applyBorder="1" applyAlignment="1">
      <alignment horizontal="center"/>
    </xf>
    <xf numFmtId="0" fontId="2" fillId="7" borderId="21" xfId="0" applyFont="1" applyFill="1" applyBorder="1" applyAlignment="1">
      <alignment horizontal="center"/>
    </xf>
    <xf numFmtId="4" fontId="0" fillId="7" borderId="1" xfId="0" applyNumberFormat="1" applyFill="1" applyBorder="1"/>
    <xf numFmtId="4" fontId="0" fillId="7" borderId="0" xfId="0" applyNumberFormat="1" applyFill="1" applyBorder="1" applyAlignment="1">
      <alignment vertical="center" wrapText="1"/>
    </xf>
    <xf numFmtId="4" fontId="39" fillId="7" borderId="0" xfId="0" applyNumberFormat="1" applyFont="1" applyFill="1" applyBorder="1" applyAlignment="1">
      <alignment horizontal="center" vertical="center" wrapText="1"/>
    </xf>
    <xf numFmtId="0" fontId="3" fillId="7" borderId="17" xfId="0" applyFont="1" applyFill="1" applyBorder="1" applyAlignment="1"/>
    <xf numFmtId="4" fontId="1" fillId="7" borderId="0" xfId="0" applyNumberFormat="1" applyFont="1" applyFill="1" applyBorder="1" applyAlignment="1">
      <alignment vertical="center" wrapText="1"/>
    </xf>
    <xf numFmtId="4" fontId="36" fillId="7" borderId="0" xfId="0" applyNumberFormat="1" applyFont="1" applyFill="1" applyBorder="1" applyAlignment="1">
      <alignment horizontal="right"/>
    </xf>
    <xf numFmtId="4" fontId="42" fillId="7" borderId="0" xfId="0" applyNumberFormat="1" applyFont="1" applyFill="1" applyBorder="1" applyAlignment="1">
      <alignment horizontal="right"/>
    </xf>
    <xf numFmtId="4" fontId="36" fillId="7" borderId="0" xfId="0" applyNumberFormat="1" applyFont="1" applyFill="1" applyAlignment="1">
      <alignment horizontal="right"/>
    </xf>
    <xf numFmtId="0" fontId="3" fillId="7" borderId="0" xfId="0" applyFont="1" applyFill="1" applyAlignment="1"/>
    <xf numFmtId="0" fontId="2" fillId="7" borderId="24" xfId="0" applyFont="1" applyFill="1" applyBorder="1" applyAlignment="1">
      <alignment horizontal="center"/>
    </xf>
    <xf numFmtId="2" fontId="2" fillId="7" borderId="7" xfId="0" applyNumberFormat="1" applyFont="1" applyFill="1" applyBorder="1" applyAlignment="1">
      <alignment horizontal="center" vertical="center" wrapText="1"/>
    </xf>
    <xf numFmtId="0" fontId="2" fillId="7" borderId="7" xfId="0" applyFont="1" applyFill="1" applyBorder="1" applyAlignment="1">
      <alignment horizontal="center"/>
    </xf>
    <xf numFmtId="4" fontId="2" fillId="7" borderId="5" xfId="0" applyNumberFormat="1" applyFont="1" applyFill="1" applyBorder="1" applyAlignment="1">
      <alignment horizontal="center" vertical="center" wrapText="1"/>
    </xf>
    <xf numFmtId="2" fontId="24" fillId="7" borderId="17" xfId="0" applyNumberFormat="1" applyFont="1" applyFill="1" applyBorder="1" applyAlignment="1">
      <alignment horizontal="center" vertical="center" wrapText="1"/>
    </xf>
    <xf numFmtId="0" fontId="0" fillId="7" borderId="4" xfId="0" applyFill="1" applyBorder="1" applyAlignment="1">
      <alignment vertical="center"/>
    </xf>
    <xf numFmtId="0" fontId="0" fillId="7" borderId="1" xfId="0" applyFill="1" applyBorder="1" applyAlignment="1">
      <alignment vertical="center"/>
    </xf>
    <xf numFmtId="0" fontId="0" fillId="7" borderId="1" xfId="0" applyFill="1" applyBorder="1" applyAlignment="1">
      <alignment horizontal="center" vertical="center"/>
    </xf>
    <xf numFmtId="0" fontId="3" fillId="7" borderId="1" xfId="0" applyFont="1" applyFill="1" applyBorder="1" applyAlignment="1"/>
    <xf numFmtId="0" fontId="0" fillId="7" borderId="4" xfId="0" applyNumberFormat="1" applyFill="1" applyBorder="1" applyAlignment="1">
      <alignment vertical="center"/>
    </xf>
    <xf numFmtId="0" fontId="0" fillId="7" borderId="1" xfId="0" applyNumberFormat="1" applyFill="1" applyBorder="1" applyAlignment="1">
      <alignment horizontal="center" vertical="center"/>
    </xf>
    <xf numFmtId="0" fontId="0" fillId="7" borderId="1" xfId="0" applyNumberFormat="1" applyFill="1" applyBorder="1" applyAlignment="1">
      <alignment vertical="center"/>
    </xf>
    <xf numFmtId="0" fontId="0" fillId="7" borderId="143" xfId="0" applyFill="1" applyBorder="1"/>
    <xf numFmtId="0" fontId="0" fillId="7" borderId="144" xfId="0" applyFill="1" applyBorder="1"/>
    <xf numFmtId="0" fontId="0" fillId="7" borderId="144" xfId="0" applyFill="1" applyBorder="1" applyAlignment="1">
      <alignment horizontal="center"/>
    </xf>
    <xf numFmtId="2" fontId="0" fillId="7" borderId="144" xfId="0" applyNumberFormat="1" applyFill="1" applyBorder="1" applyAlignment="1">
      <alignment vertical="center" wrapText="1"/>
    </xf>
    <xf numFmtId="4" fontId="0" fillId="7" borderId="145" xfId="0" applyNumberFormat="1" applyFill="1" applyBorder="1" applyAlignment="1">
      <alignment vertical="center" wrapText="1"/>
    </xf>
    <xf numFmtId="0" fontId="0" fillId="7" borderId="146" xfId="0" applyFill="1" applyBorder="1"/>
    <xf numFmtId="0" fontId="0" fillId="7" borderId="146" xfId="0" applyFill="1" applyBorder="1" applyAlignment="1">
      <alignment horizontal="center"/>
    </xf>
    <xf numFmtId="2" fontId="0" fillId="7" borderId="146" xfId="0" applyNumberFormat="1" applyFill="1" applyBorder="1" applyAlignment="1">
      <alignment vertical="center" wrapText="1"/>
    </xf>
    <xf numFmtId="4" fontId="0" fillId="7" borderId="147" xfId="0" applyNumberFormat="1" applyFill="1" applyBorder="1" applyAlignment="1">
      <alignment vertical="center" wrapText="1"/>
    </xf>
    <xf numFmtId="4" fontId="3" fillId="12" borderId="29" xfId="0" applyNumberFormat="1" applyFont="1" applyFill="1" applyBorder="1" applyAlignment="1">
      <alignment horizontal="center"/>
    </xf>
    <xf numFmtId="0" fontId="3" fillId="12" borderId="35" xfId="0" applyFont="1" applyFill="1" applyBorder="1" applyAlignment="1">
      <alignment horizontal="right"/>
    </xf>
    <xf numFmtId="0" fontId="3" fillId="12" borderId="0" xfId="0" applyFont="1" applyFill="1" applyBorder="1" applyAlignment="1">
      <alignment horizontal="left"/>
    </xf>
    <xf numFmtId="0" fontId="23" fillId="12" borderId="7" xfId="0" applyFont="1" applyFill="1" applyBorder="1" applyAlignment="1">
      <alignment horizontal="center"/>
    </xf>
    <xf numFmtId="0" fontId="23" fillId="12" borderId="0" xfId="0" applyFont="1" applyFill="1" applyBorder="1" applyAlignment="1"/>
    <xf numFmtId="4" fontId="23" fillId="12" borderId="0" xfId="0" applyNumberFormat="1" applyFont="1" applyFill="1" applyBorder="1" applyAlignment="1">
      <alignment horizontal="left"/>
    </xf>
    <xf numFmtId="0" fontId="3" fillId="7" borderId="37" xfId="0" applyFont="1" applyFill="1" applyBorder="1" applyAlignment="1">
      <alignment vertical="justify"/>
    </xf>
    <xf numFmtId="4" fontId="24" fillId="7" borderId="38" xfId="0" applyNumberFormat="1" applyFont="1" applyFill="1" applyBorder="1" applyAlignment="1">
      <alignment horizontal="center"/>
    </xf>
    <xf numFmtId="2" fontId="2" fillId="7" borderId="148" xfId="0" applyNumberFormat="1" applyFont="1" applyFill="1" applyBorder="1" applyAlignment="1">
      <alignment horizontal="center" vertical="center" wrapText="1"/>
    </xf>
    <xf numFmtId="0" fontId="2" fillId="7" borderId="148" xfId="0" applyFont="1" applyFill="1" applyBorder="1" applyAlignment="1">
      <alignment horizontal="center"/>
    </xf>
    <xf numFmtId="4" fontId="2" fillId="7" borderId="143" xfId="0" applyNumberFormat="1" applyFont="1" applyFill="1" applyBorder="1" applyAlignment="1">
      <alignment horizontal="center" vertical="center" wrapText="1"/>
    </xf>
    <xf numFmtId="0" fontId="0" fillId="7" borderId="150" xfId="0" applyFill="1" applyBorder="1"/>
    <xf numFmtId="0" fontId="0" fillId="7" borderId="151" xfId="0" applyFill="1" applyBorder="1"/>
    <xf numFmtId="0" fontId="0" fillId="7" borderId="151" xfId="0" applyFill="1" applyBorder="1" applyAlignment="1">
      <alignment horizontal="center"/>
    </xf>
    <xf numFmtId="2" fontId="0" fillId="7" borderId="151" xfId="0" applyNumberFormat="1" applyFill="1" applyBorder="1" applyAlignment="1">
      <alignment vertical="center" wrapText="1"/>
    </xf>
    <xf numFmtId="4" fontId="0" fillId="7" borderId="152" xfId="0" applyNumberFormat="1" applyFill="1" applyBorder="1" applyAlignment="1">
      <alignment vertical="center" wrapText="1"/>
    </xf>
    <xf numFmtId="0" fontId="6" fillId="7" borderId="151" xfId="0" applyFont="1" applyFill="1" applyBorder="1" applyAlignment="1">
      <alignment horizontal="left"/>
    </xf>
    <xf numFmtId="0" fontId="0" fillId="7" borderId="153" xfId="0" applyFill="1" applyBorder="1"/>
    <xf numFmtId="0" fontId="0" fillId="0" borderId="0" xfId="0"/>
    <xf numFmtId="0" fontId="3" fillId="2" borderId="0" xfId="0" applyFont="1" applyFill="1" applyBorder="1" applyAlignment="1">
      <alignment horizontal="right"/>
    </xf>
    <xf numFmtId="0" fontId="3" fillId="12" borderId="0" xfId="0" applyFont="1" applyFill="1" applyBorder="1" applyAlignment="1"/>
    <xf numFmtId="4" fontId="3" fillId="12" borderId="0" xfId="0" applyNumberFormat="1" applyFont="1" applyFill="1" applyBorder="1" applyAlignment="1"/>
    <xf numFmtId="0" fontId="76" fillId="2" borderId="0" xfId="0" applyFont="1" applyFill="1"/>
    <xf numFmtId="0" fontId="106" fillId="7" borderId="9" xfId="0" applyFont="1" applyFill="1" applyBorder="1" applyAlignment="1">
      <alignment horizontal="center"/>
    </xf>
    <xf numFmtId="0" fontId="33" fillId="7" borderId="37" xfId="0" applyFont="1" applyFill="1" applyBorder="1" applyAlignment="1">
      <alignment horizontal="center" vertical="center" wrapText="1"/>
    </xf>
    <xf numFmtId="4" fontId="7" fillId="7" borderId="73" xfId="0" applyNumberFormat="1" applyFont="1" applyFill="1" applyBorder="1" applyAlignment="1">
      <alignment horizontal="center"/>
    </xf>
    <xf numFmtId="4" fontId="3" fillId="12" borderId="154" xfId="0" applyNumberFormat="1" applyFont="1" applyFill="1" applyBorder="1" applyAlignment="1">
      <alignment horizontal="center"/>
    </xf>
    <xf numFmtId="2" fontId="7" fillId="12" borderId="50" xfId="0" applyNumberFormat="1" applyFont="1" applyFill="1" applyBorder="1" applyAlignment="1">
      <alignment horizontal="center" vertical="center" wrapText="1"/>
    </xf>
    <xf numFmtId="0" fontId="6" fillId="7" borderId="151" xfId="0" applyFont="1" applyFill="1" applyBorder="1"/>
    <xf numFmtId="0" fontId="6" fillId="7" borderId="151" xfId="0" applyFont="1" applyFill="1" applyBorder="1" applyAlignment="1">
      <alignment horizontal="center"/>
    </xf>
    <xf numFmtId="2" fontId="6" fillId="7" borderId="151" xfId="0" applyNumberFormat="1" applyFont="1" applyFill="1" applyBorder="1"/>
    <xf numFmtId="4" fontId="6" fillId="7" borderId="151" xfId="0" applyNumberFormat="1" applyFont="1" applyFill="1" applyBorder="1" applyAlignment="1">
      <alignment vertical="center" wrapText="1"/>
    </xf>
    <xf numFmtId="0" fontId="6" fillId="7" borderId="146" xfId="0" applyFont="1" applyFill="1" applyBorder="1" applyAlignment="1">
      <alignment horizontal="left"/>
    </xf>
    <xf numFmtId="0" fontId="6" fillId="7" borderId="146" xfId="0" applyFont="1" applyFill="1" applyBorder="1"/>
    <xf numFmtId="0" fontId="6" fillId="7" borderId="146" xfId="0" applyFont="1" applyFill="1" applyBorder="1" applyAlignment="1">
      <alignment horizontal="center"/>
    </xf>
    <xf numFmtId="2" fontId="6" fillId="7" borderId="146" xfId="0" applyNumberFormat="1" applyFont="1" applyFill="1" applyBorder="1"/>
    <xf numFmtId="4" fontId="6" fillId="7" borderId="146" xfId="0" applyNumberFormat="1" applyFont="1" applyFill="1" applyBorder="1" applyAlignment="1">
      <alignment vertical="center" wrapText="1"/>
    </xf>
    <xf numFmtId="2" fontId="2" fillId="7" borderId="156" xfId="0" applyNumberFormat="1" applyFont="1" applyFill="1" applyBorder="1" applyAlignment="1">
      <alignment horizontal="center" vertical="center" wrapText="1"/>
    </xf>
    <xf numFmtId="0" fontId="2" fillId="7" borderId="157" xfId="0" applyFont="1" applyFill="1" applyBorder="1" applyAlignment="1">
      <alignment horizontal="center"/>
    </xf>
    <xf numFmtId="2" fontId="2" fillId="7" borderId="157" xfId="0" applyNumberFormat="1" applyFont="1" applyFill="1" applyBorder="1" applyAlignment="1">
      <alignment horizontal="center" vertical="center" wrapText="1"/>
    </xf>
    <xf numFmtId="4" fontId="2" fillId="7" borderId="158" xfId="0" applyNumberFormat="1" applyFont="1" applyFill="1" applyBorder="1" applyAlignment="1">
      <alignment horizontal="center" vertical="center" wrapText="1"/>
    </xf>
    <xf numFmtId="4" fontId="23" fillId="12" borderId="0" xfId="0" applyNumberFormat="1" applyFont="1" applyFill="1" applyBorder="1" applyAlignment="1"/>
    <xf numFmtId="4" fontId="2" fillId="7" borderId="159" xfId="0" applyNumberFormat="1" applyFont="1" applyFill="1" applyBorder="1" applyAlignment="1">
      <alignment horizontal="center" vertical="center" wrapText="1"/>
    </xf>
    <xf numFmtId="0" fontId="5" fillId="7" borderId="37" xfId="0" applyFont="1" applyFill="1" applyBorder="1" applyAlignment="1">
      <alignment horizontal="center" vertical="center" wrapText="1"/>
    </xf>
    <xf numFmtId="0" fontId="6" fillId="7" borderId="151" xfId="0" applyFont="1" applyFill="1" applyBorder="1" applyAlignment="1">
      <alignment horizontal="right"/>
    </xf>
    <xf numFmtId="0" fontId="6" fillId="7" borderId="146" xfId="0" applyFont="1" applyFill="1" applyBorder="1" applyAlignment="1">
      <alignment horizontal="right"/>
    </xf>
    <xf numFmtId="2" fontId="7" fillId="12" borderId="51" xfId="0" applyNumberFormat="1" applyFont="1" applyFill="1" applyBorder="1" applyAlignment="1">
      <alignment horizontal="center" vertical="center" wrapText="1"/>
    </xf>
    <xf numFmtId="0" fontId="107" fillId="7" borderId="54" xfId="0" applyFont="1" applyFill="1" applyBorder="1" applyAlignment="1">
      <alignment horizontal="right"/>
    </xf>
    <xf numFmtId="0" fontId="3" fillId="12" borderId="0" xfId="0" applyFont="1" applyFill="1" applyBorder="1" applyAlignment="1">
      <alignment horizontal="center"/>
    </xf>
    <xf numFmtId="0" fontId="6" fillId="12" borderId="0" xfId="0" applyFont="1" applyFill="1" applyBorder="1" applyAlignment="1">
      <alignment horizontal="left"/>
    </xf>
    <xf numFmtId="0" fontId="6" fillId="12" borderId="0" xfId="0" applyFont="1" applyFill="1" applyBorder="1"/>
    <xf numFmtId="0" fontId="6" fillId="12" borderId="0" xfId="0" applyFont="1" applyFill="1" applyBorder="1" applyAlignment="1">
      <alignment horizontal="center"/>
    </xf>
    <xf numFmtId="2" fontId="6" fillId="12" borderId="0" xfId="0" applyNumberFormat="1" applyFont="1" applyFill="1" applyBorder="1"/>
    <xf numFmtId="4" fontId="6" fillId="12" borderId="0" xfId="0" applyNumberFormat="1" applyFont="1" applyFill="1" applyBorder="1" applyAlignment="1">
      <alignment vertical="center" wrapText="1"/>
    </xf>
    <xf numFmtId="0" fontId="3" fillId="12" borderId="7" xfId="0" applyFont="1" applyFill="1" applyBorder="1" applyAlignment="1"/>
    <xf numFmtId="4" fontId="3" fillId="12" borderId="7" xfId="0" applyNumberFormat="1" applyFont="1" applyFill="1" applyBorder="1" applyAlignment="1"/>
    <xf numFmtId="0" fontId="23" fillId="7" borderId="37" xfId="0" applyFont="1" applyFill="1" applyBorder="1" applyAlignment="1"/>
    <xf numFmtId="4" fontId="7" fillId="7" borderId="38" xfId="0" applyNumberFormat="1" applyFont="1" applyFill="1" applyBorder="1" applyAlignment="1">
      <alignment horizontal="center"/>
    </xf>
    <xf numFmtId="4" fontId="0" fillId="7" borderId="151" xfId="0" applyNumberFormat="1" applyFill="1" applyBorder="1"/>
    <xf numFmtId="4" fontId="0" fillId="7" borderId="151" xfId="0" applyNumberFormat="1" applyFill="1" applyBorder="1" applyAlignment="1">
      <alignment vertical="center" wrapText="1"/>
    </xf>
    <xf numFmtId="0" fontId="0" fillId="7" borderId="151" xfId="0" applyFill="1" applyBorder="1" applyAlignment="1"/>
    <xf numFmtId="0" fontId="0" fillId="7" borderId="146" xfId="0" applyFill="1" applyBorder="1" applyAlignment="1"/>
    <xf numFmtId="4" fontId="0" fillId="7" borderId="146" xfId="0" applyNumberFormat="1" applyFill="1" applyBorder="1"/>
    <xf numFmtId="4" fontId="0" fillId="7" borderId="146" xfId="0" applyNumberFormat="1" applyFill="1" applyBorder="1" applyAlignment="1">
      <alignment vertical="center" wrapText="1"/>
    </xf>
    <xf numFmtId="4" fontId="2" fillId="7" borderId="157" xfId="0" applyNumberFormat="1" applyFont="1" applyFill="1" applyBorder="1" applyAlignment="1">
      <alignment horizontal="center" vertical="center" wrapText="1"/>
    </xf>
    <xf numFmtId="0" fontId="16" fillId="12" borderId="9" xfId="0" applyFont="1" applyFill="1" applyBorder="1" applyAlignment="1">
      <alignment horizontal="center"/>
    </xf>
    <xf numFmtId="0" fontId="3" fillId="7" borderId="37" xfId="0" applyFont="1" applyFill="1" applyBorder="1" applyAlignment="1"/>
    <xf numFmtId="2" fontId="7" fillId="12" borderId="161" xfId="0" applyNumberFormat="1" applyFont="1" applyFill="1" applyBorder="1" applyAlignment="1">
      <alignment horizontal="center" vertical="center" wrapText="1"/>
    </xf>
    <xf numFmtId="0" fontId="0" fillId="7" borderId="150" xfId="0" applyFill="1" applyBorder="1" applyAlignment="1"/>
    <xf numFmtId="2" fontId="7" fillId="12" borderId="81" xfId="0" applyNumberFormat="1" applyFont="1" applyFill="1" applyBorder="1" applyAlignment="1">
      <alignment horizontal="center" vertical="center" wrapText="1"/>
    </xf>
    <xf numFmtId="0" fontId="3" fillId="7" borderId="162" xfId="0" applyFont="1" applyFill="1" applyBorder="1" applyAlignment="1"/>
    <xf numFmtId="0" fontId="0" fillId="7" borderId="162" xfId="0" applyFill="1" applyBorder="1" applyAlignment="1"/>
    <xf numFmtId="0" fontId="0" fillId="7" borderId="162" xfId="0" applyFill="1" applyBorder="1"/>
    <xf numFmtId="0" fontId="0" fillId="7" borderId="162" xfId="0" applyFill="1" applyBorder="1" applyAlignment="1">
      <alignment horizontal="center"/>
    </xf>
    <xf numFmtId="4" fontId="0" fillId="7" borderId="162" xfId="0" applyNumberFormat="1" applyFill="1" applyBorder="1"/>
    <xf numFmtId="4" fontId="0" fillId="7" borderId="162" xfId="0" applyNumberFormat="1" applyFill="1" applyBorder="1" applyAlignment="1">
      <alignment vertical="center" wrapText="1"/>
    </xf>
    <xf numFmtId="4" fontId="39" fillId="7" borderId="162" xfId="0" applyNumberFormat="1" applyFont="1" applyFill="1" applyBorder="1" applyAlignment="1">
      <alignment horizontal="center" vertical="center" wrapText="1"/>
    </xf>
    <xf numFmtId="4" fontId="24" fillId="7" borderId="73" xfId="0" applyNumberFormat="1" applyFont="1" applyFill="1" applyBorder="1" applyAlignment="1">
      <alignment horizontal="center"/>
    </xf>
    <xf numFmtId="4" fontId="1" fillId="7" borderId="151" xfId="0" applyNumberFormat="1" applyFont="1" applyFill="1" applyBorder="1" applyAlignment="1">
      <alignment vertical="center" wrapText="1"/>
    </xf>
    <xf numFmtId="0" fontId="1" fillId="7" borderId="151" xfId="0" applyFont="1" applyFill="1" applyBorder="1" applyAlignment="1">
      <alignment horizontal="left"/>
    </xf>
    <xf numFmtId="0" fontId="0" fillId="7" borderId="123" xfId="0" applyFill="1" applyBorder="1" applyAlignment="1"/>
    <xf numFmtId="4" fontId="1" fillId="7" borderId="146" xfId="0" applyNumberFormat="1" applyFont="1" applyFill="1" applyBorder="1" applyAlignment="1">
      <alignment vertical="center" wrapText="1"/>
    </xf>
    <xf numFmtId="0" fontId="109" fillId="12" borderId="35" xfId="0" applyFont="1" applyFill="1" applyBorder="1" applyAlignment="1">
      <alignment horizontal="right"/>
    </xf>
    <xf numFmtId="0" fontId="109" fillId="12" borderId="7" xfId="0" applyFont="1" applyFill="1" applyBorder="1" applyAlignment="1"/>
    <xf numFmtId="4" fontId="109" fillId="12" borderId="7" xfId="0" applyNumberFormat="1" applyFont="1" applyFill="1" applyBorder="1" applyAlignment="1"/>
    <xf numFmtId="4" fontId="109" fillId="12" borderId="29" xfId="0" applyNumberFormat="1" applyFont="1" applyFill="1" applyBorder="1" applyAlignment="1">
      <alignment horizontal="center"/>
    </xf>
    <xf numFmtId="2" fontId="111" fillId="12" borderId="50" xfId="0" applyNumberFormat="1" applyFont="1" applyFill="1" applyBorder="1" applyAlignment="1">
      <alignment horizontal="center" vertical="center" wrapText="1"/>
    </xf>
    <xf numFmtId="0" fontId="1" fillId="7" borderId="150" xfId="0" applyFont="1" applyFill="1" applyBorder="1" applyAlignment="1">
      <alignment horizontal="left"/>
    </xf>
    <xf numFmtId="0" fontId="0" fillId="7" borderId="123" xfId="0" applyFill="1" applyBorder="1"/>
    <xf numFmtId="2" fontId="40" fillId="12" borderId="50" xfId="0" applyNumberFormat="1" applyFont="1" applyFill="1" applyBorder="1" applyAlignment="1">
      <alignment horizontal="center" vertical="center" wrapText="1"/>
    </xf>
    <xf numFmtId="4" fontId="2" fillId="7" borderId="150" xfId="0" applyNumberFormat="1" applyFont="1" applyFill="1" applyBorder="1" applyAlignment="1">
      <alignment horizontal="center" vertical="center" wrapText="1"/>
    </xf>
    <xf numFmtId="0" fontId="3" fillId="7" borderId="35" xfId="0" applyFont="1" applyFill="1" applyBorder="1" applyAlignment="1">
      <alignment horizontal="center"/>
    </xf>
    <xf numFmtId="0" fontId="3" fillId="7" borderId="39" xfId="0" applyFont="1" applyFill="1" applyBorder="1" applyAlignment="1">
      <alignment horizontal="center"/>
    </xf>
    <xf numFmtId="0" fontId="93" fillId="12" borderId="0" xfId="0" applyFont="1" applyFill="1" applyBorder="1"/>
    <xf numFmtId="0" fontId="31" fillId="12" borderId="88" xfId="0" applyFont="1" applyFill="1" applyBorder="1" applyAlignment="1">
      <alignment horizontal="center"/>
    </xf>
    <xf numFmtId="0" fontId="15" fillId="12" borderId="11" xfId="0" applyFont="1" applyFill="1" applyBorder="1"/>
    <xf numFmtId="0" fontId="0" fillId="12" borderId="11" xfId="0" applyFill="1" applyBorder="1" applyAlignment="1">
      <alignment horizontal="center"/>
    </xf>
    <xf numFmtId="0" fontId="0" fillId="12" borderId="11" xfId="0" applyFill="1" applyBorder="1"/>
    <xf numFmtId="4" fontId="0" fillId="12" borderId="11" xfId="0" applyNumberFormat="1" applyFill="1" applyBorder="1"/>
    <xf numFmtId="4" fontId="7" fillId="12" borderId="68" xfId="0" applyNumberFormat="1" applyFont="1" applyFill="1" applyBorder="1" applyAlignment="1">
      <alignment horizontal="center"/>
    </xf>
    <xf numFmtId="0" fontId="16" fillId="12" borderId="39" xfId="0" applyFont="1" applyFill="1" applyBorder="1" applyAlignment="1">
      <alignment horizontal="right"/>
    </xf>
    <xf numFmtId="0" fontId="44" fillId="12" borderId="29" xfId="0" applyFont="1" applyFill="1" applyBorder="1" applyAlignment="1">
      <alignment vertical="center"/>
    </xf>
    <xf numFmtId="0" fontId="31" fillId="12" borderId="88" xfId="0" applyFont="1" applyFill="1" applyBorder="1" applyAlignment="1">
      <alignment horizontal="left"/>
    </xf>
    <xf numFmtId="0" fontId="102" fillId="12" borderId="11" xfId="0" applyFont="1" applyFill="1" applyBorder="1"/>
    <xf numFmtId="4" fontId="3" fillId="4" borderId="125" xfId="0" applyNumberFormat="1" applyFont="1" applyFill="1" applyBorder="1" applyAlignment="1">
      <alignment horizontal="center"/>
    </xf>
    <xf numFmtId="0" fontId="0" fillId="0" borderId="151" xfId="0" applyBorder="1" applyAlignment="1">
      <alignment horizontal="center"/>
    </xf>
    <xf numFmtId="4" fontId="0" fillId="3" borderId="151" xfId="0" applyNumberFormat="1" applyFill="1" applyBorder="1"/>
    <xf numFmtId="4" fontId="0" fillId="0" borderId="151" xfId="0" applyNumberFormat="1" applyBorder="1"/>
    <xf numFmtId="0" fontId="0" fillId="0" borderId="151" xfId="0" applyBorder="1"/>
    <xf numFmtId="0" fontId="0" fillId="0" borderId="146" xfId="0" applyBorder="1"/>
    <xf numFmtId="0" fontId="0" fillId="0" borderId="146" xfId="0" applyBorder="1" applyAlignment="1">
      <alignment horizontal="center"/>
    </xf>
    <xf numFmtId="4" fontId="0" fillId="3" borderId="146" xfId="0" applyNumberFormat="1" applyFill="1" applyBorder="1"/>
    <xf numFmtId="4" fontId="0" fillId="0" borderId="146" xfId="0" applyNumberFormat="1" applyBorder="1"/>
    <xf numFmtId="0" fontId="3" fillId="4" borderId="7" xfId="0" applyFont="1" applyFill="1" applyBorder="1" applyAlignment="1">
      <alignment horizontal="left"/>
    </xf>
    <xf numFmtId="4" fontId="7" fillId="4" borderId="125" xfId="0" applyNumberFormat="1" applyFont="1" applyFill="1" applyBorder="1" applyAlignment="1">
      <alignment vertical="center"/>
    </xf>
    <xf numFmtId="0" fontId="0" fillId="16" borderId="1" xfId="0" applyFill="1" applyBorder="1"/>
    <xf numFmtId="0" fontId="0" fillId="16" borderId="119" xfId="0" applyFill="1" applyBorder="1"/>
    <xf numFmtId="0" fontId="0" fillId="16" borderId="119" xfId="0" applyFill="1" applyBorder="1" applyAlignment="1">
      <alignment horizontal="center"/>
    </xf>
    <xf numFmtId="4" fontId="0" fillId="16" borderId="119" xfId="0" applyNumberFormat="1" applyFill="1" applyBorder="1"/>
    <xf numFmtId="0" fontId="0" fillId="16" borderId="3" xfId="0" applyFill="1" applyBorder="1"/>
    <xf numFmtId="0" fontId="0" fillId="16" borderId="3" xfId="0" applyFill="1" applyBorder="1" applyAlignment="1">
      <alignment horizontal="center"/>
    </xf>
    <xf numFmtId="4" fontId="0" fillId="16" borderId="3" xfId="0" applyNumberFormat="1" applyFill="1" applyBorder="1"/>
    <xf numFmtId="0" fontId="62" fillId="4" borderId="29" xfId="0" applyFont="1" applyFill="1" applyBorder="1" applyAlignment="1">
      <alignment vertical="justify"/>
    </xf>
    <xf numFmtId="49" fontId="7" fillId="7" borderId="0" xfId="0" applyNumberFormat="1" applyFont="1" applyFill="1" applyBorder="1" applyAlignment="1">
      <alignment horizontal="left"/>
    </xf>
    <xf numFmtId="0" fontId="7" fillId="7" borderId="0" xfId="0" applyFont="1" applyFill="1" applyBorder="1" applyAlignment="1">
      <alignment horizontal="left"/>
    </xf>
    <xf numFmtId="0" fontId="0" fillId="16" borderId="151" xfId="0" applyFill="1" applyBorder="1"/>
    <xf numFmtId="0" fontId="0" fillId="0" borderId="0" xfId="0"/>
    <xf numFmtId="0" fontId="0" fillId="0" borderId="164" xfId="0" applyBorder="1"/>
    <xf numFmtId="0" fontId="0" fillId="3" borderId="164" xfId="0" applyFill="1" applyBorder="1"/>
    <xf numFmtId="0" fontId="0" fillId="3" borderId="146" xfId="0" applyFill="1" applyBorder="1"/>
    <xf numFmtId="0" fontId="59" fillId="7" borderId="0" xfId="0" applyFont="1" applyFill="1" applyAlignment="1">
      <alignment horizontal="center" vertical="justify"/>
    </xf>
    <xf numFmtId="4" fontId="13" fillId="7" borderId="0" xfId="0" applyNumberFormat="1" applyFont="1" applyFill="1" applyBorder="1" applyAlignment="1">
      <alignment horizontal="center"/>
    </xf>
    <xf numFmtId="4" fontId="1" fillId="7" borderId="0" xfId="0" applyNumberFormat="1" applyFont="1" applyFill="1" applyBorder="1" applyAlignment="1">
      <alignment horizontal="center"/>
    </xf>
    <xf numFmtId="2" fontId="0" fillId="7" borderId="0" xfId="0" applyNumberFormat="1" applyFill="1"/>
    <xf numFmtId="0" fontId="19" fillId="12" borderId="0" xfId="0" applyFont="1" applyFill="1" applyBorder="1" applyAlignment="1">
      <alignment horizontal="center" vertical="center"/>
    </xf>
    <xf numFmtId="2" fontId="0" fillId="12" borderId="0" xfId="0" applyNumberFormat="1" applyFill="1"/>
    <xf numFmtId="2" fontId="7" fillId="4" borderId="32" xfId="0" applyNumberFormat="1" applyFont="1" applyFill="1" applyBorder="1" applyAlignment="1">
      <alignment horizontal="center" vertical="center" wrapText="1"/>
    </xf>
    <xf numFmtId="0" fontId="0" fillId="0" borderId="0" xfId="0"/>
    <xf numFmtId="0" fontId="3" fillId="4" borderId="35" xfId="0" applyFont="1" applyFill="1" applyBorder="1" applyAlignment="1">
      <alignment horizontal="right"/>
    </xf>
    <xf numFmtId="2" fontId="0" fillId="3" borderId="168" xfId="0" applyNumberFormat="1" applyFill="1" applyBorder="1" applyAlignment="1">
      <alignment vertical="center" wrapText="1"/>
    </xf>
    <xf numFmtId="2" fontId="0" fillId="2" borderId="164" xfId="0" applyNumberFormat="1" applyFill="1" applyBorder="1" applyAlignment="1">
      <alignment vertical="center" wrapText="1"/>
    </xf>
    <xf numFmtId="0" fontId="0" fillId="0" borderId="164" xfId="0" applyBorder="1" applyAlignment="1">
      <alignment horizontal="center"/>
    </xf>
    <xf numFmtId="2" fontId="0" fillId="3" borderId="164" xfId="0" applyNumberFormat="1" applyFill="1" applyBorder="1" applyAlignment="1">
      <alignment vertical="center" wrapText="1"/>
    </xf>
    <xf numFmtId="2" fontId="7" fillId="4" borderId="125" xfId="0" applyNumberFormat="1" applyFont="1" applyFill="1" applyBorder="1" applyAlignment="1">
      <alignment horizontal="center" vertical="center" wrapText="1"/>
    </xf>
    <xf numFmtId="0" fontId="0" fillId="0" borderId="169" xfId="0" applyBorder="1"/>
    <xf numFmtId="2" fontId="0" fillId="2" borderId="146" xfId="0" applyNumberFormat="1" applyFill="1" applyBorder="1" applyAlignment="1">
      <alignment vertical="center" wrapText="1"/>
    </xf>
    <xf numFmtId="2" fontId="0" fillId="3" borderId="146" xfId="0" applyNumberFormat="1" applyFill="1" applyBorder="1" applyAlignment="1">
      <alignment vertical="center" wrapText="1"/>
    </xf>
    <xf numFmtId="0" fontId="0" fillId="2" borderId="166" xfId="0" applyFill="1" applyBorder="1" applyAlignment="1"/>
    <xf numFmtId="2" fontId="0" fillId="2" borderId="2" xfId="0" applyNumberFormat="1" applyFill="1" applyBorder="1" applyAlignment="1">
      <alignment vertical="center" wrapText="1"/>
    </xf>
    <xf numFmtId="2" fontId="0" fillId="3" borderId="2" xfId="0" applyNumberFormat="1" applyFill="1" applyBorder="1" applyAlignment="1">
      <alignment vertical="center" wrapText="1"/>
    </xf>
    <xf numFmtId="2" fontId="7" fillId="4" borderId="50" xfId="0" applyNumberFormat="1" applyFont="1" applyFill="1" applyBorder="1" applyAlignment="1">
      <alignment horizontal="center" vertical="center" wrapText="1"/>
    </xf>
    <xf numFmtId="4" fontId="7" fillId="4" borderId="81" xfId="0" applyNumberFormat="1" applyFont="1" applyFill="1" applyBorder="1" applyAlignment="1">
      <alignment vertical="center" wrapText="1"/>
    </xf>
    <xf numFmtId="4" fontId="7" fillId="4" borderId="53" xfId="0" applyNumberFormat="1" applyFont="1" applyFill="1" applyBorder="1" applyAlignment="1">
      <alignment vertical="center" wrapText="1"/>
    </xf>
    <xf numFmtId="4" fontId="1" fillId="2" borderId="167" xfId="0" applyNumberFormat="1" applyFont="1" applyFill="1" applyBorder="1" applyAlignment="1">
      <alignment vertical="center" wrapText="1"/>
    </xf>
    <xf numFmtId="4" fontId="7" fillId="4" borderId="164" xfId="0" applyNumberFormat="1" applyFont="1" applyFill="1" applyBorder="1" applyAlignment="1">
      <alignment vertical="center" wrapText="1"/>
    </xf>
    <xf numFmtId="0" fontId="0" fillId="0" borderId="0" xfId="0"/>
    <xf numFmtId="0" fontId="20" fillId="15" borderId="0" xfId="0" applyFont="1" applyFill="1" applyAlignment="1">
      <alignment horizontal="center"/>
    </xf>
    <xf numFmtId="4" fontId="33" fillId="2" borderId="45" xfId="0" applyNumberFormat="1" applyFont="1" applyFill="1" applyBorder="1" applyAlignment="1">
      <alignment vertical="center" wrapText="1"/>
    </xf>
    <xf numFmtId="0" fontId="0" fillId="0" borderId="0" xfId="0"/>
    <xf numFmtId="0" fontId="112" fillId="2" borderId="141" xfId="0" applyFont="1" applyFill="1" applyBorder="1"/>
    <xf numFmtId="0" fontId="112" fillId="0" borderId="141" xfId="0" applyFont="1" applyBorder="1" applyAlignment="1">
      <alignment horizontal="left"/>
    </xf>
    <xf numFmtId="0" fontId="112" fillId="0" borderId="1" xfId="0" applyFont="1" applyBorder="1"/>
    <xf numFmtId="0" fontId="112" fillId="2" borderId="140" xfId="0" applyFont="1" applyFill="1" applyBorder="1"/>
    <xf numFmtId="0" fontId="112" fillId="0" borderId="1" xfId="0" applyFont="1" applyBorder="1" applyAlignment="1">
      <alignment horizontal="left"/>
    </xf>
    <xf numFmtId="0" fontId="112" fillId="0" borderId="2" xfId="0" applyFont="1" applyBorder="1" applyAlignment="1">
      <alignment horizontal="left"/>
    </xf>
    <xf numFmtId="0" fontId="112" fillId="2" borderId="1" xfId="0" applyFont="1" applyFill="1" applyBorder="1"/>
    <xf numFmtId="0" fontId="112" fillId="2" borderId="0" xfId="0" applyFont="1" applyFill="1" applyBorder="1"/>
    <xf numFmtId="0" fontId="112" fillId="2" borderId="0" xfId="0" applyFont="1" applyFill="1"/>
    <xf numFmtId="0" fontId="112" fillId="0" borderId="111" xfId="0" applyFont="1" applyBorder="1" applyAlignment="1">
      <alignment horizontal="left"/>
    </xf>
    <xf numFmtId="0" fontId="112" fillId="7" borderId="0" xfId="0" applyFont="1" applyFill="1" applyBorder="1" applyAlignment="1">
      <alignment horizontal="left"/>
    </xf>
    <xf numFmtId="0" fontId="115" fillId="2" borderId="1" xfId="0" applyFont="1" applyFill="1" applyBorder="1" applyAlignment="1">
      <alignment horizontal="center"/>
    </xf>
    <xf numFmtId="0" fontId="15" fillId="7" borderId="0" xfId="0" applyFont="1" applyFill="1" applyAlignment="1">
      <alignment horizontal="center"/>
    </xf>
    <xf numFmtId="0" fontId="40" fillId="7" borderId="0" xfId="0" applyFont="1" applyFill="1"/>
    <xf numFmtId="0" fontId="116" fillId="2" borderId="0" xfId="0" applyFont="1" applyFill="1" applyBorder="1" applyAlignment="1">
      <alignment horizontal="left"/>
    </xf>
    <xf numFmtId="0" fontId="86" fillId="7" borderId="0" xfId="0" applyFont="1" applyFill="1" applyBorder="1" applyAlignment="1">
      <alignment vertical="center"/>
    </xf>
    <xf numFmtId="0" fontId="0" fillId="0" borderId="0" xfId="0"/>
    <xf numFmtId="0" fontId="0" fillId="0" borderId="0" xfId="0"/>
    <xf numFmtId="0" fontId="20" fillId="12" borderId="0" xfId="0" applyFont="1" applyFill="1" applyBorder="1" applyAlignment="1">
      <alignment horizontal="center"/>
    </xf>
    <xf numFmtId="0" fontId="0" fillId="0" borderId="0" xfId="0"/>
    <xf numFmtId="0" fontId="0" fillId="2" borderId="0" xfId="0" applyFill="1" applyAlignment="1">
      <alignment horizontal="center"/>
    </xf>
    <xf numFmtId="0" fontId="0" fillId="0" borderId="0" xfId="0"/>
    <xf numFmtId="0" fontId="56" fillId="9" borderId="7" xfId="0" applyFont="1" applyFill="1" applyBorder="1"/>
    <xf numFmtId="0" fontId="112" fillId="7" borderId="0" xfId="0" applyFont="1" applyFill="1"/>
    <xf numFmtId="0" fontId="112" fillId="0" borderId="133" xfId="0" applyFont="1" applyBorder="1" applyAlignment="1">
      <alignment horizontal="left"/>
    </xf>
    <xf numFmtId="0" fontId="0" fillId="0" borderId="1" xfId="0" applyFont="1" applyBorder="1" applyAlignment="1">
      <alignment horizontal="left"/>
    </xf>
    <xf numFmtId="0" fontId="0" fillId="0" borderId="166" xfId="0" applyBorder="1"/>
    <xf numFmtId="0" fontId="0" fillId="7" borderId="169" xfId="0" applyFill="1" applyBorder="1"/>
    <xf numFmtId="0" fontId="0" fillId="2" borderId="2" xfId="0" applyFill="1" applyBorder="1"/>
    <xf numFmtId="0" fontId="0" fillId="7" borderId="26" xfId="0" applyFill="1" applyBorder="1"/>
    <xf numFmtId="0" fontId="0" fillId="7" borderId="164" xfId="0" applyFill="1" applyBorder="1"/>
    <xf numFmtId="0" fontId="0" fillId="0" borderId="167" xfId="0" applyBorder="1"/>
    <xf numFmtId="0" fontId="0" fillId="7" borderId="173" xfId="0" applyFill="1" applyBorder="1"/>
    <xf numFmtId="0" fontId="0" fillId="0" borderId="149" xfId="0" applyBorder="1"/>
    <xf numFmtId="0" fontId="0" fillId="0" borderId="175" xfId="0" applyBorder="1"/>
    <xf numFmtId="0" fontId="0" fillId="0" borderId="174" xfId="0" applyBorder="1"/>
    <xf numFmtId="0" fontId="0" fillId="7" borderId="79" xfId="0" applyFill="1" applyBorder="1"/>
    <xf numFmtId="0" fontId="0" fillId="7" borderId="50" xfId="0" applyFill="1" applyBorder="1"/>
    <xf numFmtId="0" fontId="0" fillId="7" borderId="63" xfId="0" applyFill="1" applyBorder="1"/>
    <xf numFmtId="0" fontId="0" fillId="7" borderId="65" xfId="0" applyFill="1" applyBorder="1"/>
    <xf numFmtId="0" fontId="0" fillId="7" borderId="66" xfId="0" applyFill="1" applyBorder="1"/>
    <xf numFmtId="0" fontId="0" fillId="7" borderId="36" xfId="0" applyFont="1" applyFill="1" applyBorder="1"/>
    <xf numFmtId="0" fontId="0" fillId="7" borderId="137" xfId="0" applyFont="1" applyFill="1" applyBorder="1"/>
    <xf numFmtId="0" fontId="0" fillId="7" borderId="112" xfId="0" applyFont="1" applyFill="1" applyBorder="1"/>
    <xf numFmtId="0" fontId="0" fillId="0" borderId="0" xfId="0" applyFont="1" applyBorder="1" applyAlignment="1">
      <alignment horizontal="left"/>
    </xf>
    <xf numFmtId="0" fontId="0" fillId="2" borderId="175" xfId="0" applyFill="1" applyBorder="1"/>
    <xf numFmtId="0" fontId="0" fillId="7" borderId="64" xfId="0" applyFill="1" applyBorder="1"/>
    <xf numFmtId="0" fontId="0" fillId="7" borderId="13" xfId="0" applyFill="1" applyBorder="1"/>
    <xf numFmtId="0" fontId="0" fillId="7" borderId="147" xfId="0" applyFill="1" applyBorder="1"/>
    <xf numFmtId="0" fontId="0" fillId="0" borderId="32" xfId="0" applyBorder="1"/>
    <xf numFmtId="0" fontId="0" fillId="7" borderId="176" xfId="0" applyFill="1" applyBorder="1"/>
    <xf numFmtId="0" fontId="0" fillId="0" borderId="0" xfId="0"/>
    <xf numFmtId="0" fontId="0" fillId="7" borderId="0" xfId="0" applyFont="1" applyFill="1"/>
    <xf numFmtId="0" fontId="0" fillId="0" borderId="0" xfId="0"/>
    <xf numFmtId="0" fontId="0" fillId="0" borderId="0" xfId="0"/>
    <xf numFmtId="0" fontId="0" fillId="2" borderId="0" xfId="0" applyFill="1" applyAlignment="1">
      <alignment horizontal="center"/>
    </xf>
    <xf numFmtId="0" fontId="0" fillId="0" borderId="0" xfId="0"/>
    <xf numFmtId="0" fontId="0" fillId="6" borderId="175" xfId="0" applyFill="1" applyBorder="1"/>
    <xf numFmtId="0" fontId="7" fillId="2" borderId="175" xfId="0" applyFont="1" applyFill="1" applyBorder="1"/>
    <xf numFmtId="0" fontId="0" fillId="6" borderId="175" xfId="0" applyFill="1" applyBorder="1" applyAlignment="1">
      <alignment horizontal="left"/>
    </xf>
    <xf numFmtId="0" fontId="0" fillId="6" borderId="177" xfId="0" applyFill="1" applyBorder="1"/>
    <xf numFmtId="0" fontId="0" fillId="6" borderId="167" xfId="0" applyFill="1" applyBorder="1" applyAlignment="1">
      <alignment horizontal="center"/>
    </xf>
    <xf numFmtId="4" fontId="7" fillId="7" borderId="0" xfId="0" applyNumberFormat="1" applyFont="1" applyFill="1"/>
    <xf numFmtId="4" fontId="40" fillId="7" borderId="0" xfId="0" applyNumberFormat="1" applyFont="1" applyFill="1"/>
    <xf numFmtId="4" fontId="20" fillId="7" borderId="0" xfId="0" applyNumberFormat="1" applyFont="1" applyFill="1"/>
    <xf numFmtId="0" fontId="0" fillId="0" borderId="0" xfId="0"/>
    <xf numFmtId="2" fontId="1" fillId="3" borderId="2" xfId="0" applyNumberFormat="1" applyFont="1" applyFill="1" applyBorder="1" applyAlignment="1">
      <alignment horizontal="right"/>
    </xf>
    <xf numFmtId="2" fontId="1" fillId="3" borderId="141" xfId="0" applyNumberFormat="1" applyFont="1" applyFill="1" applyBorder="1" applyAlignment="1">
      <alignment horizontal="right"/>
    </xf>
    <xf numFmtId="2" fontId="1" fillId="3" borderId="112" xfId="0" applyNumberFormat="1" applyFont="1" applyFill="1" applyBorder="1" applyAlignment="1">
      <alignment horizontal="right"/>
    </xf>
    <xf numFmtId="0" fontId="0" fillId="0" borderId="0" xfId="0"/>
    <xf numFmtId="4" fontId="3" fillId="4" borderId="29" xfId="0" applyNumberFormat="1" applyFont="1" applyFill="1" applyBorder="1" applyAlignment="1">
      <alignment horizontal="center"/>
    </xf>
    <xf numFmtId="2" fontId="0" fillId="7" borderId="0" xfId="0" applyNumberFormat="1" applyFill="1" applyAlignment="1">
      <alignment horizontal="right"/>
    </xf>
    <xf numFmtId="2" fontId="23" fillId="9" borderId="0" xfId="0" applyNumberFormat="1" applyFont="1" applyFill="1" applyBorder="1" applyAlignment="1">
      <alignment horizontal="right"/>
    </xf>
    <xf numFmtId="2" fontId="2" fillId="2" borderId="14" xfId="0" applyNumberFormat="1" applyFont="1" applyFill="1" applyBorder="1" applyAlignment="1">
      <alignment horizontal="right" vertical="center" wrapText="1"/>
    </xf>
    <xf numFmtId="2" fontId="0" fillId="2" borderId="0" xfId="0" applyNumberFormat="1" applyFill="1" applyAlignment="1">
      <alignment horizontal="right"/>
    </xf>
    <xf numFmtId="2" fontId="3" fillId="9" borderId="0" xfId="0" applyNumberFormat="1" applyFont="1" applyFill="1" applyBorder="1" applyAlignment="1">
      <alignment horizontal="right"/>
    </xf>
    <xf numFmtId="2" fontId="1" fillId="9" borderId="0" xfId="0" applyNumberFormat="1" applyFont="1" applyFill="1" applyBorder="1" applyAlignment="1">
      <alignment horizontal="right"/>
    </xf>
    <xf numFmtId="2" fontId="1" fillId="2" borderId="0" xfId="0" applyNumberFormat="1" applyFont="1" applyFill="1" applyBorder="1" applyAlignment="1">
      <alignment horizontal="right"/>
    </xf>
    <xf numFmtId="2" fontId="3" fillId="2" borderId="37" xfId="0" applyNumberFormat="1" applyFont="1" applyFill="1" applyBorder="1" applyAlignment="1">
      <alignment horizontal="right"/>
    </xf>
    <xf numFmtId="2" fontId="3" fillId="9" borderId="7" xfId="0" applyNumberFormat="1" applyFont="1" applyFill="1" applyBorder="1" applyAlignment="1">
      <alignment horizontal="right"/>
    </xf>
    <xf numFmtId="2" fontId="0" fillId="3" borderId="1" xfId="0" applyNumberFormat="1" applyFill="1" applyBorder="1" applyAlignment="1">
      <alignment horizontal="right"/>
    </xf>
    <xf numFmtId="2" fontId="0" fillId="3" borderId="3" xfId="0" applyNumberFormat="1" applyFill="1" applyBorder="1" applyAlignment="1">
      <alignment horizontal="right"/>
    </xf>
    <xf numFmtId="2" fontId="0" fillId="9" borderId="0" xfId="0" applyNumberFormat="1" applyFill="1" applyBorder="1" applyAlignment="1">
      <alignment horizontal="right"/>
    </xf>
    <xf numFmtId="2" fontId="23" fillId="9" borderId="7" xfId="0" applyNumberFormat="1" applyFont="1" applyFill="1" applyBorder="1" applyAlignment="1">
      <alignment horizontal="right"/>
    </xf>
    <xf numFmtId="2" fontId="0" fillId="3" borderId="103" xfId="0" applyNumberFormat="1" applyFill="1" applyBorder="1" applyAlignment="1">
      <alignment horizontal="right"/>
    </xf>
    <xf numFmtId="2" fontId="0" fillId="2" borderId="0" xfId="0" applyNumberFormat="1" applyFill="1" applyBorder="1" applyAlignment="1">
      <alignment horizontal="right"/>
    </xf>
    <xf numFmtId="2" fontId="2" fillId="2" borderId="168" xfId="0" applyNumberFormat="1" applyFont="1" applyFill="1" applyBorder="1" applyAlignment="1">
      <alignment horizontal="right" vertical="center" wrapText="1"/>
    </xf>
    <xf numFmtId="2" fontId="0" fillId="0" borderId="0" xfId="0" applyNumberFormat="1" applyAlignment="1">
      <alignment horizontal="right"/>
    </xf>
    <xf numFmtId="4" fontId="1" fillId="2" borderId="10" xfId="0" applyNumberFormat="1" applyFont="1" applyFill="1" applyBorder="1" applyAlignment="1">
      <alignment horizontal="right"/>
    </xf>
    <xf numFmtId="0" fontId="2" fillId="2" borderId="167" xfId="0" applyFont="1" applyFill="1" applyBorder="1" applyAlignment="1">
      <alignment horizontal="center"/>
    </xf>
    <xf numFmtId="2" fontId="0" fillId="7" borderId="1" xfId="0" applyNumberFormat="1" applyFill="1" applyBorder="1" applyAlignment="1">
      <alignment horizontal="right" vertical="center" wrapText="1"/>
    </xf>
    <xf numFmtId="2" fontId="1" fillId="7" borderId="2" xfId="0" applyNumberFormat="1" applyFont="1" applyFill="1" applyBorder="1" applyAlignment="1">
      <alignment horizontal="right"/>
    </xf>
    <xf numFmtId="2" fontId="0" fillId="7" borderId="1" xfId="0" applyNumberFormat="1" applyFill="1" applyBorder="1" applyAlignment="1">
      <alignment horizontal="right"/>
    </xf>
    <xf numFmtId="2" fontId="2" fillId="7" borderId="170" xfId="0" applyNumberFormat="1" applyFont="1" applyFill="1" applyBorder="1" applyAlignment="1">
      <alignment horizontal="center" vertical="center" wrapText="1"/>
    </xf>
    <xf numFmtId="0" fontId="2" fillId="7" borderId="168" xfId="0" applyFont="1" applyFill="1" applyBorder="1" applyAlignment="1">
      <alignment horizontal="center"/>
    </xf>
    <xf numFmtId="2" fontId="2" fillId="7" borderId="168" xfId="0" applyNumberFormat="1" applyFont="1" applyFill="1" applyBorder="1" applyAlignment="1">
      <alignment horizontal="center" vertical="center" wrapText="1"/>
    </xf>
    <xf numFmtId="4" fontId="2" fillId="7" borderId="177" xfId="0" applyNumberFormat="1" applyFont="1" applyFill="1" applyBorder="1" applyAlignment="1">
      <alignment horizontal="center" vertical="center" wrapText="1"/>
    </xf>
    <xf numFmtId="0" fontId="0" fillId="7" borderId="175" xfId="0" applyFill="1" applyBorder="1" applyAlignment="1">
      <alignment horizontal="center"/>
    </xf>
    <xf numFmtId="2" fontId="0" fillId="7" borderId="175" xfId="0" applyNumberFormat="1" applyFill="1" applyBorder="1" applyAlignment="1">
      <alignment vertical="center" wrapText="1"/>
    </xf>
    <xf numFmtId="4" fontId="0" fillId="7" borderId="167" xfId="0" applyNumberFormat="1" applyFill="1" applyBorder="1" applyAlignment="1">
      <alignment vertical="center" wrapText="1"/>
    </xf>
    <xf numFmtId="0" fontId="0" fillId="0" borderId="179" xfId="0" applyBorder="1"/>
    <xf numFmtId="0" fontId="0" fillId="7" borderId="179" xfId="0" applyFill="1" applyBorder="1" applyAlignment="1">
      <alignment horizontal="center"/>
    </xf>
    <xf numFmtId="2" fontId="0" fillId="7" borderId="179" xfId="0" applyNumberFormat="1" applyFill="1" applyBorder="1" applyAlignment="1">
      <alignment vertical="center" wrapText="1"/>
    </xf>
    <xf numFmtId="4" fontId="0" fillId="7" borderId="180" xfId="0" applyNumberFormat="1" applyFill="1" applyBorder="1" applyAlignment="1">
      <alignment vertical="center" wrapText="1"/>
    </xf>
    <xf numFmtId="0" fontId="2" fillId="7" borderId="170" xfId="0" applyFont="1" applyFill="1" applyBorder="1" applyAlignment="1">
      <alignment horizontal="center"/>
    </xf>
    <xf numFmtId="0" fontId="0" fillId="0" borderId="175" xfId="0" applyBorder="1" applyAlignment="1">
      <alignment horizontal="center"/>
    </xf>
    <xf numFmtId="0" fontId="0" fillId="0" borderId="179" xfId="0" applyBorder="1" applyAlignment="1">
      <alignment horizontal="center"/>
    </xf>
    <xf numFmtId="0" fontId="0" fillId="0" borderId="0" xfId="0"/>
    <xf numFmtId="0" fontId="0" fillId="0" borderId="79" xfId="0" applyBorder="1"/>
    <xf numFmtId="0" fontId="0" fillId="0" borderId="178" xfId="0" applyBorder="1"/>
    <xf numFmtId="0" fontId="0" fillId="3" borderId="175" xfId="0" applyFill="1" applyBorder="1"/>
    <xf numFmtId="4" fontId="7" fillId="4" borderId="174" xfId="0" applyNumberFormat="1" applyFont="1" applyFill="1" applyBorder="1" applyAlignment="1">
      <alignment horizontal="center"/>
    </xf>
    <xf numFmtId="0" fontId="0" fillId="0" borderId="42" xfId="0" applyBorder="1"/>
    <xf numFmtId="4" fontId="7" fillId="12" borderId="29" xfId="0" applyNumberFormat="1" applyFont="1" applyFill="1" applyBorder="1" applyAlignment="1">
      <alignment horizontal="center"/>
    </xf>
    <xf numFmtId="4" fontId="7" fillId="12" borderId="182" xfId="0" applyNumberFormat="1" applyFont="1" applyFill="1" applyBorder="1" applyAlignment="1">
      <alignment horizontal="center"/>
    </xf>
    <xf numFmtId="0" fontId="0" fillId="7" borderId="181" xfId="0" applyFill="1" applyBorder="1"/>
    <xf numFmtId="0" fontId="0" fillId="7" borderId="168" xfId="0" applyFill="1" applyBorder="1"/>
    <xf numFmtId="4" fontId="7" fillId="7" borderId="29" xfId="0" applyNumberFormat="1" applyFont="1" applyFill="1" applyBorder="1" applyAlignment="1">
      <alignment horizontal="center"/>
    </xf>
    <xf numFmtId="0" fontId="0" fillId="7" borderId="35" xfId="0" applyFill="1" applyBorder="1"/>
    <xf numFmtId="0" fontId="39" fillId="12" borderId="0" xfId="0" applyFont="1" applyFill="1"/>
    <xf numFmtId="0" fontId="39" fillId="12" borderId="0" xfId="0" applyFont="1" applyFill="1" applyAlignment="1">
      <alignment horizontal="right"/>
    </xf>
    <xf numFmtId="3" fontId="7" fillId="12" borderId="0" xfId="0" applyNumberFormat="1" applyFont="1" applyFill="1" applyAlignment="1"/>
    <xf numFmtId="4" fontId="7" fillId="12" borderId="0" xfId="0" applyNumberFormat="1" applyFont="1" applyFill="1" applyAlignment="1"/>
    <xf numFmtId="4" fontId="7" fillId="12" borderId="0" xfId="0" applyNumberFormat="1" applyFont="1" applyFill="1" applyAlignment="1">
      <alignment horizontal="center"/>
    </xf>
    <xf numFmtId="0" fontId="0" fillId="0" borderId="183" xfId="0" applyBorder="1"/>
    <xf numFmtId="0" fontId="2" fillId="12" borderId="0" xfId="0" applyFont="1" applyFill="1"/>
    <xf numFmtId="0" fontId="2" fillId="7" borderId="79" xfId="0" applyFont="1" applyFill="1" applyBorder="1" applyAlignment="1">
      <alignment horizontal="center"/>
    </xf>
    <xf numFmtId="0" fontId="2" fillId="7" borderId="183" xfId="0" applyFont="1" applyFill="1" applyBorder="1" applyAlignment="1">
      <alignment horizontal="center"/>
    </xf>
    <xf numFmtId="0" fontId="2" fillId="7" borderId="0" xfId="0" applyFont="1" applyFill="1" applyBorder="1"/>
    <xf numFmtId="0" fontId="2" fillId="7" borderId="0" xfId="0" applyFont="1" applyFill="1"/>
    <xf numFmtId="4" fontId="49" fillId="7" borderId="0" xfId="0" applyNumberFormat="1" applyFont="1" applyFill="1" applyAlignment="1">
      <alignment horizontal="center"/>
    </xf>
    <xf numFmtId="0" fontId="2" fillId="7" borderId="184" xfId="0" applyFont="1" applyFill="1" applyBorder="1" applyAlignment="1">
      <alignment horizontal="center"/>
    </xf>
    <xf numFmtId="0" fontId="0" fillId="0" borderId="45" xfId="0" applyBorder="1"/>
    <xf numFmtId="0" fontId="0" fillId="3" borderId="9" xfId="0" applyFill="1" applyBorder="1"/>
    <xf numFmtId="0" fontId="43" fillId="12" borderId="0" xfId="0" applyFont="1" applyFill="1" applyAlignment="1"/>
    <xf numFmtId="0" fontId="0" fillId="7" borderId="27" xfId="0" applyFill="1" applyBorder="1" applyAlignment="1">
      <alignment horizontal="center"/>
    </xf>
    <xf numFmtId="0" fontId="0" fillId="3" borderId="185" xfId="0" applyFill="1" applyBorder="1"/>
    <xf numFmtId="0" fontId="2" fillId="13" borderId="0" xfId="0" applyFont="1" applyFill="1"/>
    <xf numFmtId="0" fontId="0" fillId="0" borderId="0" xfId="0"/>
    <xf numFmtId="0" fontId="0" fillId="12" borderId="0" xfId="0" applyFill="1" applyAlignment="1">
      <alignment horizontal="right"/>
    </xf>
    <xf numFmtId="0" fontId="0" fillId="12" borderId="37" xfId="0" applyFill="1" applyBorder="1" applyAlignment="1">
      <alignment horizontal="right"/>
    </xf>
    <xf numFmtId="0" fontId="0" fillId="4" borderId="0" xfId="0" applyFill="1" applyAlignment="1">
      <alignment horizontal="right"/>
    </xf>
    <xf numFmtId="0" fontId="19" fillId="2" borderId="0" xfId="0" applyFont="1" applyFill="1" applyBorder="1" applyAlignment="1">
      <alignment horizontal="right" vertical="center"/>
    </xf>
    <xf numFmtId="0" fontId="0" fillId="0" borderId="0" xfId="0" applyAlignment="1">
      <alignment horizontal="right"/>
    </xf>
    <xf numFmtId="0" fontId="0" fillId="0" borderId="0" xfId="0"/>
    <xf numFmtId="0" fontId="20" fillId="7" borderId="2" xfId="0" applyFont="1" applyFill="1" applyBorder="1" applyAlignment="1">
      <alignment horizontal="center"/>
    </xf>
    <xf numFmtId="0" fontId="83" fillId="7" borderId="0" xfId="0" applyFont="1" applyFill="1" applyBorder="1" applyAlignment="1">
      <alignment horizontal="center"/>
    </xf>
    <xf numFmtId="4" fontId="118" fillId="2" borderId="0" xfId="0" applyNumberFormat="1" applyFont="1" applyFill="1" applyBorder="1" applyAlignment="1">
      <alignment vertical="center" wrapText="1"/>
    </xf>
    <xf numFmtId="4" fontId="39" fillId="2" borderId="0" xfId="0" applyNumberFormat="1" applyFont="1" applyFill="1" applyBorder="1" applyAlignment="1">
      <alignment horizontal="left"/>
    </xf>
    <xf numFmtId="4" fontId="39" fillId="2" borderId="7" xfId="0" applyNumberFormat="1" applyFont="1" applyFill="1" applyBorder="1" applyAlignment="1">
      <alignment horizontal="left"/>
    </xf>
    <xf numFmtId="4" fontId="39" fillId="2" borderId="90" xfId="0" applyNumberFormat="1" applyFont="1" applyFill="1" applyBorder="1" applyAlignment="1">
      <alignment horizontal="left"/>
    </xf>
    <xf numFmtId="2" fontId="1" fillId="7" borderId="167" xfId="0" applyNumberFormat="1" applyFont="1" applyFill="1" applyBorder="1" applyAlignment="1">
      <alignment horizontal="right"/>
    </xf>
    <xf numFmtId="2" fontId="3" fillId="9" borderId="185" xfId="0" applyNumberFormat="1" applyFont="1" applyFill="1" applyBorder="1" applyAlignment="1">
      <alignment horizontal="right"/>
    </xf>
    <xf numFmtId="2" fontId="0" fillId="3" borderId="175" xfId="0" applyNumberFormat="1" applyFill="1" applyBorder="1" applyAlignment="1">
      <alignment horizontal="right"/>
    </xf>
    <xf numFmtId="2" fontId="0" fillId="3" borderId="146" xfId="0" applyNumberFormat="1" applyFill="1" applyBorder="1" applyAlignment="1">
      <alignment horizontal="right"/>
    </xf>
    <xf numFmtId="2" fontId="23" fillId="9" borderId="185" xfId="0" applyNumberFormat="1" applyFont="1" applyFill="1" applyBorder="1" applyAlignment="1">
      <alignment horizontal="right"/>
    </xf>
    <xf numFmtId="2" fontId="0" fillId="3" borderId="169" xfId="0" applyNumberFormat="1" applyFill="1" applyBorder="1" applyAlignment="1">
      <alignment horizontal="right"/>
    </xf>
    <xf numFmtId="0" fontId="88" fillId="2" borderId="54" xfId="0" applyFont="1" applyFill="1" applyBorder="1" applyAlignment="1">
      <alignment horizontal="left"/>
    </xf>
    <xf numFmtId="0" fontId="3" fillId="2" borderId="37" xfId="0" applyFont="1" applyFill="1" applyBorder="1" applyAlignment="1">
      <alignment horizontal="left"/>
    </xf>
    <xf numFmtId="0" fontId="3" fillId="2" borderId="93" xfId="0" applyFont="1" applyFill="1" applyBorder="1" applyAlignment="1">
      <alignment horizontal="left"/>
    </xf>
    <xf numFmtId="0" fontId="0" fillId="7" borderId="175" xfId="0" applyFill="1" applyBorder="1"/>
    <xf numFmtId="0" fontId="0" fillId="17" borderId="175" xfId="0" applyFill="1" applyBorder="1" applyAlignment="1">
      <alignment horizontal="center"/>
    </xf>
    <xf numFmtId="0" fontId="0" fillId="17" borderId="175" xfId="0" applyFill="1" applyBorder="1"/>
    <xf numFmtId="0" fontId="0" fillId="17" borderId="0" xfId="0" applyFill="1" applyBorder="1" applyAlignment="1">
      <alignment horizontal="center"/>
    </xf>
    <xf numFmtId="2" fontId="0" fillId="7" borderId="179" xfId="0" applyNumberFormat="1" applyFill="1" applyBorder="1" applyAlignment="1">
      <alignment horizontal="right" vertical="center" wrapText="1"/>
    </xf>
    <xf numFmtId="0" fontId="0" fillId="17" borderId="0" xfId="0" applyFill="1" applyAlignment="1">
      <alignment horizontal="right"/>
    </xf>
    <xf numFmtId="0" fontId="0" fillId="17" borderId="0" xfId="0" applyFill="1" applyBorder="1"/>
    <xf numFmtId="0" fontId="0" fillId="17" borderId="0" xfId="0" applyFill="1"/>
    <xf numFmtId="0" fontId="116" fillId="2" borderId="37" xfId="0" applyFont="1" applyFill="1" applyBorder="1" applyAlignment="1">
      <alignment horizontal="left"/>
    </xf>
    <xf numFmtId="0" fontId="1" fillId="2" borderId="179" xfId="0" applyFont="1" applyFill="1" applyBorder="1"/>
    <xf numFmtId="0" fontId="0" fillId="2" borderId="179" xfId="0" applyFill="1" applyBorder="1"/>
    <xf numFmtId="0" fontId="0" fillId="2" borderId="179" xfId="0" applyFill="1" applyBorder="1" applyAlignment="1">
      <alignment horizontal="center"/>
    </xf>
    <xf numFmtId="4" fontId="0" fillId="7" borderId="0" xfId="0" applyNumberFormat="1" applyFill="1" applyBorder="1" applyAlignment="1">
      <alignment horizontal="right" vertical="center" wrapText="1"/>
    </xf>
    <xf numFmtId="4" fontId="1" fillId="2" borderId="0" xfId="0" applyNumberFormat="1" applyFont="1" applyFill="1" applyBorder="1" applyAlignment="1">
      <alignment horizontal="right"/>
    </xf>
    <xf numFmtId="4" fontId="3" fillId="2" borderId="37" xfId="0" applyNumberFormat="1" applyFont="1" applyFill="1" applyBorder="1" applyAlignment="1">
      <alignment horizontal="right"/>
    </xf>
    <xf numFmtId="0" fontId="0" fillId="7" borderId="0" xfId="0" applyFill="1" applyAlignment="1">
      <alignment vertical="center"/>
    </xf>
    <xf numFmtId="0" fontId="0" fillId="0" borderId="0" xfId="0"/>
    <xf numFmtId="4" fontId="3" fillId="9" borderId="29" xfId="0" applyNumberFormat="1" applyFont="1" applyFill="1" applyBorder="1" applyAlignment="1">
      <alignment horizontal="center"/>
    </xf>
    <xf numFmtId="0" fontId="0" fillId="7" borderId="0" xfId="0" applyFont="1" applyFill="1" applyBorder="1"/>
    <xf numFmtId="4" fontId="0" fillId="7" borderId="0" xfId="0" applyNumberFormat="1" applyFont="1" applyFill="1" applyBorder="1"/>
    <xf numFmtId="0" fontId="0" fillId="12" borderId="29" xfId="0" applyFill="1" applyBorder="1"/>
    <xf numFmtId="0" fontId="20" fillId="4" borderId="186" xfId="0" applyFont="1" applyFill="1" applyBorder="1" applyAlignment="1">
      <alignment horizontal="left"/>
    </xf>
    <xf numFmtId="0" fontId="84" fillId="4" borderId="187" xfId="0" applyFont="1" applyFill="1" applyBorder="1"/>
    <xf numFmtId="4" fontId="39" fillId="2" borderId="168" xfId="0" applyNumberFormat="1" applyFont="1" applyFill="1" applyBorder="1" applyAlignment="1">
      <alignment horizontal="left"/>
    </xf>
    <xf numFmtId="0" fontId="20" fillId="4" borderId="188" xfId="0" applyFont="1" applyFill="1" applyBorder="1"/>
    <xf numFmtId="4" fontId="39" fillId="2" borderId="189" xfId="0" applyNumberFormat="1" applyFont="1" applyFill="1" applyBorder="1" applyAlignment="1">
      <alignment horizontal="left"/>
    </xf>
    <xf numFmtId="0" fontId="0" fillId="12" borderId="29" xfId="0" applyFont="1" applyFill="1" applyBorder="1"/>
    <xf numFmtId="0" fontId="0" fillId="12" borderId="35" xfId="0" applyFill="1" applyBorder="1"/>
    <xf numFmtId="0" fontId="0" fillId="12" borderId="39" xfId="0" applyFill="1" applyBorder="1"/>
    <xf numFmtId="0" fontId="0" fillId="12" borderId="9" xfId="0" applyFill="1" applyBorder="1"/>
    <xf numFmtId="4" fontId="0" fillId="12" borderId="9" xfId="0" applyNumberFormat="1" applyFill="1" applyBorder="1"/>
    <xf numFmtId="0" fontId="0" fillId="0" borderId="4" xfId="0" applyFont="1" applyBorder="1" applyAlignment="1">
      <alignment horizontal="left"/>
    </xf>
    <xf numFmtId="4" fontId="7" fillId="7" borderId="74" xfId="0" applyNumberFormat="1" applyFont="1" applyFill="1" applyBorder="1" applyAlignment="1">
      <alignment horizontal="center"/>
    </xf>
    <xf numFmtId="0" fontId="0" fillId="0" borderId="191" xfId="0" applyBorder="1"/>
    <xf numFmtId="2" fontId="2" fillId="2" borderId="190" xfId="0" applyNumberFormat="1" applyFont="1" applyFill="1" applyBorder="1" applyAlignment="1">
      <alignment horizontal="center" vertical="center" wrapText="1"/>
    </xf>
    <xf numFmtId="0" fontId="2" fillId="2" borderId="190" xfId="0" applyFont="1" applyFill="1" applyBorder="1" applyAlignment="1">
      <alignment horizontal="center"/>
    </xf>
    <xf numFmtId="2" fontId="2" fillId="2" borderId="190" xfId="0" applyNumberFormat="1" applyFont="1" applyFill="1" applyBorder="1" applyAlignment="1">
      <alignment horizontal="right" vertical="center" wrapText="1"/>
    </xf>
    <xf numFmtId="0" fontId="2" fillId="2" borderId="194" xfId="0" applyFont="1" applyFill="1" applyBorder="1" applyAlignment="1">
      <alignment horizontal="center"/>
    </xf>
    <xf numFmtId="4" fontId="2" fillId="2" borderId="190" xfId="0" applyNumberFormat="1" applyFont="1" applyFill="1" applyBorder="1" applyAlignment="1">
      <alignment horizontal="center" vertical="center" wrapText="1"/>
    </xf>
    <xf numFmtId="0" fontId="1" fillId="2" borderId="193" xfId="0" applyFont="1" applyFill="1" applyBorder="1"/>
    <xf numFmtId="0" fontId="0" fillId="2" borderId="193" xfId="0" applyFill="1" applyBorder="1"/>
    <xf numFmtId="0" fontId="0" fillId="2" borderId="193" xfId="0" applyFill="1" applyBorder="1" applyAlignment="1">
      <alignment horizontal="center"/>
    </xf>
    <xf numFmtId="2" fontId="0" fillId="7" borderId="193" xfId="0" applyNumberFormat="1" applyFill="1" applyBorder="1" applyAlignment="1">
      <alignment horizontal="right"/>
    </xf>
    <xf numFmtId="4" fontId="0" fillId="2" borderId="193" xfId="0" applyNumberFormat="1" applyFill="1" applyBorder="1" applyAlignment="1">
      <alignment vertical="center" wrapText="1"/>
    </xf>
    <xf numFmtId="0" fontId="0" fillId="0" borderId="193" xfId="0" applyBorder="1" applyAlignment="1">
      <alignment horizontal="center"/>
    </xf>
    <xf numFmtId="2" fontId="0" fillId="7" borderId="193" xfId="0" applyNumberFormat="1" applyFill="1" applyBorder="1" applyAlignment="1">
      <alignment horizontal="right" vertical="center" wrapText="1"/>
    </xf>
    <xf numFmtId="0" fontId="1" fillId="2" borderId="196" xfId="0" applyFont="1" applyFill="1" applyBorder="1"/>
    <xf numFmtId="2" fontId="0" fillId="7" borderId="179" xfId="0" applyNumberFormat="1" applyFill="1" applyBorder="1" applyAlignment="1">
      <alignment horizontal="right"/>
    </xf>
    <xf numFmtId="4" fontId="0" fillId="2" borderId="179" xfId="0" applyNumberFormat="1" applyFill="1" applyBorder="1" applyAlignment="1">
      <alignment vertical="center" wrapText="1"/>
    </xf>
    <xf numFmtId="0" fontId="0" fillId="2" borderId="193" xfId="0" applyFont="1" applyFill="1" applyBorder="1"/>
    <xf numFmtId="4" fontId="7" fillId="7" borderId="94" xfId="0" applyNumberFormat="1" applyFont="1" applyFill="1" applyBorder="1" applyAlignment="1">
      <alignment horizontal="center"/>
    </xf>
    <xf numFmtId="0" fontId="0" fillId="0" borderId="35" xfId="0" applyBorder="1" applyAlignment="1">
      <alignment horizontal="center"/>
    </xf>
    <xf numFmtId="0" fontId="0" fillId="0" borderId="39" xfId="0" applyBorder="1" applyAlignment="1">
      <alignment horizontal="center"/>
    </xf>
    <xf numFmtId="0" fontId="3" fillId="2" borderId="0" xfId="0" applyFont="1" applyFill="1" applyBorder="1" applyAlignment="1">
      <alignment horizontal="center"/>
    </xf>
    <xf numFmtId="0" fontId="0" fillId="0" borderId="0" xfId="0"/>
    <xf numFmtId="4" fontId="7" fillId="4" borderId="174" xfId="0" applyNumberFormat="1" applyFont="1" applyFill="1" applyBorder="1" applyAlignment="1">
      <alignment horizontal="center" vertical="center" wrapText="1"/>
    </xf>
    <xf numFmtId="0" fontId="0" fillId="2" borderId="0" xfId="0" applyFill="1" applyAlignment="1">
      <alignment horizontal="center"/>
    </xf>
    <xf numFmtId="0" fontId="0" fillId="4" borderId="0" xfId="0" applyFill="1" applyAlignment="1">
      <alignment horizontal="center"/>
    </xf>
    <xf numFmtId="0" fontId="3" fillId="4" borderId="35" xfId="0" applyFont="1" applyFill="1" applyBorder="1" applyAlignment="1">
      <alignment horizontal="right"/>
    </xf>
    <xf numFmtId="0" fontId="12" fillId="4" borderId="29" xfId="0" applyFont="1" applyFill="1" applyBorder="1" applyAlignment="1">
      <alignment horizontal="center" vertical="center"/>
    </xf>
    <xf numFmtId="0" fontId="62" fillId="4" borderId="29" xfId="0" applyFont="1" applyFill="1" applyBorder="1" applyAlignment="1">
      <alignment horizontal="center"/>
    </xf>
    <xf numFmtId="0" fontId="3" fillId="2" borderId="56" xfId="0" applyFont="1" applyFill="1" applyBorder="1" applyAlignment="1">
      <alignment horizontal="center"/>
    </xf>
    <xf numFmtId="0" fontId="3" fillId="2" borderId="58" xfId="0" applyFont="1" applyFill="1" applyBorder="1" applyAlignment="1">
      <alignment horizontal="center"/>
    </xf>
    <xf numFmtId="0" fontId="1" fillId="2" borderId="0" xfId="0" applyFont="1" applyFill="1" applyBorder="1" applyAlignment="1">
      <alignment horizontal="center"/>
    </xf>
    <xf numFmtId="4" fontId="37" fillId="9" borderId="0" xfId="0" applyNumberFormat="1" applyFont="1" applyFill="1" applyBorder="1" applyAlignment="1">
      <alignment vertical="center"/>
    </xf>
    <xf numFmtId="0" fontId="0" fillId="7" borderId="193" xfId="0" applyFill="1" applyBorder="1" applyAlignment="1">
      <alignment horizontal="center"/>
    </xf>
    <xf numFmtId="4" fontId="37" fillId="7" borderId="0" xfId="0" applyNumberFormat="1" applyFont="1" applyFill="1" applyBorder="1" applyAlignment="1">
      <alignment vertical="center"/>
    </xf>
    <xf numFmtId="0" fontId="40" fillId="7" borderId="69" xfId="0" applyFont="1" applyFill="1" applyBorder="1" applyAlignment="1">
      <alignment horizontal="center"/>
    </xf>
    <xf numFmtId="0" fontId="40" fillId="7" borderId="36" xfId="0" applyFont="1" applyFill="1" applyBorder="1" applyAlignment="1">
      <alignment horizontal="center"/>
    </xf>
    <xf numFmtId="0" fontId="0" fillId="7" borderId="178" xfId="0" applyFill="1" applyBorder="1" applyAlignment="1">
      <alignment horizontal="right"/>
    </xf>
    <xf numFmtId="0" fontId="0" fillId="7" borderId="52" xfId="0" applyFill="1" applyBorder="1" applyAlignment="1">
      <alignment horizontal="right"/>
    </xf>
    <xf numFmtId="0" fontId="0" fillId="3" borderId="0" xfId="0" applyFill="1" applyAlignment="1">
      <alignment wrapText="1"/>
    </xf>
    <xf numFmtId="0" fontId="15" fillId="3" borderId="0" xfId="0" applyFont="1" applyFill="1" applyAlignment="1">
      <alignment horizontal="center" vertical="top" wrapText="1"/>
    </xf>
    <xf numFmtId="0" fontId="0" fillId="3" borderId="0" xfId="0" applyFill="1" applyAlignment="1">
      <alignment vertical="top" wrapText="1"/>
    </xf>
    <xf numFmtId="0" fontId="3" fillId="2" borderId="35" xfId="0" applyFont="1" applyFill="1" applyBorder="1" applyAlignment="1">
      <alignment horizontal="right"/>
    </xf>
    <xf numFmtId="0" fontId="0" fillId="2" borderId="185" xfId="0" applyFill="1" applyBorder="1"/>
    <xf numFmtId="4" fontId="3" fillId="2" borderId="0" xfId="0" applyNumberFormat="1" applyFont="1" applyFill="1" applyBorder="1" applyAlignment="1">
      <alignment horizontal="right" vertical="top"/>
    </xf>
    <xf numFmtId="4" fontId="7" fillId="4" borderId="174" xfId="0" applyNumberFormat="1" applyFont="1" applyFill="1" applyBorder="1" applyAlignment="1">
      <alignment vertical="center"/>
    </xf>
    <xf numFmtId="0" fontId="0" fillId="0" borderId="198" xfId="0" applyBorder="1" applyAlignment="1">
      <alignment horizontal="center"/>
    </xf>
    <xf numFmtId="0" fontId="0" fillId="0" borderId="179" xfId="0" applyBorder="1" applyAlignment="1">
      <alignment vertical="center"/>
    </xf>
    <xf numFmtId="0" fontId="0" fillId="0" borderId="179" xfId="0" applyBorder="1" applyAlignment="1">
      <alignment horizontal="center" vertical="center"/>
    </xf>
    <xf numFmtId="4" fontId="0" fillId="3" borderId="179" xfId="0" applyNumberFormat="1" applyFill="1" applyBorder="1" applyAlignment="1">
      <alignment vertical="center"/>
    </xf>
    <xf numFmtId="4" fontId="0" fillId="0" borderId="179" xfId="0" applyNumberFormat="1" applyBorder="1" applyAlignment="1">
      <alignment vertical="center"/>
    </xf>
    <xf numFmtId="4" fontId="7" fillId="4" borderId="199" xfId="0" applyNumberFormat="1" applyFont="1" applyFill="1" applyBorder="1" applyAlignment="1">
      <alignment vertical="center"/>
    </xf>
    <xf numFmtId="0" fontId="0" fillId="0" borderId="196" xfId="0" applyFill="1" applyBorder="1"/>
    <xf numFmtId="0" fontId="0" fillId="0" borderId="193" xfId="0" applyFill="1" applyBorder="1"/>
    <xf numFmtId="0" fontId="6" fillId="0" borderId="191" xfId="0" applyFont="1" applyBorder="1" applyAlignment="1">
      <alignment horizontal="left" vertical="center"/>
    </xf>
    <xf numFmtId="0" fontId="1" fillId="0" borderId="193" xfId="0" applyFont="1" applyBorder="1" applyAlignment="1">
      <alignment horizontal="center" vertical="center" wrapText="1"/>
    </xf>
    <xf numFmtId="0" fontId="1" fillId="0" borderId="193" xfId="0" applyFont="1" applyFill="1" applyBorder="1" applyAlignment="1">
      <alignment vertical="center" wrapText="1"/>
    </xf>
    <xf numFmtId="0" fontId="6" fillId="0" borderId="201" xfId="0" applyFont="1" applyBorder="1" applyAlignment="1">
      <alignment horizontal="left" vertical="center"/>
    </xf>
    <xf numFmtId="0" fontId="1" fillId="0" borderId="179" xfId="0" applyFont="1" applyBorder="1" applyAlignment="1">
      <alignment horizontal="center" vertical="center" wrapText="1"/>
    </xf>
    <xf numFmtId="2" fontId="0" fillId="3" borderId="179" xfId="0" applyNumberFormat="1" applyFill="1" applyBorder="1" applyAlignment="1">
      <alignment vertical="center"/>
    </xf>
    <xf numFmtId="0" fontId="1" fillId="0" borderId="179" xfId="0" applyFont="1" applyFill="1" applyBorder="1" applyAlignment="1">
      <alignment vertical="center" wrapText="1"/>
    </xf>
    <xf numFmtId="4" fontId="7" fillId="4" borderId="199" xfId="0" applyNumberFormat="1" applyFont="1" applyFill="1" applyBorder="1" applyAlignment="1">
      <alignment horizontal="center" vertical="center" wrapText="1"/>
    </xf>
    <xf numFmtId="0" fontId="3" fillId="2" borderId="35" xfId="0" applyFont="1" applyFill="1" applyBorder="1" applyAlignment="1">
      <alignment horizontal="center"/>
    </xf>
    <xf numFmtId="0" fontId="0" fillId="0" borderId="193" xfId="0" applyBorder="1" applyAlignment="1"/>
    <xf numFmtId="4" fontId="0" fillId="3" borderId="193" xfId="0" applyNumberFormat="1" applyFill="1" applyBorder="1"/>
    <xf numFmtId="2" fontId="0" fillId="7" borderId="0" xfId="0" applyNumberFormat="1" applyFill="1" applyBorder="1" applyAlignment="1">
      <alignment horizontal="right" vertical="center" wrapText="1"/>
    </xf>
    <xf numFmtId="2" fontId="1" fillId="7" borderId="0" xfId="0" applyNumberFormat="1" applyFont="1" applyFill="1" applyBorder="1" applyAlignment="1">
      <alignment horizontal="right"/>
    </xf>
    <xf numFmtId="0" fontId="3" fillId="2" borderId="54" xfId="0" applyFont="1" applyFill="1" applyBorder="1" applyAlignment="1">
      <alignment horizontal="center"/>
    </xf>
    <xf numFmtId="0" fontId="1" fillId="2" borderId="37" xfId="0" applyFont="1" applyFill="1" applyBorder="1"/>
    <xf numFmtId="4" fontId="1" fillId="2" borderId="37" xfId="0" applyNumberFormat="1" applyFont="1" applyFill="1" applyBorder="1" applyAlignment="1">
      <alignment horizontal="right"/>
    </xf>
    <xf numFmtId="4" fontId="7" fillId="9" borderId="38" xfId="0" applyNumberFormat="1" applyFont="1" applyFill="1" applyBorder="1" applyAlignment="1">
      <alignment horizontal="center" vertical="center" wrapText="1"/>
    </xf>
    <xf numFmtId="0" fontId="3" fillId="2" borderId="39" xfId="0" applyFont="1" applyFill="1" applyBorder="1" applyAlignment="1">
      <alignment horizontal="center"/>
    </xf>
    <xf numFmtId="0" fontId="1" fillId="2" borderId="193" xfId="0" applyFont="1" applyFill="1" applyBorder="1" applyAlignment="1">
      <alignment horizontal="center"/>
    </xf>
    <xf numFmtId="2" fontId="1" fillId="7" borderId="193" xfId="0" applyNumberFormat="1" applyFont="1" applyFill="1" applyBorder="1" applyAlignment="1">
      <alignment horizontal="right"/>
    </xf>
    <xf numFmtId="4" fontId="1" fillId="2" borderId="193" xfId="0" applyNumberFormat="1" applyFont="1" applyFill="1" applyBorder="1" applyAlignment="1">
      <alignment horizontal="right"/>
    </xf>
    <xf numFmtId="4" fontId="7" fillId="9" borderId="174" xfId="0" applyNumberFormat="1" applyFont="1" applyFill="1" applyBorder="1" applyAlignment="1">
      <alignment horizontal="center" vertical="center" wrapText="1"/>
    </xf>
    <xf numFmtId="0" fontId="1" fillId="2" borderId="179" xfId="0" applyFont="1" applyFill="1" applyBorder="1" applyAlignment="1">
      <alignment horizontal="center"/>
    </xf>
    <xf numFmtId="2" fontId="1" fillId="7" borderId="179" xfId="0" applyNumberFormat="1" applyFont="1" applyFill="1" applyBorder="1" applyAlignment="1">
      <alignment horizontal="right"/>
    </xf>
    <xf numFmtId="4" fontId="1" fillId="2" borderId="179" xfId="0" applyNumberFormat="1" applyFont="1" applyFill="1" applyBorder="1" applyAlignment="1">
      <alignment horizontal="right"/>
    </xf>
    <xf numFmtId="4" fontId="7" fillId="9" borderId="199" xfId="0" applyNumberFormat="1" applyFont="1" applyFill="1" applyBorder="1" applyAlignment="1">
      <alignment horizontal="center" vertical="center" wrapText="1"/>
    </xf>
    <xf numFmtId="0" fontId="86" fillId="9" borderId="0" xfId="0" applyFont="1" applyFill="1" applyBorder="1" applyAlignment="1">
      <alignment vertical="center"/>
    </xf>
    <xf numFmtId="0" fontId="1" fillId="2" borderId="196" xfId="0" applyFont="1" applyFill="1" applyBorder="1" applyAlignment="1">
      <alignment horizontal="center"/>
    </xf>
    <xf numFmtId="2" fontId="1" fillId="7" borderId="196" xfId="0" applyNumberFormat="1" applyFont="1" applyFill="1" applyBorder="1" applyAlignment="1">
      <alignment horizontal="right"/>
    </xf>
    <xf numFmtId="4" fontId="1" fillId="2" borderId="196" xfId="0" applyNumberFormat="1" applyFont="1" applyFill="1" applyBorder="1" applyAlignment="1">
      <alignment horizontal="right"/>
    </xf>
    <xf numFmtId="0" fontId="16" fillId="12" borderId="54" xfId="0" applyFont="1" applyFill="1" applyBorder="1" applyAlignment="1">
      <alignment horizontal="center"/>
    </xf>
    <xf numFmtId="0" fontId="16" fillId="4" borderId="185" xfId="0" applyFont="1" applyFill="1" applyBorder="1" applyAlignment="1">
      <alignment horizontal="center"/>
    </xf>
    <xf numFmtId="0" fontId="3" fillId="2" borderId="200" xfId="0" applyFont="1" applyFill="1" applyBorder="1" applyAlignment="1">
      <alignment horizontal="center"/>
    </xf>
    <xf numFmtId="0" fontId="16" fillId="2" borderId="200" xfId="0" applyFont="1" applyFill="1" applyBorder="1" applyAlignment="1">
      <alignment horizontal="center"/>
    </xf>
    <xf numFmtId="0" fontId="3" fillId="2" borderId="200" xfId="0" applyFont="1" applyFill="1" applyBorder="1" applyAlignment="1">
      <alignment horizontal="center" vertical="center"/>
    </xf>
    <xf numFmtId="0" fontId="2" fillId="0" borderId="196" xfId="0" applyFont="1" applyBorder="1" applyAlignment="1">
      <alignment vertical="center"/>
    </xf>
    <xf numFmtId="4" fontId="7" fillId="4" borderId="192" xfId="0" applyNumberFormat="1" applyFont="1" applyFill="1" applyBorder="1" applyAlignment="1">
      <alignment vertical="center"/>
    </xf>
    <xf numFmtId="0" fontId="2" fillId="0" borderId="193" xfId="0" applyFont="1" applyBorder="1" applyAlignment="1">
      <alignment vertical="center"/>
    </xf>
    <xf numFmtId="4" fontId="7" fillId="2" borderId="185" xfId="0" applyNumberFormat="1" applyFont="1" applyFill="1" applyBorder="1" applyAlignment="1">
      <alignment vertical="center"/>
    </xf>
    <xf numFmtId="0" fontId="0" fillId="2" borderId="185" xfId="0" applyFill="1" applyBorder="1" applyAlignment="1">
      <alignment horizontal="center"/>
    </xf>
    <xf numFmtId="0" fontId="2" fillId="0" borderId="179" xfId="0" applyFont="1" applyBorder="1" applyAlignment="1">
      <alignment vertical="center"/>
    </xf>
    <xf numFmtId="0" fontId="3" fillId="2" borderId="197" xfId="0" applyFont="1" applyFill="1" applyBorder="1" applyAlignment="1">
      <alignment horizontal="center"/>
    </xf>
    <xf numFmtId="4" fontId="69" fillId="2" borderId="0" xfId="0" applyNumberFormat="1" applyFont="1" applyFill="1" applyBorder="1" applyAlignment="1">
      <alignment horizontal="right"/>
    </xf>
    <xf numFmtId="4" fontId="7" fillId="4" borderId="174" xfId="0" applyNumberFormat="1" applyFont="1" applyFill="1" applyBorder="1" applyAlignment="1">
      <alignment horizontal="center" vertical="center" wrapText="1"/>
    </xf>
    <xf numFmtId="4" fontId="3" fillId="4" borderId="29" xfId="0" applyNumberFormat="1" applyFont="1" applyFill="1" applyBorder="1" applyAlignment="1">
      <alignment horizontal="center"/>
    </xf>
    <xf numFmtId="2" fontId="0" fillId="3" borderId="202" xfId="0" applyNumberFormat="1" applyFill="1" applyBorder="1" applyAlignment="1">
      <alignment vertical="center"/>
    </xf>
    <xf numFmtId="0" fontId="0" fillId="0" borderId="0" xfId="0"/>
    <xf numFmtId="0" fontId="0" fillId="2" borderId="0" xfId="0" applyFill="1" applyAlignment="1">
      <alignment horizontal="center"/>
    </xf>
    <xf numFmtId="4" fontId="37" fillId="0" borderId="0" xfId="0" applyNumberFormat="1" applyFont="1" applyFill="1" applyBorder="1" applyAlignment="1">
      <alignment vertical="center"/>
    </xf>
    <xf numFmtId="4" fontId="37" fillId="0" borderId="0" xfId="0" applyNumberFormat="1" applyFont="1" applyFill="1" applyBorder="1" applyAlignment="1">
      <alignment horizontal="center" vertical="center"/>
    </xf>
    <xf numFmtId="0" fontId="0" fillId="0" borderId="0" xfId="0" applyFill="1" applyAlignment="1">
      <alignment vertical="center"/>
    </xf>
    <xf numFmtId="0" fontId="0" fillId="0" borderId="0" xfId="0" applyFill="1" applyAlignment="1">
      <alignment horizontal="right" vertical="center"/>
    </xf>
    <xf numFmtId="0" fontId="89" fillId="0" borderId="0" xfId="0" applyFont="1" applyFill="1" applyAlignment="1">
      <alignment vertical="center"/>
    </xf>
    <xf numFmtId="0" fontId="56" fillId="0" borderId="0" xfId="0" applyFont="1" applyFill="1" applyAlignment="1">
      <alignment vertical="center"/>
    </xf>
    <xf numFmtId="0" fontId="3" fillId="0" borderId="0" xfId="0" applyFont="1" applyFill="1" applyBorder="1" applyAlignment="1">
      <alignment horizontal="left" vertical="center"/>
    </xf>
    <xf numFmtId="0" fontId="7" fillId="0" borderId="0" xfId="0" applyFont="1" applyFill="1" applyBorder="1" applyAlignment="1">
      <alignment horizontal="right" vertical="center"/>
    </xf>
    <xf numFmtId="0" fontId="7" fillId="0" borderId="0" xfId="0" applyFont="1" applyFill="1" applyBorder="1" applyAlignment="1">
      <alignment horizontal="center" vertical="center"/>
    </xf>
    <xf numFmtId="0" fontId="20" fillId="7" borderId="0" xfId="0" applyFont="1" applyFill="1" applyBorder="1" applyAlignment="1">
      <alignment horizontal="center" vertical="center"/>
    </xf>
    <xf numFmtId="0" fontId="56" fillId="7" borderId="0" xfId="0" applyFont="1" applyFill="1" applyAlignment="1">
      <alignment vertical="center"/>
    </xf>
    <xf numFmtId="0" fontId="3" fillId="0" borderId="0" xfId="0" applyFont="1" applyFill="1" applyBorder="1" applyAlignment="1">
      <alignment vertical="center"/>
    </xf>
    <xf numFmtId="0" fontId="0" fillId="0" borderId="0" xfId="0" applyFill="1" applyBorder="1" applyAlignment="1">
      <alignment vertical="center"/>
    </xf>
    <xf numFmtId="0" fontId="0" fillId="0" borderId="0" xfId="0" applyFill="1" applyBorder="1" applyAlignment="1">
      <alignment horizontal="right" vertical="center"/>
    </xf>
    <xf numFmtId="4" fontId="7" fillId="0" borderId="0" xfId="0" applyNumberFormat="1" applyFont="1" applyFill="1" applyBorder="1" applyAlignment="1">
      <alignment horizontal="center"/>
    </xf>
    <xf numFmtId="0" fontId="3" fillId="2" borderId="207" xfId="0" applyFont="1" applyFill="1" applyBorder="1" applyAlignment="1"/>
    <xf numFmtId="0" fontId="2" fillId="2" borderId="203" xfId="0" applyFont="1" applyFill="1" applyBorder="1" applyAlignment="1">
      <alignment horizontal="center" vertical="center"/>
    </xf>
    <xf numFmtId="4" fontId="2" fillId="2" borderId="209" xfId="0" applyNumberFormat="1" applyFont="1" applyFill="1" applyBorder="1" applyAlignment="1">
      <alignment horizontal="center" vertical="center" wrapText="1"/>
    </xf>
    <xf numFmtId="4" fontId="3" fillId="9" borderId="29" xfId="0" applyNumberFormat="1" applyFont="1" applyFill="1" applyBorder="1" applyAlignment="1">
      <alignment vertical="center"/>
    </xf>
    <xf numFmtId="4" fontId="3" fillId="0" borderId="0" xfId="0" applyNumberFormat="1" applyFont="1" applyFill="1" applyBorder="1" applyAlignment="1">
      <alignment horizontal="right"/>
    </xf>
    <xf numFmtId="0" fontId="0" fillId="0" borderId="210" xfId="0" applyFill="1" applyBorder="1" applyAlignment="1">
      <alignment vertical="center"/>
    </xf>
    <xf numFmtId="0" fontId="1" fillId="2" borderId="210" xfId="0" applyFont="1" applyFill="1" applyBorder="1" applyAlignment="1">
      <alignment horizontal="center" vertical="center"/>
    </xf>
    <xf numFmtId="2" fontId="0" fillId="0" borderId="210" xfId="0" applyNumberFormat="1" applyFill="1" applyBorder="1" applyAlignment="1">
      <alignment vertical="center" wrapText="1"/>
    </xf>
    <xf numFmtId="4" fontId="7" fillId="9" borderId="211" xfId="0" applyNumberFormat="1" applyFont="1" applyFill="1" applyBorder="1" applyAlignment="1">
      <alignment vertical="center" wrapText="1"/>
    </xf>
    <xf numFmtId="4" fontId="3" fillId="0" borderId="0" xfId="0" applyNumberFormat="1" applyFont="1" applyFill="1" applyBorder="1" applyAlignment="1">
      <alignment vertical="center"/>
    </xf>
    <xf numFmtId="0" fontId="3" fillId="2" borderId="39" xfId="0" applyFont="1" applyFill="1" applyBorder="1" applyAlignment="1"/>
    <xf numFmtId="0" fontId="0" fillId="0" borderId="179" xfId="0" applyFill="1" applyBorder="1" applyAlignment="1">
      <alignment vertical="center"/>
    </xf>
    <xf numFmtId="0" fontId="1" fillId="2" borderId="179" xfId="0" applyFont="1" applyFill="1" applyBorder="1" applyAlignment="1">
      <alignment horizontal="center" vertical="center"/>
    </xf>
    <xf numFmtId="2" fontId="0" fillId="0" borderId="179" xfId="0" applyNumberFormat="1" applyFill="1" applyBorder="1" applyAlignment="1">
      <alignment vertical="center" wrapText="1"/>
    </xf>
    <xf numFmtId="4" fontId="7" fillId="9" borderId="199" xfId="0" applyNumberFormat="1" applyFont="1" applyFill="1" applyBorder="1" applyAlignment="1">
      <alignment vertical="center" wrapText="1"/>
    </xf>
    <xf numFmtId="4" fontId="7" fillId="0" borderId="0" xfId="0" applyNumberFormat="1" applyFont="1" applyFill="1" applyBorder="1" applyAlignment="1">
      <alignment vertical="center" wrapText="1"/>
    </xf>
    <xf numFmtId="0" fontId="0" fillId="2" borderId="0" xfId="0" applyFont="1" applyFill="1" applyBorder="1"/>
    <xf numFmtId="0" fontId="3" fillId="2" borderId="85" xfId="0" applyFont="1" applyFill="1" applyBorder="1" applyAlignment="1"/>
    <xf numFmtId="0" fontId="2" fillId="2" borderId="212" xfId="0" applyFont="1" applyFill="1" applyBorder="1" applyAlignment="1">
      <alignment horizontal="center"/>
    </xf>
    <xf numFmtId="2" fontId="2" fillId="2" borderId="213" xfId="0" applyNumberFormat="1" applyFont="1" applyFill="1" applyBorder="1" applyAlignment="1">
      <alignment horizontal="center" vertical="center" wrapText="1"/>
    </xf>
    <xf numFmtId="0" fontId="2" fillId="2" borderId="206" xfId="0" applyFont="1" applyFill="1" applyBorder="1" applyAlignment="1">
      <alignment horizontal="center"/>
    </xf>
    <xf numFmtId="2" fontId="1" fillId="3" borderId="0" xfId="0" applyNumberFormat="1" applyFont="1" applyFill="1" applyBorder="1"/>
    <xf numFmtId="4" fontId="2" fillId="2" borderId="214" xfId="0" applyNumberFormat="1" applyFont="1" applyFill="1" applyBorder="1" applyAlignment="1">
      <alignment horizontal="center" vertical="center" wrapText="1"/>
    </xf>
    <xf numFmtId="0" fontId="1" fillId="2" borderId="210" xfId="0" applyFont="1" applyFill="1" applyBorder="1"/>
    <xf numFmtId="0" fontId="1" fillId="2" borderId="210" xfId="0" applyFont="1" applyFill="1" applyBorder="1" applyAlignment="1">
      <alignment horizontal="center"/>
    </xf>
    <xf numFmtId="2" fontId="1" fillId="3" borderId="210" xfId="0" applyNumberFormat="1" applyFont="1" applyFill="1" applyBorder="1"/>
    <xf numFmtId="0" fontId="86" fillId="0" borderId="29" xfId="0" applyFont="1" applyFill="1" applyBorder="1" applyAlignment="1">
      <alignment vertical="center"/>
    </xf>
    <xf numFmtId="2" fontId="1" fillId="3" borderId="179" xfId="0" applyNumberFormat="1" applyFont="1" applyFill="1" applyBorder="1"/>
    <xf numFmtId="4" fontId="1" fillId="2" borderId="9" xfId="0" applyNumberFormat="1" applyFont="1" applyFill="1" applyBorder="1" applyAlignment="1">
      <alignment vertical="center" wrapText="1"/>
    </xf>
    <xf numFmtId="0" fontId="5" fillId="4" borderId="37" xfId="0" applyFont="1" applyFill="1" applyBorder="1" applyAlignment="1">
      <alignment horizontal="center" vertical="center" wrapText="1"/>
    </xf>
    <xf numFmtId="0" fontId="5" fillId="4" borderId="0" xfId="0" applyFont="1" applyFill="1" applyBorder="1" applyAlignment="1">
      <alignment horizontal="center" vertical="center" wrapText="1"/>
    </xf>
    <xf numFmtId="0" fontId="3" fillId="0" borderId="0" xfId="0" applyFont="1" applyBorder="1" applyAlignment="1">
      <alignment horizontal="right"/>
    </xf>
    <xf numFmtId="0" fontId="0" fillId="0" borderId="39" xfId="0" applyBorder="1" applyAlignment="1">
      <alignment horizontal="center"/>
    </xf>
    <xf numFmtId="0" fontId="0" fillId="0" borderId="0" xfId="0"/>
    <xf numFmtId="4" fontId="3" fillId="4" borderId="29" xfId="0" applyNumberFormat="1" applyFont="1" applyFill="1" applyBorder="1" applyAlignment="1">
      <alignment horizontal="center"/>
    </xf>
    <xf numFmtId="0" fontId="0" fillId="2" borderId="0" xfId="0" applyFill="1" applyAlignment="1">
      <alignment horizontal="center"/>
    </xf>
    <xf numFmtId="4" fontId="3" fillId="9" borderId="132" xfId="0" applyNumberFormat="1" applyFont="1" applyFill="1" applyBorder="1" applyAlignment="1">
      <alignment horizontal="center"/>
    </xf>
    <xf numFmtId="0" fontId="3" fillId="2" borderId="85" xfId="0" applyFont="1" applyFill="1" applyBorder="1" applyAlignment="1">
      <alignment horizontal="center"/>
    </xf>
    <xf numFmtId="4" fontId="5" fillId="0" borderId="0" xfId="0" applyNumberFormat="1" applyFont="1" applyFill="1" applyBorder="1" applyAlignment="1">
      <alignment vertical="center" wrapText="1"/>
    </xf>
    <xf numFmtId="0" fontId="16" fillId="0" borderId="0" xfId="0" applyFont="1" applyBorder="1" applyAlignment="1">
      <alignment horizontal="left"/>
    </xf>
    <xf numFmtId="4" fontId="3" fillId="0" borderId="0" xfId="0" applyNumberFormat="1" applyFont="1" applyFill="1" applyBorder="1" applyAlignment="1"/>
    <xf numFmtId="0" fontId="3" fillId="0" borderId="35" xfId="0" applyFont="1" applyBorder="1" applyAlignment="1">
      <alignment horizontal="left"/>
    </xf>
    <xf numFmtId="0" fontId="3" fillId="0" borderId="0" xfId="0" applyFont="1" applyBorder="1" applyAlignment="1">
      <alignment horizontal="left"/>
    </xf>
    <xf numFmtId="4" fontId="119" fillId="4" borderId="29" xfId="0" applyNumberFormat="1" applyFont="1" applyFill="1" applyBorder="1" applyAlignment="1"/>
    <xf numFmtId="0" fontId="3" fillId="4" borderId="0" xfId="0" applyFont="1" applyFill="1" applyBorder="1" applyAlignment="1">
      <alignment horizontal="center" vertical="center"/>
    </xf>
    <xf numFmtId="4" fontId="3" fillId="0" borderId="0" xfId="0" applyNumberFormat="1" applyFont="1" applyFill="1" applyBorder="1" applyAlignment="1">
      <alignment horizontal="center"/>
    </xf>
    <xf numFmtId="0" fontId="0" fillId="0" borderId="210" xfId="0" applyBorder="1" applyAlignment="1">
      <alignment vertical="center"/>
    </xf>
    <xf numFmtId="0" fontId="0" fillId="0" borderId="215" xfId="0" applyBorder="1" applyAlignment="1">
      <alignment horizontal="center" vertical="center"/>
    </xf>
    <xf numFmtId="4" fontId="7" fillId="4" borderId="216" xfId="0" applyNumberFormat="1" applyFont="1" applyFill="1" applyBorder="1" applyAlignment="1">
      <alignment vertical="center"/>
    </xf>
    <xf numFmtId="4" fontId="7" fillId="0" borderId="0" xfId="0" applyNumberFormat="1" applyFont="1" applyFill="1" applyBorder="1" applyAlignment="1">
      <alignment vertical="center"/>
    </xf>
    <xf numFmtId="3" fontId="0" fillId="0" borderId="215" xfId="0" applyNumberFormat="1" applyBorder="1" applyAlignment="1">
      <alignment horizontal="center" vertical="center"/>
    </xf>
    <xf numFmtId="0" fontId="0" fillId="0" borderId="217" xfId="0" applyBorder="1" applyAlignment="1">
      <alignment vertical="center"/>
    </xf>
    <xf numFmtId="0" fontId="0" fillId="0" borderId="218" xfId="0" applyBorder="1" applyAlignment="1">
      <alignment horizontal="center" vertical="center"/>
    </xf>
    <xf numFmtId="0" fontId="3" fillId="0" borderId="219" xfId="0" applyFont="1" applyBorder="1" applyAlignment="1">
      <alignment vertical="center"/>
    </xf>
    <xf numFmtId="0" fontId="7" fillId="0" borderId="0" xfId="0" applyFont="1" applyFill="1"/>
    <xf numFmtId="0" fontId="0" fillId="0" borderId="0" xfId="0" applyFill="1" applyAlignment="1">
      <alignment horizontal="left" vertical="top" wrapText="1"/>
    </xf>
    <xf numFmtId="0" fontId="120" fillId="0" borderId="180" xfId="0" applyFont="1" applyBorder="1" applyAlignment="1">
      <alignment vertical="center"/>
    </xf>
    <xf numFmtId="4" fontId="120" fillId="4" borderId="220" xfId="0" applyNumberFormat="1" applyFont="1" applyFill="1" applyBorder="1" applyAlignment="1">
      <alignment vertical="center"/>
    </xf>
    <xf numFmtId="0" fontId="16" fillId="0" borderId="7" xfId="0" applyFont="1" applyFill="1" applyBorder="1" applyAlignment="1">
      <alignment horizontal="center"/>
    </xf>
    <xf numFmtId="0" fontId="0" fillId="2" borderId="54" xfId="0" applyFill="1" applyBorder="1"/>
    <xf numFmtId="0" fontId="0" fillId="2" borderId="39" xfId="0" applyFill="1" applyBorder="1"/>
    <xf numFmtId="0" fontId="2" fillId="2" borderId="62" xfId="0" applyFont="1" applyFill="1" applyBorder="1" applyAlignment="1">
      <alignment horizontal="center"/>
    </xf>
    <xf numFmtId="2" fontId="1" fillId="3" borderId="37" xfId="0" applyNumberFormat="1" applyFont="1" applyFill="1" applyBorder="1"/>
    <xf numFmtId="0" fontId="0" fillId="2" borderId="210" xfId="0" applyFill="1" applyBorder="1" applyAlignment="1">
      <alignment vertical="center"/>
    </xf>
    <xf numFmtId="0" fontId="1" fillId="2" borderId="210" xfId="0" applyFont="1" applyFill="1" applyBorder="1" applyAlignment="1">
      <alignment vertical="center"/>
    </xf>
    <xf numFmtId="2" fontId="1" fillId="3" borderId="210" xfId="0" applyNumberFormat="1" applyFont="1" applyFill="1" applyBorder="1" applyAlignment="1">
      <alignment vertical="center"/>
    </xf>
    <xf numFmtId="0" fontId="0" fillId="2" borderId="179" xfId="0" applyFill="1" applyBorder="1" applyAlignment="1">
      <alignment vertical="center"/>
    </xf>
    <xf numFmtId="0" fontId="1" fillId="2" borderId="179" xfId="0" applyFont="1" applyFill="1" applyBorder="1" applyAlignment="1">
      <alignment vertical="center"/>
    </xf>
    <xf numFmtId="2" fontId="1" fillId="3" borderId="179" xfId="0" applyNumberFormat="1" applyFont="1" applyFill="1" applyBorder="1" applyAlignment="1">
      <alignment vertical="center"/>
    </xf>
    <xf numFmtId="0" fontId="0" fillId="0" borderId="0" xfId="0" applyAlignment="1">
      <alignment horizontal="right" vertical="center" wrapText="1"/>
    </xf>
    <xf numFmtId="4" fontId="2" fillId="2" borderId="221" xfId="0" applyNumberFormat="1" applyFont="1" applyFill="1" applyBorder="1" applyAlignment="1">
      <alignment horizontal="center" vertical="center" wrapText="1"/>
    </xf>
    <xf numFmtId="0" fontId="0" fillId="2" borderId="210" xfId="0" applyFill="1" applyBorder="1" applyAlignment="1">
      <alignment horizontal="center" vertical="center"/>
    </xf>
    <xf numFmtId="0" fontId="0" fillId="2" borderId="179" xfId="0" applyFill="1" applyBorder="1" applyAlignment="1">
      <alignment horizontal="center" vertical="center"/>
    </xf>
    <xf numFmtId="4" fontId="0" fillId="2" borderId="9" xfId="0" applyNumberFormat="1" applyFill="1" applyBorder="1" applyAlignment="1">
      <alignment vertical="center"/>
    </xf>
    <xf numFmtId="0" fontId="0" fillId="0" borderId="54" xfId="0" applyBorder="1"/>
    <xf numFmtId="4" fontId="0" fillId="2" borderId="210" xfId="0" applyNumberFormat="1" applyFill="1" applyBorder="1" applyAlignment="1">
      <alignment vertical="center"/>
    </xf>
    <xf numFmtId="0" fontId="2" fillId="2" borderId="215" xfId="0" applyFont="1" applyFill="1" applyBorder="1" applyAlignment="1">
      <alignment horizontal="center"/>
    </xf>
    <xf numFmtId="2" fontId="2" fillId="2" borderId="210" xfId="0" applyNumberFormat="1" applyFont="1" applyFill="1" applyBorder="1" applyAlignment="1">
      <alignment horizontal="center" vertical="center" wrapText="1"/>
    </xf>
    <xf numFmtId="0" fontId="2" fillId="2" borderId="61" xfId="0" applyFont="1" applyFill="1" applyBorder="1" applyAlignment="1">
      <alignment horizontal="center"/>
    </xf>
    <xf numFmtId="4" fontId="7" fillId="9" borderId="199" xfId="0" applyNumberFormat="1" applyFont="1" applyFill="1" applyBorder="1" applyAlignment="1">
      <alignment horizontal="center" vertical="center"/>
    </xf>
    <xf numFmtId="4" fontId="7" fillId="9" borderId="222" xfId="0" applyNumberFormat="1" applyFont="1" applyFill="1" applyBorder="1" applyAlignment="1">
      <alignment horizontal="center" vertical="center"/>
    </xf>
    <xf numFmtId="2" fontId="2" fillId="2" borderId="223" xfId="0" applyNumberFormat="1" applyFont="1" applyFill="1" applyBorder="1" applyAlignment="1">
      <alignment horizontal="center" vertical="center" wrapText="1"/>
    </xf>
    <xf numFmtId="4" fontId="2" fillId="2" borderId="224" xfId="0" applyNumberFormat="1" applyFont="1" applyFill="1" applyBorder="1" applyAlignment="1">
      <alignment horizontal="center" vertical="center" wrapText="1"/>
    </xf>
    <xf numFmtId="4" fontId="1" fillId="2" borderId="210" xfId="0" applyNumberFormat="1" applyFont="1" applyFill="1" applyBorder="1" applyAlignment="1">
      <alignment vertical="center" wrapText="1"/>
    </xf>
    <xf numFmtId="0" fontId="3" fillId="4" borderId="7" xfId="0" applyFont="1" applyFill="1" applyBorder="1" applyAlignment="1">
      <alignment horizontal="center"/>
    </xf>
    <xf numFmtId="0" fontId="0" fillId="0" borderId="0" xfId="0"/>
    <xf numFmtId="0" fontId="3" fillId="2" borderId="0" xfId="0" applyFont="1" applyFill="1" applyBorder="1" applyAlignment="1">
      <alignment horizontal="center"/>
    </xf>
    <xf numFmtId="0" fontId="3" fillId="2" borderId="79" xfId="0" applyFont="1" applyFill="1" applyBorder="1" applyAlignment="1">
      <alignment horizontal="center"/>
    </xf>
    <xf numFmtId="0" fontId="44" fillId="4" borderId="29" xfId="0" applyFont="1" applyFill="1" applyBorder="1" applyAlignment="1">
      <alignment horizontal="center" vertical="center"/>
    </xf>
    <xf numFmtId="4" fontId="3" fillId="4" borderId="29" xfId="0" applyNumberFormat="1" applyFont="1" applyFill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0" fillId="4" borderId="0" xfId="0" applyFill="1" applyAlignment="1">
      <alignment horizontal="center"/>
    </xf>
    <xf numFmtId="0" fontId="3" fillId="4" borderId="35" xfId="0" applyFont="1" applyFill="1" applyBorder="1" applyAlignment="1">
      <alignment horizontal="right"/>
    </xf>
    <xf numFmtId="0" fontId="1" fillId="2" borderId="0" xfId="0" applyFont="1" applyFill="1" applyBorder="1" applyAlignment="1">
      <alignment horizontal="center"/>
    </xf>
    <xf numFmtId="0" fontId="7" fillId="7" borderId="0" xfId="0" applyFont="1" applyFill="1" applyBorder="1" applyAlignment="1">
      <alignment horizontal="center"/>
    </xf>
    <xf numFmtId="0" fontId="3" fillId="4" borderId="7" xfId="0" applyFont="1" applyFill="1" applyBorder="1" applyAlignment="1">
      <alignment horizontal="center"/>
    </xf>
    <xf numFmtId="0" fontId="0" fillId="0" borderId="0" xfId="0"/>
    <xf numFmtId="0" fontId="3" fillId="2" borderId="0" xfId="0" applyFont="1" applyFill="1" applyBorder="1" applyAlignment="1">
      <alignment horizontal="right"/>
    </xf>
    <xf numFmtId="0" fontId="0" fillId="2" borderId="0" xfId="0" applyFill="1" applyBorder="1" applyAlignment="1">
      <alignment horizontal="center"/>
    </xf>
    <xf numFmtId="4" fontId="3" fillId="4" borderId="29" xfId="0" applyNumberFormat="1" applyFont="1" applyFill="1" applyBorder="1" applyAlignment="1">
      <alignment horizontal="center"/>
    </xf>
    <xf numFmtId="0" fontId="0" fillId="4" borderId="0" xfId="0" applyFill="1" applyAlignment="1">
      <alignment horizontal="center"/>
    </xf>
    <xf numFmtId="0" fontId="3" fillId="4" borderId="35" xfId="0" applyFont="1" applyFill="1" applyBorder="1" applyAlignment="1">
      <alignment horizontal="right"/>
    </xf>
    <xf numFmtId="4" fontId="7" fillId="0" borderId="0" xfId="0" applyNumberFormat="1" applyFont="1" applyFill="1" applyAlignment="1">
      <alignment horizontal="center"/>
    </xf>
    <xf numFmtId="0" fontId="16" fillId="0" borderId="0" xfId="0" applyFont="1"/>
    <xf numFmtId="0" fontId="121" fillId="0" borderId="0" xfId="2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4" borderId="185" xfId="0" applyFont="1" applyFill="1" applyBorder="1" applyAlignment="1">
      <alignment horizontal="center"/>
    </xf>
    <xf numFmtId="2" fontId="2" fillId="2" borderId="206" xfId="0" applyNumberFormat="1" applyFont="1" applyFill="1" applyBorder="1" applyAlignment="1">
      <alignment horizontal="center" vertical="center" wrapText="1"/>
    </xf>
    <xf numFmtId="0" fontId="0" fillId="0" borderId="206" xfId="0" applyBorder="1"/>
    <xf numFmtId="0" fontId="0" fillId="2" borderId="225" xfId="0" applyFill="1" applyBorder="1"/>
    <xf numFmtId="0" fontId="0" fillId="0" borderId="225" xfId="0" applyBorder="1" applyAlignment="1">
      <alignment horizontal="center"/>
    </xf>
    <xf numFmtId="2" fontId="0" fillId="3" borderId="225" xfId="0" applyNumberFormat="1" applyFill="1" applyBorder="1" applyAlignment="1">
      <alignment vertical="center" wrapText="1"/>
    </xf>
    <xf numFmtId="2" fontId="0" fillId="0" borderId="225" xfId="0" applyNumberFormat="1" applyFill="1" applyBorder="1" applyAlignment="1">
      <alignment vertical="center" wrapText="1"/>
    </xf>
    <xf numFmtId="0" fontId="0" fillId="0" borderId="206" xfId="0" applyFont="1" applyBorder="1" applyAlignment="1">
      <alignment horizontal="left"/>
    </xf>
    <xf numFmtId="0" fontId="0" fillId="0" borderId="201" xfId="0" applyBorder="1"/>
    <xf numFmtId="2" fontId="0" fillId="3" borderId="179" xfId="0" applyNumberFormat="1" applyFill="1" applyBorder="1" applyAlignment="1">
      <alignment vertical="center" wrapText="1"/>
    </xf>
    <xf numFmtId="0" fontId="3" fillId="4" borderId="185" xfId="0" applyFont="1" applyFill="1" applyBorder="1" applyAlignment="1"/>
    <xf numFmtId="2" fontId="0" fillId="3" borderId="225" xfId="0" applyNumberFormat="1" applyFill="1" applyBorder="1"/>
    <xf numFmtId="0" fontId="1" fillId="0" borderId="206" xfId="0" applyFont="1" applyBorder="1" applyAlignment="1">
      <alignment horizontal="left"/>
    </xf>
    <xf numFmtId="0" fontId="1" fillId="0" borderId="201" xfId="0" applyFont="1" applyBorder="1" applyAlignment="1">
      <alignment horizontal="left"/>
    </xf>
    <xf numFmtId="2" fontId="0" fillId="3" borderId="179" xfId="0" applyNumberFormat="1" applyFill="1" applyBorder="1"/>
    <xf numFmtId="2" fontId="0" fillId="0" borderId="225" xfId="0" applyNumberFormat="1" applyFill="1" applyBorder="1" applyAlignment="1">
      <alignment horizontal="right" vertical="center" wrapText="1"/>
    </xf>
    <xf numFmtId="0" fontId="0" fillId="0" borderId="206" xfId="0" applyBorder="1" applyAlignment="1">
      <alignment horizontal="left"/>
    </xf>
    <xf numFmtId="2" fontId="0" fillId="0" borderId="179" xfId="0" applyNumberFormat="1" applyFill="1" applyBorder="1" applyAlignment="1">
      <alignment horizontal="right" vertical="center" wrapText="1"/>
    </xf>
    <xf numFmtId="0" fontId="2" fillId="2" borderId="185" xfId="0" applyFont="1" applyFill="1" applyBorder="1" applyAlignment="1">
      <alignment horizontal="center"/>
    </xf>
    <xf numFmtId="4" fontId="0" fillId="3" borderId="225" xfId="0" applyNumberFormat="1" applyFill="1" applyBorder="1"/>
    <xf numFmtId="0" fontId="0" fillId="0" borderId="206" xfId="0" applyBorder="1" applyAlignment="1"/>
    <xf numFmtId="0" fontId="0" fillId="0" borderId="225" xfId="0" applyBorder="1" applyAlignment="1"/>
    <xf numFmtId="4" fontId="7" fillId="4" borderId="222" xfId="0" applyNumberFormat="1" applyFont="1" applyFill="1" applyBorder="1" applyAlignment="1">
      <alignment horizontal="center" vertical="center" wrapText="1"/>
    </xf>
    <xf numFmtId="2" fontId="1" fillId="2" borderId="225" xfId="0" applyNumberFormat="1" applyFont="1" applyFill="1" applyBorder="1" applyAlignment="1">
      <alignment vertical="center" wrapText="1"/>
    </xf>
    <xf numFmtId="0" fontId="0" fillId="0" borderId="206" xfId="0" applyBorder="1" applyAlignment="1">
      <alignment horizontal="center"/>
    </xf>
    <xf numFmtId="0" fontId="0" fillId="0" borderId="201" xfId="0" applyBorder="1" applyAlignment="1">
      <alignment horizontal="center"/>
    </xf>
    <xf numFmtId="4" fontId="0" fillId="3" borderId="179" xfId="0" applyNumberFormat="1" applyFill="1" applyBorder="1"/>
    <xf numFmtId="2" fontId="1" fillId="2" borderId="179" xfId="0" applyNumberFormat="1" applyFont="1" applyFill="1" applyBorder="1" applyAlignment="1">
      <alignment vertical="center" wrapText="1"/>
    </xf>
    <xf numFmtId="0" fontId="112" fillId="0" borderId="225" xfId="0" applyFont="1" applyBorder="1" applyAlignment="1">
      <alignment horizontal="left"/>
    </xf>
    <xf numFmtId="0" fontId="0" fillId="0" borderId="225" xfId="0" applyBorder="1"/>
    <xf numFmtId="0" fontId="112" fillId="0" borderId="225" xfId="0" applyFont="1" applyBorder="1"/>
    <xf numFmtId="0" fontId="112" fillId="2" borderId="225" xfId="0" applyFont="1" applyFill="1" applyBorder="1"/>
    <xf numFmtId="0" fontId="0" fillId="2" borderId="100" xfId="0" applyFont="1" applyFill="1" applyBorder="1"/>
    <xf numFmtId="0" fontId="0" fillId="7" borderId="225" xfId="0" applyFill="1" applyBorder="1"/>
    <xf numFmtId="0" fontId="112" fillId="0" borderId="0" xfId="0" applyFont="1" applyBorder="1" applyAlignment="1">
      <alignment horizontal="left"/>
    </xf>
    <xf numFmtId="2" fontId="1" fillId="2" borderId="139" xfId="0" applyNumberFormat="1" applyFont="1" applyFill="1" applyBorder="1" applyAlignment="1">
      <alignment horizontal="right"/>
    </xf>
    <xf numFmtId="2" fontId="1" fillId="2" borderId="48" xfId="0" applyNumberFormat="1" applyFont="1" applyFill="1" applyBorder="1" applyAlignment="1">
      <alignment horizontal="right"/>
    </xf>
    <xf numFmtId="0" fontId="0" fillId="2" borderId="225" xfId="0" applyFill="1" applyBorder="1" applyAlignment="1">
      <alignment horizontal="center"/>
    </xf>
    <xf numFmtId="4" fontId="0" fillId="2" borderId="225" xfId="0" applyNumberFormat="1" applyFill="1" applyBorder="1" applyAlignment="1">
      <alignment vertical="center" wrapText="1"/>
    </xf>
    <xf numFmtId="0" fontId="1" fillId="0" borderId="225" xfId="0" applyFont="1" applyBorder="1" applyAlignment="1">
      <alignment horizontal="left"/>
    </xf>
    <xf numFmtId="0" fontId="0" fillId="2" borderId="27" xfId="0" applyFont="1" applyFill="1" applyBorder="1" applyAlignment="1">
      <alignment horizontal="left"/>
    </xf>
    <xf numFmtId="0" fontId="0" fillId="2" borderId="27" xfId="0" applyFill="1" applyBorder="1"/>
    <xf numFmtId="0" fontId="0" fillId="2" borderId="27" xfId="0" applyFill="1" applyBorder="1" applyAlignment="1">
      <alignment horizontal="center"/>
    </xf>
    <xf numFmtId="4" fontId="0" fillId="3" borderId="27" xfId="0" applyNumberFormat="1" applyFill="1" applyBorder="1"/>
    <xf numFmtId="4" fontId="0" fillId="2" borderId="27" xfId="0" applyNumberFormat="1" applyFill="1" applyBorder="1" applyAlignment="1">
      <alignment vertical="center" wrapText="1"/>
    </xf>
    <xf numFmtId="0" fontId="0" fillId="2" borderId="225" xfId="0" applyFont="1" applyFill="1" applyBorder="1" applyAlignment="1">
      <alignment horizontal="left"/>
    </xf>
    <xf numFmtId="0" fontId="122" fillId="7" borderId="141" xfId="0" applyFont="1" applyFill="1" applyBorder="1"/>
    <xf numFmtId="0" fontId="122" fillId="7" borderId="225" xfId="0" applyFont="1" applyFill="1" applyBorder="1"/>
    <xf numFmtId="0" fontId="3" fillId="2" borderId="41" xfId="0" applyFont="1" applyFill="1" applyBorder="1" applyAlignment="1"/>
    <xf numFmtId="0" fontId="3" fillId="2" borderId="42" xfId="0" applyFont="1" applyFill="1" applyBorder="1" applyAlignment="1"/>
    <xf numFmtId="0" fontId="6" fillId="0" borderId="225" xfId="0" applyFont="1" applyBorder="1" applyAlignment="1">
      <alignment horizontal="left"/>
    </xf>
    <xf numFmtId="0" fontId="6" fillId="0" borderId="179" xfId="0" applyFont="1" applyBorder="1" applyAlignment="1">
      <alignment horizontal="left"/>
    </xf>
    <xf numFmtId="0" fontId="0" fillId="0" borderId="0" xfId="0"/>
    <xf numFmtId="0" fontId="0" fillId="2" borderId="0" xfId="0" applyFill="1" applyAlignment="1">
      <alignment horizontal="center"/>
    </xf>
    <xf numFmtId="0" fontId="3" fillId="4" borderId="7" xfId="0" applyFont="1" applyFill="1" applyBorder="1" applyAlignment="1">
      <alignment horizontal="center"/>
    </xf>
    <xf numFmtId="0" fontId="0" fillId="0" borderId="0" xfId="0"/>
    <xf numFmtId="4" fontId="3" fillId="4" borderId="29" xfId="0" applyNumberFormat="1" applyFont="1" applyFill="1" applyBorder="1" applyAlignment="1">
      <alignment horizontal="center"/>
    </xf>
    <xf numFmtId="0" fontId="0" fillId="2" borderId="0" xfId="0" applyFill="1" applyAlignment="1">
      <alignment horizontal="center"/>
    </xf>
    <xf numFmtId="0" fontId="0" fillId="4" borderId="0" xfId="0" applyFill="1" applyAlignment="1">
      <alignment horizontal="center"/>
    </xf>
    <xf numFmtId="0" fontId="3" fillId="4" borderId="35" xfId="0" applyFont="1" applyFill="1" applyBorder="1" applyAlignment="1">
      <alignment horizontal="right"/>
    </xf>
    <xf numFmtId="0" fontId="31" fillId="12" borderId="88" xfId="0" applyFont="1" applyFill="1" applyBorder="1" applyAlignment="1">
      <alignment horizontal="left" vertical="center"/>
    </xf>
    <xf numFmtId="0" fontId="27" fillId="2" borderId="35" xfId="0" applyFont="1" applyFill="1" applyBorder="1" applyAlignment="1">
      <alignment horizontal="right" vertical="center"/>
    </xf>
    <xf numFmtId="0" fontId="31" fillId="12" borderId="54" xfId="0" applyFont="1" applyFill="1" applyBorder="1" applyAlignment="1">
      <alignment horizontal="left"/>
    </xf>
    <xf numFmtId="0" fontId="7" fillId="12" borderId="101" xfId="2" applyFont="1" applyFill="1" applyBorder="1"/>
    <xf numFmtId="0" fontId="7" fillId="12" borderId="101" xfId="2" quotePrefix="1" applyFont="1" applyFill="1" applyBorder="1" applyAlignment="1">
      <alignment horizontal="right"/>
    </xf>
    <xf numFmtId="0" fontId="0" fillId="7" borderId="171" xfId="0" applyFill="1" applyBorder="1"/>
    <xf numFmtId="0" fontId="0" fillId="7" borderId="225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121" fillId="2" borderId="0" xfId="2" applyFont="1" applyFill="1"/>
    <xf numFmtId="0" fontId="0" fillId="0" borderId="228" xfId="0" applyBorder="1"/>
    <xf numFmtId="0" fontId="0" fillId="0" borderId="229" xfId="0" applyBorder="1"/>
    <xf numFmtId="0" fontId="0" fillId="0" borderId="29" xfId="0" applyBorder="1"/>
    <xf numFmtId="0" fontId="0" fillId="0" borderId="0" xfId="0"/>
    <xf numFmtId="0" fontId="0" fillId="2" borderId="0" xfId="0" applyFill="1" applyAlignment="1">
      <alignment horizontal="center"/>
    </xf>
    <xf numFmtId="4" fontId="3" fillId="9" borderId="29" xfId="0" applyNumberFormat="1" applyFont="1" applyFill="1" applyBorder="1" applyAlignment="1">
      <alignment horizontal="center"/>
    </xf>
    <xf numFmtId="0" fontId="116" fillId="2" borderId="37" xfId="0" applyFont="1" applyFill="1" applyBorder="1" applyAlignment="1">
      <alignment horizontal="left"/>
    </xf>
    <xf numFmtId="0" fontId="0" fillId="0" borderId="230" xfId="0" applyBorder="1"/>
    <xf numFmtId="0" fontId="2" fillId="2" borderId="183" xfId="0" applyFont="1" applyFill="1" applyBorder="1" applyAlignment="1">
      <alignment horizontal="center"/>
    </xf>
    <xf numFmtId="2" fontId="2" fillId="2" borderId="231" xfId="0" applyNumberFormat="1" applyFont="1" applyFill="1" applyBorder="1" applyAlignment="1">
      <alignment horizontal="center" vertical="center" wrapText="1"/>
    </xf>
    <xf numFmtId="0" fontId="2" fillId="2" borderId="231" xfId="0" applyFont="1" applyFill="1" applyBorder="1" applyAlignment="1">
      <alignment horizontal="center"/>
    </xf>
    <xf numFmtId="0" fontId="2" fillId="2" borderId="233" xfId="0" applyFont="1" applyFill="1" applyBorder="1" applyAlignment="1">
      <alignment horizontal="center"/>
    </xf>
    <xf numFmtId="4" fontId="2" fillId="2" borderId="237" xfId="0" applyNumberFormat="1" applyFont="1" applyFill="1" applyBorder="1" applyAlignment="1">
      <alignment horizontal="center" vertical="center" wrapText="1"/>
    </xf>
    <xf numFmtId="0" fontId="0" fillId="0" borderId="237" xfId="0" applyBorder="1"/>
    <xf numFmtId="0" fontId="0" fillId="2" borderId="230" xfId="0" applyFill="1" applyBorder="1"/>
    <xf numFmtId="0" fontId="0" fillId="0" borderId="230" xfId="0" applyBorder="1" applyAlignment="1">
      <alignment horizontal="center"/>
    </xf>
    <xf numFmtId="2" fontId="0" fillId="7" borderId="230" xfId="0" applyNumberFormat="1" applyFill="1" applyBorder="1" applyAlignment="1">
      <alignment horizontal="right" vertical="center" wrapText="1"/>
    </xf>
    <xf numFmtId="2" fontId="0" fillId="7" borderId="233" xfId="0" applyNumberFormat="1" applyFill="1" applyBorder="1" applyAlignment="1">
      <alignment horizontal="right" vertical="center" wrapText="1"/>
    </xf>
    <xf numFmtId="4" fontId="0" fillId="0" borderId="233" xfId="0" applyNumberFormat="1" applyFill="1" applyBorder="1" applyAlignment="1">
      <alignment vertical="center" wrapText="1"/>
    </xf>
    <xf numFmtId="0" fontId="1" fillId="2" borderId="230" xfId="0" applyFont="1" applyFill="1" applyBorder="1" applyAlignment="1">
      <alignment horizontal="left"/>
    </xf>
    <xf numFmtId="0" fontId="1" fillId="0" borderId="230" xfId="0" applyFont="1" applyBorder="1" applyAlignment="1">
      <alignment horizontal="left"/>
    </xf>
    <xf numFmtId="0" fontId="1" fillId="0" borderId="232" xfId="0" applyFont="1" applyBorder="1" applyAlignment="1">
      <alignment horizontal="left"/>
    </xf>
    <xf numFmtId="0" fontId="0" fillId="2" borderId="232" xfId="0" applyFill="1" applyBorder="1"/>
    <xf numFmtId="0" fontId="0" fillId="0" borderId="232" xfId="0" applyBorder="1" applyAlignment="1">
      <alignment horizontal="center"/>
    </xf>
    <xf numFmtId="2" fontId="0" fillId="7" borderId="232" xfId="0" applyNumberFormat="1" applyFill="1" applyBorder="1" applyAlignment="1">
      <alignment horizontal="right" vertical="center" wrapText="1"/>
    </xf>
    <xf numFmtId="2" fontId="0" fillId="7" borderId="234" xfId="0" applyNumberFormat="1" applyFill="1" applyBorder="1" applyAlignment="1">
      <alignment horizontal="right" vertical="center" wrapText="1"/>
    </xf>
    <xf numFmtId="4" fontId="0" fillId="0" borderId="234" xfId="0" applyNumberFormat="1" applyFill="1" applyBorder="1" applyAlignment="1">
      <alignment vertical="center" wrapText="1"/>
    </xf>
    <xf numFmtId="0" fontId="1" fillId="2" borderId="240" xfId="0" applyFont="1" applyFill="1" applyBorder="1"/>
    <xf numFmtId="0" fontId="1" fillId="2" borderId="230" xfId="0" applyFont="1" applyFill="1" applyBorder="1"/>
    <xf numFmtId="0" fontId="87" fillId="9" borderId="185" xfId="0" applyFont="1" applyFill="1" applyBorder="1" applyAlignment="1">
      <alignment horizontal="center"/>
    </xf>
    <xf numFmtId="0" fontId="3" fillId="9" borderId="185" xfId="0" applyFont="1" applyFill="1" applyBorder="1" applyAlignment="1"/>
    <xf numFmtId="0" fontId="23" fillId="9" borderId="185" xfId="0" applyFont="1" applyFill="1" applyBorder="1" applyAlignment="1"/>
    <xf numFmtId="4" fontId="23" fillId="9" borderId="185" xfId="0" applyNumberFormat="1" applyFont="1" applyFill="1" applyBorder="1" applyAlignment="1"/>
    <xf numFmtId="0" fontId="1" fillId="2" borderId="232" xfId="0" applyFont="1" applyFill="1" applyBorder="1"/>
    <xf numFmtId="0" fontId="1" fillId="2" borderId="232" xfId="0" applyFont="1" applyFill="1" applyBorder="1" applyAlignment="1">
      <alignment horizontal="center"/>
    </xf>
    <xf numFmtId="2" fontId="0" fillId="7" borderId="232" xfId="0" applyNumberFormat="1" applyFill="1" applyBorder="1" applyAlignment="1">
      <alignment horizontal="right"/>
    </xf>
    <xf numFmtId="4" fontId="0" fillId="2" borderId="232" xfId="0" applyNumberFormat="1" applyFill="1" applyBorder="1" applyAlignment="1">
      <alignment vertical="center" wrapText="1"/>
    </xf>
    <xf numFmtId="0" fontId="0" fillId="7" borderId="230" xfId="0" applyFill="1" applyBorder="1"/>
    <xf numFmtId="0" fontId="89" fillId="7" borderId="79" xfId="0" applyFont="1" applyFill="1" applyBorder="1"/>
    <xf numFmtId="0" fontId="0" fillId="7" borderId="183" xfId="0" applyFill="1" applyBorder="1"/>
    <xf numFmtId="0" fontId="1" fillId="2" borderId="79" xfId="0" applyFont="1" applyFill="1" applyBorder="1"/>
    <xf numFmtId="4" fontId="1" fillId="2" borderId="183" xfId="0" applyNumberFormat="1" applyFont="1" applyFill="1" applyBorder="1" applyAlignment="1">
      <alignment horizontal="right"/>
    </xf>
    <xf numFmtId="4" fontId="1" fillId="2" borderId="232" xfId="0" applyNumberFormat="1" applyFont="1" applyFill="1" applyBorder="1" applyAlignment="1">
      <alignment vertical="center" wrapText="1"/>
    </xf>
    <xf numFmtId="2" fontId="2" fillId="2" borderId="241" xfId="0" applyNumberFormat="1" applyFont="1" applyFill="1" applyBorder="1" applyAlignment="1">
      <alignment horizontal="center" vertical="center" wrapText="1"/>
    </xf>
    <xf numFmtId="2" fontId="2" fillId="2" borderId="231" xfId="0" applyNumberFormat="1" applyFont="1" applyFill="1" applyBorder="1" applyAlignment="1">
      <alignment horizontal="right" vertical="center" wrapText="1"/>
    </xf>
    <xf numFmtId="4" fontId="2" fillId="2" borderId="242" xfId="0" applyNumberFormat="1" applyFont="1" applyFill="1" applyBorder="1" applyAlignment="1">
      <alignment horizontal="center" vertical="center" wrapText="1"/>
    </xf>
    <xf numFmtId="2" fontId="1" fillId="7" borderId="232" xfId="0" applyNumberFormat="1" applyFont="1" applyFill="1" applyBorder="1" applyAlignment="1">
      <alignment horizontal="right"/>
    </xf>
    <xf numFmtId="0" fontId="1" fillId="2" borderId="243" xfId="0" applyFont="1" applyFill="1" applyBorder="1"/>
    <xf numFmtId="0" fontId="1" fillId="2" borderId="243" xfId="0" applyFont="1" applyFill="1" applyBorder="1" applyAlignment="1">
      <alignment horizontal="center"/>
    </xf>
    <xf numFmtId="2" fontId="1" fillId="7" borderId="243" xfId="0" applyNumberFormat="1" applyFont="1" applyFill="1" applyBorder="1" applyAlignment="1">
      <alignment horizontal="right"/>
    </xf>
    <xf numFmtId="2" fontId="0" fillId="7" borderId="244" xfId="0" applyNumberFormat="1" applyFill="1" applyBorder="1" applyAlignment="1">
      <alignment horizontal="right" vertical="center" wrapText="1"/>
    </xf>
    <xf numFmtId="4" fontId="0" fillId="0" borderId="244" xfId="0" applyNumberFormat="1" applyFill="1" applyBorder="1" applyAlignment="1">
      <alignment vertical="center" wrapText="1"/>
    </xf>
    <xf numFmtId="4" fontId="1" fillId="2" borderId="243" xfId="0" applyNumberFormat="1" applyFont="1" applyFill="1" applyBorder="1" applyAlignment="1">
      <alignment vertical="center" wrapText="1"/>
    </xf>
    <xf numFmtId="0" fontId="0" fillId="2" borderId="243" xfId="0" applyFill="1" applyBorder="1"/>
    <xf numFmtId="0" fontId="0" fillId="0" borderId="243" xfId="0" applyBorder="1" applyAlignment="1">
      <alignment horizontal="center"/>
    </xf>
    <xf numFmtId="2" fontId="0" fillId="7" borderId="243" xfId="0" applyNumberFormat="1" applyFill="1" applyBorder="1" applyAlignment="1">
      <alignment horizontal="right" vertical="center" wrapText="1"/>
    </xf>
    <xf numFmtId="0" fontId="0" fillId="0" borderId="243" xfId="0" applyBorder="1"/>
    <xf numFmtId="0" fontId="0" fillId="7" borderId="243" xfId="0" applyFill="1" applyBorder="1"/>
    <xf numFmtId="0" fontId="0" fillId="7" borderId="0" xfId="0" applyFill="1" applyAlignment="1">
      <alignment horizontal="center" vertical="center"/>
    </xf>
    <xf numFmtId="0" fontId="0" fillId="18" borderId="0" xfId="0" applyFill="1" applyAlignment="1">
      <alignment horizontal="center" vertical="center"/>
    </xf>
    <xf numFmtId="0" fontId="0" fillId="18" borderId="0" xfId="0" applyFill="1"/>
    <xf numFmtId="4" fontId="1" fillId="2" borderId="244" xfId="0" applyNumberFormat="1" applyFont="1" applyFill="1" applyBorder="1" applyAlignment="1">
      <alignment horizontal="right"/>
    </xf>
    <xf numFmtId="0" fontId="0" fillId="2" borderId="137" xfId="0" applyFont="1" applyFill="1" applyBorder="1"/>
    <xf numFmtId="0" fontId="0" fillId="2" borderId="243" xfId="0" applyFill="1" applyBorder="1" applyAlignment="1">
      <alignment horizontal="center"/>
    </xf>
    <xf numFmtId="2" fontId="0" fillId="7" borderId="243" xfId="0" applyNumberFormat="1" applyFill="1" applyBorder="1" applyAlignment="1">
      <alignment horizontal="right"/>
    </xf>
    <xf numFmtId="4" fontId="0" fillId="2" borderId="243" xfId="0" applyNumberFormat="1" applyFill="1" applyBorder="1" applyAlignment="1">
      <alignment vertical="center" wrapText="1"/>
    </xf>
    <xf numFmtId="2" fontId="7" fillId="4" borderId="31" xfId="0" applyNumberFormat="1" applyFont="1" applyFill="1" applyBorder="1" applyAlignment="1">
      <alignment horizontal="center" vertical="center" wrapText="1"/>
    </xf>
    <xf numFmtId="0" fontId="0" fillId="0" borderId="0" xfId="0"/>
    <xf numFmtId="0" fontId="0" fillId="2" borderId="0" xfId="0" applyFill="1" applyAlignment="1">
      <alignment horizontal="center"/>
    </xf>
    <xf numFmtId="0" fontId="0" fillId="4" borderId="0" xfId="0" applyFill="1" applyAlignment="1">
      <alignment horizontal="center"/>
    </xf>
    <xf numFmtId="2" fontId="116" fillId="2" borderId="37" xfId="0" applyNumberFormat="1" applyFont="1" applyFill="1" applyBorder="1" applyAlignment="1">
      <alignment horizontal="left"/>
    </xf>
    <xf numFmtId="2" fontId="0" fillId="2" borderId="243" xfId="0" applyNumberFormat="1" applyFill="1" applyBorder="1" applyAlignment="1">
      <alignment vertical="center" wrapText="1"/>
    </xf>
    <xf numFmtId="2" fontId="0" fillId="2" borderId="26" xfId="0" applyNumberFormat="1" applyFill="1" applyBorder="1" applyAlignment="1">
      <alignment vertical="center" wrapText="1"/>
    </xf>
    <xf numFmtId="4" fontId="3" fillId="9" borderId="185" xfId="0" applyNumberFormat="1" applyFont="1" applyFill="1" applyBorder="1" applyAlignment="1"/>
    <xf numFmtId="0" fontId="2" fillId="2" borderId="244" xfId="0" applyFont="1" applyFill="1" applyBorder="1" applyAlignment="1">
      <alignment horizontal="center"/>
    </xf>
    <xf numFmtId="4" fontId="2" fillId="2" borderId="231" xfId="0" applyNumberFormat="1" applyFont="1" applyFill="1" applyBorder="1" applyAlignment="1">
      <alignment horizontal="center" vertical="center" wrapText="1"/>
    </xf>
    <xf numFmtId="0" fontId="0" fillId="2" borderId="232" xfId="0" applyFill="1" applyBorder="1" applyAlignment="1">
      <alignment horizontal="center"/>
    </xf>
    <xf numFmtId="0" fontId="0" fillId="0" borderId="0" xfId="0"/>
    <xf numFmtId="14" fontId="0" fillId="2" borderId="0" xfId="0" applyNumberFormat="1" applyFill="1"/>
    <xf numFmtId="0" fontId="7" fillId="15" borderId="0" xfId="0" applyFont="1" applyFill="1"/>
    <xf numFmtId="0" fontId="3" fillId="7" borderId="68" xfId="0" applyFont="1" applyFill="1" applyBorder="1" applyAlignment="1">
      <alignment horizontal="center" vertical="center"/>
    </xf>
    <xf numFmtId="0" fontId="123" fillId="0" borderId="0" xfId="0" applyFont="1"/>
    <xf numFmtId="0" fontId="123" fillId="0" borderId="0" xfId="0" applyFont="1" applyAlignment="1">
      <alignment wrapText="1"/>
    </xf>
    <xf numFmtId="0" fontId="3" fillId="2" borderId="0" xfId="0" applyFont="1" applyFill="1" applyBorder="1" applyAlignment="1">
      <alignment horizontal="center"/>
    </xf>
    <xf numFmtId="0" fontId="0" fillId="0" borderId="0" xfId="0"/>
    <xf numFmtId="0" fontId="0" fillId="2" borderId="0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44" fillId="9" borderId="29" xfId="0" applyFont="1" applyFill="1" applyBorder="1" applyAlignment="1">
      <alignment horizontal="center" vertical="center"/>
    </xf>
    <xf numFmtId="4" fontId="3" fillId="9" borderId="29" xfId="0" applyNumberFormat="1" applyFont="1" applyFill="1" applyBorder="1" applyAlignment="1">
      <alignment horizontal="center"/>
    </xf>
    <xf numFmtId="0" fontId="116" fillId="2" borderId="37" xfId="0" applyFont="1" applyFill="1" applyBorder="1" applyAlignment="1">
      <alignment horizontal="left"/>
    </xf>
    <xf numFmtId="0" fontId="40" fillId="7" borderId="36" xfId="0" applyFont="1" applyFill="1" applyBorder="1" applyAlignment="1">
      <alignment horizontal="center"/>
    </xf>
    <xf numFmtId="0" fontId="0" fillId="17" borderId="175" xfId="0" applyFill="1" applyBorder="1" applyAlignment="1">
      <alignment horizontal="center"/>
    </xf>
    <xf numFmtId="0" fontId="0" fillId="17" borderId="0" xfId="0" applyFill="1" applyBorder="1" applyAlignment="1">
      <alignment horizontal="center"/>
    </xf>
    <xf numFmtId="0" fontId="1" fillId="2" borderId="0" xfId="0" applyFont="1" applyFill="1" applyBorder="1" applyAlignment="1">
      <alignment horizontal="center"/>
    </xf>
    <xf numFmtId="0" fontId="1" fillId="0" borderId="245" xfId="0" applyFont="1" applyBorder="1" applyAlignment="1">
      <alignment horizontal="left"/>
    </xf>
    <xf numFmtId="0" fontId="0" fillId="0" borderId="245" xfId="0" applyFont="1" applyBorder="1" applyAlignment="1">
      <alignment horizontal="left"/>
    </xf>
    <xf numFmtId="0" fontId="1" fillId="2" borderId="245" xfId="0" applyFont="1" applyFill="1" applyBorder="1" applyAlignment="1">
      <alignment horizontal="left"/>
    </xf>
    <xf numFmtId="0" fontId="0" fillId="2" borderId="245" xfId="0" applyFill="1" applyBorder="1"/>
    <xf numFmtId="0" fontId="1" fillId="7" borderId="245" xfId="0" applyFont="1" applyFill="1" applyBorder="1" applyAlignment="1">
      <alignment horizontal="left"/>
    </xf>
    <xf numFmtId="0" fontId="0" fillId="7" borderId="245" xfId="0" applyFill="1" applyBorder="1"/>
    <xf numFmtId="0" fontId="115" fillId="2" borderId="245" xfId="0" applyFont="1" applyFill="1" applyBorder="1"/>
    <xf numFmtId="0" fontId="115" fillId="2" borderId="232" xfId="0" applyFont="1" applyFill="1" applyBorder="1"/>
    <xf numFmtId="0" fontId="115" fillId="0" borderId="2" xfId="0" applyFont="1" applyBorder="1" applyAlignment="1">
      <alignment horizontal="left"/>
    </xf>
    <xf numFmtId="0" fontId="115" fillId="2" borderId="230" xfId="0" applyFont="1" applyFill="1" applyBorder="1"/>
    <xf numFmtId="0" fontId="115" fillId="0" borderId="230" xfId="0" applyFont="1" applyBorder="1" applyAlignment="1">
      <alignment horizontal="center"/>
    </xf>
    <xf numFmtId="2" fontId="115" fillId="7" borderId="230" xfId="0" applyNumberFormat="1" applyFont="1" applyFill="1" applyBorder="1" applyAlignment="1">
      <alignment horizontal="right" vertical="center" wrapText="1"/>
    </xf>
    <xf numFmtId="2" fontId="115" fillId="7" borderId="233" xfId="0" applyNumberFormat="1" applyFont="1" applyFill="1" applyBorder="1" applyAlignment="1">
      <alignment horizontal="right" vertical="center" wrapText="1"/>
    </xf>
    <xf numFmtId="4" fontId="115" fillId="0" borderId="233" xfId="0" applyNumberFormat="1" applyFont="1" applyFill="1" applyBorder="1" applyAlignment="1">
      <alignment vertical="center" wrapText="1"/>
    </xf>
    <xf numFmtId="0" fontId="115" fillId="0" borderId="232" xfId="0" applyFont="1" applyBorder="1" applyAlignment="1">
      <alignment horizontal="left"/>
    </xf>
    <xf numFmtId="0" fontId="115" fillId="0" borderId="232" xfId="0" applyFont="1" applyBorder="1" applyAlignment="1">
      <alignment horizontal="center"/>
    </xf>
    <xf numFmtId="2" fontId="115" fillId="7" borderId="232" xfId="0" applyNumberFormat="1" applyFont="1" applyFill="1" applyBorder="1" applyAlignment="1">
      <alignment horizontal="right" vertical="center" wrapText="1"/>
    </xf>
    <xf numFmtId="2" fontId="115" fillId="7" borderId="234" xfId="0" applyNumberFormat="1" applyFont="1" applyFill="1" applyBorder="1" applyAlignment="1">
      <alignment horizontal="right" vertical="center" wrapText="1"/>
    </xf>
    <xf numFmtId="4" fontId="115" fillId="0" borderId="234" xfId="0" applyNumberFormat="1" applyFont="1" applyFill="1" applyBorder="1" applyAlignment="1">
      <alignment vertical="center" wrapText="1"/>
    </xf>
    <xf numFmtId="0" fontId="115" fillId="2" borderId="243" xfId="0" applyFont="1" applyFill="1" applyBorder="1"/>
    <xf numFmtId="0" fontId="115" fillId="2" borderId="243" xfId="0" applyFont="1" applyFill="1" applyBorder="1" applyAlignment="1">
      <alignment horizontal="center"/>
    </xf>
    <xf numFmtId="2" fontId="115" fillId="7" borderId="243" xfId="0" applyNumberFormat="1" applyFont="1" applyFill="1" applyBorder="1" applyAlignment="1">
      <alignment horizontal="right"/>
    </xf>
    <xf numFmtId="2" fontId="115" fillId="7" borderId="244" xfId="0" applyNumberFormat="1" applyFont="1" applyFill="1" applyBorder="1" applyAlignment="1">
      <alignment horizontal="right" vertical="center" wrapText="1"/>
    </xf>
    <xf numFmtId="4" fontId="115" fillId="2" borderId="243" xfId="0" applyNumberFormat="1" applyFont="1" applyFill="1" applyBorder="1" applyAlignment="1">
      <alignment vertical="center" wrapText="1"/>
    </xf>
    <xf numFmtId="0" fontId="115" fillId="2" borderId="232" xfId="0" applyFont="1" applyFill="1" applyBorder="1" applyAlignment="1">
      <alignment horizontal="center"/>
    </xf>
    <xf numFmtId="4" fontId="115" fillId="2" borderId="232" xfId="0" applyNumberFormat="1" applyFont="1" applyFill="1" applyBorder="1" applyAlignment="1">
      <alignment vertical="center" wrapText="1"/>
    </xf>
    <xf numFmtId="4" fontId="115" fillId="2" borderId="244" xfId="0" applyNumberFormat="1" applyFont="1" applyFill="1" applyBorder="1" applyAlignment="1">
      <alignment horizontal="right"/>
    </xf>
    <xf numFmtId="0" fontId="115" fillId="2" borderId="137" xfId="0" applyFont="1" applyFill="1" applyBorder="1"/>
    <xf numFmtId="2" fontId="115" fillId="7" borderId="1" xfId="0" applyNumberFormat="1" applyFont="1" applyFill="1" applyBorder="1" applyAlignment="1">
      <alignment horizontal="right"/>
    </xf>
    <xf numFmtId="2" fontId="115" fillId="7" borderId="167" xfId="0" applyNumberFormat="1" applyFont="1" applyFill="1" applyBorder="1" applyAlignment="1">
      <alignment horizontal="right"/>
    </xf>
    <xf numFmtId="4" fontId="115" fillId="2" borderId="1" xfId="0" applyNumberFormat="1" applyFont="1" applyFill="1" applyBorder="1" applyAlignment="1">
      <alignment vertical="center" wrapText="1"/>
    </xf>
    <xf numFmtId="2" fontId="115" fillId="7" borderId="232" xfId="0" applyNumberFormat="1" applyFont="1" applyFill="1" applyBorder="1" applyAlignment="1">
      <alignment horizontal="right"/>
    </xf>
    <xf numFmtId="0" fontId="115" fillId="2" borderId="193" xfId="0" applyFont="1" applyFill="1" applyBorder="1"/>
    <xf numFmtId="0" fontId="115" fillId="2" borderId="193" xfId="0" applyFont="1" applyFill="1" applyBorder="1" applyAlignment="1">
      <alignment horizontal="center"/>
    </xf>
    <xf numFmtId="2" fontId="115" fillId="7" borderId="193" xfId="0" applyNumberFormat="1" applyFont="1" applyFill="1" applyBorder="1" applyAlignment="1">
      <alignment horizontal="right"/>
    </xf>
    <xf numFmtId="4" fontId="115" fillId="2" borderId="193" xfId="0" applyNumberFormat="1" applyFont="1" applyFill="1" applyBorder="1" applyAlignment="1">
      <alignment vertical="center" wrapText="1"/>
    </xf>
    <xf numFmtId="4" fontId="3" fillId="9" borderId="185" xfId="0" applyNumberFormat="1" applyFont="1" applyFill="1" applyBorder="1" applyAlignment="1">
      <alignment horizontal="right"/>
    </xf>
    <xf numFmtId="4" fontId="2" fillId="2" borderId="231" xfId="0" applyNumberFormat="1" applyFont="1" applyFill="1" applyBorder="1" applyAlignment="1">
      <alignment horizontal="right" vertical="center" wrapText="1"/>
    </xf>
    <xf numFmtId="0" fontId="115" fillId="2" borderId="245" xfId="0" applyFont="1" applyFill="1" applyBorder="1" applyAlignment="1">
      <alignment horizontal="center"/>
    </xf>
    <xf numFmtId="4" fontId="115" fillId="3" borderId="245" xfId="0" applyNumberFormat="1" applyFont="1" applyFill="1" applyBorder="1" applyAlignment="1">
      <alignment horizontal="right"/>
    </xf>
    <xf numFmtId="4" fontId="115" fillId="2" borderId="245" xfId="0" applyNumberFormat="1" applyFont="1" applyFill="1" applyBorder="1" applyAlignment="1">
      <alignment horizontal="right" vertical="center" wrapText="1"/>
    </xf>
    <xf numFmtId="4" fontId="115" fillId="3" borderId="232" xfId="0" applyNumberFormat="1" applyFont="1" applyFill="1" applyBorder="1" applyAlignment="1">
      <alignment horizontal="right"/>
    </xf>
    <xf numFmtId="4" fontId="115" fillId="2" borderId="232" xfId="0" applyNumberFormat="1" applyFont="1" applyFill="1" applyBorder="1" applyAlignment="1">
      <alignment horizontal="right" vertical="center" wrapText="1"/>
    </xf>
    <xf numFmtId="0" fontId="0" fillId="0" borderId="0" xfId="0"/>
    <xf numFmtId="0" fontId="1" fillId="2" borderId="245" xfId="0" applyFont="1" applyFill="1" applyBorder="1"/>
    <xf numFmtId="0" fontId="0" fillId="2" borderId="54" xfId="0" applyFill="1" applyBorder="1" applyAlignment="1">
      <alignment horizontal="center"/>
    </xf>
    <xf numFmtId="0" fontId="0" fillId="2" borderId="37" xfId="0" applyFill="1" applyBorder="1" applyAlignment="1">
      <alignment horizontal="center"/>
    </xf>
    <xf numFmtId="0" fontId="0" fillId="2" borderId="38" xfId="0" applyFill="1" applyBorder="1" applyAlignment="1">
      <alignment horizontal="center"/>
    </xf>
    <xf numFmtId="0" fontId="0" fillId="2" borderId="39" xfId="0" applyFill="1" applyBorder="1" applyAlignment="1">
      <alignment horizontal="center"/>
    </xf>
    <xf numFmtId="0" fontId="0" fillId="2" borderId="9" xfId="0" applyFill="1" applyBorder="1" applyAlignment="1">
      <alignment horizontal="center"/>
    </xf>
    <xf numFmtId="0" fontId="0" fillId="2" borderId="47" xfId="0" applyFill="1" applyBorder="1" applyAlignment="1">
      <alignment horizontal="center"/>
    </xf>
    <xf numFmtId="0" fontId="80" fillId="4" borderId="54" xfId="0" applyFont="1" applyFill="1" applyBorder="1" applyAlignment="1">
      <alignment horizontal="center" vertical="center"/>
    </xf>
    <xf numFmtId="0" fontId="80" fillId="4" borderId="37" xfId="0" applyFont="1" applyFill="1" applyBorder="1" applyAlignment="1">
      <alignment horizontal="center" vertical="center"/>
    </xf>
    <xf numFmtId="0" fontId="103" fillId="15" borderId="0" xfId="0" applyFont="1" applyFill="1" applyAlignment="1">
      <alignment horizontal="center"/>
    </xf>
    <xf numFmtId="0" fontId="43" fillId="15" borderId="0" xfId="0" applyFont="1" applyFill="1" applyAlignment="1">
      <alignment horizontal="left" vertical="top"/>
    </xf>
    <xf numFmtId="2" fontId="102" fillId="15" borderId="0" xfId="0" applyNumberFormat="1" applyFont="1" applyFill="1" applyAlignment="1">
      <alignment horizontal="center" vertical="top"/>
    </xf>
    <xf numFmtId="0" fontId="43" fillId="15" borderId="0" xfId="0" applyFont="1" applyFill="1" applyAlignment="1">
      <alignment horizontal="center" vertical="top"/>
    </xf>
    <xf numFmtId="0" fontId="0" fillId="15" borderId="0" xfId="0" applyFill="1" applyAlignment="1">
      <alignment horizontal="center"/>
    </xf>
    <xf numFmtId="0" fontId="7" fillId="15" borderId="88" xfId="0" applyFont="1" applyFill="1" applyBorder="1" applyAlignment="1">
      <alignment horizontal="center" wrapText="1"/>
    </xf>
    <xf numFmtId="0" fontId="7" fillId="15" borderId="11" xfId="0" applyFont="1" applyFill="1" applyBorder="1" applyAlignment="1">
      <alignment horizontal="center" wrapText="1"/>
    </xf>
    <xf numFmtId="0" fontId="7" fillId="15" borderId="54" xfId="0" applyFont="1" applyFill="1" applyBorder="1" applyAlignment="1">
      <alignment horizontal="center" wrapText="1"/>
    </xf>
    <xf numFmtId="0" fontId="7" fillId="15" borderId="37" xfId="0" applyFont="1" applyFill="1" applyBorder="1" applyAlignment="1">
      <alignment horizontal="center" wrapText="1"/>
    </xf>
    <xf numFmtId="0" fontId="7" fillId="15" borderId="39" xfId="0" applyFont="1" applyFill="1" applyBorder="1" applyAlignment="1">
      <alignment horizontal="center" wrapText="1"/>
    </xf>
    <xf numFmtId="0" fontId="7" fillId="15" borderId="9" xfId="0" applyFont="1" applyFill="1" applyBorder="1" applyAlignment="1">
      <alignment horizontal="center" wrapText="1"/>
    </xf>
    <xf numFmtId="0" fontId="0" fillId="7" borderId="38" xfId="0" applyFill="1" applyBorder="1" applyAlignment="1">
      <alignment horizontal="center"/>
    </xf>
    <xf numFmtId="0" fontId="0" fillId="7" borderId="47" xfId="0" applyFill="1" applyBorder="1" applyAlignment="1">
      <alignment horizontal="center"/>
    </xf>
    <xf numFmtId="0" fontId="0" fillId="15" borderId="0" xfId="0" applyFill="1" applyAlignment="1">
      <alignment horizontal="center" wrapText="1"/>
    </xf>
    <xf numFmtId="0" fontId="59" fillId="4" borderId="0" xfId="0" applyFont="1" applyFill="1" applyBorder="1" applyAlignment="1">
      <alignment horizontal="center" vertical="center"/>
    </xf>
    <xf numFmtId="0" fontId="35" fillId="4" borderId="0" xfId="0" applyFont="1" applyFill="1" applyBorder="1" applyAlignment="1">
      <alignment horizontal="center" vertical="center"/>
    </xf>
    <xf numFmtId="0" fontId="5" fillId="4" borderId="54" xfId="0" applyFont="1" applyFill="1" applyBorder="1" applyAlignment="1">
      <alignment horizontal="center" vertical="center" wrapText="1"/>
    </xf>
    <xf numFmtId="0" fontId="5" fillId="4" borderId="37" xfId="0" applyFont="1" applyFill="1" applyBorder="1" applyAlignment="1">
      <alignment horizontal="center" vertical="center" wrapText="1"/>
    </xf>
    <xf numFmtId="0" fontId="5" fillId="4" borderId="38" xfId="0" applyFont="1" applyFill="1" applyBorder="1" applyAlignment="1">
      <alignment horizontal="center" vertical="center" wrapText="1"/>
    </xf>
    <xf numFmtId="0" fontId="5" fillId="4" borderId="35" xfId="0" applyFont="1" applyFill="1" applyBorder="1" applyAlignment="1">
      <alignment horizontal="center" vertical="center" wrapText="1"/>
    </xf>
    <xf numFmtId="0" fontId="5" fillId="4" borderId="0" xfId="0" applyFont="1" applyFill="1" applyBorder="1" applyAlignment="1">
      <alignment horizontal="center" vertical="center" wrapText="1"/>
    </xf>
    <xf numFmtId="0" fontId="5" fillId="4" borderId="29" xfId="0" applyFont="1" applyFill="1" applyBorder="1" applyAlignment="1">
      <alignment horizontal="center" vertical="center" wrapText="1"/>
    </xf>
    <xf numFmtId="2" fontId="3" fillId="2" borderId="35" xfId="0" applyNumberFormat="1" applyFont="1" applyFill="1" applyBorder="1" applyAlignment="1">
      <alignment horizontal="right" vertical="center" wrapText="1"/>
    </xf>
    <xf numFmtId="2" fontId="3" fillId="2" borderId="0" xfId="0" applyNumberFormat="1" applyFont="1" applyFill="1" applyBorder="1" applyAlignment="1">
      <alignment horizontal="right" vertical="center" wrapText="1"/>
    </xf>
    <xf numFmtId="0" fontId="0" fillId="0" borderId="80" xfId="0" applyBorder="1" applyAlignment="1">
      <alignment horizontal="center"/>
    </xf>
    <xf numFmtId="0" fontId="0" fillId="0" borderId="41" xfId="0" applyBorder="1" applyAlignment="1">
      <alignment horizontal="center"/>
    </xf>
    <xf numFmtId="0" fontId="0" fillId="0" borderId="42" xfId="0" applyBorder="1" applyAlignment="1">
      <alignment horizontal="center"/>
    </xf>
    <xf numFmtId="0" fontId="3" fillId="4" borderId="49" xfId="0" applyFont="1" applyFill="1" applyBorder="1" applyAlignment="1">
      <alignment horizontal="center"/>
    </xf>
    <xf numFmtId="0" fontId="3" fillId="4" borderId="7" xfId="0" applyFont="1" applyFill="1" applyBorder="1" applyAlignment="1">
      <alignment horizontal="center"/>
    </xf>
    <xf numFmtId="0" fontId="0" fillId="0" borderId="40" xfId="0" applyBorder="1" applyAlignment="1">
      <alignment horizontal="center"/>
    </xf>
    <xf numFmtId="0" fontId="0" fillId="2" borderId="40" xfId="0" applyFill="1" applyBorder="1" applyAlignment="1">
      <alignment horizontal="center"/>
    </xf>
    <xf numFmtId="0" fontId="0" fillId="2" borderId="41" xfId="0" applyFill="1" applyBorder="1" applyAlignment="1">
      <alignment horizontal="center"/>
    </xf>
    <xf numFmtId="0" fontId="0" fillId="2" borderId="42" xfId="0" applyFill="1" applyBorder="1" applyAlignment="1">
      <alignment horizontal="center"/>
    </xf>
    <xf numFmtId="0" fontId="3" fillId="12" borderId="35" xfId="0" applyFont="1" applyFill="1" applyBorder="1" applyAlignment="1">
      <alignment horizontal="center" vertical="center"/>
    </xf>
    <xf numFmtId="0" fontId="3" fillId="12" borderId="0" xfId="0" applyFont="1" applyFill="1" applyBorder="1" applyAlignment="1">
      <alignment horizontal="center" vertical="center"/>
    </xf>
    <xf numFmtId="0" fontId="3" fillId="12" borderId="18" xfId="0" applyFont="1" applyFill="1" applyBorder="1" applyAlignment="1">
      <alignment horizontal="center" vertical="center"/>
    </xf>
    <xf numFmtId="0" fontId="0" fillId="2" borderId="149" xfId="0" applyFill="1" applyBorder="1" applyAlignment="1">
      <alignment horizontal="center"/>
    </xf>
    <xf numFmtId="0" fontId="0" fillId="2" borderId="166" xfId="0" applyFill="1" applyBorder="1" applyAlignment="1">
      <alignment horizontal="center"/>
    </xf>
    <xf numFmtId="0" fontId="0" fillId="2" borderId="79" xfId="0" applyFill="1" applyBorder="1" applyAlignment="1">
      <alignment horizontal="center"/>
    </xf>
    <xf numFmtId="0" fontId="43" fillId="4" borderId="54" xfId="0" applyFont="1" applyFill="1" applyBorder="1" applyAlignment="1">
      <alignment horizontal="center" vertical="center"/>
    </xf>
    <xf numFmtId="0" fontId="43" fillId="4" borderId="37" xfId="0" applyFont="1" applyFill="1" applyBorder="1" applyAlignment="1">
      <alignment horizontal="center" vertical="center"/>
    </xf>
    <xf numFmtId="0" fontId="43" fillId="4" borderId="38" xfId="0" applyFont="1" applyFill="1" applyBorder="1" applyAlignment="1">
      <alignment horizontal="center" vertical="center"/>
    </xf>
    <xf numFmtId="0" fontId="3" fillId="0" borderId="35" xfId="0" applyFont="1" applyBorder="1" applyAlignment="1">
      <alignment horizontal="right"/>
    </xf>
    <xf numFmtId="0" fontId="3" fillId="0" borderId="0" xfId="0" applyFont="1" applyBorder="1" applyAlignment="1">
      <alignment horizontal="right"/>
    </xf>
    <xf numFmtId="0" fontId="16" fillId="4" borderId="35" xfId="0" applyFont="1" applyFill="1" applyBorder="1" applyAlignment="1">
      <alignment horizontal="center"/>
    </xf>
    <xf numFmtId="0" fontId="16" fillId="4" borderId="0" xfId="0" applyFont="1" applyFill="1" applyBorder="1" applyAlignment="1">
      <alignment horizontal="center"/>
    </xf>
    <xf numFmtId="2" fontId="7" fillId="4" borderId="34" xfId="0" applyNumberFormat="1" applyFont="1" applyFill="1" applyBorder="1" applyAlignment="1">
      <alignment horizontal="center" vertical="center"/>
    </xf>
    <xf numFmtId="0" fontId="7" fillId="4" borderId="81" xfId="0" applyFont="1" applyFill="1" applyBorder="1" applyAlignment="1">
      <alignment horizontal="center" vertical="center"/>
    </xf>
    <xf numFmtId="0" fontId="7" fillId="4" borderId="53" xfId="0" applyFont="1" applyFill="1" applyBorder="1" applyAlignment="1">
      <alignment horizontal="center" vertical="center"/>
    </xf>
    <xf numFmtId="0" fontId="7" fillId="2" borderId="7" xfId="0" applyFont="1" applyFill="1" applyBorder="1" applyAlignment="1">
      <alignment horizontal="center"/>
    </xf>
    <xf numFmtId="0" fontId="7" fillId="2" borderId="34" xfId="0" applyFont="1" applyFill="1" applyBorder="1" applyAlignment="1">
      <alignment horizontal="center" vertical="center"/>
    </xf>
    <xf numFmtId="0" fontId="7" fillId="2" borderId="53" xfId="0" applyFont="1" applyFill="1" applyBorder="1" applyAlignment="1">
      <alignment horizontal="center" vertical="center"/>
    </xf>
    <xf numFmtId="0" fontId="7" fillId="0" borderId="54" xfId="0" applyFont="1" applyFill="1" applyBorder="1" applyAlignment="1">
      <alignment horizontal="center"/>
    </xf>
    <xf numFmtId="0" fontId="7" fillId="0" borderId="35" xfId="0" applyFont="1" applyFill="1" applyBorder="1" applyAlignment="1">
      <alignment horizontal="center"/>
    </xf>
    <xf numFmtId="0" fontId="7" fillId="0" borderId="39" xfId="0" applyFont="1" applyFill="1" applyBorder="1" applyAlignment="1">
      <alignment horizontal="center"/>
    </xf>
    <xf numFmtId="0" fontId="0" fillId="7" borderId="40" xfId="0" applyFill="1" applyBorder="1" applyAlignment="1">
      <alignment horizontal="center"/>
    </xf>
    <xf numFmtId="0" fontId="0" fillId="7" borderId="41" xfId="0" applyFill="1" applyBorder="1" applyAlignment="1">
      <alignment horizontal="center"/>
    </xf>
    <xf numFmtId="0" fontId="0" fillId="7" borderId="42" xfId="0" applyFill="1" applyBorder="1" applyAlignment="1">
      <alignment horizontal="center"/>
    </xf>
    <xf numFmtId="0" fontId="16" fillId="4" borderId="54" xfId="0" applyFont="1" applyFill="1" applyBorder="1" applyAlignment="1">
      <alignment horizontal="center"/>
    </xf>
    <xf numFmtId="0" fontId="16" fillId="4" borderId="37" xfId="0" applyFont="1" applyFill="1" applyBorder="1" applyAlignment="1">
      <alignment horizontal="center"/>
    </xf>
    <xf numFmtId="0" fontId="26" fillId="0" borderId="35" xfId="0" applyFont="1" applyBorder="1" applyAlignment="1">
      <alignment horizontal="left"/>
    </xf>
    <xf numFmtId="0" fontId="26" fillId="0" borderId="0" xfId="0" applyFont="1" applyBorder="1" applyAlignment="1">
      <alignment horizontal="left"/>
    </xf>
    <xf numFmtId="0" fontId="4" fillId="2" borderId="40" xfId="0" applyFont="1" applyFill="1" applyBorder="1" applyAlignment="1">
      <alignment horizontal="center" vertical="center" wrapText="1"/>
    </xf>
    <xf numFmtId="0" fontId="4" fillId="2" borderId="41" xfId="0" applyFont="1" applyFill="1" applyBorder="1" applyAlignment="1">
      <alignment horizontal="center" vertical="center" wrapText="1"/>
    </xf>
    <xf numFmtId="0" fontId="4" fillId="2" borderId="42" xfId="0" applyFont="1" applyFill="1" applyBorder="1" applyAlignment="1">
      <alignment horizontal="center" vertical="center" wrapText="1"/>
    </xf>
    <xf numFmtId="164" fontId="3" fillId="2" borderId="40" xfId="1" applyFont="1" applyFill="1" applyBorder="1" applyAlignment="1">
      <alignment horizontal="center"/>
    </xf>
    <xf numFmtId="164" fontId="3" fillId="2" borderId="41" xfId="1" applyFont="1" applyFill="1" applyBorder="1" applyAlignment="1">
      <alignment horizontal="center"/>
    </xf>
    <xf numFmtId="164" fontId="3" fillId="2" borderId="42" xfId="1" applyFont="1" applyFill="1" applyBorder="1" applyAlignment="1">
      <alignment horizontal="center"/>
    </xf>
    <xf numFmtId="0" fontId="0" fillId="0" borderId="35" xfId="0" applyBorder="1" applyAlignment="1">
      <alignment horizontal="center"/>
    </xf>
    <xf numFmtId="0" fontId="0" fillId="0" borderId="39" xfId="0" applyBorder="1" applyAlignment="1">
      <alignment horizontal="center"/>
    </xf>
    <xf numFmtId="0" fontId="3" fillId="2" borderId="17" xfId="0" applyFont="1" applyFill="1" applyBorder="1" applyAlignment="1">
      <alignment horizontal="center"/>
    </xf>
    <xf numFmtId="0" fontId="3" fillId="2" borderId="0" xfId="0" applyFont="1" applyFill="1" applyBorder="1" applyAlignment="1">
      <alignment horizontal="center"/>
    </xf>
    <xf numFmtId="0" fontId="3" fillId="2" borderId="18" xfId="0" applyFont="1" applyFill="1" applyBorder="1" applyAlignment="1">
      <alignment horizontal="center"/>
    </xf>
    <xf numFmtId="0" fontId="3" fillId="2" borderId="40" xfId="0" applyFont="1" applyFill="1" applyBorder="1" applyAlignment="1">
      <alignment horizontal="center"/>
    </xf>
    <xf numFmtId="0" fontId="3" fillId="2" borderId="41" xfId="0" applyFont="1" applyFill="1" applyBorder="1" applyAlignment="1">
      <alignment horizontal="center"/>
    </xf>
    <xf numFmtId="0" fontId="3" fillId="2" borderId="42" xfId="0" applyFont="1" applyFill="1" applyBorder="1" applyAlignment="1">
      <alignment horizontal="center"/>
    </xf>
    <xf numFmtId="2" fontId="7" fillId="4" borderId="31" xfId="0" applyNumberFormat="1" applyFont="1" applyFill="1" applyBorder="1" applyAlignment="1">
      <alignment horizontal="center" vertical="center" wrapText="1"/>
    </xf>
    <xf numFmtId="2" fontId="7" fillId="4" borderId="32" xfId="0" applyNumberFormat="1" applyFont="1" applyFill="1" applyBorder="1" applyAlignment="1">
      <alignment horizontal="center" vertical="center" wrapText="1"/>
    </xf>
    <xf numFmtId="0" fontId="22" fillId="4" borderId="0" xfId="0" applyFont="1" applyFill="1" applyBorder="1" applyAlignment="1">
      <alignment horizontal="center" vertical="center"/>
    </xf>
    <xf numFmtId="0" fontId="58" fillId="4" borderId="0" xfId="0" applyFont="1" applyFill="1" applyBorder="1" applyAlignment="1">
      <alignment horizontal="center" vertical="center"/>
    </xf>
    <xf numFmtId="0" fontId="0" fillId="0" borderId="0" xfId="0"/>
    <xf numFmtId="0" fontId="3" fillId="2" borderId="0" xfId="0" applyFont="1" applyFill="1" applyBorder="1" applyAlignment="1">
      <alignment horizontal="right"/>
    </xf>
    <xf numFmtId="2" fontId="7" fillId="4" borderId="55" xfId="0" applyNumberFormat="1" applyFont="1" applyFill="1" applyBorder="1" applyAlignment="1">
      <alignment horizontal="center" vertical="center" wrapText="1"/>
    </xf>
    <xf numFmtId="2" fontId="7" fillId="4" borderId="81" xfId="0" applyNumberFormat="1" applyFont="1" applyFill="1" applyBorder="1" applyAlignment="1">
      <alignment horizontal="center" vertical="center" wrapText="1"/>
    </xf>
    <xf numFmtId="2" fontId="7" fillId="4" borderId="53" xfId="0" applyNumberFormat="1" applyFont="1" applyFill="1" applyBorder="1" applyAlignment="1">
      <alignment horizontal="center" vertical="center" wrapText="1"/>
    </xf>
    <xf numFmtId="0" fontId="7" fillId="4" borderId="31" xfId="0" applyFont="1" applyFill="1" applyBorder="1" applyAlignment="1">
      <alignment horizontal="center" vertical="center" wrapText="1"/>
    </xf>
    <xf numFmtId="0" fontId="0" fillId="0" borderId="43" xfId="0" applyBorder="1" applyAlignment="1">
      <alignment horizontal="center"/>
    </xf>
    <xf numFmtId="0" fontId="0" fillId="0" borderId="52" xfId="0" applyBorder="1" applyAlignment="1">
      <alignment horizontal="center"/>
    </xf>
    <xf numFmtId="0" fontId="20" fillId="12" borderId="0" xfId="0" applyFont="1" applyFill="1" applyAlignment="1">
      <alignment horizontal="center" vertical="center"/>
    </xf>
    <xf numFmtId="0" fontId="20" fillId="12" borderId="90" xfId="0" applyFont="1" applyFill="1" applyBorder="1" applyAlignment="1">
      <alignment horizontal="center" vertical="center"/>
    </xf>
    <xf numFmtId="4" fontId="7" fillId="4" borderId="31" xfId="0" applyNumberFormat="1" applyFont="1" applyFill="1" applyBorder="1" applyAlignment="1">
      <alignment horizontal="center" vertical="center" wrapText="1"/>
    </xf>
    <xf numFmtId="4" fontId="7" fillId="4" borderId="32" xfId="0" applyNumberFormat="1" applyFont="1" applyFill="1" applyBorder="1" applyAlignment="1">
      <alignment horizontal="center" vertical="center" wrapText="1"/>
    </xf>
    <xf numFmtId="4" fontId="7" fillId="4" borderId="55" xfId="0" applyNumberFormat="1" applyFont="1" applyFill="1" applyBorder="1" applyAlignment="1">
      <alignment horizontal="center" vertical="center" wrapText="1"/>
    </xf>
    <xf numFmtId="4" fontId="7" fillId="4" borderId="81" xfId="0" applyNumberFormat="1" applyFont="1" applyFill="1" applyBorder="1" applyAlignment="1">
      <alignment horizontal="center" vertical="center" wrapText="1"/>
    </xf>
    <xf numFmtId="4" fontId="7" fillId="4" borderId="53" xfId="0" applyNumberFormat="1" applyFont="1" applyFill="1" applyBorder="1" applyAlignment="1">
      <alignment horizontal="center" vertical="center" wrapText="1"/>
    </xf>
    <xf numFmtId="0" fontId="3" fillId="2" borderId="0" xfId="0" applyFont="1" applyFill="1" applyBorder="1" applyAlignment="1">
      <alignment horizontal="right" vertical="justify" wrapText="1"/>
    </xf>
    <xf numFmtId="0" fontId="3" fillId="2" borderId="0" xfId="0" applyFont="1" applyFill="1" applyBorder="1" applyAlignment="1">
      <alignment horizontal="right" vertical="justify"/>
    </xf>
    <xf numFmtId="4" fontId="7" fillId="4" borderId="82" xfId="0" applyNumberFormat="1" applyFont="1" applyFill="1" applyBorder="1" applyAlignment="1">
      <alignment horizontal="center" vertical="center" wrapText="1"/>
    </xf>
    <xf numFmtId="4" fontId="7" fillId="4" borderId="29" xfId="0" applyNumberFormat="1" applyFont="1" applyFill="1" applyBorder="1" applyAlignment="1">
      <alignment horizontal="center" vertical="center" wrapText="1"/>
    </xf>
    <xf numFmtId="4" fontId="7" fillId="4" borderId="51" xfId="0" applyNumberFormat="1" applyFont="1" applyFill="1" applyBorder="1" applyAlignment="1">
      <alignment horizontal="center" vertical="center" wrapText="1"/>
    </xf>
    <xf numFmtId="0" fontId="3" fillId="2" borderId="79" xfId="0" applyFont="1" applyFill="1" applyBorder="1" applyAlignment="1">
      <alignment horizontal="center"/>
    </xf>
    <xf numFmtId="4" fontId="7" fillId="4" borderId="50" xfId="0" applyNumberFormat="1" applyFont="1" applyFill="1" applyBorder="1" applyAlignment="1">
      <alignment horizontal="center" vertical="center" wrapText="1"/>
    </xf>
    <xf numFmtId="0" fontId="21" fillId="4" borderId="54" xfId="0" applyFont="1" applyFill="1" applyBorder="1" applyAlignment="1">
      <alignment horizontal="center" vertical="center" wrapText="1"/>
    </xf>
    <xf numFmtId="0" fontId="21" fillId="4" borderId="37" xfId="0" applyFont="1" applyFill="1" applyBorder="1" applyAlignment="1">
      <alignment horizontal="center" vertical="center" wrapText="1"/>
    </xf>
    <xf numFmtId="0" fontId="21" fillId="4" borderId="35" xfId="0" applyFont="1" applyFill="1" applyBorder="1" applyAlignment="1">
      <alignment horizontal="center" vertical="center" wrapText="1"/>
    </xf>
    <xf numFmtId="0" fontId="21" fillId="4" borderId="0" xfId="0" applyFont="1" applyFill="1" applyBorder="1" applyAlignment="1">
      <alignment horizontal="center" vertical="center" wrapText="1"/>
    </xf>
    <xf numFmtId="0" fontId="3" fillId="2" borderId="7" xfId="0" applyFont="1" applyFill="1" applyBorder="1" applyAlignment="1">
      <alignment horizontal="right" vertical="justify"/>
    </xf>
    <xf numFmtId="0" fontId="31" fillId="4" borderId="35" xfId="0" applyFont="1" applyFill="1" applyBorder="1" applyAlignment="1">
      <alignment horizontal="center" vertical="center" wrapText="1"/>
    </xf>
    <xf numFmtId="0" fontId="31" fillId="4" borderId="0" xfId="0" applyFont="1" applyFill="1" applyBorder="1" applyAlignment="1">
      <alignment horizontal="center" vertical="center" wrapText="1"/>
    </xf>
    <xf numFmtId="0" fontId="0" fillId="0" borderId="178" xfId="0" applyBorder="1" applyAlignment="1">
      <alignment horizontal="center"/>
    </xf>
    <xf numFmtId="4" fontId="7" fillId="4" borderId="222" xfId="0" applyNumberFormat="1" applyFont="1" applyFill="1" applyBorder="1" applyAlignment="1">
      <alignment horizontal="center" vertical="center" wrapText="1"/>
    </xf>
    <xf numFmtId="4" fontId="7" fillId="4" borderId="174" xfId="0" applyNumberFormat="1" applyFont="1" applyFill="1" applyBorder="1" applyAlignment="1">
      <alignment horizontal="center" vertical="center" wrapText="1"/>
    </xf>
    <xf numFmtId="0" fontId="0" fillId="4" borderId="43" xfId="0" applyFill="1" applyBorder="1" applyAlignment="1">
      <alignment horizontal="center"/>
    </xf>
    <xf numFmtId="0" fontId="0" fillId="4" borderId="178" xfId="0" applyFill="1" applyBorder="1" applyAlignment="1">
      <alignment horizontal="center"/>
    </xf>
    <xf numFmtId="0" fontId="0" fillId="4" borderId="52" xfId="0" applyFill="1" applyBorder="1" applyAlignment="1">
      <alignment horizontal="center"/>
    </xf>
    <xf numFmtId="0" fontId="3" fillId="2" borderId="0" xfId="0" applyFont="1" applyFill="1" applyAlignment="1">
      <alignment horizontal="right"/>
    </xf>
    <xf numFmtId="0" fontId="21" fillId="4" borderId="38" xfId="0" applyFont="1" applyFill="1" applyBorder="1" applyAlignment="1">
      <alignment horizontal="center" vertical="center" wrapText="1"/>
    </xf>
    <xf numFmtId="0" fontId="21" fillId="4" borderId="29" xfId="0" applyFont="1" applyFill="1" applyBorder="1" applyAlignment="1">
      <alignment horizontal="center" vertical="center" wrapText="1"/>
    </xf>
    <xf numFmtId="0" fontId="31" fillId="4" borderId="54" xfId="0" applyFont="1" applyFill="1" applyBorder="1" applyAlignment="1">
      <alignment horizontal="center" vertical="center" wrapText="1"/>
    </xf>
    <xf numFmtId="0" fontId="31" fillId="4" borderId="37" xfId="0" applyFont="1" applyFill="1" applyBorder="1" applyAlignment="1">
      <alignment horizontal="center" vertical="center" wrapText="1"/>
    </xf>
    <xf numFmtId="0" fontId="0" fillId="2" borderId="195" xfId="0" applyFill="1" applyBorder="1" applyAlignment="1">
      <alignment horizontal="center"/>
    </xf>
    <xf numFmtId="0" fontId="3" fillId="2" borderId="185" xfId="0" applyFont="1" applyFill="1" applyBorder="1" applyAlignment="1">
      <alignment horizontal="right" vertical="justify"/>
    </xf>
    <xf numFmtId="0" fontId="0" fillId="0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76" fillId="10" borderId="0" xfId="0" applyFont="1" applyFill="1" applyBorder="1" applyAlignment="1">
      <alignment horizontal="center"/>
    </xf>
    <xf numFmtId="0" fontId="0" fillId="15" borderId="0" xfId="0" applyFill="1" applyBorder="1" applyAlignment="1">
      <alignment horizontal="center"/>
    </xf>
    <xf numFmtId="4" fontId="3" fillId="4" borderId="29" xfId="0" applyNumberFormat="1" applyFont="1" applyFill="1" applyBorder="1" applyAlignment="1">
      <alignment horizontal="center"/>
    </xf>
    <xf numFmtId="4" fontId="3" fillId="4" borderId="51" xfId="0" applyNumberFormat="1" applyFont="1" applyFill="1" applyBorder="1" applyAlignment="1">
      <alignment horizontal="center"/>
    </xf>
    <xf numFmtId="0" fontId="81" fillId="12" borderId="0" xfId="0" applyFont="1" applyFill="1" applyBorder="1" applyAlignment="1">
      <alignment horizontal="center" vertical="center" wrapText="1"/>
    </xf>
    <xf numFmtId="0" fontId="3" fillId="2" borderId="37" xfId="0" applyFont="1" applyFill="1" applyBorder="1" applyAlignment="1">
      <alignment horizontal="right" vertical="justify" wrapText="1"/>
    </xf>
    <xf numFmtId="2" fontId="44" fillId="4" borderId="0" xfId="0" applyNumberFormat="1" applyFont="1" applyFill="1" applyBorder="1" applyAlignment="1">
      <alignment horizontal="center" vertical="center"/>
    </xf>
    <xf numFmtId="0" fontId="33" fillId="12" borderId="0" xfId="0" applyFont="1" applyFill="1" applyAlignment="1">
      <alignment horizontal="center" vertical="center" wrapText="1"/>
    </xf>
    <xf numFmtId="1" fontId="44" fillId="4" borderId="29" xfId="0" applyNumberFormat="1" applyFont="1" applyFill="1" applyBorder="1" applyAlignment="1">
      <alignment horizontal="center" vertical="center"/>
    </xf>
    <xf numFmtId="0" fontId="3" fillId="2" borderId="43" xfId="0" applyFont="1" applyFill="1" applyBorder="1" applyAlignment="1">
      <alignment horizontal="center"/>
    </xf>
    <xf numFmtId="0" fontId="3" fillId="2" borderId="52" xfId="0" applyFont="1" applyFill="1" applyBorder="1" applyAlignment="1">
      <alignment horizontal="center"/>
    </xf>
    <xf numFmtId="0" fontId="3" fillId="2" borderId="37" xfId="0" applyFont="1" applyFill="1" applyBorder="1" applyAlignment="1">
      <alignment horizontal="right" vertical="justify"/>
    </xf>
    <xf numFmtId="0" fontId="3" fillId="2" borderId="38" xfId="0" applyFont="1" applyFill="1" applyBorder="1" applyAlignment="1">
      <alignment horizontal="right" vertical="justify"/>
    </xf>
    <xf numFmtId="0" fontId="44" fillId="4" borderId="29" xfId="0" applyFont="1" applyFill="1" applyBorder="1" applyAlignment="1">
      <alignment horizontal="center" vertical="center"/>
    </xf>
    <xf numFmtId="0" fontId="3" fillId="2" borderId="138" xfId="0" applyFont="1" applyFill="1" applyBorder="1" applyAlignment="1">
      <alignment horizontal="center"/>
    </xf>
    <xf numFmtId="4" fontId="7" fillId="4" borderId="47" xfId="0" applyNumberFormat="1" applyFont="1" applyFill="1" applyBorder="1" applyAlignment="1">
      <alignment horizontal="center" vertical="center" wrapText="1"/>
    </xf>
    <xf numFmtId="0" fontId="3" fillId="2" borderId="38" xfId="0" applyFont="1" applyFill="1" applyBorder="1" applyAlignment="1">
      <alignment horizontal="right" vertical="justify" wrapText="1"/>
    </xf>
    <xf numFmtId="0" fontId="81" fillId="12" borderId="9" xfId="0" applyFont="1" applyFill="1" applyBorder="1" applyAlignment="1">
      <alignment horizontal="center" vertical="center" wrapText="1"/>
    </xf>
    <xf numFmtId="4" fontId="39" fillId="4" borderId="55" xfId="0" applyNumberFormat="1" applyFont="1" applyFill="1" applyBorder="1" applyAlignment="1">
      <alignment horizontal="center" vertical="center" wrapText="1"/>
    </xf>
    <xf numFmtId="4" fontId="39" fillId="4" borderId="81" xfId="0" applyNumberFormat="1" applyFont="1" applyFill="1" applyBorder="1" applyAlignment="1">
      <alignment horizontal="center" vertical="center" wrapText="1"/>
    </xf>
    <xf numFmtId="4" fontId="39" fillId="4" borderId="53" xfId="0" applyNumberFormat="1" applyFont="1" applyFill="1" applyBorder="1" applyAlignment="1">
      <alignment horizontal="center" vertical="center" wrapText="1"/>
    </xf>
    <xf numFmtId="0" fontId="3" fillId="2" borderId="37" xfId="0" applyFont="1" applyFill="1" applyBorder="1" applyAlignment="1">
      <alignment horizontal="right"/>
    </xf>
    <xf numFmtId="0" fontId="3" fillId="2" borderId="38" xfId="0" applyFont="1" applyFill="1" applyBorder="1" applyAlignment="1">
      <alignment horizontal="right"/>
    </xf>
    <xf numFmtId="0" fontId="3" fillId="7" borderId="7" xfId="0" applyFont="1" applyFill="1" applyBorder="1" applyAlignment="1">
      <alignment horizontal="right"/>
    </xf>
    <xf numFmtId="0" fontId="23" fillId="7" borderId="10" xfId="0" applyFont="1" applyFill="1" applyBorder="1" applyAlignment="1">
      <alignment horizontal="center"/>
    </xf>
    <xf numFmtId="0" fontId="23" fillId="7" borderId="14" xfId="0" applyFont="1" applyFill="1" applyBorder="1" applyAlignment="1">
      <alignment horizontal="center"/>
    </xf>
    <xf numFmtId="0" fontId="23" fillId="7" borderId="4" xfId="0" applyFont="1" applyFill="1" applyBorder="1" applyAlignment="1">
      <alignment horizontal="center"/>
    </xf>
    <xf numFmtId="0" fontId="3" fillId="7" borderId="37" xfId="0" applyFont="1" applyFill="1" applyBorder="1" applyAlignment="1">
      <alignment horizontal="right"/>
    </xf>
    <xf numFmtId="0" fontId="3" fillId="7" borderId="93" xfId="0" applyFont="1" applyFill="1" applyBorder="1" applyAlignment="1">
      <alignment horizontal="right"/>
    </xf>
    <xf numFmtId="4" fontId="110" fillId="12" borderId="81" xfId="0" applyNumberFormat="1" applyFont="1" applyFill="1" applyBorder="1" applyAlignment="1">
      <alignment horizontal="center" vertical="center" wrapText="1"/>
    </xf>
    <xf numFmtId="4" fontId="110" fillId="12" borderId="53" xfId="0" applyNumberFormat="1" applyFont="1" applyFill="1" applyBorder="1" applyAlignment="1">
      <alignment horizontal="center" vertical="center" wrapText="1"/>
    </xf>
    <xf numFmtId="4" fontId="39" fillId="12" borderId="160" xfId="0" applyNumberFormat="1" applyFont="1" applyFill="1" applyBorder="1" applyAlignment="1">
      <alignment horizontal="center" vertical="center" wrapText="1"/>
    </xf>
    <xf numFmtId="4" fontId="39" fillId="12" borderId="81" xfId="0" applyNumberFormat="1" applyFont="1" applyFill="1" applyBorder="1" applyAlignment="1">
      <alignment horizontal="center" vertical="center" wrapText="1"/>
    </xf>
    <xf numFmtId="4" fontId="39" fillId="12" borderId="53" xfId="0" applyNumberFormat="1" applyFont="1" applyFill="1" applyBorder="1" applyAlignment="1">
      <alignment horizontal="center" vertical="center" wrapText="1"/>
    </xf>
    <xf numFmtId="0" fontId="3" fillId="7" borderId="142" xfId="0" applyFont="1" applyFill="1" applyBorder="1" applyAlignment="1">
      <alignment horizontal="center"/>
    </xf>
    <xf numFmtId="0" fontId="3" fillId="7" borderId="52" xfId="0" applyFont="1" applyFill="1" applyBorder="1" applyAlignment="1">
      <alignment horizontal="center"/>
    </xf>
    <xf numFmtId="0" fontId="3" fillId="7" borderId="155" xfId="0" applyFont="1" applyFill="1" applyBorder="1" applyAlignment="1">
      <alignment horizontal="center"/>
    </xf>
    <xf numFmtId="0" fontId="3" fillId="7" borderId="41" xfId="0" applyFont="1" applyFill="1" applyBorder="1" applyAlignment="1">
      <alignment horizontal="center"/>
    </xf>
    <xf numFmtId="4" fontId="39" fillId="12" borderId="163" xfId="0" applyNumberFormat="1" applyFont="1" applyFill="1" applyBorder="1" applyAlignment="1">
      <alignment horizontal="center" vertical="center" wrapText="1"/>
    </xf>
    <xf numFmtId="4" fontId="39" fillId="12" borderId="29" xfId="0" applyNumberFormat="1" applyFont="1" applyFill="1" applyBorder="1" applyAlignment="1">
      <alignment horizontal="center" vertical="center" wrapText="1"/>
    </xf>
    <xf numFmtId="4" fontId="39" fillId="12" borderId="47" xfId="0" applyNumberFormat="1" applyFont="1" applyFill="1" applyBorder="1" applyAlignment="1">
      <alignment horizontal="center" vertical="center" wrapText="1"/>
    </xf>
    <xf numFmtId="0" fontId="23" fillId="7" borderId="37" xfId="0" applyFont="1" applyFill="1" applyBorder="1" applyAlignment="1">
      <alignment horizontal="right" vertical="justify" wrapText="1"/>
    </xf>
    <xf numFmtId="0" fontId="3" fillId="7" borderId="42" xfId="0" applyFont="1" applyFill="1" applyBorder="1" applyAlignment="1">
      <alignment horizontal="center"/>
    </xf>
    <xf numFmtId="4" fontId="39" fillId="12" borderId="125" xfId="0" applyNumberFormat="1" applyFont="1" applyFill="1" applyBorder="1" applyAlignment="1">
      <alignment horizontal="center" vertical="center" wrapText="1"/>
    </xf>
    <xf numFmtId="4" fontId="39" fillId="12" borderId="32" xfId="0" applyNumberFormat="1" applyFont="1" applyFill="1" applyBorder="1" applyAlignment="1">
      <alignment horizontal="center" vertical="center" wrapText="1"/>
    </xf>
    <xf numFmtId="4" fontId="35" fillId="7" borderId="8" xfId="0" applyNumberFormat="1" applyFont="1" applyFill="1" applyBorder="1" applyAlignment="1">
      <alignment horizontal="center" vertical="center" wrapText="1"/>
    </xf>
    <xf numFmtId="4" fontId="35" fillId="7" borderId="0" xfId="0" applyNumberFormat="1" applyFont="1" applyFill="1" applyBorder="1" applyAlignment="1">
      <alignment horizontal="center" vertical="center" wrapText="1"/>
    </xf>
    <xf numFmtId="0" fontId="3" fillId="7" borderId="14" xfId="0" applyFont="1" applyFill="1" applyBorder="1" applyAlignment="1">
      <alignment horizontal="right"/>
    </xf>
    <xf numFmtId="0" fontId="3" fillId="7" borderId="6" xfId="0" applyFont="1" applyFill="1" applyBorder="1" applyAlignment="1">
      <alignment horizontal="center"/>
    </xf>
    <xf numFmtId="0" fontId="3" fillId="7" borderId="2" xfId="0" applyFont="1" applyFill="1" applyBorder="1" applyAlignment="1">
      <alignment horizontal="center"/>
    </xf>
    <xf numFmtId="0" fontId="3" fillId="7" borderId="37" xfId="0" applyFont="1" applyFill="1" applyBorder="1" applyAlignment="1">
      <alignment horizontal="right" vertical="justify" wrapText="1"/>
    </xf>
    <xf numFmtId="0" fontId="33" fillId="7" borderId="0" xfId="0" applyFont="1" applyFill="1" applyAlignment="1">
      <alignment horizontal="center" vertical="center" wrapText="1"/>
    </xf>
    <xf numFmtId="0" fontId="3" fillId="7" borderId="37" xfId="0" applyFont="1" applyFill="1" applyBorder="1" applyAlignment="1">
      <alignment horizontal="right" vertical="justify"/>
    </xf>
    <xf numFmtId="0" fontId="3" fillId="7" borderId="149" xfId="0" applyFont="1" applyFill="1" applyBorder="1" applyAlignment="1">
      <alignment horizontal="center"/>
    </xf>
    <xf numFmtId="0" fontId="20" fillId="4" borderId="0" xfId="0" applyFont="1" applyFill="1" applyAlignment="1">
      <alignment horizontal="left" vertical="center" wrapText="1"/>
    </xf>
    <xf numFmtId="0" fontId="3" fillId="4" borderId="0" xfId="0" applyFont="1" applyFill="1" applyAlignment="1">
      <alignment horizontal="right" vertical="center" wrapText="1"/>
    </xf>
    <xf numFmtId="0" fontId="12" fillId="4" borderId="0" xfId="0" applyFont="1" applyFill="1" applyAlignment="1">
      <alignment horizontal="center" vertical="center"/>
    </xf>
    <xf numFmtId="0" fontId="0" fillId="2" borderId="0" xfId="0" applyFill="1" applyAlignment="1">
      <alignment horizontal="center"/>
    </xf>
    <xf numFmtId="0" fontId="16" fillId="2" borderId="0" xfId="0" applyFont="1" applyFill="1" applyAlignment="1">
      <alignment horizontal="left" vertical="center"/>
    </xf>
    <xf numFmtId="0" fontId="7" fillId="4" borderId="0" xfId="0" applyFont="1" applyFill="1" applyAlignment="1">
      <alignment horizontal="right" wrapText="1"/>
    </xf>
    <xf numFmtId="0" fontId="16" fillId="2" borderId="0" xfId="0" applyFont="1" applyFill="1" applyAlignment="1">
      <alignment horizontal="right" vertical="center" wrapText="1"/>
    </xf>
    <xf numFmtId="0" fontId="2" fillId="0" borderId="179" xfId="0" applyFont="1" applyBorder="1" applyAlignment="1">
      <alignment horizontal="center" vertical="center"/>
    </xf>
    <xf numFmtId="0" fontId="2" fillId="0" borderId="193" xfId="0" applyFont="1" applyBorder="1" applyAlignment="1">
      <alignment horizontal="center" vertical="center"/>
    </xf>
    <xf numFmtId="0" fontId="0" fillId="0" borderId="195" xfId="0" applyBorder="1" applyAlignment="1">
      <alignment horizontal="center"/>
    </xf>
    <xf numFmtId="0" fontId="2" fillId="0" borderId="194" xfId="0" applyFont="1" applyBorder="1" applyAlignment="1">
      <alignment horizontal="center" vertical="center"/>
    </xf>
    <xf numFmtId="0" fontId="2" fillId="0" borderId="190" xfId="0" applyFont="1" applyBorder="1" applyAlignment="1">
      <alignment horizontal="center" vertical="center"/>
    </xf>
    <xf numFmtId="0" fontId="2" fillId="0" borderId="191" xfId="0" applyFont="1" applyBorder="1" applyAlignment="1">
      <alignment horizontal="center" vertical="center"/>
    </xf>
    <xf numFmtId="0" fontId="2" fillId="0" borderId="173" xfId="0" applyFont="1" applyBorder="1" applyAlignment="1">
      <alignment horizontal="center" vertical="center"/>
    </xf>
    <xf numFmtId="0" fontId="2" fillId="0" borderId="170" xfId="0" applyFont="1" applyBorder="1" applyAlignment="1">
      <alignment horizontal="center" vertical="center"/>
    </xf>
    <xf numFmtId="0" fontId="2" fillId="0" borderId="171" xfId="0" applyFont="1" applyBorder="1" applyAlignment="1">
      <alignment horizontal="center" vertical="center"/>
    </xf>
    <xf numFmtId="4" fontId="3" fillId="4" borderId="31" xfId="0" applyNumberFormat="1" applyFont="1" applyFill="1" applyBorder="1" applyAlignment="1">
      <alignment horizontal="center" vertical="center"/>
    </xf>
    <xf numFmtId="0" fontId="0" fillId="2" borderId="49" xfId="0" applyFill="1" applyBorder="1" applyAlignment="1">
      <alignment horizontal="center"/>
    </xf>
    <xf numFmtId="0" fontId="0" fillId="2" borderId="185" xfId="0" applyFill="1" applyBorder="1" applyAlignment="1">
      <alignment horizontal="center"/>
    </xf>
    <xf numFmtId="0" fontId="0" fillId="4" borderId="0" xfId="0" applyFill="1" applyAlignment="1">
      <alignment horizontal="center"/>
    </xf>
    <xf numFmtId="0" fontId="0" fillId="0" borderId="79" xfId="0" applyBorder="1" applyAlignment="1">
      <alignment horizontal="center"/>
    </xf>
    <xf numFmtId="0" fontId="2" fillId="0" borderId="61" xfId="0" applyFont="1" applyBorder="1" applyAlignment="1">
      <alignment horizontal="left" vertical="center"/>
    </xf>
    <xf numFmtId="0" fontId="2" fillId="0" borderId="85" xfId="0" applyFont="1" applyBorder="1" applyAlignment="1">
      <alignment horizontal="left" vertical="center"/>
    </xf>
    <xf numFmtId="0" fontId="2" fillId="0" borderId="62" xfId="0" applyFont="1" applyBorder="1" applyAlignment="1">
      <alignment horizontal="left" vertical="center"/>
    </xf>
    <xf numFmtId="0" fontId="2" fillId="0" borderId="10" xfId="0" applyFont="1" applyBorder="1" applyAlignment="1">
      <alignment horizontal="left" vertical="center"/>
    </xf>
    <xf numFmtId="0" fontId="2" fillId="0" borderId="14" xfId="0" applyFont="1" applyBorder="1" applyAlignment="1">
      <alignment horizontal="left" vertical="center"/>
    </xf>
    <xf numFmtId="0" fontId="2" fillId="0" borderId="4" xfId="0" applyFont="1" applyBorder="1" applyAlignment="1">
      <alignment horizontal="left" vertical="center"/>
    </xf>
    <xf numFmtId="0" fontId="2" fillId="0" borderId="15" xfId="0" applyFont="1" applyBorder="1" applyAlignment="1">
      <alignment horizontal="left" vertical="center"/>
    </xf>
    <xf numFmtId="0" fontId="2" fillId="0" borderId="8" xfId="0" applyFont="1" applyBorder="1" applyAlignment="1">
      <alignment horizontal="left" vertical="center"/>
    </xf>
    <xf numFmtId="0" fontId="2" fillId="0" borderId="16" xfId="0" applyFont="1" applyBorder="1" applyAlignment="1">
      <alignment horizontal="left" vertical="center"/>
    </xf>
    <xf numFmtId="4" fontId="7" fillId="4" borderId="55" xfId="0" applyNumberFormat="1" applyFont="1" applyFill="1" applyBorder="1" applyAlignment="1">
      <alignment horizontal="center" vertical="center"/>
    </xf>
    <xf numFmtId="4" fontId="7" fillId="4" borderId="81" xfId="0" applyNumberFormat="1" applyFont="1" applyFill="1" applyBorder="1" applyAlignment="1">
      <alignment horizontal="center" vertical="center"/>
    </xf>
    <xf numFmtId="4" fontId="7" fillId="4" borderId="50" xfId="0" applyNumberFormat="1" applyFont="1" applyFill="1" applyBorder="1" applyAlignment="1">
      <alignment horizontal="center" vertical="center"/>
    </xf>
    <xf numFmtId="4" fontId="7" fillId="4" borderId="31" xfId="0" applyNumberFormat="1" applyFont="1" applyFill="1" applyBorder="1" applyAlignment="1">
      <alignment horizontal="center" vertical="center"/>
    </xf>
    <xf numFmtId="0" fontId="7" fillId="2" borderId="49" xfId="0" applyFont="1" applyFill="1" applyBorder="1" applyAlignment="1">
      <alignment horizontal="left"/>
    </xf>
    <xf numFmtId="0" fontId="7" fillId="2" borderId="7" xfId="0" applyFont="1" applyFill="1" applyBorder="1" applyAlignment="1">
      <alignment horizontal="left"/>
    </xf>
    <xf numFmtId="0" fontId="18" fillId="2" borderId="35" xfId="0" applyFont="1" applyFill="1" applyBorder="1" applyAlignment="1">
      <alignment horizontal="right" vertical="center"/>
    </xf>
    <xf numFmtId="0" fontId="18" fillId="2" borderId="0" xfId="0" applyFont="1" applyFill="1" applyBorder="1" applyAlignment="1">
      <alignment horizontal="right" vertical="center"/>
    </xf>
    <xf numFmtId="0" fontId="3" fillId="4" borderId="35" xfId="0" applyFont="1" applyFill="1" applyBorder="1" applyAlignment="1">
      <alignment horizontal="right" vertical="center"/>
    </xf>
    <xf numFmtId="0" fontId="3" fillId="4" borderId="0" xfId="0" applyFont="1" applyFill="1" applyBorder="1" applyAlignment="1">
      <alignment horizontal="right" vertical="center"/>
    </xf>
    <xf numFmtId="0" fontId="3" fillId="4" borderId="18" xfId="0" applyFont="1" applyFill="1" applyBorder="1" applyAlignment="1">
      <alignment horizontal="right" vertical="center"/>
    </xf>
    <xf numFmtId="0" fontId="3" fillId="4" borderId="35" xfId="0" applyFont="1" applyFill="1" applyBorder="1" applyAlignment="1">
      <alignment horizontal="right"/>
    </xf>
    <xf numFmtId="0" fontId="3" fillId="4" borderId="0" xfId="0" applyFont="1" applyFill="1" applyBorder="1" applyAlignment="1">
      <alignment horizontal="right"/>
    </xf>
    <xf numFmtId="0" fontId="0" fillId="2" borderId="80" xfId="0" applyFill="1" applyBorder="1" applyAlignment="1">
      <alignment horizontal="center"/>
    </xf>
    <xf numFmtId="0" fontId="2" fillId="0" borderId="48" xfId="0" applyFont="1" applyBorder="1" applyAlignment="1">
      <alignment horizontal="left" vertical="center"/>
    </xf>
    <xf numFmtId="0" fontId="2" fillId="0" borderId="78" xfId="0" applyFont="1" applyBorder="1" applyAlignment="1">
      <alignment horizontal="left" vertical="center"/>
    </xf>
    <xf numFmtId="0" fontId="2" fillId="0" borderId="44" xfId="0" applyFont="1" applyBorder="1" applyAlignment="1">
      <alignment horizontal="left" vertical="center"/>
    </xf>
    <xf numFmtId="0" fontId="3" fillId="2" borderId="0" xfId="0" applyFont="1" applyFill="1" applyBorder="1" applyAlignment="1">
      <alignment horizontal="right" vertical="center" wrapText="1"/>
    </xf>
    <xf numFmtId="0" fontId="3" fillId="2" borderId="207" xfId="0" applyFont="1" applyFill="1" applyBorder="1" applyAlignment="1">
      <alignment horizontal="center"/>
    </xf>
    <xf numFmtId="4" fontId="7" fillId="4" borderId="205" xfId="0" applyNumberFormat="1" applyFont="1" applyFill="1" applyBorder="1" applyAlignment="1">
      <alignment horizontal="center" vertical="center" wrapText="1"/>
    </xf>
    <xf numFmtId="4" fontId="7" fillId="4" borderId="199" xfId="0" applyNumberFormat="1" applyFont="1" applyFill="1" applyBorder="1" applyAlignment="1">
      <alignment horizontal="center" vertical="center" wrapText="1"/>
    </xf>
    <xf numFmtId="4" fontId="7" fillId="4" borderId="226" xfId="0" applyNumberFormat="1" applyFont="1" applyFill="1" applyBorder="1" applyAlignment="1">
      <alignment horizontal="center" vertical="center" wrapText="1"/>
    </xf>
    <xf numFmtId="0" fontId="3" fillId="2" borderId="35" xfId="0" applyFont="1" applyFill="1" applyBorder="1" applyAlignment="1">
      <alignment horizontal="left" wrapText="1"/>
    </xf>
    <xf numFmtId="0" fontId="3" fillId="2" borderId="0" xfId="0" applyFont="1" applyFill="1" applyBorder="1" applyAlignment="1">
      <alignment horizontal="left" wrapText="1"/>
    </xf>
    <xf numFmtId="0" fontId="116" fillId="2" borderId="207" xfId="0" applyFont="1" applyFill="1" applyBorder="1" applyAlignment="1">
      <alignment horizontal="center" wrapText="1"/>
    </xf>
    <xf numFmtId="0" fontId="116" fillId="2" borderId="41" xfId="0" applyFont="1" applyFill="1" applyBorder="1" applyAlignment="1">
      <alignment horizontal="center" wrapText="1"/>
    </xf>
    <xf numFmtId="0" fontId="3" fillId="7" borderId="227" xfId="0" applyFont="1" applyFill="1" applyBorder="1" applyAlignment="1">
      <alignment horizontal="center"/>
    </xf>
    <xf numFmtId="0" fontId="3" fillId="7" borderId="178" xfId="0" applyFont="1" applyFill="1" applyBorder="1" applyAlignment="1">
      <alignment horizontal="center"/>
    </xf>
    <xf numFmtId="4" fontId="39" fillId="12" borderId="222" xfId="0" applyNumberFormat="1" applyFont="1" applyFill="1" applyBorder="1" applyAlignment="1">
      <alignment horizontal="center" vertical="center" wrapText="1"/>
    </xf>
    <xf numFmtId="0" fontId="0" fillId="2" borderId="207" xfId="0" applyFill="1" applyBorder="1" applyAlignment="1">
      <alignment horizontal="center"/>
    </xf>
    <xf numFmtId="0" fontId="0" fillId="0" borderId="207" xfId="0" applyBorder="1" applyAlignment="1">
      <alignment horizontal="center"/>
    </xf>
    <xf numFmtId="0" fontId="12" fillId="4" borderId="54" xfId="0" applyFont="1" applyFill="1" applyBorder="1" applyAlignment="1">
      <alignment horizontal="center" vertical="center"/>
    </xf>
    <xf numFmtId="0" fontId="12" fillId="4" borderId="37" xfId="0" applyFont="1" applyFill="1" applyBorder="1" applyAlignment="1">
      <alignment horizontal="center" vertical="center"/>
    </xf>
    <xf numFmtId="0" fontId="12" fillId="4" borderId="35" xfId="0" applyFont="1" applyFill="1" applyBorder="1" applyAlignment="1">
      <alignment horizontal="center" vertical="center"/>
    </xf>
    <xf numFmtId="0" fontId="12" fillId="4" borderId="0" xfId="0" applyFont="1" applyFill="1" applyBorder="1" applyAlignment="1">
      <alignment horizontal="center" vertical="center"/>
    </xf>
    <xf numFmtId="0" fontId="0" fillId="0" borderId="83" xfId="0" applyBorder="1" applyAlignment="1">
      <alignment horizontal="center"/>
    </xf>
    <xf numFmtId="0" fontId="0" fillId="0" borderId="49" xfId="0" applyBorder="1" applyAlignment="1">
      <alignment horizontal="center"/>
    </xf>
    <xf numFmtId="0" fontId="8" fillId="4" borderId="49" xfId="0" applyFont="1" applyFill="1" applyBorder="1" applyAlignment="1">
      <alignment horizontal="center"/>
    </xf>
    <xf numFmtId="0" fontId="8" fillId="4" borderId="7" xfId="0" applyFont="1" applyFill="1" applyBorder="1" applyAlignment="1">
      <alignment horizontal="center"/>
    </xf>
    <xf numFmtId="0" fontId="8" fillId="4" borderId="35" xfId="0" applyFont="1" applyFill="1" applyBorder="1" applyAlignment="1">
      <alignment horizontal="center"/>
    </xf>
    <xf numFmtId="0" fontId="8" fillId="4" borderId="0" xfId="0" applyFont="1" applyFill="1" applyBorder="1" applyAlignment="1">
      <alignment horizontal="center"/>
    </xf>
    <xf numFmtId="0" fontId="19" fillId="12" borderId="0" xfId="0" applyFont="1" applyFill="1" applyBorder="1" applyAlignment="1">
      <alignment horizontal="center" vertical="center"/>
    </xf>
    <xf numFmtId="4" fontId="7" fillId="7" borderId="0" xfId="0" applyNumberFormat="1" applyFont="1" applyFill="1" applyBorder="1" applyAlignment="1">
      <alignment horizontal="center" vertical="center"/>
    </xf>
    <xf numFmtId="0" fontId="3" fillId="2" borderId="29" xfId="0" applyFont="1" applyFill="1" applyBorder="1" applyAlignment="1">
      <alignment horizontal="right"/>
    </xf>
    <xf numFmtId="0" fontId="8" fillId="7" borderId="0" xfId="0" applyFont="1" applyFill="1" applyBorder="1" applyAlignment="1">
      <alignment horizontal="center"/>
    </xf>
    <xf numFmtId="4" fontId="7" fillId="4" borderId="53" xfId="0" applyNumberFormat="1" applyFont="1" applyFill="1" applyBorder="1" applyAlignment="1">
      <alignment horizontal="center" vertical="center"/>
    </xf>
    <xf numFmtId="0" fontId="12" fillId="4" borderId="38" xfId="0" applyFont="1" applyFill="1" applyBorder="1" applyAlignment="1">
      <alignment horizontal="center" vertical="center"/>
    </xf>
    <xf numFmtId="0" fontId="12" fillId="4" borderId="29" xfId="0" applyFont="1" applyFill="1" applyBorder="1" applyAlignment="1">
      <alignment horizontal="center" vertical="center"/>
    </xf>
    <xf numFmtId="0" fontId="39" fillId="12" borderId="0" xfId="0" applyFont="1" applyFill="1" applyAlignment="1">
      <alignment horizontal="right"/>
    </xf>
    <xf numFmtId="3" fontId="7" fillId="7" borderId="11" xfId="0" applyNumberFormat="1" applyFont="1" applyFill="1" applyBorder="1" applyAlignment="1">
      <alignment horizontal="center"/>
    </xf>
    <xf numFmtId="4" fontId="7" fillId="7" borderId="11" xfId="0" applyNumberFormat="1" applyFont="1" applyFill="1" applyBorder="1" applyAlignment="1">
      <alignment horizontal="center"/>
    </xf>
    <xf numFmtId="0" fontId="43" fillId="12" borderId="54" xfId="0" applyFont="1" applyFill="1" applyBorder="1" applyAlignment="1">
      <alignment horizontal="center" vertical="center"/>
    </xf>
    <xf numFmtId="0" fontId="43" fillId="12" borderId="37" xfId="0" applyFont="1" applyFill="1" applyBorder="1" applyAlignment="1">
      <alignment horizontal="center" vertical="center"/>
    </xf>
    <xf numFmtId="0" fontId="0" fillId="0" borderId="0" xfId="0" applyBorder="1" applyAlignment="1">
      <alignment horizontal="left" vertical="center" wrapText="1"/>
    </xf>
    <xf numFmtId="0" fontId="7" fillId="12" borderId="49" xfId="0" applyFont="1" applyFill="1" applyBorder="1" applyAlignment="1">
      <alignment horizontal="center"/>
    </xf>
    <xf numFmtId="0" fontId="7" fillId="12" borderId="7" xfId="0" applyFont="1" applyFill="1" applyBorder="1" applyAlignment="1">
      <alignment horizontal="center"/>
    </xf>
    <xf numFmtId="0" fontId="7" fillId="12" borderId="181" xfId="0" applyFont="1" applyFill="1" applyBorder="1" applyAlignment="1">
      <alignment horizontal="center" vertical="center"/>
    </xf>
    <xf numFmtId="0" fontId="7" fillId="12" borderId="168" xfId="0" applyFont="1" applyFill="1" applyBorder="1" applyAlignment="1">
      <alignment horizontal="center" vertical="center"/>
    </xf>
    <xf numFmtId="4" fontId="7" fillId="4" borderId="167" xfId="0" applyNumberFormat="1" applyFont="1" applyFill="1" applyBorder="1" applyAlignment="1">
      <alignment horizontal="right"/>
    </xf>
    <xf numFmtId="4" fontId="7" fillId="4" borderId="177" xfId="0" applyNumberFormat="1" applyFont="1" applyFill="1" applyBorder="1" applyAlignment="1">
      <alignment horizontal="right"/>
    </xf>
    <xf numFmtId="0" fontId="43" fillId="12" borderId="0" xfId="0" applyFont="1" applyFill="1" applyAlignment="1">
      <alignment horizontal="center" vertical="center"/>
    </xf>
    <xf numFmtId="4" fontId="7" fillId="4" borderId="45" xfId="0" applyNumberFormat="1" applyFont="1" applyFill="1" applyBorder="1" applyAlignment="1">
      <alignment horizontal="right"/>
    </xf>
    <xf numFmtId="4" fontId="7" fillId="4" borderId="46" xfId="0" applyNumberFormat="1" applyFont="1" applyFill="1" applyBorder="1" applyAlignment="1">
      <alignment horizontal="right"/>
    </xf>
    <xf numFmtId="4" fontId="20" fillId="12" borderId="172" xfId="0" applyNumberFormat="1" applyFont="1" applyFill="1" applyBorder="1" applyAlignment="1">
      <alignment horizontal="center" vertical="center"/>
    </xf>
    <xf numFmtId="4" fontId="20" fillId="12" borderId="81" xfId="0" applyNumberFormat="1" applyFont="1" applyFill="1" applyBorder="1" applyAlignment="1">
      <alignment horizontal="center" vertical="center"/>
    </xf>
    <xf numFmtId="4" fontId="20" fillId="12" borderId="53" xfId="0" applyNumberFormat="1" applyFont="1" applyFill="1" applyBorder="1" applyAlignment="1">
      <alignment horizontal="center" vertical="center"/>
    </xf>
    <xf numFmtId="4" fontId="49" fillId="12" borderId="183" xfId="0" applyNumberFormat="1" applyFont="1" applyFill="1" applyBorder="1" applyAlignment="1">
      <alignment horizontal="right"/>
    </xf>
    <xf numFmtId="4" fontId="49" fillId="12" borderId="185" xfId="0" applyNumberFormat="1" applyFont="1" applyFill="1" applyBorder="1" applyAlignment="1">
      <alignment horizontal="right"/>
    </xf>
    <xf numFmtId="0" fontId="7" fillId="12" borderId="60" xfId="0" applyFont="1" applyFill="1" applyBorder="1" applyAlignment="1">
      <alignment horizontal="center"/>
    </xf>
    <xf numFmtId="0" fontId="7" fillId="12" borderId="174" xfId="0" applyFont="1" applyFill="1" applyBorder="1" applyAlignment="1">
      <alignment horizontal="center"/>
    </xf>
    <xf numFmtId="4" fontId="7" fillId="7" borderId="9" xfId="0" applyNumberFormat="1" applyFont="1" applyFill="1" applyBorder="1" applyAlignment="1">
      <alignment horizontal="center"/>
    </xf>
    <xf numFmtId="0" fontId="24" fillId="4" borderId="29" xfId="0" applyFont="1" applyFill="1" applyBorder="1" applyAlignment="1">
      <alignment horizontal="center" vertical="center" wrapText="1"/>
    </xf>
    <xf numFmtId="0" fontId="64" fillId="4" borderId="0" xfId="0" applyFont="1" applyFill="1" applyBorder="1" applyAlignment="1">
      <alignment horizontal="center" vertical="justify"/>
    </xf>
    <xf numFmtId="0" fontId="62" fillId="4" borderId="0" xfId="0" applyFont="1" applyFill="1" applyBorder="1" applyAlignment="1">
      <alignment horizontal="center" vertical="justify"/>
    </xf>
    <xf numFmtId="0" fontId="90" fillId="7" borderId="0" xfId="0" applyFont="1" applyFill="1" applyBorder="1"/>
    <xf numFmtId="0" fontId="65" fillId="4" borderId="0" xfId="0" applyFont="1" applyFill="1" applyBorder="1" applyAlignment="1">
      <alignment horizontal="center" vertical="center"/>
    </xf>
    <xf numFmtId="0" fontId="62" fillId="4" borderId="29" xfId="0" applyFont="1" applyFill="1" applyBorder="1" applyAlignment="1">
      <alignment horizontal="center"/>
    </xf>
    <xf numFmtId="0" fontId="65" fillId="4" borderId="37" xfId="0" applyFont="1" applyFill="1" applyBorder="1" applyAlignment="1">
      <alignment horizontal="center" vertical="center"/>
    </xf>
    <xf numFmtId="0" fontId="44" fillId="4" borderId="29" xfId="0" applyFont="1" applyFill="1" applyBorder="1" applyAlignment="1">
      <alignment horizontal="center" vertical="center" wrapText="1"/>
    </xf>
    <xf numFmtId="4" fontId="7" fillId="4" borderId="125" xfId="0" applyNumberFormat="1" applyFont="1" applyFill="1" applyBorder="1" applyAlignment="1">
      <alignment horizontal="center" vertical="center"/>
    </xf>
    <xf numFmtId="4" fontId="7" fillId="4" borderId="172" xfId="0" applyNumberFormat="1" applyFont="1" applyFill="1" applyBorder="1" applyAlignment="1">
      <alignment horizontal="center" vertical="center"/>
    </xf>
    <xf numFmtId="4" fontId="7" fillId="4" borderId="32" xfId="0" applyNumberFormat="1" applyFont="1" applyFill="1" applyBorder="1" applyAlignment="1">
      <alignment horizontal="center" vertical="center"/>
    </xf>
    <xf numFmtId="0" fontId="30" fillId="4" borderId="54" xfId="0" applyFont="1" applyFill="1" applyBorder="1" applyAlignment="1">
      <alignment horizontal="center" vertical="center"/>
    </xf>
    <xf numFmtId="0" fontId="47" fillId="4" borderId="29" xfId="0" applyFont="1" applyFill="1" applyBorder="1" applyAlignment="1">
      <alignment horizontal="center" vertical="center" wrapText="1"/>
    </xf>
    <xf numFmtId="0" fontId="64" fillId="4" borderId="29" xfId="0" applyFont="1" applyFill="1" applyBorder="1" applyAlignment="1">
      <alignment horizontal="center" vertical="justify"/>
    </xf>
    <xf numFmtId="0" fontId="62" fillId="4" borderId="29" xfId="0" applyFont="1" applyFill="1" applyBorder="1" applyAlignment="1">
      <alignment horizontal="center" vertical="justify"/>
    </xf>
    <xf numFmtId="0" fontId="14" fillId="4" borderId="49" xfId="0" applyFont="1" applyFill="1" applyBorder="1" applyAlignment="1">
      <alignment horizontal="center"/>
    </xf>
    <xf numFmtId="0" fontId="14" fillId="4" borderId="7" xfId="0" applyFont="1" applyFill="1" applyBorder="1" applyAlignment="1">
      <alignment horizontal="center"/>
    </xf>
    <xf numFmtId="0" fontId="0" fillId="0" borderId="155" xfId="0" applyBorder="1" applyAlignment="1">
      <alignment horizontal="center"/>
    </xf>
    <xf numFmtId="0" fontId="14" fillId="4" borderId="84" xfId="0" applyFont="1" applyFill="1" applyBorder="1" applyAlignment="1">
      <alignment horizontal="center"/>
    </xf>
    <xf numFmtId="0" fontId="14" fillId="4" borderId="85" xfId="0" applyFont="1" applyFill="1" applyBorder="1" applyAlignment="1">
      <alignment horizontal="center"/>
    </xf>
    <xf numFmtId="0" fontId="0" fillId="3" borderId="1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90" fillId="12" borderId="10" xfId="0" applyFont="1" applyFill="1" applyBorder="1"/>
    <xf numFmtId="0" fontId="90" fillId="12" borderId="4" xfId="0" applyFont="1" applyFill="1" applyBorder="1"/>
    <xf numFmtId="0" fontId="62" fillId="4" borderId="0" xfId="0" applyFont="1" applyFill="1" applyBorder="1" applyAlignment="1">
      <alignment horizontal="center"/>
    </xf>
    <xf numFmtId="0" fontId="47" fillId="4" borderId="0" xfId="0" applyFont="1" applyFill="1" applyBorder="1" applyAlignment="1">
      <alignment horizontal="center" vertical="center" wrapText="1"/>
    </xf>
    <xf numFmtId="0" fontId="24" fillId="4" borderId="0" xfId="0" applyFont="1" applyFill="1" applyBorder="1" applyAlignment="1">
      <alignment horizontal="center" vertical="center" wrapText="1"/>
    </xf>
    <xf numFmtId="4" fontId="7" fillId="4" borderId="160" xfId="0" applyNumberFormat="1" applyFont="1" applyFill="1" applyBorder="1" applyAlignment="1">
      <alignment horizontal="center" vertical="center"/>
    </xf>
    <xf numFmtId="0" fontId="14" fillId="4" borderId="84" xfId="0" applyFont="1" applyFill="1" applyBorder="1" applyAlignment="1">
      <alignment horizontal="right"/>
    </xf>
    <xf numFmtId="0" fontId="14" fillId="4" borderId="85" xfId="0" applyFont="1" applyFill="1" applyBorder="1" applyAlignment="1">
      <alignment horizontal="right"/>
    </xf>
    <xf numFmtId="4" fontId="7" fillId="4" borderId="120" xfId="0" applyNumberFormat="1" applyFont="1" applyFill="1" applyBorder="1" applyAlignment="1">
      <alignment horizontal="center" vertical="center"/>
    </xf>
    <xf numFmtId="0" fontId="90" fillId="4" borderId="10" xfId="0" applyFont="1" applyFill="1" applyBorder="1" applyAlignment="1">
      <alignment horizontal="left" vertical="center"/>
    </xf>
    <xf numFmtId="0" fontId="90" fillId="4" borderId="4" xfId="0" applyFont="1" applyFill="1" applyBorder="1" applyAlignment="1">
      <alignment horizontal="left" vertical="center"/>
    </xf>
    <xf numFmtId="0" fontId="43" fillId="4" borderId="86" xfId="0" applyFont="1" applyFill="1" applyBorder="1" applyAlignment="1">
      <alignment horizontal="center"/>
    </xf>
    <xf numFmtId="0" fontId="43" fillId="4" borderId="9" xfId="0" applyFont="1" applyFill="1" applyBorder="1" applyAlignment="1">
      <alignment horizontal="center"/>
    </xf>
    <xf numFmtId="0" fontId="44" fillId="4" borderId="87" xfId="0" applyFont="1" applyFill="1" applyBorder="1" applyAlignment="1">
      <alignment horizontal="center"/>
    </xf>
    <xf numFmtId="0" fontId="44" fillId="4" borderId="11" xfId="0" applyFont="1" applyFill="1" applyBorder="1" applyAlignment="1">
      <alignment horizontal="center"/>
    </xf>
    <xf numFmtId="0" fontId="25" fillId="4" borderId="87" xfId="0" applyFont="1" applyFill="1" applyBorder="1" applyAlignment="1">
      <alignment horizontal="center"/>
    </xf>
    <xf numFmtId="0" fontId="25" fillId="4" borderId="11" xfId="0" applyFont="1" applyFill="1" applyBorder="1" applyAlignment="1">
      <alignment horizontal="center"/>
    </xf>
    <xf numFmtId="0" fontId="20" fillId="4" borderId="0" xfId="0" applyFont="1" applyFill="1" applyBorder="1" applyAlignment="1">
      <alignment horizontal="center"/>
    </xf>
    <xf numFmtId="0" fontId="3" fillId="4" borderId="49" xfId="0" applyFont="1" applyFill="1" applyBorder="1" applyAlignment="1">
      <alignment horizontal="left"/>
    </xf>
    <xf numFmtId="0" fontId="16" fillId="4" borderId="7" xfId="0" applyFont="1" applyFill="1" applyBorder="1" applyAlignment="1">
      <alignment horizontal="left"/>
    </xf>
    <xf numFmtId="0" fontId="1" fillId="2" borderId="15" xfId="0" applyNumberFormat="1" applyFont="1" applyFill="1" applyBorder="1" applyAlignment="1">
      <alignment horizontal="left" vertical="center" wrapText="1"/>
    </xf>
    <xf numFmtId="0" fontId="1" fillId="2" borderId="8" xfId="0" applyNumberFormat="1" applyFont="1" applyFill="1" applyBorder="1" applyAlignment="1">
      <alignment horizontal="left" vertical="center" wrapText="1"/>
    </xf>
    <xf numFmtId="0" fontId="1" fillId="2" borderId="16" xfId="0" applyNumberFormat="1" applyFont="1" applyFill="1" applyBorder="1" applyAlignment="1">
      <alignment horizontal="left" vertical="center" wrapText="1"/>
    </xf>
    <xf numFmtId="0" fontId="1" fillId="2" borderId="17" xfId="0" applyNumberFormat="1" applyFont="1" applyFill="1" applyBorder="1" applyAlignment="1">
      <alignment horizontal="left" vertical="center" wrapText="1"/>
    </xf>
    <xf numFmtId="0" fontId="1" fillId="2" borderId="0" xfId="0" applyNumberFormat="1" applyFont="1" applyFill="1" applyBorder="1" applyAlignment="1">
      <alignment horizontal="left" vertical="center" wrapText="1"/>
    </xf>
    <xf numFmtId="0" fontId="1" fillId="2" borderId="18" xfId="0" applyNumberFormat="1" applyFont="1" applyFill="1" applyBorder="1" applyAlignment="1">
      <alignment horizontal="left" vertical="center" wrapText="1"/>
    </xf>
    <xf numFmtId="0" fontId="1" fillId="2" borderId="45" xfId="0" applyNumberFormat="1" applyFont="1" applyFill="1" applyBorder="1" applyAlignment="1">
      <alignment horizontal="left" vertical="center" wrapText="1"/>
    </xf>
    <xf numFmtId="0" fontId="1" fillId="2" borderId="9" xfId="0" applyNumberFormat="1" applyFont="1" applyFill="1" applyBorder="1" applyAlignment="1">
      <alignment horizontal="left" vertical="center" wrapText="1"/>
    </xf>
    <xf numFmtId="0" fontId="1" fillId="2" borderId="46" xfId="0" applyNumberFormat="1" applyFont="1" applyFill="1" applyBorder="1" applyAlignment="1">
      <alignment horizontal="left" vertical="center" wrapText="1"/>
    </xf>
    <xf numFmtId="0" fontId="25" fillId="4" borderId="49" xfId="0" applyFont="1" applyFill="1" applyBorder="1" applyAlignment="1">
      <alignment horizontal="left"/>
    </xf>
    <xf numFmtId="0" fontId="25" fillId="4" borderId="7" xfId="0" applyFont="1" applyFill="1" applyBorder="1" applyAlignment="1">
      <alignment horizontal="left"/>
    </xf>
    <xf numFmtId="0" fontId="7" fillId="0" borderId="15" xfId="0" applyFont="1" applyBorder="1" applyAlignment="1">
      <alignment horizontal="left" vertical="center" wrapText="1"/>
    </xf>
    <xf numFmtId="0" fontId="0" fillId="0" borderId="8" xfId="0" applyBorder="1" applyAlignment="1">
      <alignment horizontal="left" vertical="center"/>
    </xf>
    <xf numFmtId="0" fontId="0" fillId="0" borderId="16" xfId="0" applyBorder="1" applyAlignment="1">
      <alignment horizontal="left" vertical="center"/>
    </xf>
    <xf numFmtId="0" fontId="0" fillId="0" borderId="17" xfId="0" applyBorder="1" applyAlignment="1">
      <alignment horizontal="left" vertical="center"/>
    </xf>
    <xf numFmtId="0" fontId="0" fillId="0" borderId="0" xfId="0" applyBorder="1" applyAlignment="1">
      <alignment horizontal="left" vertical="center"/>
    </xf>
    <xf numFmtId="0" fontId="0" fillId="0" borderId="18" xfId="0" applyBorder="1" applyAlignment="1">
      <alignment horizontal="left" vertical="center"/>
    </xf>
    <xf numFmtId="0" fontId="0" fillId="0" borderId="45" xfId="0" applyBorder="1" applyAlignment="1">
      <alignment horizontal="left" vertical="center"/>
    </xf>
    <xf numFmtId="0" fontId="0" fillId="0" borderId="9" xfId="0" applyBorder="1" applyAlignment="1">
      <alignment horizontal="left" vertical="center"/>
    </xf>
    <xf numFmtId="0" fontId="0" fillId="0" borderId="46" xfId="0" applyBorder="1" applyAlignment="1">
      <alignment horizontal="left" vertical="center"/>
    </xf>
    <xf numFmtId="0" fontId="16" fillId="4" borderId="84" xfId="0" applyFont="1" applyFill="1" applyBorder="1" applyAlignment="1">
      <alignment horizontal="center"/>
    </xf>
    <xf numFmtId="0" fontId="16" fillId="4" borderId="85" xfId="0" applyFont="1" applyFill="1" applyBorder="1" applyAlignment="1">
      <alignment horizontal="center"/>
    </xf>
    <xf numFmtId="0" fontId="90" fillId="4" borderId="10" xfId="0" applyFont="1" applyFill="1" applyBorder="1" applyAlignment="1">
      <alignment horizontal="left"/>
    </xf>
    <xf numFmtId="0" fontId="90" fillId="4" borderId="4" xfId="0" applyFont="1" applyFill="1" applyBorder="1" applyAlignment="1">
      <alignment horizontal="left"/>
    </xf>
    <xf numFmtId="0" fontId="20" fillId="4" borderId="80" xfId="0" applyFont="1" applyFill="1" applyBorder="1" applyAlignment="1">
      <alignment horizontal="center" vertical="center"/>
    </xf>
    <xf numFmtId="0" fontId="20" fillId="4" borderId="42" xfId="0" applyFont="1" applyFill="1" applyBorder="1" applyAlignment="1">
      <alignment horizontal="center" vertical="center"/>
    </xf>
    <xf numFmtId="0" fontId="7" fillId="4" borderId="38" xfId="0" applyFont="1" applyFill="1" applyBorder="1" applyAlignment="1">
      <alignment horizontal="center" vertical="center"/>
    </xf>
    <xf numFmtId="0" fontId="7" fillId="4" borderId="47" xfId="0" applyFont="1" applyFill="1" applyBorder="1" applyAlignment="1">
      <alignment horizontal="center" vertical="center"/>
    </xf>
    <xf numFmtId="0" fontId="67" fillId="4" borderId="4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/>
    </xf>
    <xf numFmtId="0" fontId="1" fillId="4" borderId="1" xfId="0" applyFont="1" applyFill="1" applyBorder="1" applyAlignment="1"/>
    <xf numFmtId="0" fontId="20" fillId="4" borderId="16" xfId="0" applyFont="1" applyFill="1" applyBorder="1" applyAlignment="1">
      <alignment horizontal="center" vertical="center" wrapText="1"/>
    </xf>
    <xf numFmtId="0" fontId="20" fillId="4" borderId="5" xfId="0" applyFont="1" applyFill="1" applyBorder="1" applyAlignment="1">
      <alignment horizontal="center" vertical="center" wrapText="1"/>
    </xf>
    <xf numFmtId="0" fontId="20" fillId="4" borderId="1" xfId="0" applyFont="1" applyFill="1" applyBorder="1" applyAlignment="1">
      <alignment horizontal="center" vertical="center"/>
    </xf>
    <xf numFmtId="0" fontId="20" fillId="2" borderId="16" xfId="0" applyFont="1" applyFill="1" applyBorder="1" applyAlignment="1">
      <alignment horizontal="center" vertical="center" wrapText="1"/>
    </xf>
    <xf numFmtId="0" fontId="20" fillId="2" borderId="5" xfId="0" applyFont="1" applyFill="1" applyBorder="1" applyAlignment="1">
      <alignment horizontal="center" vertical="center" wrapText="1"/>
    </xf>
    <xf numFmtId="0" fontId="72" fillId="2" borderId="39" xfId="0" applyFont="1" applyFill="1" applyBorder="1" applyAlignment="1">
      <alignment horizontal="center"/>
    </xf>
    <xf numFmtId="0" fontId="72" fillId="2" borderId="9" xfId="0" applyFont="1" applyFill="1" applyBorder="1" applyAlignment="1">
      <alignment horizontal="center"/>
    </xf>
    <xf numFmtId="0" fontId="72" fillId="2" borderId="47" xfId="0" applyFont="1" applyFill="1" applyBorder="1" applyAlignment="1">
      <alignment horizontal="center"/>
    </xf>
    <xf numFmtId="165" fontId="20" fillId="4" borderId="34" xfId="0" applyNumberFormat="1" applyFont="1" applyFill="1" applyBorder="1" applyAlignment="1">
      <alignment horizontal="center" vertical="center"/>
    </xf>
    <xf numFmtId="165" fontId="20" fillId="4" borderId="53" xfId="0" applyNumberFormat="1" applyFont="1" applyFill="1" applyBorder="1" applyAlignment="1">
      <alignment horizontal="center" vertical="center"/>
    </xf>
    <xf numFmtId="0" fontId="20" fillId="4" borderId="34" xfId="0" applyFont="1" applyFill="1" applyBorder="1" applyAlignment="1">
      <alignment horizontal="center" vertical="center"/>
    </xf>
    <xf numFmtId="0" fontId="20" fillId="4" borderId="53" xfId="0" applyFont="1" applyFill="1" applyBorder="1" applyAlignment="1">
      <alignment horizontal="center" vertical="center"/>
    </xf>
    <xf numFmtId="0" fontId="7" fillId="0" borderId="33" xfId="0" applyFont="1" applyBorder="1" applyAlignment="1">
      <alignment horizontal="center" vertical="center"/>
    </xf>
    <xf numFmtId="0" fontId="7" fillId="0" borderId="27" xfId="0" applyFont="1" applyBorder="1" applyAlignment="1">
      <alignment horizontal="center" vertical="center"/>
    </xf>
    <xf numFmtId="0" fontId="20" fillId="0" borderId="54" xfId="0" applyFont="1" applyBorder="1" applyAlignment="1">
      <alignment horizontal="center" vertical="center"/>
    </xf>
    <xf numFmtId="0" fontId="20" fillId="0" borderId="39" xfId="0" applyFont="1" applyBorder="1" applyAlignment="1">
      <alignment horizontal="center" vertical="center"/>
    </xf>
    <xf numFmtId="0" fontId="20" fillId="2" borderId="6" xfId="0" applyFont="1" applyFill="1" applyBorder="1" applyAlignment="1">
      <alignment horizontal="center" vertical="center" wrapText="1"/>
    </xf>
    <xf numFmtId="0" fontId="20" fillId="2" borderId="2" xfId="0" applyFont="1" applyFill="1" applyBorder="1" applyAlignment="1">
      <alignment horizontal="center" vertical="center" wrapText="1"/>
    </xf>
    <xf numFmtId="0" fontId="67" fillId="2" borderId="4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/>
    <xf numFmtId="0" fontId="18" fillId="2" borderId="1" xfId="0" applyFont="1" applyFill="1" applyBorder="1" applyAlignment="1">
      <alignment horizontal="center" vertical="center"/>
    </xf>
    <xf numFmtId="0" fontId="20" fillId="2" borderId="1" xfId="0" applyFont="1" applyFill="1" applyBorder="1" applyAlignment="1">
      <alignment horizontal="center" vertical="center"/>
    </xf>
    <xf numFmtId="0" fontId="20" fillId="2" borderId="15" xfId="0" applyFont="1" applyFill="1" applyBorder="1" applyAlignment="1">
      <alignment horizontal="center" vertical="center"/>
    </xf>
    <xf numFmtId="0" fontId="20" fillId="2" borderId="13" xfId="0" applyFont="1" applyFill="1" applyBorder="1" applyAlignment="1">
      <alignment horizontal="center" vertical="center"/>
    </xf>
    <xf numFmtId="2" fontId="37" fillId="4" borderId="88" xfId="0" applyNumberFormat="1" applyFont="1" applyFill="1" applyBorder="1" applyAlignment="1">
      <alignment horizontal="center" vertical="center"/>
    </xf>
    <xf numFmtId="2" fontId="37" fillId="4" borderId="11" xfId="0" applyNumberFormat="1" applyFont="1" applyFill="1" applyBorder="1" applyAlignment="1">
      <alignment horizontal="center" vertical="center"/>
    </xf>
    <xf numFmtId="2" fontId="37" fillId="4" borderId="68" xfId="0" applyNumberFormat="1" applyFont="1" applyFill="1" applyBorder="1" applyAlignment="1">
      <alignment horizontal="center" vertical="center"/>
    </xf>
    <xf numFmtId="0" fontId="20" fillId="4" borderId="89" xfId="0" applyFont="1" applyFill="1" applyBorder="1" applyAlignment="1">
      <alignment horizontal="center" vertical="center"/>
    </xf>
    <xf numFmtId="0" fontId="20" fillId="4" borderId="45" xfId="0" applyFont="1" applyFill="1" applyBorder="1" applyAlignment="1">
      <alignment horizontal="center" vertical="center"/>
    </xf>
    <xf numFmtId="0" fontId="20" fillId="4" borderId="37" xfId="0" applyFont="1" applyFill="1" applyBorder="1" applyAlignment="1">
      <alignment horizontal="center" vertical="center"/>
    </xf>
    <xf numFmtId="0" fontId="20" fillId="4" borderId="85" xfId="0" applyFont="1" applyFill="1" applyBorder="1" applyAlignment="1">
      <alignment horizontal="center" vertical="center"/>
    </xf>
    <xf numFmtId="0" fontId="3" fillId="2" borderId="238" xfId="0" applyFont="1" applyFill="1" applyBorder="1" applyAlignment="1">
      <alignment horizontal="center"/>
    </xf>
    <xf numFmtId="0" fontId="44" fillId="9" borderId="29" xfId="0" applyFont="1" applyFill="1" applyBorder="1" applyAlignment="1">
      <alignment horizontal="center" vertical="center"/>
    </xf>
    <xf numFmtId="4" fontId="7" fillId="9" borderId="235" xfId="0" applyNumberFormat="1" applyFont="1" applyFill="1" applyBorder="1" applyAlignment="1">
      <alignment horizontal="center" vertical="center" wrapText="1"/>
    </xf>
    <xf numFmtId="4" fontId="7" fillId="9" borderId="81" xfId="0" applyNumberFormat="1" applyFont="1" applyFill="1" applyBorder="1" applyAlignment="1">
      <alignment horizontal="center" vertical="center" wrapText="1"/>
    </xf>
    <xf numFmtId="4" fontId="7" fillId="9" borderId="53" xfId="0" applyNumberFormat="1" applyFont="1" applyFill="1" applyBorder="1" applyAlignment="1">
      <alignment horizontal="center" vertical="center" wrapText="1"/>
    </xf>
    <xf numFmtId="4" fontId="3" fillId="9" borderId="29" xfId="0" applyNumberFormat="1" applyFont="1" applyFill="1" applyBorder="1" applyAlignment="1">
      <alignment horizontal="center"/>
    </xf>
    <xf numFmtId="4" fontId="3" fillId="9" borderId="51" xfId="0" applyNumberFormat="1" applyFont="1" applyFill="1" applyBorder="1" applyAlignment="1">
      <alignment horizontal="center"/>
    </xf>
    <xf numFmtId="4" fontId="37" fillId="9" borderId="0" xfId="0" applyNumberFormat="1" applyFont="1" applyFill="1" applyBorder="1" applyAlignment="1">
      <alignment horizontal="center" vertical="center"/>
    </xf>
    <xf numFmtId="0" fontId="116" fillId="2" borderId="37" xfId="0" applyFont="1" applyFill="1" applyBorder="1" applyAlignment="1">
      <alignment horizontal="left" vertical="justify"/>
    </xf>
    <xf numFmtId="0" fontId="116" fillId="2" borderId="37" xfId="0" applyFont="1" applyFill="1" applyBorder="1" applyAlignment="1">
      <alignment horizontal="left"/>
    </xf>
    <xf numFmtId="0" fontId="5" fillId="9" borderId="0" xfId="0" applyFont="1" applyFill="1" applyBorder="1" applyAlignment="1">
      <alignment horizontal="center" vertical="center" wrapText="1"/>
    </xf>
    <xf numFmtId="0" fontId="28" fillId="9" borderId="0" xfId="0" applyFont="1" applyFill="1" applyBorder="1" applyAlignment="1">
      <alignment horizontal="center" vertical="center" wrapText="1"/>
    </xf>
    <xf numFmtId="0" fontId="28" fillId="9" borderId="96" xfId="0" applyFont="1" applyFill="1" applyBorder="1" applyAlignment="1">
      <alignment horizontal="center" vertical="center" wrapText="1"/>
    </xf>
    <xf numFmtId="0" fontId="28" fillId="9" borderId="9" xfId="0" applyFont="1" applyFill="1" applyBorder="1" applyAlignment="1">
      <alignment horizontal="center" vertical="center" wrapText="1"/>
    </xf>
    <xf numFmtId="0" fontId="28" fillId="9" borderId="95" xfId="0" applyFont="1" applyFill="1" applyBorder="1" applyAlignment="1">
      <alignment horizontal="center" vertical="center" wrapText="1"/>
    </xf>
    <xf numFmtId="0" fontId="7" fillId="11" borderId="10" xfId="0" applyFont="1" applyFill="1" applyBorder="1" applyAlignment="1">
      <alignment horizontal="center"/>
    </xf>
    <xf numFmtId="0" fontId="7" fillId="11" borderId="14" xfId="0" applyFont="1" applyFill="1" applyBorder="1" applyAlignment="1">
      <alignment horizontal="center"/>
    </xf>
    <xf numFmtId="0" fontId="7" fillId="11" borderId="4" xfId="0" applyFont="1" applyFill="1" applyBorder="1" applyAlignment="1">
      <alignment horizontal="center"/>
    </xf>
    <xf numFmtId="2" fontId="44" fillId="9" borderId="0" xfId="0" applyNumberFormat="1" applyFont="1" applyFill="1" applyBorder="1" applyAlignment="1">
      <alignment horizontal="center" vertical="center"/>
    </xf>
    <xf numFmtId="1" fontId="44" fillId="9" borderId="29" xfId="0" applyNumberFormat="1" applyFont="1" applyFill="1" applyBorder="1" applyAlignment="1">
      <alignment horizontal="center" vertical="center"/>
    </xf>
    <xf numFmtId="0" fontId="3" fillId="2" borderId="236" xfId="0" applyFont="1" applyFill="1" applyBorder="1" applyAlignment="1">
      <alignment horizontal="center"/>
    </xf>
    <xf numFmtId="0" fontId="7" fillId="9" borderId="1" xfId="0" applyFont="1" applyFill="1" applyBorder="1" applyAlignment="1">
      <alignment horizontal="center"/>
    </xf>
    <xf numFmtId="4" fontId="7" fillId="9" borderId="55" xfId="0" applyNumberFormat="1" applyFont="1" applyFill="1" applyBorder="1" applyAlignment="1">
      <alignment horizontal="center" vertical="center" wrapText="1"/>
    </xf>
    <xf numFmtId="0" fontId="3" fillId="2" borderId="85" xfId="0" applyFont="1" applyFill="1" applyBorder="1" applyAlignment="1">
      <alignment horizontal="right" vertical="justify"/>
    </xf>
    <xf numFmtId="0" fontId="7" fillId="7" borderId="1" xfId="0" applyFont="1" applyFill="1" applyBorder="1" applyAlignment="1">
      <alignment horizontal="center"/>
    </xf>
    <xf numFmtId="0" fontId="7" fillId="7" borderId="100" xfId="0" applyFont="1" applyFill="1" applyBorder="1" applyAlignment="1">
      <alignment horizontal="center"/>
    </xf>
    <xf numFmtId="0" fontId="7" fillId="9" borderId="10" xfId="0" applyFont="1" applyFill="1" applyBorder="1" applyAlignment="1">
      <alignment horizontal="center"/>
    </xf>
    <xf numFmtId="0" fontId="7" fillId="9" borderId="14" xfId="0" applyFont="1" applyFill="1" applyBorder="1" applyAlignment="1">
      <alignment horizontal="center"/>
    </xf>
    <xf numFmtId="0" fontId="7" fillId="9" borderId="4" xfId="0" applyFont="1" applyFill="1" applyBorder="1" applyAlignment="1">
      <alignment horizontal="center"/>
    </xf>
    <xf numFmtId="0" fontId="86" fillId="9" borderId="0" xfId="0" applyFont="1" applyFill="1" applyBorder="1" applyAlignment="1">
      <alignment horizontal="center" vertical="center"/>
    </xf>
    <xf numFmtId="4" fontId="7" fillId="9" borderId="239" xfId="0" applyNumberFormat="1" applyFont="1" applyFill="1" applyBorder="1" applyAlignment="1">
      <alignment horizontal="center" vertical="center" wrapText="1"/>
    </xf>
    <xf numFmtId="4" fontId="7" fillId="9" borderId="199" xfId="0" applyNumberFormat="1" applyFont="1" applyFill="1" applyBorder="1" applyAlignment="1">
      <alignment horizontal="center" vertical="center" wrapText="1"/>
    </xf>
    <xf numFmtId="4" fontId="39" fillId="9" borderId="55" xfId="0" applyNumberFormat="1" applyFont="1" applyFill="1" applyBorder="1" applyAlignment="1">
      <alignment horizontal="center" vertical="center" wrapText="1"/>
    </xf>
    <xf numFmtId="4" fontId="39" fillId="9" borderId="81" xfId="0" applyNumberFormat="1" applyFont="1" applyFill="1" applyBorder="1" applyAlignment="1">
      <alignment horizontal="center" vertical="center" wrapText="1"/>
    </xf>
    <xf numFmtId="4" fontId="39" fillId="9" borderId="53" xfId="0" applyNumberFormat="1" applyFont="1" applyFill="1" applyBorder="1" applyAlignment="1">
      <alignment horizontal="center" vertical="center" wrapText="1"/>
    </xf>
    <xf numFmtId="4" fontId="7" fillId="9" borderId="192" xfId="0" applyNumberFormat="1" applyFont="1" applyFill="1" applyBorder="1" applyAlignment="1">
      <alignment horizontal="center" vertical="center" wrapText="1"/>
    </xf>
    <xf numFmtId="0" fontId="3" fillId="2" borderId="195" xfId="0" applyFont="1" applyFill="1" applyBorder="1" applyAlignment="1">
      <alignment horizontal="center"/>
    </xf>
    <xf numFmtId="0" fontId="0" fillId="7" borderId="193" xfId="0" applyFill="1" applyBorder="1" applyAlignment="1">
      <alignment horizontal="left"/>
    </xf>
    <xf numFmtId="0" fontId="40" fillId="7" borderId="36" xfId="0" applyFont="1" applyFill="1" applyBorder="1" applyAlignment="1">
      <alignment horizontal="center"/>
    </xf>
    <xf numFmtId="0" fontId="0" fillId="17" borderId="0" xfId="0" applyFill="1" applyAlignment="1">
      <alignment horizontal="center"/>
    </xf>
    <xf numFmtId="0" fontId="0" fillId="17" borderId="175" xfId="0" applyFill="1" applyBorder="1" applyAlignment="1">
      <alignment horizontal="center"/>
    </xf>
    <xf numFmtId="0" fontId="0" fillId="17" borderId="0" xfId="0" applyFill="1" applyBorder="1" applyAlignment="1">
      <alignment horizontal="center"/>
    </xf>
    <xf numFmtId="0" fontId="90" fillId="14" borderId="99" xfId="0" applyFont="1" applyFill="1" applyBorder="1" applyAlignment="1">
      <alignment horizontal="center"/>
    </xf>
    <xf numFmtId="0" fontId="90" fillId="14" borderId="0" xfId="0" applyFont="1" applyFill="1" applyBorder="1" applyAlignment="1">
      <alignment horizontal="center"/>
    </xf>
    <xf numFmtId="0" fontId="90" fillId="10" borderId="99" xfId="0" applyFont="1" applyFill="1" applyBorder="1" applyAlignment="1">
      <alignment horizontal="center"/>
    </xf>
    <xf numFmtId="0" fontId="90" fillId="10" borderId="0" xfId="0" applyFont="1" applyFill="1" applyBorder="1" applyAlignment="1">
      <alignment horizontal="center"/>
    </xf>
    <xf numFmtId="0" fontId="90" fillId="10" borderId="100" xfId="0" applyFont="1" applyFill="1" applyBorder="1" applyAlignment="1">
      <alignment horizontal="center"/>
    </xf>
    <xf numFmtId="0" fontId="7" fillId="9" borderId="99" xfId="0" applyFont="1" applyFill="1" applyBorder="1" applyAlignment="1">
      <alignment horizontal="center"/>
    </xf>
    <xf numFmtId="0" fontId="7" fillId="9" borderId="0" xfId="0" applyFont="1" applyFill="1" applyBorder="1" applyAlignment="1">
      <alignment horizontal="center"/>
    </xf>
    <xf numFmtId="0" fontId="0" fillId="7" borderId="179" xfId="0" applyFill="1" applyBorder="1" applyAlignment="1">
      <alignment horizontal="left"/>
    </xf>
    <xf numFmtId="2" fontId="7" fillId="9" borderId="194" xfId="0" applyNumberFormat="1" applyFont="1" applyFill="1" applyBorder="1" applyAlignment="1">
      <alignment horizontal="center"/>
    </xf>
    <xf numFmtId="2" fontId="7" fillId="9" borderId="190" xfId="0" applyNumberFormat="1" applyFont="1" applyFill="1" applyBorder="1" applyAlignment="1">
      <alignment horizontal="center"/>
    </xf>
    <xf numFmtId="2" fontId="7" fillId="9" borderId="182" xfId="0" applyNumberFormat="1" applyFont="1" applyFill="1" applyBorder="1" applyAlignment="1">
      <alignment horizontal="center"/>
    </xf>
    <xf numFmtId="4" fontId="3" fillId="9" borderId="61" xfId="0" applyNumberFormat="1" applyFont="1" applyFill="1" applyBorder="1" applyAlignment="1">
      <alignment horizontal="center"/>
    </xf>
    <xf numFmtId="4" fontId="3" fillId="9" borderId="85" xfId="0" applyNumberFormat="1" applyFont="1" applyFill="1" applyBorder="1" applyAlignment="1">
      <alignment horizontal="center"/>
    </xf>
    <xf numFmtId="4" fontId="3" fillId="9" borderId="132" xfId="0" applyNumberFormat="1" applyFont="1" applyFill="1" applyBorder="1" applyAlignment="1">
      <alignment horizontal="center"/>
    </xf>
    <xf numFmtId="4" fontId="3" fillId="9" borderId="38" xfId="0" applyNumberFormat="1" applyFont="1" applyFill="1" applyBorder="1" applyAlignment="1">
      <alignment horizontal="center"/>
    </xf>
    <xf numFmtId="0" fontId="3" fillId="2" borderId="127" xfId="0" applyFont="1" applyFill="1" applyBorder="1" applyAlignment="1">
      <alignment horizontal="center"/>
    </xf>
    <xf numFmtId="0" fontId="3" fillId="2" borderId="130" xfId="0" applyFont="1" applyFill="1" applyBorder="1" applyAlignment="1">
      <alignment horizontal="center"/>
    </xf>
    <xf numFmtId="0" fontId="3" fillId="2" borderId="85" xfId="0" applyFont="1" applyFill="1" applyBorder="1" applyAlignment="1">
      <alignment horizontal="center"/>
    </xf>
    <xf numFmtId="0" fontId="3" fillId="2" borderId="132" xfId="0" applyFont="1" applyFill="1" applyBorder="1" applyAlignment="1">
      <alignment horizontal="center"/>
    </xf>
    <xf numFmtId="4" fontId="7" fillId="9" borderId="129" xfId="0" applyNumberFormat="1" applyFont="1" applyFill="1" applyBorder="1" applyAlignment="1">
      <alignment horizontal="center" vertical="center" wrapText="1"/>
    </xf>
    <xf numFmtId="4" fontId="7" fillId="9" borderId="205" xfId="0" applyNumberFormat="1" applyFont="1" applyFill="1" applyBorder="1" applyAlignment="1">
      <alignment horizontal="center" vertical="center" wrapText="1"/>
    </xf>
    <xf numFmtId="0" fontId="5" fillId="9" borderId="96" xfId="0" applyFont="1" applyFill="1" applyBorder="1" applyAlignment="1">
      <alignment horizontal="center" vertical="center" wrapText="1"/>
    </xf>
    <xf numFmtId="2" fontId="2" fillId="2" borderId="204" xfId="0" applyNumberFormat="1" applyFont="1" applyFill="1" applyBorder="1" applyAlignment="1">
      <alignment horizontal="center" vertical="center" wrapText="1"/>
    </xf>
    <xf numFmtId="2" fontId="2" fillId="2" borderId="208" xfId="0" applyNumberFormat="1" applyFont="1" applyFill="1" applyBorder="1" applyAlignment="1">
      <alignment horizontal="center" vertical="center" wrapText="1"/>
    </xf>
    <xf numFmtId="0" fontId="3" fillId="2" borderId="56" xfId="0" applyFont="1" applyFill="1" applyBorder="1" applyAlignment="1">
      <alignment horizontal="center"/>
    </xf>
    <xf numFmtId="0" fontId="3" fillId="2" borderId="57" xfId="0" applyFont="1" applyFill="1" applyBorder="1" applyAlignment="1">
      <alignment horizontal="center"/>
    </xf>
    <xf numFmtId="0" fontId="3" fillId="2" borderId="58" xfId="0" applyFont="1" applyFill="1" applyBorder="1" applyAlignment="1">
      <alignment horizontal="center"/>
    </xf>
    <xf numFmtId="0" fontId="5" fillId="12" borderId="170" xfId="0" applyFont="1" applyFill="1" applyBorder="1" applyAlignment="1">
      <alignment horizontal="center" vertical="center" wrapText="1"/>
    </xf>
    <xf numFmtId="0" fontId="5" fillId="12" borderId="171" xfId="0" applyFont="1" applyFill="1" applyBorder="1" applyAlignment="1">
      <alignment horizontal="center" vertical="center" wrapText="1"/>
    </xf>
    <xf numFmtId="0" fontId="5" fillId="12" borderId="0" xfId="0" applyFont="1" applyFill="1" applyBorder="1" applyAlignment="1">
      <alignment horizontal="center" vertical="center" wrapText="1"/>
    </xf>
    <xf numFmtId="0" fontId="5" fillId="12" borderId="18" xfId="0" applyFont="1" applyFill="1" applyBorder="1" applyAlignment="1">
      <alignment horizontal="center" vertical="center" wrapText="1"/>
    </xf>
    <xf numFmtId="0" fontId="1" fillId="2" borderId="165" xfId="0" applyFont="1" applyFill="1" applyBorder="1" applyAlignment="1">
      <alignment horizontal="center"/>
    </xf>
    <xf numFmtId="0" fontId="1" fillId="2" borderId="170" xfId="0" applyFont="1" applyFill="1" applyBorder="1" applyAlignment="1">
      <alignment horizontal="center"/>
    </xf>
    <xf numFmtId="0" fontId="1" fillId="2" borderId="171" xfId="0" applyFont="1" applyFill="1" applyBorder="1" applyAlignment="1">
      <alignment horizontal="center"/>
    </xf>
    <xf numFmtId="0" fontId="1" fillId="2" borderId="35" xfId="0" applyFont="1" applyFill="1" applyBorder="1" applyAlignment="1">
      <alignment horizontal="center"/>
    </xf>
    <xf numFmtId="0" fontId="1" fillId="2" borderId="0" xfId="0" applyFont="1" applyFill="1" applyBorder="1" applyAlignment="1">
      <alignment horizontal="center"/>
    </xf>
    <xf numFmtId="0" fontId="1" fillId="2" borderId="18" xfId="0" applyFont="1" applyFill="1" applyBorder="1" applyAlignment="1">
      <alignment horizontal="center"/>
    </xf>
    <xf numFmtId="0" fontId="1" fillId="2" borderId="39" xfId="0" applyFont="1" applyFill="1" applyBorder="1" applyAlignment="1">
      <alignment horizontal="center"/>
    </xf>
    <xf numFmtId="0" fontId="1" fillId="2" borderId="9" xfId="0" applyFont="1" applyFill="1" applyBorder="1" applyAlignment="1">
      <alignment horizontal="center"/>
    </xf>
    <xf numFmtId="0" fontId="1" fillId="2" borderId="46" xfId="0" applyFont="1" applyFill="1" applyBorder="1" applyAlignment="1">
      <alignment horizontal="center"/>
    </xf>
    <xf numFmtId="0" fontId="5" fillId="12" borderId="134" xfId="0" applyFont="1" applyFill="1" applyBorder="1" applyAlignment="1">
      <alignment horizontal="center" vertical="center" wrapText="1"/>
    </xf>
    <xf numFmtId="0" fontId="5" fillId="12" borderId="135" xfId="0" applyFont="1" applyFill="1" applyBorder="1" applyAlignment="1">
      <alignment horizontal="center" vertical="center" wrapText="1"/>
    </xf>
    <xf numFmtId="4" fontId="7" fillId="4" borderId="120" xfId="0" applyNumberFormat="1" applyFont="1" applyFill="1" applyBorder="1" applyAlignment="1">
      <alignment horizontal="center" vertical="center" wrapText="1"/>
    </xf>
    <xf numFmtId="0" fontId="44" fillId="4" borderId="51" xfId="0" applyFont="1" applyFill="1" applyBorder="1" applyAlignment="1">
      <alignment horizontal="center" vertical="center"/>
    </xf>
    <xf numFmtId="0" fontId="7" fillId="12" borderId="7" xfId="0" applyFont="1" applyFill="1" applyBorder="1" applyAlignment="1">
      <alignment horizontal="right"/>
    </xf>
    <xf numFmtId="0" fontId="12" fillId="4" borderId="88" xfId="0" applyFont="1" applyFill="1" applyBorder="1" applyAlignment="1">
      <alignment horizontal="center" vertical="center"/>
    </xf>
    <xf numFmtId="0" fontId="12" fillId="4" borderId="11" xfId="0" applyFont="1" applyFill="1" applyBorder="1" applyAlignment="1">
      <alignment horizontal="center" vertical="center"/>
    </xf>
    <xf numFmtId="0" fontId="12" fillId="4" borderId="68" xfId="0" applyFont="1" applyFill="1" applyBorder="1" applyAlignment="1">
      <alignment horizontal="center" vertical="center"/>
    </xf>
    <xf numFmtId="0" fontId="0" fillId="0" borderId="165" xfId="0" applyBorder="1" applyAlignment="1">
      <alignment horizontal="center"/>
    </xf>
    <xf numFmtId="0" fontId="0" fillId="0" borderId="166" xfId="0" applyBorder="1" applyAlignment="1">
      <alignment horizontal="center"/>
    </xf>
    <xf numFmtId="0" fontId="7" fillId="7" borderId="0" xfId="0" applyFont="1" applyFill="1" applyBorder="1" applyAlignment="1">
      <alignment horizontal="center"/>
    </xf>
    <xf numFmtId="0" fontId="90" fillId="7" borderId="0" xfId="0" applyFont="1" applyFill="1" applyBorder="1" applyAlignment="1">
      <alignment horizontal="center"/>
    </xf>
    <xf numFmtId="0" fontId="0" fillId="0" borderId="0" xfId="0" applyAlignment="1">
      <alignment horizontal="left" vertical="top" wrapText="1"/>
    </xf>
    <xf numFmtId="0" fontId="16" fillId="0" borderId="35" xfId="0" applyFont="1" applyBorder="1" applyAlignment="1">
      <alignment horizontal="left"/>
    </xf>
    <xf numFmtId="0" fontId="16" fillId="0" borderId="0" xfId="0" applyFont="1" applyBorder="1" applyAlignment="1">
      <alignment horizontal="left"/>
    </xf>
  </cellXfs>
  <cellStyles count="3">
    <cellStyle name="Гиперссылка" xfId="2" builtinId="8"/>
    <cellStyle name="Денежный" xfId="1" builtinId="4"/>
    <cellStyle name="Обычный" xfId="0" builtinId="0"/>
  </cellStyles>
  <dxfs count="153">
    <dxf>
      <font>
        <color theme="0" tint="-0.34998626667073579"/>
      </font>
    </dxf>
    <dxf>
      <font>
        <color theme="0"/>
      </font>
    </dxf>
    <dxf>
      <font>
        <color theme="0" tint="-0.34998626667073579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 tint="-0.34998626667073579"/>
      </font>
    </dxf>
    <dxf>
      <font>
        <color theme="0"/>
      </font>
    </dxf>
    <dxf>
      <font>
        <color theme="0"/>
      </font>
    </dxf>
    <dxf>
      <font>
        <color theme="1" tint="0.34998626667073579"/>
      </font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1" tint="0.34998626667073579"/>
      </font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 tint="-0.34998626667073579"/>
      </font>
    </dxf>
    <dxf>
      <font>
        <color theme="0"/>
      </font>
    </dxf>
    <dxf>
      <font>
        <color auto="1"/>
      </font>
      <fill>
        <patternFill>
          <bgColor theme="0" tint="-0.34998626667073579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2" tint="-0.749961851863155"/>
        </patternFill>
      </fill>
    </dxf>
    <dxf>
      <font>
        <color theme="1" tint="0.34998626667073579"/>
      </font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ill>
        <patternFill>
          <bgColor theme="2" tint="-0.749961851863155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ill>
        <patternFill>
          <bgColor theme="0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ill>
        <patternFill>
          <bgColor theme="0" tint="-0.34998626667073579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ill>
        <patternFill>
          <bgColor theme="1"/>
        </patternFill>
      </fill>
    </dxf>
    <dxf>
      <font>
        <color auto="1"/>
      </font>
      <fill>
        <patternFill>
          <bgColor theme="0" tint="-0.24994659260841701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2" tint="-0.749961851863155"/>
        </patternFill>
      </fill>
    </dxf>
    <dxf>
      <font>
        <color rgb="FFFF9900"/>
      </font>
      <fill>
        <patternFill>
          <bgColor rgb="FFFF9900"/>
        </patternFill>
      </fill>
    </dxf>
    <dxf>
      <font>
        <color theme="1" tint="0.34998626667073579"/>
      </font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auto="1"/>
      </font>
      <fill>
        <patternFill>
          <bgColor theme="0" tint="-0.24994659260841701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2" tint="-0.749961851863155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2" tint="-9.9948118533890809E-2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2" tint="-0.749961851863155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2" tint="-9.9948118533890809E-2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2" tint="-0.749961851863155"/>
        </patternFill>
      </fill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ill>
        <patternFill>
          <bgColor theme="2" tint="-9.9948118533890809E-2"/>
        </patternFill>
      </fill>
    </dxf>
    <dxf>
      <fill>
        <patternFill>
          <bgColor theme="0" tint="-0.14996795556505021"/>
        </patternFill>
      </fill>
    </dxf>
    <dxf>
      <font>
        <color theme="0"/>
      </font>
      <fill>
        <patternFill>
          <bgColor theme="2" tint="-0.749961851863155"/>
        </patternFill>
      </fill>
    </dxf>
    <dxf>
      <font>
        <color theme="0"/>
      </font>
    </dxf>
    <dxf>
      <font>
        <color theme="1" tint="0.34998626667073579"/>
      </font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1" tint="0.34998626667073579"/>
      </font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 tint="-0.34998626667073579"/>
      </font>
    </dxf>
    <dxf>
      <font>
        <color theme="0"/>
      </font>
    </dxf>
    <dxf>
      <font>
        <color auto="1"/>
      </font>
      <fill>
        <patternFill>
          <bgColor theme="0" tint="-0.34998626667073579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2" tint="-0.749961851863155"/>
        </patternFill>
      </fill>
    </dxf>
    <dxf>
      <font>
        <color theme="1" tint="0.34998626667073579"/>
      </font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ill>
        <patternFill>
          <bgColor theme="2" tint="-0.749961851863155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ill>
        <patternFill>
          <bgColor theme="0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ill>
        <patternFill>
          <bgColor theme="0" tint="-0.34998626667073579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ill>
        <patternFill>
          <bgColor theme="1"/>
        </patternFill>
      </fill>
    </dxf>
    <dxf>
      <font>
        <color auto="1"/>
      </font>
      <fill>
        <patternFill>
          <bgColor theme="0" tint="-0.24994659260841701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2" tint="-0.749961851863155"/>
        </patternFill>
      </fill>
    </dxf>
    <dxf>
      <font>
        <color theme="0" tint="-0.34998626667073579"/>
      </font>
      <fill>
        <patternFill>
          <bgColor theme="0" tint="-0.34998626667073579"/>
        </patternFill>
      </fill>
    </dxf>
    <dxf>
      <font>
        <color auto="1"/>
      </font>
      <fill>
        <patternFill>
          <bgColor theme="1"/>
        </patternFill>
      </fill>
    </dxf>
    <dxf>
      <font>
        <color theme="0"/>
      </font>
    </dxf>
    <dxf>
      <font>
        <color theme="0" tint="-0.34998626667073579"/>
      </font>
      <fill>
        <patternFill>
          <bgColor theme="0" tint="-0.34998626667073579"/>
        </patternFill>
      </fill>
    </dxf>
    <dxf>
      <font>
        <color auto="1"/>
      </font>
      <fill>
        <patternFill>
          <bgColor theme="1"/>
        </patternFill>
      </fill>
    </dxf>
    <dxf>
      <font>
        <color theme="0"/>
      </font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 tint="-0.34998626667073579"/>
      </font>
      <fill>
        <patternFill>
          <bgColor theme="0" tint="-0.34998626667073579"/>
        </patternFill>
      </fill>
    </dxf>
    <dxf>
      <font>
        <color auto="1"/>
      </font>
      <fill>
        <patternFill>
          <bgColor theme="1"/>
        </patternFill>
      </fill>
    </dxf>
    <dxf>
      <font>
        <color theme="0"/>
      </font>
    </dxf>
    <dxf>
      <font>
        <color theme="0" tint="-0.34998626667073579"/>
      </font>
      <fill>
        <patternFill>
          <bgColor theme="0" tint="-0.34998626667073579"/>
        </patternFill>
      </fill>
    </dxf>
    <dxf>
      <font>
        <color auto="1"/>
      </font>
      <fill>
        <patternFill>
          <bgColor theme="1"/>
        </patternFill>
      </fill>
    </dxf>
    <dxf>
      <font>
        <color theme="0"/>
      </font>
    </dxf>
    <dxf>
      <font>
        <color theme="0" tint="-0.34998626667073579"/>
      </font>
      <fill>
        <patternFill>
          <bgColor theme="0" tint="-0.34998626667073579"/>
        </patternFill>
      </fill>
    </dxf>
    <dxf>
      <font>
        <color auto="1"/>
      </font>
      <fill>
        <patternFill>
          <bgColor theme="1"/>
        </patternFill>
      </fill>
    </dxf>
    <dxf>
      <font>
        <color theme="0"/>
      </font>
    </dxf>
    <dxf>
      <font>
        <color theme="0" tint="-0.34998626667073579"/>
      </font>
      <fill>
        <patternFill>
          <bgColor theme="0" tint="-0.34998626667073579"/>
        </patternFill>
      </fill>
    </dxf>
    <dxf>
      <font>
        <color auto="1"/>
      </font>
      <fill>
        <patternFill>
          <bgColor theme="1"/>
        </patternFill>
      </fill>
    </dxf>
    <dxf>
      <font>
        <color theme="0"/>
      </font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 tint="-0.34998626667073579"/>
      </font>
      <fill>
        <patternFill>
          <bgColor theme="0" tint="-0.34998626667073579"/>
        </patternFill>
      </fill>
    </dxf>
    <dxf>
      <font>
        <color auto="1"/>
      </font>
      <fill>
        <patternFill>
          <bgColor theme="1"/>
        </patternFill>
      </fill>
    </dxf>
    <dxf>
      <font>
        <color theme="0"/>
      </font>
    </dxf>
    <dxf>
      <font>
        <color theme="0" tint="-0.34998626667073579"/>
      </font>
      <fill>
        <patternFill>
          <bgColor theme="0" tint="-0.34998626667073579"/>
        </patternFill>
      </fill>
    </dxf>
    <dxf>
      <font>
        <color auto="1"/>
      </font>
      <fill>
        <patternFill>
          <bgColor theme="1"/>
        </patternFill>
      </fill>
    </dxf>
    <dxf>
      <font>
        <color theme="0"/>
      </font>
    </dxf>
    <dxf>
      <font>
        <color theme="0" tint="-0.34998626667073579"/>
      </font>
      <fill>
        <patternFill>
          <bgColor theme="0" tint="-0.34998626667073579"/>
        </patternFill>
      </fill>
    </dxf>
    <dxf>
      <font>
        <color auto="1"/>
      </font>
      <fill>
        <patternFill>
          <bgColor theme="1"/>
        </patternFill>
      </fill>
    </dxf>
    <dxf>
      <font>
        <color theme="0"/>
      </font>
    </dxf>
    <dxf>
      <font>
        <color theme="0" tint="-0.34998626667073579"/>
      </font>
      <fill>
        <patternFill>
          <bgColor theme="0" tint="-0.34998626667073579"/>
        </patternFill>
      </fill>
    </dxf>
    <dxf>
      <font>
        <color auto="1"/>
      </font>
      <fill>
        <patternFill>
          <bgColor theme="1"/>
        </patternFill>
      </fill>
    </dxf>
    <dxf>
      <font>
        <color theme="0"/>
      </font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theme="0" tint="-0.34998626667073579"/>
      </font>
      <fill>
        <patternFill>
          <bgColor theme="0" tint="-0.34998626667073579"/>
        </patternFill>
      </fill>
    </dxf>
    <dxf>
      <font>
        <color auto="1"/>
      </font>
      <fill>
        <patternFill>
          <bgColor theme="1"/>
        </patternFill>
      </fill>
    </dxf>
    <dxf>
      <font>
        <color theme="0"/>
      </font>
    </dxf>
    <dxf>
      <font>
        <color theme="0" tint="-0.34998626667073579"/>
      </font>
      <fill>
        <patternFill>
          <bgColor theme="0" tint="-0.34998626667073579"/>
        </patternFill>
      </fill>
    </dxf>
    <dxf>
      <font>
        <color auto="1"/>
      </font>
      <fill>
        <patternFill>
          <bgColor theme="1"/>
        </patternFill>
      </fill>
    </dxf>
    <dxf>
      <font>
        <color theme="0"/>
      </font>
    </dxf>
    <dxf>
      <font>
        <color theme="0" tint="-0.34998626667073579"/>
      </font>
      <fill>
        <patternFill>
          <bgColor theme="0" tint="-0.34998626667073579"/>
        </patternFill>
      </fill>
    </dxf>
    <dxf>
      <font>
        <color auto="1"/>
      </font>
      <fill>
        <patternFill>
          <bgColor theme="1"/>
        </patternFill>
      </fill>
    </dxf>
    <dxf>
      <font>
        <color theme="0"/>
      </font>
    </dxf>
    <dxf>
      <fill>
        <patternFill>
          <bgColor theme="0" tint="-0.34998626667073579"/>
        </patternFill>
      </fill>
    </dxf>
    <dxf>
      <font>
        <color theme="0"/>
      </font>
      <fill>
        <patternFill>
          <bgColor theme="1"/>
        </patternFill>
      </fill>
    </dxf>
    <dxf>
      <font>
        <color auto="1"/>
      </font>
    </dxf>
    <dxf>
      <font>
        <color auto="1"/>
      </font>
    </dxf>
    <dxf>
      <font>
        <color theme="0"/>
      </font>
    </dxf>
  </dxfs>
  <tableStyles count="0" defaultTableStyle="TableStyleMedium9" defaultPivotStyle="PivotStyleLight16"/>
  <colors>
    <mruColors>
      <color rgb="FFFF9900"/>
      <color rgb="FFFFFFFF"/>
      <color rgb="FFFF9933"/>
      <color rgb="FF69643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externalLink" Target="externalLinks/externalLink3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externalLink" Target="externalLinks/externalLink2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connections" Target="connection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externalLink" Target="externalLinks/externalLink1.xml"/><Relationship Id="rId40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sharedStrings" Target="sharedStrings.xml"/></Relationships>
</file>

<file path=xl/ctrlProps/ctrlProp1.xml><?xml version="1.0" encoding="utf-8"?>
<formControlPr xmlns="http://schemas.microsoft.com/office/spreadsheetml/2009/9/main" objectType="Drop" dropStyle="combo" dx="16" fmlaLink="Контакты!$D$1" fmlaRange="Контакты!B$1:B$22" sel="1" val="0"/>
</file>

<file path=xl/ctrlProps/ctrlProp2.xml><?xml version="1.0" encoding="utf-8"?>
<formControlPr xmlns="http://schemas.microsoft.com/office/spreadsheetml/2009/9/main" objectType="CheckBox" fmlaLink="F6" lockText="1" noThreeD="1"/>
</file>

<file path=xl/ctrlProps/ctrlProp3.xml><?xml version="1.0" encoding="utf-8"?>
<formControlPr xmlns="http://schemas.microsoft.com/office/spreadsheetml/2009/9/main" objectType="CheckBox" checked="Checked" fmlaLink="F7" lockText="1" noThreeD="1"/>
</file>

<file path=xl/ctrlProps/ctrlProp4.xml><?xml version="1.0" encoding="utf-8"?>
<formControlPr xmlns="http://schemas.microsoft.com/office/spreadsheetml/2009/9/main" objectType="CheckBox" fmlaLink="F8" lockText="1" noThreeD="1"/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emf"/><Relationship Id="rId2" Type="http://schemas.openxmlformats.org/officeDocument/2006/relationships/image" Target="../media/image1.png"/><Relationship Id="rId1" Type="http://schemas.openxmlformats.org/officeDocument/2006/relationships/hyperlink" Target="http://www.fiera.ru/" TargetMode="Externa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hyperlink" Target="#'6'!A1"/><Relationship Id="rId13" Type="http://schemas.openxmlformats.org/officeDocument/2006/relationships/hyperlink" Target="#'3.9'!A1"/><Relationship Id="rId18" Type="http://schemas.openxmlformats.org/officeDocument/2006/relationships/image" Target="../media/image4.png"/><Relationship Id="rId26" Type="http://schemas.openxmlformats.org/officeDocument/2006/relationships/hyperlink" Target="#'11'!A1"/><Relationship Id="rId3" Type="http://schemas.openxmlformats.org/officeDocument/2006/relationships/hyperlink" Target="#'1.1'!A1"/><Relationship Id="rId21" Type="http://schemas.openxmlformats.org/officeDocument/2006/relationships/hyperlink" Target="#'2'!A1"/><Relationship Id="rId34" Type="http://schemas.openxmlformats.org/officeDocument/2006/relationships/hyperlink" Target="#'9.3'!A1"/><Relationship Id="rId7" Type="http://schemas.openxmlformats.org/officeDocument/2006/relationships/hyperlink" Target="#'3.1'!A1"/><Relationship Id="rId12" Type="http://schemas.openxmlformats.org/officeDocument/2006/relationships/hyperlink" Target="#'3.8'!A1"/><Relationship Id="rId17" Type="http://schemas.openxmlformats.org/officeDocument/2006/relationships/hyperlink" Target="http://www.fiera.ru/" TargetMode="External"/><Relationship Id="rId25" Type="http://schemas.openxmlformats.org/officeDocument/2006/relationships/hyperlink" Target="#'3.4'!A1"/><Relationship Id="rId33" Type="http://schemas.openxmlformats.org/officeDocument/2006/relationships/hyperlink" Target="#'14'!A1"/><Relationship Id="rId2" Type="http://schemas.microsoft.com/office/2007/relationships/hdphoto" Target="../media/hdphoto1.wdp"/><Relationship Id="rId16" Type="http://schemas.openxmlformats.org/officeDocument/2006/relationships/hyperlink" Target="#'10'!A1"/><Relationship Id="rId20" Type="http://schemas.openxmlformats.org/officeDocument/2006/relationships/image" Target="../media/image5.wmf"/><Relationship Id="rId29" Type="http://schemas.openxmlformats.org/officeDocument/2006/relationships/hyperlink" Target="#'5.1'!A1"/><Relationship Id="rId1" Type="http://schemas.openxmlformats.org/officeDocument/2006/relationships/image" Target="../media/image3.png"/><Relationship Id="rId6" Type="http://schemas.openxmlformats.org/officeDocument/2006/relationships/hyperlink" Target="#'4.2'!A1"/><Relationship Id="rId11" Type="http://schemas.openxmlformats.org/officeDocument/2006/relationships/hyperlink" Target="#'3.7'!A1"/><Relationship Id="rId24" Type="http://schemas.microsoft.com/office/2007/relationships/hdphoto" Target="../media/hdphoto2.wdp"/><Relationship Id="rId32" Type="http://schemas.openxmlformats.org/officeDocument/2006/relationships/hyperlink" Target="#'13'!A1"/><Relationship Id="rId5" Type="http://schemas.openxmlformats.org/officeDocument/2006/relationships/hyperlink" Target="#'4.1'!A1"/><Relationship Id="rId15" Type="http://schemas.openxmlformats.org/officeDocument/2006/relationships/hyperlink" Target="#'9.2'!A1"/><Relationship Id="rId23" Type="http://schemas.openxmlformats.org/officeDocument/2006/relationships/image" Target="../media/image6.png"/><Relationship Id="rId28" Type="http://schemas.openxmlformats.org/officeDocument/2006/relationships/hyperlink" Target="#'3.10'!A1"/><Relationship Id="rId10" Type="http://schemas.openxmlformats.org/officeDocument/2006/relationships/hyperlink" Target="#'3.5'!A1"/><Relationship Id="rId19" Type="http://schemas.openxmlformats.org/officeDocument/2006/relationships/hyperlink" Target="http://www.blum.com/" TargetMode="External"/><Relationship Id="rId31" Type="http://schemas.openxmlformats.org/officeDocument/2006/relationships/hyperlink" Target="#'8'!A1"/><Relationship Id="rId4" Type="http://schemas.openxmlformats.org/officeDocument/2006/relationships/hyperlink" Target="#'1.2'!A1"/><Relationship Id="rId9" Type="http://schemas.openxmlformats.org/officeDocument/2006/relationships/hyperlink" Target="#'7'!A1"/><Relationship Id="rId14" Type="http://schemas.openxmlformats.org/officeDocument/2006/relationships/hyperlink" Target="#'9.1'!A1"/><Relationship Id="rId22" Type="http://schemas.openxmlformats.org/officeDocument/2006/relationships/hyperlink" Target="http://fierashop.ru/" TargetMode="External"/><Relationship Id="rId27" Type="http://schemas.openxmlformats.org/officeDocument/2006/relationships/hyperlink" Target="#'12'!A1"/><Relationship Id="rId30" Type="http://schemas.openxmlformats.org/officeDocument/2006/relationships/hyperlink" Target="#'5.2'!A1"/><Relationship Id="rId35" Type="http://schemas.openxmlformats.org/officeDocument/2006/relationships/image" Target="../media/image7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emf"/><Relationship Id="rId13" Type="http://schemas.openxmlformats.org/officeDocument/2006/relationships/image" Target="../media/image20.emf"/><Relationship Id="rId18" Type="http://schemas.openxmlformats.org/officeDocument/2006/relationships/image" Target="../media/image24.emf"/><Relationship Id="rId3" Type="http://schemas.openxmlformats.org/officeDocument/2006/relationships/image" Target="../media/image10.emf"/><Relationship Id="rId21" Type="http://schemas.openxmlformats.org/officeDocument/2006/relationships/image" Target="../media/image27.emf"/><Relationship Id="rId7" Type="http://schemas.openxmlformats.org/officeDocument/2006/relationships/image" Target="../media/image14.emf"/><Relationship Id="rId12" Type="http://schemas.openxmlformats.org/officeDocument/2006/relationships/image" Target="../media/image19.emf"/><Relationship Id="rId17" Type="http://schemas.openxmlformats.org/officeDocument/2006/relationships/image" Target="../media/image23.emf"/><Relationship Id="rId2" Type="http://schemas.openxmlformats.org/officeDocument/2006/relationships/image" Target="../media/image9.emf"/><Relationship Id="rId16" Type="http://schemas.openxmlformats.org/officeDocument/2006/relationships/image" Target="../media/image22.emf"/><Relationship Id="rId20" Type="http://schemas.openxmlformats.org/officeDocument/2006/relationships/image" Target="../media/image26.emf"/><Relationship Id="rId1" Type="http://schemas.openxmlformats.org/officeDocument/2006/relationships/image" Target="../media/image8.emf"/><Relationship Id="rId6" Type="http://schemas.openxmlformats.org/officeDocument/2006/relationships/image" Target="../media/image13.emf"/><Relationship Id="rId11" Type="http://schemas.openxmlformats.org/officeDocument/2006/relationships/image" Target="../media/image18.emf"/><Relationship Id="rId5" Type="http://schemas.openxmlformats.org/officeDocument/2006/relationships/image" Target="../media/image12.emf"/><Relationship Id="rId15" Type="http://schemas.openxmlformats.org/officeDocument/2006/relationships/hyperlink" Target="#&#1057;&#1054;&#1044;&#1045;&#1056;&#1046;&#1040;&#1053;&#1048;&#1045;!A1"/><Relationship Id="rId10" Type="http://schemas.openxmlformats.org/officeDocument/2006/relationships/image" Target="../media/image17.emf"/><Relationship Id="rId19" Type="http://schemas.openxmlformats.org/officeDocument/2006/relationships/image" Target="../media/image25.emf"/><Relationship Id="rId4" Type="http://schemas.openxmlformats.org/officeDocument/2006/relationships/image" Target="../media/image11.emf"/><Relationship Id="rId9" Type="http://schemas.openxmlformats.org/officeDocument/2006/relationships/image" Target="../media/image16.emf"/><Relationship Id="rId14" Type="http://schemas.openxmlformats.org/officeDocument/2006/relationships/image" Target="../media/image21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hyperlink" Target="#&#1057;&#1054;&#1044;&#1045;&#1056;&#1046;&#1040;&#1053;&#1048;&#1045;!A1"/><Relationship Id="rId2" Type="http://schemas.openxmlformats.org/officeDocument/2006/relationships/image" Target="../media/image29.emf"/><Relationship Id="rId1" Type="http://schemas.openxmlformats.org/officeDocument/2006/relationships/image" Target="../media/image28.emf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.emf"/><Relationship Id="rId3" Type="http://schemas.openxmlformats.org/officeDocument/2006/relationships/image" Target="../media/image8.emf"/><Relationship Id="rId7" Type="http://schemas.openxmlformats.org/officeDocument/2006/relationships/image" Target="../media/image35.emf"/><Relationship Id="rId2" Type="http://schemas.openxmlformats.org/officeDocument/2006/relationships/image" Target="../media/image31.emf"/><Relationship Id="rId1" Type="http://schemas.openxmlformats.org/officeDocument/2006/relationships/image" Target="../media/image30.emf"/><Relationship Id="rId6" Type="http://schemas.openxmlformats.org/officeDocument/2006/relationships/image" Target="../media/image34.emf"/><Relationship Id="rId5" Type="http://schemas.openxmlformats.org/officeDocument/2006/relationships/image" Target="../media/image33.emf"/><Relationship Id="rId4" Type="http://schemas.openxmlformats.org/officeDocument/2006/relationships/image" Target="../media/image32.png"/><Relationship Id="rId9" Type="http://schemas.openxmlformats.org/officeDocument/2006/relationships/hyperlink" Target="#&#1057;&#1054;&#1044;&#1045;&#1056;&#1046;&#1040;&#1053;&#1048;&#1045;!A1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emf"/><Relationship Id="rId3" Type="http://schemas.openxmlformats.org/officeDocument/2006/relationships/image" Target="../media/image39.emf"/><Relationship Id="rId7" Type="http://schemas.openxmlformats.org/officeDocument/2006/relationships/image" Target="../media/image32.png"/><Relationship Id="rId2" Type="http://schemas.openxmlformats.org/officeDocument/2006/relationships/image" Target="../media/image38.emf"/><Relationship Id="rId1" Type="http://schemas.openxmlformats.org/officeDocument/2006/relationships/image" Target="../media/image37.emf"/><Relationship Id="rId6" Type="http://schemas.openxmlformats.org/officeDocument/2006/relationships/image" Target="../media/image42.png"/><Relationship Id="rId5" Type="http://schemas.openxmlformats.org/officeDocument/2006/relationships/image" Target="../media/image41.emf"/><Relationship Id="rId4" Type="http://schemas.openxmlformats.org/officeDocument/2006/relationships/image" Target="../media/image40.emf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3" Type="http://schemas.openxmlformats.org/officeDocument/2006/relationships/image" Target="../media/image46.emf"/><Relationship Id="rId7" Type="http://schemas.openxmlformats.org/officeDocument/2006/relationships/hyperlink" Target="http://www.blum.com/" TargetMode="External"/><Relationship Id="rId2" Type="http://schemas.openxmlformats.org/officeDocument/2006/relationships/image" Target="../media/image45.emf"/><Relationship Id="rId1" Type="http://schemas.openxmlformats.org/officeDocument/2006/relationships/image" Target="../media/image44.emf"/><Relationship Id="rId6" Type="http://schemas.openxmlformats.org/officeDocument/2006/relationships/hyperlink" Target="#&#1057;&#1054;&#1044;&#1045;&#1056;&#1046;&#1040;&#1053;&#1048;&#1045;!A1"/><Relationship Id="rId5" Type="http://schemas.openxmlformats.org/officeDocument/2006/relationships/image" Target="../media/image48.emf"/><Relationship Id="rId4" Type="http://schemas.openxmlformats.org/officeDocument/2006/relationships/image" Target="../media/image47.em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51.emf"/><Relationship Id="rId3" Type="http://schemas.openxmlformats.org/officeDocument/2006/relationships/image" Target="../media/image49.emf"/><Relationship Id="rId7" Type="http://schemas.openxmlformats.org/officeDocument/2006/relationships/image" Target="../media/image8.emf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6" Type="http://schemas.openxmlformats.org/officeDocument/2006/relationships/hyperlink" Target="http://www.blum.com/" TargetMode="External"/><Relationship Id="rId5" Type="http://schemas.openxmlformats.org/officeDocument/2006/relationships/hyperlink" Target="#&#1057;&#1054;&#1044;&#1045;&#1056;&#1046;&#1040;&#1053;&#1048;&#1045;!A1"/><Relationship Id="rId4" Type="http://schemas.openxmlformats.org/officeDocument/2006/relationships/image" Target="../media/image50.emf"/><Relationship Id="rId9" Type="http://schemas.openxmlformats.org/officeDocument/2006/relationships/image" Target="../media/image52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.emf"/><Relationship Id="rId3" Type="http://schemas.openxmlformats.org/officeDocument/2006/relationships/image" Target="../media/image55.png"/><Relationship Id="rId7" Type="http://schemas.openxmlformats.org/officeDocument/2006/relationships/image" Target="../media/image8.emf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6" Type="http://schemas.openxmlformats.org/officeDocument/2006/relationships/hyperlink" Target="http://www.blum.com/" TargetMode="External"/><Relationship Id="rId5" Type="http://schemas.openxmlformats.org/officeDocument/2006/relationships/hyperlink" Target="#&#1057;&#1054;&#1044;&#1045;&#1056;&#1046;&#1040;&#1053;&#1048;&#1045;!A1"/><Relationship Id="rId4" Type="http://schemas.openxmlformats.org/officeDocument/2006/relationships/image" Target="../media/image56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.emf"/><Relationship Id="rId3" Type="http://schemas.openxmlformats.org/officeDocument/2006/relationships/image" Target="../media/image60.png"/><Relationship Id="rId7" Type="http://schemas.openxmlformats.org/officeDocument/2006/relationships/hyperlink" Target="#&#1057;&#1054;&#1044;&#1045;&#1056;&#1046;&#1040;&#1053;&#1048;&#1045;!A1"/><Relationship Id="rId2" Type="http://schemas.openxmlformats.org/officeDocument/2006/relationships/image" Target="../media/image59.emf"/><Relationship Id="rId1" Type="http://schemas.openxmlformats.org/officeDocument/2006/relationships/image" Target="../media/image58.emf"/><Relationship Id="rId6" Type="http://schemas.openxmlformats.org/officeDocument/2006/relationships/image" Target="../media/image63.png"/><Relationship Id="rId5" Type="http://schemas.openxmlformats.org/officeDocument/2006/relationships/image" Target="../media/image62.png"/><Relationship Id="rId4" Type="http://schemas.openxmlformats.org/officeDocument/2006/relationships/image" Target="../media/image61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emf"/><Relationship Id="rId2" Type="http://schemas.openxmlformats.org/officeDocument/2006/relationships/image" Target="../media/image64.emf"/><Relationship Id="rId1" Type="http://schemas.openxmlformats.org/officeDocument/2006/relationships/hyperlink" Target="#&#1057;&#1054;&#1044;&#1045;&#1056;&#1046;&#1040;&#1053;&#1048;&#1045;!A1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70.emf"/><Relationship Id="rId3" Type="http://schemas.openxmlformats.org/officeDocument/2006/relationships/image" Target="../media/image66.emf"/><Relationship Id="rId7" Type="http://schemas.openxmlformats.org/officeDocument/2006/relationships/image" Target="../media/image59.emf"/><Relationship Id="rId2" Type="http://schemas.openxmlformats.org/officeDocument/2006/relationships/image" Target="../media/image65.emf"/><Relationship Id="rId1" Type="http://schemas.openxmlformats.org/officeDocument/2006/relationships/image" Target="../media/image58.emf"/><Relationship Id="rId6" Type="http://schemas.openxmlformats.org/officeDocument/2006/relationships/image" Target="../media/image69.emf"/><Relationship Id="rId5" Type="http://schemas.openxmlformats.org/officeDocument/2006/relationships/image" Target="../media/image68.emf"/><Relationship Id="rId10" Type="http://schemas.openxmlformats.org/officeDocument/2006/relationships/hyperlink" Target="#&#1057;&#1054;&#1044;&#1045;&#1056;&#1046;&#1040;&#1053;&#1048;&#1045;!A1"/><Relationship Id="rId4" Type="http://schemas.openxmlformats.org/officeDocument/2006/relationships/image" Target="../media/image67.emf"/><Relationship Id="rId9" Type="http://schemas.openxmlformats.org/officeDocument/2006/relationships/image" Target="../media/image71.emf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emf"/><Relationship Id="rId7" Type="http://schemas.openxmlformats.org/officeDocument/2006/relationships/image" Target="../media/image8.emf"/><Relationship Id="rId2" Type="http://schemas.openxmlformats.org/officeDocument/2006/relationships/image" Target="../media/image73.emf"/><Relationship Id="rId1" Type="http://schemas.openxmlformats.org/officeDocument/2006/relationships/image" Target="../media/image72.emf"/><Relationship Id="rId6" Type="http://schemas.openxmlformats.org/officeDocument/2006/relationships/hyperlink" Target="http://www.blum.com/" TargetMode="External"/><Relationship Id="rId5" Type="http://schemas.openxmlformats.org/officeDocument/2006/relationships/hyperlink" Target="#&#1057;&#1054;&#1044;&#1045;&#1056;&#1046;&#1040;&#1053;&#1048;&#1045;!A1"/><Relationship Id="rId4" Type="http://schemas.openxmlformats.org/officeDocument/2006/relationships/image" Target="../media/image75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3.emf"/><Relationship Id="rId13" Type="http://schemas.openxmlformats.org/officeDocument/2006/relationships/image" Target="../media/image88.emf"/><Relationship Id="rId18" Type="http://schemas.openxmlformats.org/officeDocument/2006/relationships/image" Target="../media/image93.emf"/><Relationship Id="rId26" Type="http://schemas.openxmlformats.org/officeDocument/2006/relationships/hyperlink" Target="http://www.blum.com/ru/ru/02/40/10/index.php" TargetMode="External"/><Relationship Id="rId39" Type="http://schemas.openxmlformats.org/officeDocument/2006/relationships/image" Target="../media/image110.JPG"/><Relationship Id="rId3" Type="http://schemas.openxmlformats.org/officeDocument/2006/relationships/image" Target="../media/image78.emf"/><Relationship Id="rId21" Type="http://schemas.openxmlformats.org/officeDocument/2006/relationships/image" Target="../media/image96.png"/><Relationship Id="rId34" Type="http://schemas.openxmlformats.org/officeDocument/2006/relationships/image" Target="../media/image105.JPG"/><Relationship Id="rId42" Type="http://schemas.openxmlformats.org/officeDocument/2006/relationships/image" Target="../media/image113.JPG"/><Relationship Id="rId7" Type="http://schemas.openxmlformats.org/officeDocument/2006/relationships/image" Target="../media/image82.emf"/><Relationship Id="rId12" Type="http://schemas.openxmlformats.org/officeDocument/2006/relationships/image" Target="../media/image87.emf"/><Relationship Id="rId17" Type="http://schemas.openxmlformats.org/officeDocument/2006/relationships/image" Target="../media/image92.emf"/><Relationship Id="rId25" Type="http://schemas.openxmlformats.org/officeDocument/2006/relationships/image" Target="../media/image8.emf"/><Relationship Id="rId33" Type="http://schemas.openxmlformats.org/officeDocument/2006/relationships/image" Target="../media/image104.JPG"/><Relationship Id="rId38" Type="http://schemas.openxmlformats.org/officeDocument/2006/relationships/image" Target="../media/image109.JPG"/><Relationship Id="rId2" Type="http://schemas.openxmlformats.org/officeDocument/2006/relationships/image" Target="../media/image77.emf"/><Relationship Id="rId16" Type="http://schemas.openxmlformats.org/officeDocument/2006/relationships/image" Target="../media/image91.emf"/><Relationship Id="rId20" Type="http://schemas.openxmlformats.org/officeDocument/2006/relationships/image" Target="../media/image95.emf"/><Relationship Id="rId29" Type="http://schemas.openxmlformats.org/officeDocument/2006/relationships/hyperlink" Target="http://www.blum.com/" TargetMode="External"/><Relationship Id="rId41" Type="http://schemas.openxmlformats.org/officeDocument/2006/relationships/image" Target="../media/image112.JPG"/><Relationship Id="rId1" Type="http://schemas.openxmlformats.org/officeDocument/2006/relationships/image" Target="../media/image76.emf"/><Relationship Id="rId6" Type="http://schemas.openxmlformats.org/officeDocument/2006/relationships/image" Target="../media/image81.emf"/><Relationship Id="rId11" Type="http://schemas.openxmlformats.org/officeDocument/2006/relationships/image" Target="../media/image86.emf"/><Relationship Id="rId24" Type="http://schemas.openxmlformats.org/officeDocument/2006/relationships/image" Target="../media/image99.emf"/><Relationship Id="rId32" Type="http://schemas.openxmlformats.org/officeDocument/2006/relationships/image" Target="../media/image103.JPG"/><Relationship Id="rId37" Type="http://schemas.openxmlformats.org/officeDocument/2006/relationships/image" Target="../media/image108.JPG"/><Relationship Id="rId40" Type="http://schemas.openxmlformats.org/officeDocument/2006/relationships/image" Target="../media/image111.JPG"/><Relationship Id="rId5" Type="http://schemas.openxmlformats.org/officeDocument/2006/relationships/image" Target="../media/image80.emf"/><Relationship Id="rId15" Type="http://schemas.openxmlformats.org/officeDocument/2006/relationships/image" Target="../media/image90.emf"/><Relationship Id="rId23" Type="http://schemas.openxmlformats.org/officeDocument/2006/relationships/image" Target="../media/image98.emf"/><Relationship Id="rId28" Type="http://schemas.openxmlformats.org/officeDocument/2006/relationships/hyperlink" Target="#&#1057;&#1054;&#1044;&#1045;&#1056;&#1046;&#1040;&#1053;&#1048;&#1045;!A1"/><Relationship Id="rId36" Type="http://schemas.openxmlformats.org/officeDocument/2006/relationships/image" Target="../media/image107.JPG"/><Relationship Id="rId10" Type="http://schemas.openxmlformats.org/officeDocument/2006/relationships/image" Target="../media/image85.emf"/><Relationship Id="rId19" Type="http://schemas.openxmlformats.org/officeDocument/2006/relationships/image" Target="../media/image94.emf"/><Relationship Id="rId31" Type="http://schemas.openxmlformats.org/officeDocument/2006/relationships/image" Target="../media/image102.JPG"/><Relationship Id="rId44" Type="http://schemas.openxmlformats.org/officeDocument/2006/relationships/image" Target="../media/image115.png"/><Relationship Id="rId4" Type="http://schemas.openxmlformats.org/officeDocument/2006/relationships/image" Target="../media/image79.emf"/><Relationship Id="rId9" Type="http://schemas.openxmlformats.org/officeDocument/2006/relationships/image" Target="../media/image84.emf"/><Relationship Id="rId14" Type="http://schemas.openxmlformats.org/officeDocument/2006/relationships/image" Target="../media/image89.emf"/><Relationship Id="rId22" Type="http://schemas.openxmlformats.org/officeDocument/2006/relationships/image" Target="../media/image97.png"/><Relationship Id="rId27" Type="http://schemas.openxmlformats.org/officeDocument/2006/relationships/image" Target="../media/image100.png"/><Relationship Id="rId30" Type="http://schemas.openxmlformats.org/officeDocument/2006/relationships/image" Target="../media/image101.JPG"/><Relationship Id="rId35" Type="http://schemas.openxmlformats.org/officeDocument/2006/relationships/image" Target="../media/image106.JPG"/><Relationship Id="rId43" Type="http://schemas.openxmlformats.org/officeDocument/2006/relationships/image" Target="../media/image114.JP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5.emf"/><Relationship Id="rId3" Type="http://schemas.openxmlformats.org/officeDocument/2006/relationships/hyperlink" Target="#'3.11'!A1"/><Relationship Id="rId7" Type="http://schemas.openxmlformats.org/officeDocument/2006/relationships/hyperlink" Target="#'3.13'!A1"/><Relationship Id="rId2" Type="http://schemas.openxmlformats.org/officeDocument/2006/relationships/image" Target="../media/image8.emf"/><Relationship Id="rId1" Type="http://schemas.openxmlformats.org/officeDocument/2006/relationships/hyperlink" Target="http://www.blum.com/" TargetMode="External"/><Relationship Id="rId6" Type="http://schemas.openxmlformats.org/officeDocument/2006/relationships/image" Target="../media/image61.png"/><Relationship Id="rId5" Type="http://schemas.openxmlformats.org/officeDocument/2006/relationships/hyperlink" Target="#'3.12'!A1"/><Relationship Id="rId4" Type="http://schemas.openxmlformats.org/officeDocument/2006/relationships/image" Target="../media/image43.emf"/><Relationship Id="rId9" Type="http://schemas.openxmlformats.org/officeDocument/2006/relationships/hyperlink" Target="#&#1057;&#1054;&#1044;&#1045;&#1056;&#1046;&#1040;&#1053;&#1048;&#1045;!A1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emf"/><Relationship Id="rId7" Type="http://schemas.openxmlformats.org/officeDocument/2006/relationships/image" Target="../media/image116.png"/><Relationship Id="rId2" Type="http://schemas.openxmlformats.org/officeDocument/2006/relationships/image" Target="../media/image38.emf"/><Relationship Id="rId1" Type="http://schemas.openxmlformats.org/officeDocument/2006/relationships/hyperlink" Target="#&#1057;&#1054;&#1044;&#1045;&#1056;&#1046;&#1040;&#1053;&#1048;&#1045;!A1"/><Relationship Id="rId6" Type="http://schemas.openxmlformats.org/officeDocument/2006/relationships/image" Target="../media/image43.emf"/><Relationship Id="rId5" Type="http://schemas.openxmlformats.org/officeDocument/2006/relationships/image" Target="../media/image41.emf"/><Relationship Id="rId4" Type="http://schemas.openxmlformats.org/officeDocument/2006/relationships/image" Target="../media/image40.emf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emf"/><Relationship Id="rId7" Type="http://schemas.openxmlformats.org/officeDocument/2006/relationships/image" Target="../media/image63.png"/><Relationship Id="rId2" Type="http://schemas.openxmlformats.org/officeDocument/2006/relationships/image" Target="../media/image58.emf"/><Relationship Id="rId1" Type="http://schemas.openxmlformats.org/officeDocument/2006/relationships/hyperlink" Target="#&#1057;&#1054;&#1044;&#1045;&#1056;&#1046;&#1040;&#1053;&#1048;&#1045;!A1"/><Relationship Id="rId6" Type="http://schemas.openxmlformats.org/officeDocument/2006/relationships/image" Target="../media/image62.png"/><Relationship Id="rId5" Type="http://schemas.openxmlformats.org/officeDocument/2006/relationships/image" Target="../media/image61.png"/><Relationship Id="rId4" Type="http://schemas.openxmlformats.org/officeDocument/2006/relationships/image" Target="../media/image60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71.emf"/><Relationship Id="rId3" Type="http://schemas.openxmlformats.org/officeDocument/2006/relationships/image" Target="../media/image65.emf"/><Relationship Id="rId7" Type="http://schemas.openxmlformats.org/officeDocument/2006/relationships/image" Target="../media/image70.emf"/><Relationship Id="rId2" Type="http://schemas.openxmlformats.org/officeDocument/2006/relationships/image" Target="../media/image58.emf"/><Relationship Id="rId1" Type="http://schemas.openxmlformats.org/officeDocument/2006/relationships/hyperlink" Target="#&#1057;&#1054;&#1044;&#1045;&#1056;&#1046;&#1040;&#1053;&#1048;&#1045;!A1"/><Relationship Id="rId6" Type="http://schemas.openxmlformats.org/officeDocument/2006/relationships/image" Target="../media/image59.emf"/><Relationship Id="rId5" Type="http://schemas.openxmlformats.org/officeDocument/2006/relationships/image" Target="../media/image68.emf"/><Relationship Id="rId4" Type="http://schemas.openxmlformats.org/officeDocument/2006/relationships/image" Target="../media/image66.emf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emf"/><Relationship Id="rId2" Type="http://schemas.openxmlformats.org/officeDocument/2006/relationships/image" Target="../media/image46.emf"/><Relationship Id="rId1" Type="http://schemas.openxmlformats.org/officeDocument/2006/relationships/image" Target="../media/image44.emf"/><Relationship Id="rId5" Type="http://schemas.openxmlformats.org/officeDocument/2006/relationships/hyperlink" Target="#&#1057;&#1054;&#1044;&#1045;&#1056;&#1046;&#1040;&#1053;&#1048;&#1045;!A1"/><Relationship Id="rId4" Type="http://schemas.openxmlformats.org/officeDocument/2006/relationships/image" Target="../media/image48.emf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hyperlink" Target="#&#1057;&#1054;&#1044;&#1045;&#1056;&#1046;&#1040;&#1053;&#1048;&#1045;!A1"/><Relationship Id="rId3" Type="http://schemas.openxmlformats.org/officeDocument/2006/relationships/image" Target="../media/image119.emf"/><Relationship Id="rId7" Type="http://schemas.openxmlformats.org/officeDocument/2006/relationships/image" Target="../media/image8.emf"/><Relationship Id="rId2" Type="http://schemas.openxmlformats.org/officeDocument/2006/relationships/image" Target="../media/image118.emf"/><Relationship Id="rId1" Type="http://schemas.openxmlformats.org/officeDocument/2006/relationships/image" Target="../media/image117.emf"/><Relationship Id="rId6" Type="http://schemas.openxmlformats.org/officeDocument/2006/relationships/hyperlink" Target="http://www.blum.com/" TargetMode="External"/><Relationship Id="rId5" Type="http://schemas.openxmlformats.org/officeDocument/2006/relationships/image" Target="../media/image56.png"/><Relationship Id="rId4" Type="http://schemas.openxmlformats.org/officeDocument/2006/relationships/hyperlink" Target="http://www.blum.com/ru/ru/01/30/70/index.php" TargetMode="External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hyperlink" Target="#&#1057;&#1054;&#1044;&#1045;&#1056;&#1046;&#1040;&#1053;&#1048;&#1045;!A1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7.emf"/><Relationship Id="rId3" Type="http://schemas.openxmlformats.org/officeDocument/2006/relationships/image" Target="../media/image122.emf"/><Relationship Id="rId7" Type="http://schemas.openxmlformats.org/officeDocument/2006/relationships/image" Target="../media/image126.emf"/><Relationship Id="rId12" Type="http://schemas.openxmlformats.org/officeDocument/2006/relationships/image" Target="../media/image131.png"/><Relationship Id="rId2" Type="http://schemas.openxmlformats.org/officeDocument/2006/relationships/image" Target="../media/image121.emf"/><Relationship Id="rId1" Type="http://schemas.openxmlformats.org/officeDocument/2006/relationships/image" Target="../media/image120.emf"/><Relationship Id="rId6" Type="http://schemas.openxmlformats.org/officeDocument/2006/relationships/image" Target="../media/image125.emf"/><Relationship Id="rId11" Type="http://schemas.openxmlformats.org/officeDocument/2006/relationships/image" Target="../media/image130.jpeg"/><Relationship Id="rId5" Type="http://schemas.openxmlformats.org/officeDocument/2006/relationships/image" Target="../media/image124.emf"/><Relationship Id="rId10" Type="http://schemas.openxmlformats.org/officeDocument/2006/relationships/image" Target="../media/image129.png"/><Relationship Id="rId4" Type="http://schemas.openxmlformats.org/officeDocument/2006/relationships/image" Target="../media/image123.emf"/><Relationship Id="rId9" Type="http://schemas.openxmlformats.org/officeDocument/2006/relationships/image" Target="../media/image128.emf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emf"/><Relationship Id="rId2" Type="http://schemas.openxmlformats.org/officeDocument/2006/relationships/hyperlink" Target="http://www.blum.com/" TargetMode="External"/><Relationship Id="rId1" Type="http://schemas.openxmlformats.org/officeDocument/2006/relationships/image" Target="../media/image75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3.emf"/><Relationship Id="rId2" Type="http://schemas.openxmlformats.org/officeDocument/2006/relationships/image" Target="../media/image8.emf"/><Relationship Id="rId1" Type="http://schemas.openxmlformats.org/officeDocument/2006/relationships/image" Target="../media/image132.emf"/><Relationship Id="rId5" Type="http://schemas.openxmlformats.org/officeDocument/2006/relationships/hyperlink" Target="#&#1057;&#1054;&#1044;&#1045;&#1056;&#1046;&#1040;&#1053;&#1048;&#1045;!A1"/><Relationship Id="rId4" Type="http://schemas.openxmlformats.org/officeDocument/2006/relationships/image" Target="../media/image134.emf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0.emf"/><Relationship Id="rId13" Type="http://schemas.openxmlformats.org/officeDocument/2006/relationships/image" Target="../media/image144.emf"/><Relationship Id="rId3" Type="http://schemas.openxmlformats.org/officeDocument/2006/relationships/image" Target="../media/image135.emf"/><Relationship Id="rId7" Type="http://schemas.openxmlformats.org/officeDocument/2006/relationships/image" Target="../media/image139.emf"/><Relationship Id="rId12" Type="http://schemas.openxmlformats.org/officeDocument/2006/relationships/image" Target="../media/image143.emf"/><Relationship Id="rId2" Type="http://schemas.openxmlformats.org/officeDocument/2006/relationships/image" Target="../media/image8.emf"/><Relationship Id="rId1" Type="http://schemas.openxmlformats.org/officeDocument/2006/relationships/hyperlink" Target="http://www.blum.com/" TargetMode="External"/><Relationship Id="rId6" Type="http://schemas.openxmlformats.org/officeDocument/2006/relationships/image" Target="../media/image138.emf"/><Relationship Id="rId11" Type="http://schemas.openxmlformats.org/officeDocument/2006/relationships/hyperlink" Target="#&#1057;&#1054;&#1044;&#1045;&#1056;&#1046;&#1040;&#1053;&#1048;&#1045;!A1"/><Relationship Id="rId5" Type="http://schemas.openxmlformats.org/officeDocument/2006/relationships/image" Target="../media/image137.emf"/><Relationship Id="rId10" Type="http://schemas.openxmlformats.org/officeDocument/2006/relationships/image" Target="../media/image142.emf"/><Relationship Id="rId4" Type="http://schemas.openxmlformats.org/officeDocument/2006/relationships/image" Target="../media/image136.emf"/><Relationship Id="rId9" Type="http://schemas.openxmlformats.org/officeDocument/2006/relationships/image" Target="../media/image141.emf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6.emf"/><Relationship Id="rId1" Type="http://schemas.openxmlformats.org/officeDocument/2006/relationships/image" Target="../media/image145.emf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hyperlink" Target="#&#1057;&#1054;&#1044;&#1045;&#1056;&#1046;&#1040;&#1053;&#1048;&#1045;!A1"/><Relationship Id="rId13" Type="http://schemas.openxmlformats.org/officeDocument/2006/relationships/hyperlink" Target="#'9.1'!A1"/><Relationship Id="rId3" Type="http://schemas.openxmlformats.org/officeDocument/2006/relationships/image" Target="../media/image149.emf"/><Relationship Id="rId7" Type="http://schemas.openxmlformats.org/officeDocument/2006/relationships/image" Target="../media/image153.png"/><Relationship Id="rId12" Type="http://schemas.openxmlformats.org/officeDocument/2006/relationships/hyperlink" Target="#'3.8'!A1"/><Relationship Id="rId2" Type="http://schemas.openxmlformats.org/officeDocument/2006/relationships/image" Target="../media/image148.emf"/><Relationship Id="rId16" Type="http://schemas.openxmlformats.org/officeDocument/2006/relationships/image" Target="../media/image157.png"/><Relationship Id="rId1" Type="http://schemas.openxmlformats.org/officeDocument/2006/relationships/image" Target="../media/image147.emf"/><Relationship Id="rId6" Type="http://schemas.openxmlformats.org/officeDocument/2006/relationships/image" Target="../media/image152.emf"/><Relationship Id="rId11" Type="http://schemas.openxmlformats.org/officeDocument/2006/relationships/image" Target="../media/image156.emf"/><Relationship Id="rId5" Type="http://schemas.openxmlformats.org/officeDocument/2006/relationships/image" Target="../media/image151.emf"/><Relationship Id="rId15" Type="http://schemas.openxmlformats.org/officeDocument/2006/relationships/hyperlink" Target="#'12'!A1"/><Relationship Id="rId10" Type="http://schemas.openxmlformats.org/officeDocument/2006/relationships/image" Target="../media/image155.emf"/><Relationship Id="rId4" Type="http://schemas.openxmlformats.org/officeDocument/2006/relationships/image" Target="../media/image150.emf"/><Relationship Id="rId9" Type="http://schemas.openxmlformats.org/officeDocument/2006/relationships/image" Target="../media/image154.emf"/><Relationship Id="rId14" Type="http://schemas.openxmlformats.org/officeDocument/2006/relationships/hyperlink" Target="#'9.2'!A1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hyperlink" Target="#&#1057;&#1054;&#1044;&#1045;&#1056;&#1046;&#1040;&#1053;&#1048;&#1045;!A1"/><Relationship Id="rId13" Type="http://schemas.openxmlformats.org/officeDocument/2006/relationships/image" Target="../media/image165.png"/><Relationship Id="rId18" Type="http://schemas.openxmlformats.org/officeDocument/2006/relationships/image" Target="../media/image170.png"/><Relationship Id="rId3" Type="http://schemas.openxmlformats.org/officeDocument/2006/relationships/image" Target="../media/image160.emf"/><Relationship Id="rId7" Type="http://schemas.openxmlformats.org/officeDocument/2006/relationships/image" Target="../media/image164.emf"/><Relationship Id="rId12" Type="http://schemas.openxmlformats.org/officeDocument/2006/relationships/hyperlink" Target="#'12'!A1"/><Relationship Id="rId17" Type="http://schemas.openxmlformats.org/officeDocument/2006/relationships/image" Target="../media/image169.png"/><Relationship Id="rId2" Type="http://schemas.openxmlformats.org/officeDocument/2006/relationships/image" Target="../media/image159.emf"/><Relationship Id="rId16" Type="http://schemas.openxmlformats.org/officeDocument/2006/relationships/image" Target="../media/image168.png"/><Relationship Id="rId1" Type="http://schemas.openxmlformats.org/officeDocument/2006/relationships/image" Target="../media/image158.emf"/><Relationship Id="rId6" Type="http://schemas.openxmlformats.org/officeDocument/2006/relationships/image" Target="../media/image163.emf"/><Relationship Id="rId11" Type="http://schemas.openxmlformats.org/officeDocument/2006/relationships/hyperlink" Target="#'9.2'!A1"/><Relationship Id="rId5" Type="http://schemas.openxmlformats.org/officeDocument/2006/relationships/image" Target="../media/image162.emf"/><Relationship Id="rId15" Type="http://schemas.openxmlformats.org/officeDocument/2006/relationships/image" Target="../media/image167.png"/><Relationship Id="rId10" Type="http://schemas.openxmlformats.org/officeDocument/2006/relationships/hyperlink" Target="#'9.1'!A1"/><Relationship Id="rId19" Type="http://schemas.openxmlformats.org/officeDocument/2006/relationships/image" Target="../media/image171.png"/><Relationship Id="rId4" Type="http://schemas.openxmlformats.org/officeDocument/2006/relationships/image" Target="../media/image161.emf"/><Relationship Id="rId9" Type="http://schemas.openxmlformats.org/officeDocument/2006/relationships/hyperlink" Target="#'3.8'!A1"/><Relationship Id="rId14" Type="http://schemas.openxmlformats.org/officeDocument/2006/relationships/image" Target="../media/image166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hyperlink" Target="#&#1057;&#1054;&#1044;&#1045;&#1056;&#1046;&#1040;&#1053;&#1048;&#1045;!A1"/><Relationship Id="rId1" Type="http://schemas.openxmlformats.org/officeDocument/2006/relationships/image" Target="../media/image172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hyperlink" Target="#&#1057;&#1054;&#1044;&#1045;&#1056;&#1046;&#1040;&#1053;&#1048;&#1045;!A1"/><Relationship Id="rId2" Type="http://schemas.openxmlformats.org/officeDocument/2006/relationships/image" Target="../media/image174.png"/><Relationship Id="rId1" Type="http://schemas.openxmlformats.org/officeDocument/2006/relationships/image" Target="../media/image173.jpe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emf"/><Relationship Id="rId2" Type="http://schemas.openxmlformats.org/officeDocument/2006/relationships/hyperlink" Target="http://www.blum.com/" TargetMode="External"/><Relationship Id="rId1" Type="http://schemas.openxmlformats.org/officeDocument/2006/relationships/image" Target="../media/image119.emf"/><Relationship Id="rId4" Type="http://schemas.openxmlformats.org/officeDocument/2006/relationships/hyperlink" Target="#&#1057;&#1054;&#1044;&#1045;&#1056;&#1046;&#1040;&#1053;&#1048;&#1045;!A1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hyperlink" Target="#&#1057;&#1054;&#1044;&#1045;&#1056;&#1046;&#1040;&#1053;&#1048;&#1045;!A1"/><Relationship Id="rId13" Type="http://schemas.openxmlformats.org/officeDocument/2006/relationships/hyperlink" Target="#'9.1'!A1"/><Relationship Id="rId3" Type="http://schemas.openxmlformats.org/officeDocument/2006/relationships/image" Target="../media/image149.emf"/><Relationship Id="rId7" Type="http://schemas.openxmlformats.org/officeDocument/2006/relationships/image" Target="../media/image153.png"/><Relationship Id="rId12" Type="http://schemas.openxmlformats.org/officeDocument/2006/relationships/hyperlink" Target="#'3.8'!A1"/><Relationship Id="rId2" Type="http://schemas.openxmlformats.org/officeDocument/2006/relationships/image" Target="../media/image148.emf"/><Relationship Id="rId1" Type="http://schemas.openxmlformats.org/officeDocument/2006/relationships/image" Target="../media/image147.emf"/><Relationship Id="rId6" Type="http://schemas.openxmlformats.org/officeDocument/2006/relationships/image" Target="../media/image152.emf"/><Relationship Id="rId11" Type="http://schemas.openxmlformats.org/officeDocument/2006/relationships/image" Target="../media/image156.emf"/><Relationship Id="rId5" Type="http://schemas.openxmlformats.org/officeDocument/2006/relationships/image" Target="../media/image151.emf"/><Relationship Id="rId15" Type="http://schemas.openxmlformats.org/officeDocument/2006/relationships/hyperlink" Target="#'12'!A1"/><Relationship Id="rId10" Type="http://schemas.openxmlformats.org/officeDocument/2006/relationships/image" Target="../media/image155.emf"/><Relationship Id="rId4" Type="http://schemas.openxmlformats.org/officeDocument/2006/relationships/image" Target="../media/image150.emf"/><Relationship Id="rId9" Type="http://schemas.openxmlformats.org/officeDocument/2006/relationships/image" Target="../media/image154.emf"/><Relationship Id="rId14" Type="http://schemas.openxmlformats.org/officeDocument/2006/relationships/hyperlink" Target="#'9.2'!A1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6.emf"/><Relationship Id="rId2" Type="http://schemas.openxmlformats.org/officeDocument/2006/relationships/image" Target="../media/image175.emf"/><Relationship Id="rId1" Type="http://schemas.openxmlformats.org/officeDocument/2006/relationships/hyperlink" Target="#&#1057;&#1054;&#1044;&#1045;&#1056;&#1046;&#1040;&#1053;&#1048;&#1045;!A1"/><Relationship Id="rId4" Type="http://schemas.openxmlformats.org/officeDocument/2006/relationships/image" Target="../media/image177.emf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8.png"/><Relationship Id="rId2" Type="http://schemas.openxmlformats.org/officeDocument/2006/relationships/hyperlink" Target="#&#1057;&#1054;&#1044;&#1045;&#1056;&#1046;&#1040;&#1053;&#1048;&#1045;!A1"/><Relationship Id="rId1" Type="http://schemas.openxmlformats.org/officeDocument/2006/relationships/image" Target="../media/image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19050</xdr:colOff>
      <xdr:row>1</xdr:row>
      <xdr:rowOff>0</xdr:rowOff>
    </xdr:from>
    <xdr:to>
      <xdr:col>10</xdr:col>
      <xdr:colOff>66675</xdr:colOff>
      <xdr:row>2</xdr:row>
      <xdr:rowOff>257175</xdr:rowOff>
    </xdr:to>
    <xdr:pic>
      <xdr:nvPicPr>
        <xdr:cNvPr id="38938" name="Picture 1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000-00001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0075" y="57150"/>
          <a:ext cx="12763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9526</xdr:colOff>
      <xdr:row>1</xdr:row>
      <xdr:rowOff>9525</xdr:rowOff>
    </xdr:from>
    <xdr:to>
      <xdr:col>4</xdr:col>
      <xdr:colOff>0</xdr:colOff>
      <xdr:row>2</xdr:row>
      <xdr:rowOff>1905000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6" y="66675"/>
          <a:ext cx="4105274" cy="2076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295275</xdr:colOff>
      <xdr:row>3</xdr:row>
      <xdr:rowOff>103483</xdr:rowOff>
    </xdr:from>
    <xdr:to>
      <xdr:col>11</xdr:col>
      <xdr:colOff>76200</xdr:colOff>
      <xdr:row>43</xdr:row>
      <xdr:rowOff>129261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/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598783"/>
          <a:ext cx="6543675" cy="6502778"/>
        </a:xfrm>
        <a:prstGeom prst="rect">
          <a:avLst/>
        </a:prstGeom>
        <a:noFill/>
        <a:ln>
          <a:noFill/>
        </a:ln>
        <a:effectLst>
          <a:outerShdw blurRad="76200" dist="12700" dir="8100000" sy="-23000" kx="800400" algn="br" rotWithShape="0">
            <a:prstClr val="black">
              <a:alpha val="20000"/>
            </a:prstClr>
          </a:outerShdw>
          <a:softEdge rad="63500"/>
        </a:effectLst>
      </xdr:spPr>
    </xdr:pic>
    <xdr:clientData/>
  </xdr:twoCellAnchor>
  <xdr:twoCellAnchor>
    <xdr:from>
      <xdr:col>8</xdr:col>
      <xdr:colOff>381000</xdr:colOff>
      <xdr:row>17</xdr:row>
      <xdr:rowOff>105088</xdr:rowOff>
    </xdr:from>
    <xdr:to>
      <xdr:col>10</xdr:col>
      <xdr:colOff>523875</xdr:colOff>
      <xdr:row>20</xdr:row>
      <xdr:rowOff>33257</xdr:rowOff>
    </xdr:to>
    <xdr:sp macro="" textlink="">
      <xdr:nvSpPr>
        <xdr:cNvPr id="22" name="Скругленный прямоугольник 21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/>
      </xdr:nvSpPr>
      <xdr:spPr bwMode="auto">
        <a:xfrm>
          <a:off x="5257800" y="2867338"/>
          <a:ext cx="1362075" cy="41394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ru-RU" sz="1800" b="1">
              <a:solidFill>
                <a:sysClr val="windowText" lastClr="000000"/>
              </a:solidFill>
            </a:rPr>
            <a:t>ПЕТЛИ</a:t>
          </a:r>
        </a:p>
      </xdr:txBody>
    </xdr:sp>
    <xdr:clientData/>
  </xdr:twoCellAnchor>
  <xdr:twoCellAnchor>
    <xdr:from>
      <xdr:col>8</xdr:col>
      <xdr:colOff>552450</xdr:colOff>
      <xdr:row>20</xdr:row>
      <xdr:rowOff>133663</xdr:rowOff>
    </xdr:from>
    <xdr:to>
      <xdr:col>11</xdr:col>
      <xdr:colOff>114300</xdr:colOff>
      <xdr:row>22</xdr:row>
      <xdr:rowOff>119827</xdr:rowOff>
    </xdr:to>
    <xdr:sp macro="" textlink="">
      <xdr:nvSpPr>
        <xdr:cNvPr id="23" name="Скругленный прямоугольник 2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/>
      </xdr:nvSpPr>
      <xdr:spPr bwMode="auto">
        <a:xfrm>
          <a:off x="5429250" y="3381688"/>
          <a:ext cx="1447800" cy="310014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ClipTopBL/ClipTop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552450</xdr:colOff>
      <xdr:row>23</xdr:row>
      <xdr:rowOff>38413</xdr:rowOff>
    </xdr:from>
    <xdr:to>
      <xdr:col>11</xdr:col>
      <xdr:colOff>123825</xdr:colOff>
      <xdr:row>25</xdr:row>
      <xdr:rowOff>24577</xdr:rowOff>
    </xdr:to>
    <xdr:sp macro="" textlink="">
      <xdr:nvSpPr>
        <xdr:cNvPr id="24" name="Скругленный прямоугольник 23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/>
      </xdr:nvSpPr>
      <xdr:spPr bwMode="auto">
        <a:xfrm>
          <a:off x="5429250" y="3772213"/>
          <a:ext cx="1457325" cy="310014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MODUL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</xdr:col>
      <xdr:colOff>418660</xdr:colOff>
      <xdr:row>36</xdr:row>
      <xdr:rowOff>9838</xdr:rowOff>
    </xdr:from>
    <xdr:to>
      <xdr:col>4</xdr:col>
      <xdr:colOff>160379</xdr:colOff>
      <xdr:row>38</xdr:row>
      <xdr:rowOff>99932</xdr:rowOff>
    </xdr:to>
    <xdr:sp macro="" textlink="">
      <xdr:nvSpPr>
        <xdr:cNvPr id="30" name="Скругленный прямоугольник 2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/>
      </xdr:nvSpPr>
      <xdr:spPr bwMode="auto">
        <a:xfrm>
          <a:off x="1028260" y="5848663"/>
          <a:ext cx="1570519" cy="41394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marL="0" indent="0" algn="ctr"/>
          <a:r>
            <a:rPr lang="en-US" sz="18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TANDEM</a:t>
          </a:r>
          <a:endParaRPr lang="ru-RU" sz="1800" b="1">
            <a:solidFill>
              <a:sysClr val="windowText" lastClr="00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</xdr:col>
      <xdr:colOff>409575</xdr:colOff>
      <xdr:row>29</xdr:row>
      <xdr:rowOff>152713</xdr:rowOff>
    </xdr:from>
    <xdr:to>
      <xdr:col>4</xdr:col>
      <xdr:colOff>133351</xdr:colOff>
      <xdr:row>32</xdr:row>
      <xdr:rowOff>80882</xdr:rowOff>
    </xdr:to>
    <xdr:sp macro="" textlink="">
      <xdr:nvSpPr>
        <xdr:cNvPr id="31" name="Скругленный прямоугольник 3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/>
      </xdr:nvSpPr>
      <xdr:spPr bwMode="auto">
        <a:xfrm>
          <a:off x="1019175" y="4858063"/>
          <a:ext cx="1552576" cy="41394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marL="0" indent="0" algn="ctr"/>
          <a:r>
            <a:rPr lang="en-US" sz="18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MOVENTO</a:t>
          </a:r>
          <a:endParaRPr lang="ru-RU" sz="1800" b="1">
            <a:solidFill>
              <a:sysClr val="windowText" lastClr="00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57150</xdr:colOff>
      <xdr:row>17</xdr:row>
      <xdr:rowOff>66988</xdr:rowOff>
    </xdr:from>
    <xdr:to>
      <xdr:col>2</xdr:col>
      <xdr:colOff>390527</xdr:colOff>
      <xdr:row>19</xdr:row>
      <xdr:rowOff>157082</xdr:rowOff>
    </xdr:to>
    <xdr:sp macro="" textlink="">
      <xdr:nvSpPr>
        <xdr:cNvPr id="32" name="Скругленный прямоугольник 3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/>
      </xdr:nvSpPr>
      <xdr:spPr bwMode="auto">
        <a:xfrm>
          <a:off x="57150" y="2829238"/>
          <a:ext cx="1552577" cy="41394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800" b="1">
              <a:solidFill>
                <a:sysClr val="windowText" lastClr="000000"/>
              </a:solidFill>
            </a:rPr>
            <a:t>TANDEMBOX</a:t>
          </a:r>
          <a:endParaRPr lang="ru-RU" sz="18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7</xdr:col>
      <xdr:colOff>542925</xdr:colOff>
      <xdr:row>35</xdr:row>
      <xdr:rowOff>86038</xdr:rowOff>
    </xdr:from>
    <xdr:to>
      <xdr:col>10</xdr:col>
      <xdr:colOff>485775</xdr:colOff>
      <xdr:row>37</xdr:row>
      <xdr:rowOff>72202</xdr:rowOff>
    </xdr:to>
    <xdr:sp macro="" textlink="">
      <xdr:nvSpPr>
        <xdr:cNvPr id="33" name="Скругленный прямоугольник 3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/>
      </xdr:nvSpPr>
      <xdr:spPr bwMode="auto">
        <a:xfrm>
          <a:off x="4810125" y="5762938"/>
          <a:ext cx="1771650" cy="310014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l"/>
          <a:r>
            <a:rPr lang="ru-RU" sz="1200" b="1">
              <a:solidFill>
                <a:sysClr val="windowText" lastClr="000000"/>
              </a:solidFill>
            </a:rPr>
            <a:t>Специальные</a:t>
          </a:r>
          <a:r>
            <a:rPr lang="ru-RU" sz="1200" b="1" baseline="0">
              <a:solidFill>
                <a:sysClr val="windowText" lastClr="000000"/>
              </a:solidFill>
            </a:rPr>
            <a:t> изделия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9525</xdr:colOff>
      <xdr:row>33</xdr:row>
      <xdr:rowOff>9838</xdr:rowOff>
    </xdr:from>
    <xdr:to>
      <xdr:col>10</xdr:col>
      <xdr:colOff>561975</xdr:colOff>
      <xdr:row>34</xdr:row>
      <xdr:rowOff>157927</xdr:rowOff>
    </xdr:to>
    <xdr:sp macro="" textlink="">
      <xdr:nvSpPr>
        <xdr:cNvPr id="34" name="Скругленный прямоугольник 33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/>
      </xdr:nvSpPr>
      <xdr:spPr bwMode="auto">
        <a:xfrm>
          <a:off x="4886325" y="5362888"/>
          <a:ext cx="1771650" cy="310014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r"/>
          <a:r>
            <a:rPr lang="ru-RU" sz="1200" b="1">
              <a:solidFill>
                <a:sysClr val="windowText" lastClr="000000"/>
              </a:solidFill>
            </a:rPr>
            <a:t>Приспособления</a:t>
          </a:r>
        </a:p>
      </xdr:txBody>
    </xdr:sp>
    <xdr:clientData/>
  </xdr:twoCellAnchor>
  <xdr:twoCellAnchor>
    <xdr:from>
      <xdr:col>0</xdr:col>
      <xdr:colOff>323851</xdr:colOff>
      <xdr:row>20</xdr:row>
      <xdr:rowOff>86038</xdr:rowOff>
    </xdr:from>
    <xdr:to>
      <xdr:col>2</xdr:col>
      <xdr:colOff>400729</xdr:colOff>
      <xdr:row>22</xdr:row>
      <xdr:rowOff>72202</xdr:rowOff>
    </xdr:to>
    <xdr:sp macro="" textlink="">
      <xdr:nvSpPr>
        <xdr:cNvPr id="35" name="Скругленный прямоугольник 34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/>
      </xdr:nvSpPr>
      <xdr:spPr bwMode="auto">
        <a:xfrm>
          <a:off x="323851" y="3334063"/>
          <a:ext cx="1296078" cy="31001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PLUS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</xdr:col>
      <xdr:colOff>485776</xdr:colOff>
      <xdr:row>20</xdr:row>
      <xdr:rowOff>89213</xdr:rowOff>
    </xdr:from>
    <xdr:to>
      <xdr:col>4</xdr:col>
      <xdr:colOff>485776</xdr:colOff>
      <xdr:row>22</xdr:row>
      <xdr:rowOff>75377</xdr:rowOff>
    </xdr:to>
    <xdr:sp macro="" textlink="">
      <xdr:nvSpPr>
        <xdr:cNvPr id="36" name="Скругленный прямоугольник 35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/>
      </xdr:nvSpPr>
      <xdr:spPr bwMode="auto">
        <a:xfrm>
          <a:off x="1704976" y="3337238"/>
          <a:ext cx="1219200" cy="31001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ANTARO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</xdr:col>
      <xdr:colOff>561976</xdr:colOff>
      <xdr:row>20</xdr:row>
      <xdr:rowOff>86038</xdr:rowOff>
    </xdr:from>
    <xdr:to>
      <xdr:col>6</xdr:col>
      <xdr:colOff>561976</xdr:colOff>
      <xdr:row>22</xdr:row>
      <xdr:rowOff>72202</xdr:rowOff>
    </xdr:to>
    <xdr:sp macro="" textlink="">
      <xdr:nvSpPr>
        <xdr:cNvPr id="37" name="Скругленный прямоугольник 36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/>
      </xdr:nvSpPr>
      <xdr:spPr bwMode="auto">
        <a:xfrm>
          <a:off x="3000376" y="3334063"/>
          <a:ext cx="1219200" cy="31001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INTIVO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</xdr:col>
      <xdr:colOff>295276</xdr:colOff>
      <xdr:row>12</xdr:row>
      <xdr:rowOff>152713</xdr:rowOff>
    </xdr:from>
    <xdr:to>
      <xdr:col>6</xdr:col>
      <xdr:colOff>419100</xdr:colOff>
      <xdr:row>14</xdr:row>
      <xdr:rowOff>138877</xdr:rowOff>
    </xdr:to>
    <xdr:sp macro="" textlink="">
      <xdr:nvSpPr>
        <xdr:cNvPr id="38" name="Скругленный прямоугольник 37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/>
      </xdr:nvSpPr>
      <xdr:spPr bwMode="auto">
        <a:xfrm>
          <a:off x="2733676" y="2105338"/>
          <a:ext cx="1343024" cy="31001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SERVO-DRIVE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0</xdr:col>
      <xdr:colOff>304800</xdr:colOff>
      <xdr:row>23</xdr:row>
      <xdr:rowOff>9838</xdr:rowOff>
    </xdr:from>
    <xdr:to>
      <xdr:col>2</xdr:col>
      <xdr:colOff>400049</xdr:colOff>
      <xdr:row>24</xdr:row>
      <xdr:rowOff>157927</xdr:rowOff>
    </xdr:to>
    <xdr:sp macro="" textlink="">
      <xdr:nvSpPr>
        <xdr:cNvPr id="39" name="Скругленный прямоугольник 38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/>
      </xdr:nvSpPr>
      <xdr:spPr bwMode="auto">
        <a:xfrm>
          <a:off x="304800" y="3743638"/>
          <a:ext cx="1314449" cy="310014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ORGA-LINE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</xdr:col>
      <xdr:colOff>438150</xdr:colOff>
      <xdr:row>4</xdr:row>
      <xdr:rowOff>124138</xdr:rowOff>
    </xdr:from>
    <xdr:to>
      <xdr:col>4</xdr:col>
      <xdr:colOff>190501</xdr:colOff>
      <xdr:row>7</xdr:row>
      <xdr:rowOff>52307</xdr:rowOff>
    </xdr:to>
    <xdr:sp macro="" textlink="">
      <xdr:nvSpPr>
        <xdr:cNvPr id="40" name="Скругленный прямоугольник 39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/>
      </xdr:nvSpPr>
      <xdr:spPr bwMode="auto">
        <a:xfrm>
          <a:off x="1047750" y="781363"/>
          <a:ext cx="1581151" cy="41394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marL="0" indent="0" algn="ctr"/>
          <a:r>
            <a:rPr lang="en-US" sz="18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LEGRABOX </a:t>
          </a:r>
          <a:endParaRPr lang="ru-RU" sz="1800" b="1">
            <a:solidFill>
              <a:sysClr val="windowText" lastClr="00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2</xdr:col>
      <xdr:colOff>66675</xdr:colOff>
      <xdr:row>10</xdr:row>
      <xdr:rowOff>66988</xdr:rowOff>
    </xdr:from>
    <xdr:to>
      <xdr:col>4</xdr:col>
      <xdr:colOff>200025</xdr:colOff>
      <xdr:row>12</xdr:row>
      <xdr:rowOff>53152</xdr:rowOff>
    </xdr:to>
    <xdr:sp macro="" textlink="">
      <xdr:nvSpPr>
        <xdr:cNvPr id="42" name="Скругленный прямоугольник 41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/>
      </xdr:nvSpPr>
      <xdr:spPr bwMode="auto">
        <a:xfrm>
          <a:off x="1285875" y="1695763"/>
          <a:ext cx="1352550" cy="310014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AMBIA-LINE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161925</xdr:colOff>
      <xdr:row>30</xdr:row>
      <xdr:rowOff>76512</xdr:rowOff>
    </xdr:from>
    <xdr:to>
      <xdr:col>11</xdr:col>
      <xdr:colOff>47625</xdr:colOff>
      <xdr:row>32</xdr:row>
      <xdr:rowOff>97295</xdr:rowOff>
    </xdr:to>
    <xdr:sp macro="" textlink="">
      <xdr:nvSpPr>
        <xdr:cNvPr id="43" name="Скругленный прямоугольник 42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/>
      </xdr:nvSpPr>
      <xdr:spPr bwMode="auto">
        <a:xfrm>
          <a:off x="5038725" y="4943787"/>
          <a:ext cx="1771650" cy="344633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ru-RU" sz="1400" b="1">
              <a:solidFill>
                <a:sysClr val="windowText" lastClr="000000"/>
              </a:solidFill>
            </a:rPr>
            <a:t>Бутылочница</a:t>
          </a:r>
          <a:r>
            <a:rPr lang="ru-RU" sz="1400" b="1" baseline="0">
              <a:solidFill>
                <a:sysClr val="windowText" lastClr="000000"/>
              </a:solidFill>
            </a:rPr>
            <a:t> </a:t>
          </a:r>
          <a:r>
            <a:rPr lang="en-US" sz="1400" b="1" baseline="0">
              <a:solidFill>
                <a:sysClr val="windowText" lastClr="000000"/>
              </a:solidFill>
            </a:rPr>
            <a:t>BLUM</a:t>
          </a:r>
          <a:endParaRPr lang="ru-RU" sz="14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0</xdr:col>
      <xdr:colOff>28575</xdr:colOff>
      <xdr:row>0</xdr:row>
      <xdr:rowOff>25986</xdr:rowOff>
    </xdr:from>
    <xdr:to>
      <xdr:col>2</xdr:col>
      <xdr:colOff>285750</xdr:colOff>
      <xdr:row>1</xdr:row>
      <xdr:rowOff>69578</xdr:rowOff>
    </xdr:to>
    <xdr:pic>
      <xdr:nvPicPr>
        <xdr:cNvPr id="45" name="Рисунок 44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25986"/>
          <a:ext cx="1476375" cy="475392"/>
        </a:xfrm>
        <a:prstGeom prst="rect">
          <a:avLst/>
        </a:prstGeom>
        <a:ln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76201</xdr:colOff>
      <xdr:row>41</xdr:row>
      <xdr:rowOff>51275</xdr:rowOff>
    </xdr:from>
    <xdr:to>
      <xdr:col>2</xdr:col>
      <xdr:colOff>142875</xdr:colOff>
      <xdr:row>43</xdr:row>
      <xdr:rowOff>75932</xdr:rowOff>
    </xdr:to>
    <xdr:pic>
      <xdr:nvPicPr>
        <xdr:cNvPr id="51" name="Рисунок 50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6699725"/>
          <a:ext cx="1285874" cy="348507"/>
        </a:xfrm>
        <a:prstGeom prst="rect">
          <a:avLst/>
        </a:prstGeom>
        <a:ln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>
    <xdr:from>
      <xdr:col>4</xdr:col>
      <xdr:colOff>247650</xdr:colOff>
      <xdr:row>40</xdr:row>
      <xdr:rowOff>57463</xdr:rowOff>
    </xdr:from>
    <xdr:to>
      <xdr:col>6</xdr:col>
      <xdr:colOff>581026</xdr:colOff>
      <xdr:row>42</xdr:row>
      <xdr:rowOff>147557</xdr:rowOff>
    </xdr:to>
    <xdr:sp macro="" textlink="">
      <xdr:nvSpPr>
        <xdr:cNvPr id="28" name="Скругленный прямоугольник 27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/>
      </xdr:nvSpPr>
      <xdr:spPr bwMode="auto">
        <a:xfrm>
          <a:off x="2686050" y="6543988"/>
          <a:ext cx="1552576" cy="41394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marL="0" indent="0" algn="ctr"/>
          <a:r>
            <a:rPr lang="en-US" sz="18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METABOX</a:t>
          </a:r>
          <a:endParaRPr lang="ru-RU" sz="1800" b="1">
            <a:solidFill>
              <a:sysClr val="windowText" lastClr="00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8</xdr:col>
      <xdr:colOff>561976</xdr:colOff>
      <xdr:row>39</xdr:row>
      <xdr:rowOff>133350</xdr:rowOff>
    </xdr:from>
    <xdr:to>
      <xdr:col>14</xdr:col>
      <xdr:colOff>520281</xdr:colOff>
      <xdr:row>43</xdr:row>
      <xdr:rowOff>142875</xdr:rowOff>
    </xdr:to>
    <xdr:grpSp>
      <xdr:nvGrpSpPr>
        <xdr:cNvPr id="4" name="Группа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GrpSpPr/>
      </xdr:nvGrpSpPr>
      <xdr:grpSpPr>
        <a:xfrm>
          <a:off x="5438776" y="6724650"/>
          <a:ext cx="3577805" cy="657225"/>
          <a:chOff x="5638801" y="6457950"/>
          <a:chExt cx="3577805" cy="657225"/>
        </a:xfrm>
      </xdr:grpSpPr>
      <xdr:sp macro="" textlink="">
        <xdr:nvSpPr>
          <xdr:cNvPr id="26" name="Блок-схема: процесс 25">
            <a:extLst>
              <a:ext uri="{FF2B5EF4-FFF2-40B4-BE49-F238E27FC236}">
                <a16:creationId xmlns:a16="http://schemas.microsoft.com/office/drawing/2014/main" id="{00000000-0008-0000-0200-00001A000000}"/>
              </a:ext>
            </a:extLst>
          </xdr:cNvPr>
          <xdr:cNvSpPr/>
        </xdr:nvSpPr>
        <xdr:spPr bwMode="auto">
          <a:xfrm>
            <a:off x="5638801" y="6800850"/>
            <a:ext cx="2047874" cy="311496"/>
          </a:xfrm>
          <a:prstGeom prst="flowChartProcess">
            <a:avLst/>
          </a:prstGeom>
          <a:noFill/>
          <a:ln w="15875" cap="flat" cmpd="sng" algn="ctr">
            <a:noFill/>
            <a:prstDash val="solid"/>
            <a:round/>
            <a:headEnd type="none" w="med" len="med"/>
            <a:tailEnd type="none" w="med" len="med"/>
          </a:ln>
          <a:effectLst>
            <a:outerShdw blurRad="50800" dist="38100" dir="8100000" algn="tr" rotWithShape="0">
              <a:prstClr val="black">
                <a:alpha val="40000"/>
              </a:prstClr>
            </a:outerShdw>
          </a:effectLst>
          <a:scene3d>
            <a:camera prst="obliqueBottomLeft"/>
            <a:lightRig rig="threePt" dir="t"/>
          </a:scene3d>
        </xdr:spPr>
        <xdr:txBody>
          <a:bodyPr vertOverflow="clip" horzOverflow="clip" wrap="square" lIns="91440" tIns="45720" rIns="91440" bIns="45720" rtlCol="0" anchor="t" anchorCtr="0" upright="1">
            <a:noAutofit/>
          </a:bodyPr>
          <a:lstStyle/>
          <a:p>
            <a:pPr algn="l"/>
            <a:r>
              <a:rPr lang="ru-RU" sz="1600" b="1">
                <a:solidFill>
                  <a:schemeClr val="bg1"/>
                </a:solidFill>
              </a:rPr>
              <a:t>Бесплатная поставка</a:t>
            </a:r>
          </a:p>
        </xdr:txBody>
      </xdr:sp>
      <xdr:pic>
        <xdr:nvPicPr>
          <xdr:cNvPr id="46" name="Рисунок 45">
            <a:hlinkClick xmlns:r="http://schemas.openxmlformats.org/officeDocument/2006/relationships" r:id="rId22"/>
            <a:extLst>
              <a:ext uri="{FF2B5EF4-FFF2-40B4-BE49-F238E27FC236}">
                <a16:creationId xmlns:a16="http://schemas.microsoft.com/office/drawing/2014/main" id="{00000000-0008-0000-0200-00002E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3" cstate="print">
            <a:extLst>
              <a:ext uri="{BEBA8EAE-BF5A-486C-A8C5-ECC9F3942E4B}">
                <a14:imgProps xmlns:a14="http://schemas.microsoft.com/office/drawing/2010/main">
                  <a14:imgLayer r:embed="rId24">
                    <a14:imgEffect>
                      <a14:sharpenSoften amount="10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7753350" y="6457950"/>
            <a:ext cx="1463256" cy="657225"/>
          </a:xfrm>
          <a:prstGeom prst="rect">
            <a:avLst/>
          </a:prstGeom>
          <a:noFill/>
          <a:effectLst>
            <a:reflection blurRad="6350" stA="52000" endA="300" endPos="35000" dir="5400000" sy="-100000" algn="bl" rotWithShape="0"/>
          </a:effectLst>
        </xdr:spPr>
      </xdr:pic>
    </xdr:grpSp>
    <xdr:clientData/>
  </xdr:twoCellAnchor>
  <xdr:twoCellAnchor>
    <xdr:from>
      <xdr:col>0</xdr:col>
      <xdr:colOff>314325</xdr:colOff>
      <xdr:row>25</xdr:row>
      <xdr:rowOff>95563</xdr:rowOff>
    </xdr:from>
    <xdr:to>
      <xdr:col>2</xdr:col>
      <xdr:colOff>409575</xdr:colOff>
      <xdr:row>27</xdr:row>
      <xdr:rowOff>81727</xdr:rowOff>
    </xdr:to>
    <xdr:sp macro="" textlink="">
      <xdr:nvSpPr>
        <xdr:cNvPr id="44" name="Скругленный прямоугольник 43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/>
      </xdr:nvSpPr>
      <xdr:spPr bwMode="auto">
        <a:xfrm>
          <a:off x="314325" y="4153213"/>
          <a:ext cx="1314450" cy="310014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TIP-ON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3</xdr:col>
      <xdr:colOff>400050</xdr:colOff>
      <xdr:row>0</xdr:row>
      <xdr:rowOff>28888</xdr:rowOff>
    </xdr:from>
    <xdr:to>
      <xdr:col>7</xdr:col>
      <xdr:colOff>533400</xdr:colOff>
      <xdr:row>1</xdr:row>
      <xdr:rowOff>109457</xdr:rowOff>
    </xdr:to>
    <xdr:sp macro="" textlink="">
      <xdr:nvSpPr>
        <xdr:cNvPr id="52" name="Скругленный прямоугольник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/>
      </xdr:nvSpPr>
      <xdr:spPr bwMode="auto">
        <a:xfrm>
          <a:off x="2228850" y="28888"/>
          <a:ext cx="2571750" cy="413944"/>
        </a:xfrm>
        <a:prstGeom prst="roundRect">
          <a:avLst/>
        </a:prstGeom>
        <a:solidFill>
          <a:schemeClr val="bg1">
            <a:lumMod val="75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ru-RU" sz="1800" b="1" baseline="0">
              <a:solidFill>
                <a:sysClr val="windowText" lastClr="000000"/>
              </a:solidFill>
            </a:rPr>
            <a:t>Прайс лист 201</a:t>
          </a:r>
          <a:r>
            <a:rPr lang="en-US" sz="1800" b="1" baseline="0">
              <a:solidFill>
                <a:sysClr val="windowText" lastClr="000000"/>
              </a:solidFill>
            </a:rPr>
            <a:t>7</a:t>
          </a:r>
          <a:endParaRPr lang="ru-RU" sz="1800" b="1" baseline="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</xdr:col>
      <xdr:colOff>228361</xdr:colOff>
      <xdr:row>36</xdr:row>
      <xdr:rowOff>9838</xdr:rowOff>
    </xdr:from>
    <xdr:to>
      <xdr:col>6</xdr:col>
      <xdr:colOff>571501</xdr:colOff>
      <xdr:row>38</xdr:row>
      <xdr:rowOff>99932</xdr:rowOff>
    </xdr:to>
    <xdr:sp macro="" textlink="">
      <xdr:nvSpPr>
        <xdr:cNvPr id="48" name="Скругленный прямоугольник 47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/>
      </xdr:nvSpPr>
      <xdr:spPr bwMode="auto">
        <a:xfrm>
          <a:off x="2666761" y="5848663"/>
          <a:ext cx="1562340" cy="41394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marL="0" indent="0" algn="ctr"/>
          <a:r>
            <a:rPr lang="en-US" sz="18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TD c </a:t>
          </a:r>
          <a:r>
            <a:rPr lang="ru-RU" sz="18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фик-ми</a:t>
          </a:r>
        </a:p>
      </xdr:txBody>
    </xdr:sp>
    <xdr:clientData/>
  </xdr:twoCellAnchor>
  <xdr:twoCellAnchor>
    <xdr:from>
      <xdr:col>4</xdr:col>
      <xdr:colOff>276227</xdr:colOff>
      <xdr:row>7</xdr:row>
      <xdr:rowOff>143188</xdr:rowOff>
    </xdr:from>
    <xdr:to>
      <xdr:col>6</xdr:col>
      <xdr:colOff>400051</xdr:colOff>
      <xdr:row>9</xdr:row>
      <xdr:rowOff>129352</xdr:rowOff>
    </xdr:to>
    <xdr:sp macro="" textlink="">
      <xdr:nvSpPr>
        <xdr:cNvPr id="57" name="Скругленный прямоугольник 56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/>
      </xdr:nvSpPr>
      <xdr:spPr bwMode="auto">
        <a:xfrm>
          <a:off x="2714627" y="1286188"/>
          <a:ext cx="1343024" cy="31001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LEGRABOX</a:t>
          </a:r>
          <a:r>
            <a:rPr lang="en-US" sz="1200" b="1" baseline="0">
              <a:solidFill>
                <a:sysClr val="windowText" lastClr="000000"/>
              </a:solidFill>
            </a:rPr>
            <a:t> free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</xdr:col>
      <xdr:colOff>85727</xdr:colOff>
      <xdr:row>7</xdr:row>
      <xdr:rowOff>143188</xdr:rowOff>
    </xdr:from>
    <xdr:to>
      <xdr:col>4</xdr:col>
      <xdr:colOff>209551</xdr:colOff>
      <xdr:row>9</xdr:row>
      <xdr:rowOff>129352</xdr:rowOff>
    </xdr:to>
    <xdr:sp macro="" textlink="">
      <xdr:nvSpPr>
        <xdr:cNvPr id="58" name="Скругленный прямоугольник 57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/>
      </xdr:nvSpPr>
      <xdr:spPr bwMode="auto">
        <a:xfrm>
          <a:off x="1304927" y="1286188"/>
          <a:ext cx="1343024" cy="31001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LEGRABOX</a:t>
          </a:r>
          <a:r>
            <a:rPr lang="en-US" sz="1200" b="1" baseline="0">
              <a:solidFill>
                <a:sysClr val="windowText" lastClr="000000"/>
              </a:solidFill>
            </a:rPr>
            <a:t> pure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</xdr:col>
      <xdr:colOff>47625</xdr:colOff>
      <xdr:row>12</xdr:row>
      <xdr:rowOff>152713</xdr:rowOff>
    </xdr:from>
    <xdr:to>
      <xdr:col>4</xdr:col>
      <xdr:colOff>209550</xdr:colOff>
      <xdr:row>14</xdr:row>
      <xdr:rowOff>138877</xdr:rowOff>
    </xdr:to>
    <xdr:sp macro="" textlink="">
      <xdr:nvSpPr>
        <xdr:cNvPr id="60" name="Скругленный прямоугольник 59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/>
      </xdr:nvSpPr>
      <xdr:spPr bwMode="auto">
        <a:xfrm>
          <a:off x="1266825" y="2105338"/>
          <a:ext cx="1381125" cy="310014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TIP-ON </a:t>
          </a:r>
          <a:r>
            <a:rPr lang="en-US" sz="1200" b="1" baseline="0">
              <a:solidFill>
                <a:sysClr val="windowText" lastClr="000000"/>
              </a:solidFill>
            </a:rPr>
            <a:t>Blumotion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</xdr:col>
      <xdr:colOff>476250</xdr:colOff>
      <xdr:row>25</xdr:row>
      <xdr:rowOff>95563</xdr:rowOff>
    </xdr:from>
    <xdr:to>
      <xdr:col>5</xdr:col>
      <xdr:colOff>38100</xdr:colOff>
      <xdr:row>27</xdr:row>
      <xdr:rowOff>81727</xdr:rowOff>
    </xdr:to>
    <xdr:sp macro="" textlink="">
      <xdr:nvSpPr>
        <xdr:cNvPr id="61" name="Скругленный прямоугольник 60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/>
      </xdr:nvSpPr>
      <xdr:spPr bwMode="auto">
        <a:xfrm>
          <a:off x="1695450" y="4153213"/>
          <a:ext cx="1390650" cy="310014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TIP-ON Blumotion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5</xdr:col>
      <xdr:colOff>133351</xdr:colOff>
      <xdr:row>25</xdr:row>
      <xdr:rowOff>95563</xdr:rowOff>
    </xdr:from>
    <xdr:to>
      <xdr:col>7</xdr:col>
      <xdr:colOff>257175</xdr:colOff>
      <xdr:row>27</xdr:row>
      <xdr:rowOff>81727</xdr:rowOff>
    </xdr:to>
    <xdr:sp macro="" textlink="">
      <xdr:nvSpPr>
        <xdr:cNvPr id="62" name="Скругленный прямоугольник 61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/>
      </xdr:nvSpPr>
      <xdr:spPr bwMode="auto">
        <a:xfrm>
          <a:off x="3181351" y="4153213"/>
          <a:ext cx="1343024" cy="31001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SERVO-DRIVE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8</xdr:col>
      <xdr:colOff>200025</xdr:colOff>
      <xdr:row>8</xdr:row>
      <xdr:rowOff>9838</xdr:rowOff>
    </xdr:from>
    <xdr:ext cx="1362075" cy="413944"/>
    <xdr:sp macro="" textlink="">
      <xdr:nvSpPr>
        <xdr:cNvPr id="63" name="Скругленный прямоугольник 62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/>
      </xdr:nvSpPr>
      <xdr:spPr bwMode="auto">
        <a:xfrm>
          <a:off x="5076825" y="1314763"/>
          <a:ext cx="1362075" cy="41394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800" b="1">
              <a:solidFill>
                <a:sysClr val="windowText" lastClr="000000"/>
              </a:solidFill>
            </a:rPr>
            <a:t>AVENTOS</a:t>
          </a:r>
          <a:endParaRPr lang="ru-RU" sz="1800" b="1">
            <a:solidFill>
              <a:sysClr val="windowText" lastClr="000000"/>
            </a:solidFill>
          </a:endParaRPr>
        </a:p>
      </xdr:txBody>
    </xdr:sp>
    <xdr:clientData/>
  </xdr:oneCellAnchor>
  <xdr:twoCellAnchor>
    <xdr:from>
      <xdr:col>8</xdr:col>
      <xdr:colOff>390525</xdr:colOff>
      <xdr:row>13</xdr:row>
      <xdr:rowOff>95563</xdr:rowOff>
    </xdr:from>
    <xdr:to>
      <xdr:col>10</xdr:col>
      <xdr:colOff>647700</xdr:colOff>
      <xdr:row>15</xdr:row>
      <xdr:rowOff>81727</xdr:rowOff>
    </xdr:to>
    <xdr:sp macro="" textlink="">
      <xdr:nvSpPr>
        <xdr:cNvPr id="64" name="Скругленный прямоугольник 63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/>
      </xdr:nvSpPr>
      <xdr:spPr bwMode="auto">
        <a:xfrm>
          <a:off x="5267325" y="2210113"/>
          <a:ext cx="1476375" cy="31001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AVS  Servo-Drive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381000</xdr:colOff>
      <xdr:row>11</xdr:row>
      <xdr:rowOff>28888</xdr:rowOff>
    </xdr:from>
    <xdr:to>
      <xdr:col>10</xdr:col>
      <xdr:colOff>647700</xdr:colOff>
      <xdr:row>13</xdr:row>
      <xdr:rowOff>15052</xdr:rowOff>
    </xdr:to>
    <xdr:sp macro="" textlink="">
      <xdr:nvSpPr>
        <xdr:cNvPr id="65" name="Скругленный прямоугольник 64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/>
      </xdr:nvSpPr>
      <xdr:spPr bwMode="auto">
        <a:xfrm>
          <a:off x="5257800" y="1819588"/>
          <a:ext cx="1485900" cy="310014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AVS </a:t>
          </a:r>
          <a:r>
            <a:rPr lang="ru-RU" sz="1200" b="1">
              <a:solidFill>
                <a:sysClr val="windowText" lastClr="000000"/>
              </a:solidFill>
            </a:rPr>
            <a:t>расчет мех-ов</a:t>
          </a:r>
        </a:p>
      </xdr:txBody>
    </xdr:sp>
    <xdr:clientData/>
  </xdr:twoCellAnchor>
  <xdr:twoCellAnchor>
    <xdr:from>
      <xdr:col>5</xdr:col>
      <xdr:colOff>57150</xdr:colOff>
      <xdr:row>23</xdr:row>
      <xdr:rowOff>313</xdr:rowOff>
    </xdr:from>
    <xdr:to>
      <xdr:col>7</xdr:col>
      <xdr:colOff>152399</xdr:colOff>
      <xdr:row>24</xdr:row>
      <xdr:rowOff>148402</xdr:rowOff>
    </xdr:to>
    <xdr:sp macro="" textlink="">
      <xdr:nvSpPr>
        <xdr:cNvPr id="96" name="Скругленный прямоугольник 95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/>
      </xdr:nvSpPr>
      <xdr:spPr bwMode="auto">
        <a:xfrm>
          <a:off x="3105150" y="3734113"/>
          <a:ext cx="1314449" cy="310014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SPACE CORNER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</xdr:col>
      <xdr:colOff>66675</xdr:colOff>
      <xdr:row>33</xdr:row>
      <xdr:rowOff>19363</xdr:rowOff>
    </xdr:from>
    <xdr:to>
      <xdr:col>4</xdr:col>
      <xdr:colOff>161925</xdr:colOff>
      <xdr:row>35</xdr:row>
      <xdr:rowOff>5527</xdr:rowOff>
    </xdr:to>
    <xdr:sp macro="" textlink="">
      <xdr:nvSpPr>
        <xdr:cNvPr id="41" name="Скругленный прямоугольник 4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/>
      </xdr:nvSpPr>
      <xdr:spPr bwMode="auto">
        <a:xfrm>
          <a:off x="1285875" y="5372413"/>
          <a:ext cx="1314450" cy="310014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TIP-ON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</xdr:col>
      <xdr:colOff>228600</xdr:colOff>
      <xdr:row>33</xdr:row>
      <xdr:rowOff>19363</xdr:rowOff>
    </xdr:from>
    <xdr:to>
      <xdr:col>6</xdr:col>
      <xdr:colOff>400050</xdr:colOff>
      <xdr:row>35</xdr:row>
      <xdr:rowOff>5527</xdr:rowOff>
    </xdr:to>
    <xdr:sp macro="" textlink="">
      <xdr:nvSpPr>
        <xdr:cNvPr id="47" name="Скругленный прямоугольник 4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/>
      </xdr:nvSpPr>
      <xdr:spPr bwMode="auto">
        <a:xfrm>
          <a:off x="2667000" y="5372413"/>
          <a:ext cx="1390650" cy="310014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TIP-ON Blumotion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285750</xdr:colOff>
      <xdr:row>25</xdr:row>
      <xdr:rowOff>114300</xdr:rowOff>
    </xdr:from>
    <xdr:to>
      <xdr:col>11</xdr:col>
      <xdr:colOff>123825</xdr:colOff>
      <xdr:row>28</xdr:row>
      <xdr:rowOff>7778</xdr:rowOff>
    </xdr:to>
    <xdr:sp macro="" textlink="">
      <xdr:nvSpPr>
        <xdr:cNvPr id="49" name="Скругленный прямоугольник 48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/>
      </xdr:nvSpPr>
      <xdr:spPr bwMode="auto">
        <a:xfrm>
          <a:off x="5162550" y="4171950"/>
          <a:ext cx="1724025" cy="379253"/>
        </a:xfrm>
        <a:prstGeom prst="roundRect">
          <a:avLst/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marL="0" indent="0" algn="ctr"/>
          <a:r>
            <a:rPr lang="en-US" sz="16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Servo-Drive Flex</a:t>
          </a:r>
          <a:endParaRPr lang="ru-RU" sz="1600" b="1">
            <a:solidFill>
              <a:sysClr val="windowText" lastClr="00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4</xdr:col>
      <xdr:colOff>314325</xdr:colOff>
      <xdr:row>10</xdr:row>
      <xdr:rowOff>84433</xdr:rowOff>
    </xdr:from>
    <xdr:to>
      <xdr:col>8</xdr:col>
      <xdr:colOff>79375</xdr:colOff>
      <xdr:row>12</xdr:row>
      <xdr:rowOff>63833</xdr:rowOff>
    </xdr:to>
    <xdr:sp macro="" textlink="">
      <xdr:nvSpPr>
        <xdr:cNvPr id="50" name="Скругленный прямоугольник 49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/>
      </xdr:nvSpPr>
      <xdr:spPr bwMode="auto">
        <a:xfrm>
          <a:off x="2752725" y="1713208"/>
          <a:ext cx="2203450" cy="303250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r>
            <a:rPr lang="ru-RU" sz="1100" b="1">
              <a:effectLst/>
              <a:latin typeface="+mn-lt"/>
              <a:ea typeface="+mn-ea"/>
              <a:cs typeface="+mn-cs"/>
            </a:rPr>
            <a:t>Донья</a:t>
          </a:r>
          <a:r>
            <a:rPr lang="ru-RU" sz="1100" b="1" baseline="0">
              <a:effectLst/>
              <a:latin typeface="+mn-lt"/>
              <a:ea typeface="+mn-ea"/>
              <a:cs typeface="+mn-cs"/>
            </a:rPr>
            <a:t> и задние стенки </a:t>
          </a:r>
          <a:r>
            <a:rPr lang="en-US" sz="1100" b="1" baseline="0">
              <a:effectLst/>
              <a:latin typeface="+mn-lt"/>
              <a:ea typeface="+mn-ea"/>
              <a:cs typeface="+mn-cs"/>
            </a:rPr>
            <a:t>Legrabox</a:t>
          </a:r>
          <a:endParaRPr lang="ru-RU" sz="1200">
            <a:effectLst/>
          </a:endParaRP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523875</xdr:colOff>
          <xdr:row>4</xdr:row>
          <xdr:rowOff>142875</xdr:rowOff>
        </xdr:from>
        <xdr:to>
          <xdr:col>16</xdr:col>
          <xdr:colOff>266700</xdr:colOff>
          <xdr:row>5</xdr:row>
          <xdr:rowOff>152400</xdr:rowOff>
        </xdr:to>
        <xdr:sp macro="" textlink="">
          <xdr:nvSpPr>
            <xdr:cNvPr id="2051" name="Drop Down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2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9</xdr:col>
      <xdr:colOff>0</xdr:colOff>
      <xdr:row>3</xdr:row>
      <xdr:rowOff>66675</xdr:rowOff>
    </xdr:from>
    <xdr:to>
      <xdr:col>11</xdr:col>
      <xdr:colOff>333375</xdr:colOff>
      <xdr:row>7</xdr:row>
      <xdr:rowOff>49149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100454F9-A238-4EE3-AEBC-888B3DDE2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400" y="828675"/>
          <a:ext cx="1609725" cy="630174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>
          <a:reflection blurRad="12700" stA="38000" endPos="28000" dist="5000" dir="5400000" sy="-100000" algn="bl" rotWithShape="0"/>
        </a:effec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295275</xdr:colOff>
      <xdr:row>1</xdr:row>
      <xdr:rowOff>28575</xdr:rowOff>
    </xdr:from>
    <xdr:to>
      <xdr:col>6</xdr:col>
      <xdr:colOff>381000</xdr:colOff>
      <xdr:row>1</xdr:row>
      <xdr:rowOff>219075</xdr:rowOff>
    </xdr:to>
    <xdr:pic>
      <xdr:nvPicPr>
        <xdr:cNvPr id="37964" name="Picture 180">
          <a:extLst>
            <a:ext uri="{FF2B5EF4-FFF2-40B4-BE49-F238E27FC236}">
              <a16:creationId xmlns:a16="http://schemas.microsoft.com/office/drawing/2014/main" id="{00000000-0008-0000-0300-00004C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9275" y="95250"/>
          <a:ext cx="6000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19049</xdr:colOff>
      <xdr:row>86</xdr:row>
      <xdr:rowOff>95250</xdr:rowOff>
    </xdr:from>
    <xdr:to>
      <xdr:col>2</xdr:col>
      <xdr:colOff>0</xdr:colOff>
      <xdr:row>90</xdr:row>
      <xdr:rowOff>85725</xdr:rowOff>
    </xdr:to>
    <xdr:pic>
      <xdr:nvPicPr>
        <xdr:cNvPr id="37965" name="Picture 6">
          <a:extLst>
            <a:ext uri="{FF2B5EF4-FFF2-40B4-BE49-F238E27FC236}">
              <a16:creationId xmlns:a16="http://schemas.microsoft.com/office/drawing/2014/main" id="{00000000-0008-0000-0300-00004D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699" y="8934450"/>
          <a:ext cx="1695451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119</xdr:row>
      <xdr:rowOff>57150</xdr:rowOff>
    </xdr:from>
    <xdr:to>
      <xdr:col>1</xdr:col>
      <xdr:colOff>1704975</xdr:colOff>
      <xdr:row>125</xdr:row>
      <xdr:rowOff>9525</xdr:rowOff>
    </xdr:to>
    <xdr:pic>
      <xdr:nvPicPr>
        <xdr:cNvPr id="37967" name="Picture 9">
          <a:extLst>
            <a:ext uri="{FF2B5EF4-FFF2-40B4-BE49-F238E27FC236}">
              <a16:creationId xmlns:a16="http://schemas.microsoft.com/office/drawing/2014/main" id="{00000000-0008-0000-0300-00004F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11410950"/>
          <a:ext cx="1704975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74</xdr:row>
      <xdr:rowOff>28574</xdr:rowOff>
    </xdr:from>
    <xdr:to>
      <xdr:col>1</xdr:col>
      <xdr:colOff>1676401</xdr:colOff>
      <xdr:row>81</xdr:row>
      <xdr:rowOff>161924</xdr:rowOff>
    </xdr:to>
    <xdr:pic>
      <xdr:nvPicPr>
        <xdr:cNvPr id="37968" name="Picture 10">
          <a:extLst>
            <a:ext uri="{FF2B5EF4-FFF2-40B4-BE49-F238E27FC236}">
              <a16:creationId xmlns:a16="http://schemas.microsoft.com/office/drawing/2014/main" id="{00000000-0008-0000-0300-000050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4686299"/>
          <a:ext cx="1666876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65</xdr:row>
      <xdr:rowOff>9525</xdr:rowOff>
    </xdr:from>
    <xdr:to>
      <xdr:col>1</xdr:col>
      <xdr:colOff>1695450</xdr:colOff>
      <xdr:row>74</xdr:row>
      <xdr:rowOff>47625</xdr:rowOff>
    </xdr:to>
    <xdr:pic>
      <xdr:nvPicPr>
        <xdr:cNvPr id="37969" name="Picture 11">
          <a:extLst>
            <a:ext uri="{FF2B5EF4-FFF2-40B4-BE49-F238E27FC236}">
              <a16:creationId xmlns:a16="http://schemas.microsoft.com/office/drawing/2014/main" id="{00000000-0008-0000-0300-000051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3257550"/>
          <a:ext cx="1685925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113</xdr:row>
      <xdr:rowOff>85725</xdr:rowOff>
    </xdr:from>
    <xdr:to>
      <xdr:col>2</xdr:col>
      <xdr:colOff>0</xdr:colOff>
      <xdr:row>119</xdr:row>
      <xdr:rowOff>66675</xdr:rowOff>
    </xdr:to>
    <xdr:pic>
      <xdr:nvPicPr>
        <xdr:cNvPr id="37970" name="Picture 12">
          <a:extLst>
            <a:ext uri="{FF2B5EF4-FFF2-40B4-BE49-F238E27FC236}">
              <a16:creationId xmlns:a16="http://schemas.microsoft.com/office/drawing/2014/main" id="{00000000-0008-0000-0300-000052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10467975"/>
          <a:ext cx="17145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102</xdr:row>
      <xdr:rowOff>95250</xdr:rowOff>
    </xdr:from>
    <xdr:to>
      <xdr:col>2</xdr:col>
      <xdr:colOff>0</xdr:colOff>
      <xdr:row>108</xdr:row>
      <xdr:rowOff>104775</xdr:rowOff>
    </xdr:to>
    <xdr:pic>
      <xdr:nvPicPr>
        <xdr:cNvPr id="37971" name="Picture 13">
          <a:extLst>
            <a:ext uri="{FF2B5EF4-FFF2-40B4-BE49-F238E27FC236}">
              <a16:creationId xmlns:a16="http://schemas.microsoft.com/office/drawing/2014/main" id="{00000000-0008-0000-0300-000053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8534400"/>
          <a:ext cx="171450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107</xdr:row>
      <xdr:rowOff>95250</xdr:rowOff>
    </xdr:from>
    <xdr:to>
      <xdr:col>2</xdr:col>
      <xdr:colOff>0</xdr:colOff>
      <xdr:row>113</xdr:row>
      <xdr:rowOff>104775</xdr:rowOff>
    </xdr:to>
    <xdr:pic>
      <xdr:nvPicPr>
        <xdr:cNvPr id="37972" name="Picture 14">
          <a:extLst>
            <a:ext uri="{FF2B5EF4-FFF2-40B4-BE49-F238E27FC236}">
              <a16:creationId xmlns:a16="http://schemas.microsoft.com/office/drawing/2014/main" id="{00000000-0008-0000-0300-000054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9505950"/>
          <a:ext cx="171450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97</xdr:row>
      <xdr:rowOff>0</xdr:rowOff>
    </xdr:from>
    <xdr:to>
      <xdr:col>2</xdr:col>
      <xdr:colOff>0</xdr:colOff>
      <xdr:row>102</xdr:row>
      <xdr:rowOff>104775</xdr:rowOff>
    </xdr:to>
    <xdr:pic>
      <xdr:nvPicPr>
        <xdr:cNvPr id="37973" name="Picture 15">
          <a:extLst>
            <a:ext uri="{FF2B5EF4-FFF2-40B4-BE49-F238E27FC236}">
              <a16:creationId xmlns:a16="http://schemas.microsoft.com/office/drawing/2014/main" id="{00000000-0008-0000-0300-000055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7677150"/>
          <a:ext cx="171450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205</xdr:row>
      <xdr:rowOff>152400</xdr:rowOff>
    </xdr:from>
    <xdr:to>
      <xdr:col>1</xdr:col>
      <xdr:colOff>1704975</xdr:colOff>
      <xdr:row>211</xdr:row>
      <xdr:rowOff>142875</xdr:rowOff>
    </xdr:to>
    <xdr:pic>
      <xdr:nvPicPr>
        <xdr:cNvPr id="37974" name="Picture 17">
          <a:extLst>
            <a:ext uri="{FF2B5EF4-FFF2-40B4-BE49-F238E27FC236}">
              <a16:creationId xmlns:a16="http://schemas.microsoft.com/office/drawing/2014/main" id="{00000000-0008-0000-0300-000056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21783675"/>
          <a:ext cx="169545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225</xdr:row>
      <xdr:rowOff>142875</xdr:rowOff>
    </xdr:from>
    <xdr:to>
      <xdr:col>2</xdr:col>
      <xdr:colOff>0</xdr:colOff>
      <xdr:row>231</xdr:row>
      <xdr:rowOff>152400</xdr:rowOff>
    </xdr:to>
    <xdr:pic>
      <xdr:nvPicPr>
        <xdr:cNvPr id="37975" name="Picture 18">
          <a:extLst>
            <a:ext uri="{FF2B5EF4-FFF2-40B4-BE49-F238E27FC236}">
              <a16:creationId xmlns:a16="http://schemas.microsoft.com/office/drawing/2014/main" id="{00000000-0008-0000-0300-000057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25346025"/>
          <a:ext cx="169545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219</xdr:row>
      <xdr:rowOff>9525</xdr:rowOff>
    </xdr:from>
    <xdr:to>
      <xdr:col>1</xdr:col>
      <xdr:colOff>1704975</xdr:colOff>
      <xdr:row>226</xdr:row>
      <xdr:rowOff>0</xdr:rowOff>
    </xdr:to>
    <xdr:pic>
      <xdr:nvPicPr>
        <xdr:cNvPr id="37976" name="Picture 21">
          <a:extLst>
            <a:ext uri="{FF2B5EF4-FFF2-40B4-BE49-F238E27FC236}">
              <a16:creationId xmlns:a16="http://schemas.microsoft.com/office/drawing/2014/main" id="{00000000-0008-0000-0300-000058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24088725"/>
          <a:ext cx="16859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201</xdr:row>
      <xdr:rowOff>28575</xdr:rowOff>
    </xdr:from>
    <xdr:to>
      <xdr:col>6</xdr:col>
      <xdr:colOff>381000</xdr:colOff>
      <xdr:row>201</xdr:row>
      <xdr:rowOff>228600</xdr:rowOff>
    </xdr:to>
    <xdr:pic>
      <xdr:nvPicPr>
        <xdr:cNvPr id="37979" name="Picture 180">
          <a:extLst>
            <a:ext uri="{FF2B5EF4-FFF2-40B4-BE49-F238E27FC236}">
              <a16:creationId xmlns:a16="http://schemas.microsoft.com/office/drawing/2014/main" id="{00000000-0008-0000-0300-00005B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9275" y="21326475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124</xdr:row>
      <xdr:rowOff>152400</xdr:rowOff>
    </xdr:from>
    <xdr:to>
      <xdr:col>2</xdr:col>
      <xdr:colOff>0</xdr:colOff>
      <xdr:row>132</xdr:row>
      <xdr:rowOff>104775</xdr:rowOff>
    </xdr:to>
    <xdr:pic>
      <xdr:nvPicPr>
        <xdr:cNvPr id="37983" name="Picture 30">
          <a:extLst>
            <a:ext uri="{FF2B5EF4-FFF2-40B4-BE49-F238E27FC236}">
              <a16:creationId xmlns:a16="http://schemas.microsoft.com/office/drawing/2014/main" id="{00000000-0008-0000-0300-00005F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12315825"/>
          <a:ext cx="1714500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132</xdr:row>
      <xdr:rowOff>95250</xdr:rowOff>
    </xdr:from>
    <xdr:to>
      <xdr:col>2</xdr:col>
      <xdr:colOff>0</xdr:colOff>
      <xdr:row>140</xdr:row>
      <xdr:rowOff>161925</xdr:rowOff>
    </xdr:to>
    <xdr:pic>
      <xdr:nvPicPr>
        <xdr:cNvPr id="37984" name="Picture 31">
          <a:extLst>
            <a:ext uri="{FF2B5EF4-FFF2-40B4-BE49-F238E27FC236}">
              <a16:creationId xmlns:a16="http://schemas.microsoft.com/office/drawing/2014/main" id="{00000000-0008-0000-0300-000060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13554075"/>
          <a:ext cx="171450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523875</xdr:colOff>
      <xdr:row>61</xdr:row>
      <xdr:rowOff>95250</xdr:rowOff>
    </xdr:from>
    <xdr:to>
      <xdr:col>9</xdr:col>
      <xdr:colOff>1619250</xdr:colOff>
      <xdr:row>64</xdr:row>
      <xdr:rowOff>152400</xdr:rowOff>
    </xdr:to>
    <xdr:sp macro="" textlink="">
      <xdr:nvSpPr>
        <xdr:cNvPr id="37920" name="AutoShape 32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0000000-0008-0000-0300-000020940000}"/>
            </a:ext>
          </a:extLst>
        </xdr:cNvPr>
        <xdr:cNvSpPr>
          <a:spLocks noChangeArrowheads="1"/>
        </xdr:cNvSpPr>
      </xdr:nvSpPr>
      <xdr:spPr bwMode="auto">
        <a:xfrm>
          <a:off x="6781800" y="2514600"/>
          <a:ext cx="1838325" cy="6953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>
    <xdr:from>
      <xdr:col>9</xdr:col>
      <xdr:colOff>333375</xdr:colOff>
      <xdr:row>226</xdr:row>
      <xdr:rowOff>114300</xdr:rowOff>
    </xdr:from>
    <xdr:to>
      <xdr:col>10</xdr:col>
      <xdr:colOff>428625</xdr:colOff>
      <xdr:row>231</xdr:row>
      <xdr:rowOff>0</xdr:rowOff>
    </xdr:to>
    <xdr:sp macro="" textlink="">
      <xdr:nvSpPr>
        <xdr:cNvPr id="37925" name="AutoShape 37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0000000-0008-0000-0300-000025940000}"/>
            </a:ext>
          </a:extLst>
        </xdr:cNvPr>
        <xdr:cNvSpPr>
          <a:spLocks noChangeArrowheads="1"/>
        </xdr:cNvSpPr>
      </xdr:nvSpPr>
      <xdr:spPr bwMode="auto">
        <a:xfrm>
          <a:off x="7334250" y="25317450"/>
          <a:ext cx="1838325" cy="6953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 editAs="oneCell">
    <xdr:from>
      <xdr:col>1</xdr:col>
      <xdr:colOff>9525</xdr:colOff>
      <xdr:row>146</xdr:row>
      <xdr:rowOff>19050</xdr:rowOff>
    </xdr:from>
    <xdr:to>
      <xdr:col>2</xdr:col>
      <xdr:colOff>0</xdr:colOff>
      <xdr:row>152</xdr:row>
      <xdr:rowOff>76200</xdr:rowOff>
    </xdr:to>
    <xdr:pic>
      <xdr:nvPicPr>
        <xdr:cNvPr id="37988" name="Picture 41">
          <a:extLst>
            <a:ext uri="{FF2B5EF4-FFF2-40B4-BE49-F238E27FC236}">
              <a16:creationId xmlns:a16="http://schemas.microsoft.com/office/drawing/2014/main" id="{00000000-0008-0000-0300-000064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15868650"/>
          <a:ext cx="170497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152</xdr:row>
      <xdr:rowOff>76200</xdr:rowOff>
    </xdr:from>
    <xdr:to>
      <xdr:col>1</xdr:col>
      <xdr:colOff>1704975</xdr:colOff>
      <xdr:row>157</xdr:row>
      <xdr:rowOff>19050</xdr:rowOff>
    </xdr:to>
    <xdr:pic>
      <xdr:nvPicPr>
        <xdr:cNvPr id="37989" name="Picture 42">
          <a:extLst>
            <a:ext uri="{FF2B5EF4-FFF2-40B4-BE49-F238E27FC236}">
              <a16:creationId xmlns:a16="http://schemas.microsoft.com/office/drawing/2014/main" id="{00000000-0008-0000-0300-000065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16849725"/>
          <a:ext cx="16954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157</xdr:row>
      <xdr:rowOff>19050</xdr:rowOff>
    </xdr:from>
    <xdr:to>
      <xdr:col>1</xdr:col>
      <xdr:colOff>1704975</xdr:colOff>
      <xdr:row>162</xdr:row>
      <xdr:rowOff>161925</xdr:rowOff>
    </xdr:to>
    <xdr:pic>
      <xdr:nvPicPr>
        <xdr:cNvPr id="37990" name="Picture 43">
          <a:extLst>
            <a:ext uri="{FF2B5EF4-FFF2-40B4-BE49-F238E27FC236}">
              <a16:creationId xmlns:a16="http://schemas.microsoft.com/office/drawing/2014/main" id="{00000000-0008-0000-0300-000066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17602200"/>
          <a:ext cx="16954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9526</xdr:colOff>
      <xdr:row>191</xdr:row>
      <xdr:rowOff>9525</xdr:rowOff>
    </xdr:from>
    <xdr:to>
      <xdr:col>2</xdr:col>
      <xdr:colOff>0</xdr:colOff>
      <xdr:row>199</xdr:row>
      <xdr:rowOff>161925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23183850"/>
          <a:ext cx="1704974" cy="1447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9526</xdr:colOff>
      <xdr:row>181</xdr:row>
      <xdr:rowOff>19051</xdr:rowOff>
    </xdr:from>
    <xdr:to>
      <xdr:col>2</xdr:col>
      <xdr:colOff>3279</xdr:colOff>
      <xdr:row>190</xdr:row>
      <xdr:rowOff>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21555076"/>
          <a:ext cx="1708253" cy="1457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85726</xdr:colOff>
      <xdr:row>164</xdr:row>
      <xdr:rowOff>38100</xdr:rowOff>
    </xdr:from>
    <xdr:ext cx="1442003" cy="391478"/>
    <xdr:sp macro="" textlink="">
      <xdr:nvSpPr>
        <xdr:cNvPr id="31" name="Скругленный прямоугольник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SpPr/>
      </xdr:nvSpPr>
      <xdr:spPr bwMode="auto">
        <a:xfrm rot="21381042">
          <a:off x="5800726" y="19459575"/>
          <a:ext cx="1442003" cy="391478"/>
        </a:xfrm>
        <a:prstGeom prst="roundRect">
          <a:avLst/>
        </a:prstGeom>
        <a:solidFill>
          <a:srgbClr val="FF00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ctr" anchorCtr="0" upright="1">
          <a:spAutoFit/>
        </a:bodyPr>
        <a:lstStyle/>
        <a:p>
          <a:pPr algn="l"/>
          <a:r>
            <a:rPr lang="en-US" sz="1400" b="1">
              <a:solidFill>
                <a:schemeClr val="bg1"/>
              </a:solidFill>
            </a:rPr>
            <a:t> </a:t>
          </a:r>
          <a:r>
            <a:rPr lang="en-US" sz="1600" b="1">
              <a:solidFill>
                <a:schemeClr val="bg1"/>
              </a:solidFill>
            </a:rPr>
            <a:t> NEW - 2015* </a:t>
          </a:r>
          <a:endParaRPr lang="ru-RU" sz="1600" b="1">
            <a:solidFill>
              <a:schemeClr val="bg1"/>
            </a:solidFill>
          </a:endParaRPr>
        </a:p>
      </xdr:txBody>
    </xdr:sp>
    <xdr:clientData/>
  </xdr:oneCellAnchor>
  <xdr:oneCellAnchor>
    <xdr:from>
      <xdr:col>6</xdr:col>
      <xdr:colOff>523876</xdr:colOff>
      <xdr:row>180</xdr:row>
      <xdr:rowOff>9526</xdr:rowOff>
    </xdr:from>
    <xdr:ext cx="1724564" cy="379253"/>
    <xdr:sp macro="" textlink="">
      <xdr:nvSpPr>
        <xdr:cNvPr id="32" name="Скругленный прямоугольник 31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SpPr/>
      </xdr:nvSpPr>
      <xdr:spPr bwMode="auto">
        <a:xfrm rot="21446348">
          <a:off x="6238876" y="21383626"/>
          <a:ext cx="1724564" cy="379253"/>
        </a:xfrm>
        <a:prstGeom prst="roundRect">
          <a:avLst/>
        </a:prstGeom>
        <a:solidFill>
          <a:srgbClr val="FF00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ctr" anchorCtr="0" upright="1">
          <a:spAutoFit/>
        </a:bodyPr>
        <a:lstStyle/>
        <a:p>
          <a:pPr algn="l"/>
          <a:r>
            <a:rPr lang="en-US" sz="1400" b="1">
              <a:solidFill>
                <a:schemeClr val="bg1"/>
              </a:solidFill>
            </a:rPr>
            <a:t> </a:t>
          </a:r>
          <a:r>
            <a:rPr lang="ru-RU" sz="1600" b="1">
              <a:solidFill>
                <a:schemeClr val="bg1"/>
              </a:solidFill>
            </a:rPr>
            <a:t>Выгодная</a:t>
          </a:r>
          <a:r>
            <a:rPr lang="ru-RU" sz="1600" b="1" baseline="0">
              <a:solidFill>
                <a:schemeClr val="bg1"/>
              </a:solidFill>
            </a:rPr>
            <a:t> цена!</a:t>
          </a:r>
          <a:endParaRPr lang="ru-RU" sz="1600" b="1">
            <a:solidFill>
              <a:schemeClr val="bg1"/>
            </a:solidFill>
          </a:endParaRPr>
        </a:p>
      </xdr:txBody>
    </xdr:sp>
    <xdr:clientData/>
  </xdr:oneCellAnchor>
  <xdr:oneCellAnchor>
    <xdr:from>
      <xdr:col>6</xdr:col>
      <xdr:colOff>533400</xdr:colOff>
      <xdr:row>189</xdr:row>
      <xdr:rowOff>123826</xdr:rowOff>
    </xdr:from>
    <xdr:ext cx="1724564" cy="379253"/>
    <xdr:sp macro="" textlink="">
      <xdr:nvSpPr>
        <xdr:cNvPr id="33" name="Скругленный прямоугольник 32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SpPr/>
      </xdr:nvSpPr>
      <xdr:spPr bwMode="auto">
        <a:xfrm rot="21446348">
          <a:off x="6248400" y="22974301"/>
          <a:ext cx="1724564" cy="379253"/>
        </a:xfrm>
        <a:prstGeom prst="roundRect">
          <a:avLst/>
        </a:prstGeom>
        <a:solidFill>
          <a:srgbClr val="FF00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ctr" anchorCtr="0" upright="1">
          <a:spAutoFit/>
        </a:bodyPr>
        <a:lstStyle/>
        <a:p>
          <a:pPr algn="l"/>
          <a:r>
            <a:rPr lang="en-US" sz="1400" b="1">
              <a:solidFill>
                <a:schemeClr val="bg1"/>
              </a:solidFill>
            </a:rPr>
            <a:t> </a:t>
          </a:r>
          <a:r>
            <a:rPr lang="ru-RU" sz="1600" b="1">
              <a:solidFill>
                <a:schemeClr val="bg1"/>
              </a:solidFill>
            </a:rPr>
            <a:t>Выгодная</a:t>
          </a:r>
          <a:r>
            <a:rPr lang="ru-RU" sz="1600" b="1" baseline="0">
              <a:solidFill>
                <a:schemeClr val="bg1"/>
              </a:solidFill>
            </a:rPr>
            <a:t> цена!</a:t>
          </a:r>
          <a:endParaRPr lang="ru-RU" sz="1600" b="1">
            <a:solidFill>
              <a:schemeClr val="bg1"/>
            </a:solidFill>
          </a:endParaRPr>
        </a:p>
      </xdr:txBody>
    </xdr:sp>
    <xdr:clientData/>
  </xdr:oneCellAnchor>
  <xdr:twoCellAnchor editAs="oneCell">
    <xdr:from>
      <xdr:col>1</xdr:col>
      <xdr:colOff>9526</xdr:colOff>
      <xdr:row>168</xdr:row>
      <xdr:rowOff>19051</xdr:rowOff>
    </xdr:from>
    <xdr:to>
      <xdr:col>2</xdr:col>
      <xdr:colOff>0</xdr:colOff>
      <xdr:row>180</xdr:row>
      <xdr:rowOff>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20259676"/>
          <a:ext cx="1704974" cy="19240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295275</xdr:colOff>
      <xdr:row>49</xdr:row>
      <xdr:rowOff>28575</xdr:rowOff>
    </xdr:from>
    <xdr:ext cx="600075" cy="190500"/>
    <xdr:pic>
      <xdr:nvPicPr>
        <xdr:cNvPr id="29" name="Picture 180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9275" y="95250"/>
          <a:ext cx="6000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19049</xdr:colOff>
      <xdr:row>5</xdr:row>
      <xdr:rowOff>45184</xdr:rowOff>
    </xdr:from>
    <xdr:to>
      <xdr:col>1</xdr:col>
      <xdr:colOff>2197644</xdr:colOff>
      <xdr:row>16</xdr:row>
      <xdr:rowOff>142875</xdr:rowOff>
    </xdr:to>
    <xdr:pic>
      <xdr:nvPicPr>
        <xdr:cNvPr id="58" name="Picture 176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4" y="1026259"/>
          <a:ext cx="2178595" cy="1878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19</xdr:row>
      <xdr:rowOff>9525</xdr:rowOff>
    </xdr:from>
    <xdr:to>
      <xdr:col>1</xdr:col>
      <xdr:colOff>1982561</xdr:colOff>
      <xdr:row>24</xdr:row>
      <xdr:rowOff>171450</xdr:rowOff>
    </xdr:to>
    <xdr:pic>
      <xdr:nvPicPr>
        <xdr:cNvPr id="60" name="Picture 29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3305175"/>
          <a:ext cx="1973036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409575</xdr:colOff>
      <xdr:row>1</xdr:row>
      <xdr:rowOff>209550</xdr:rowOff>
    </xdr:from>
    <xdr:to>
      <xdr:col>10</xdr:col>
      <xdr:colOff>419100</xdr:colOff>
      <xdr:row>5</xdr:row>
      <xdr:rowOff>38100</xdr:rowOff>
    </xdr:to>
    <xdr:sp macro="" textlink="">
      <xdr:nvSpPr>
        <xdr:cNvPr id="61" name="AutoShape 3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SpPr>
          <a:spLocks noChangeArrowheads="1"/>
        </xdr:cNvSpPr>
      </xdr:nvSpPr>
      <xdr:spPr bwMode="auto">
        <a:xfrm>
          <a:off x="6200775" y="323850"/>
          <a:ext cx="1838325" cy="6953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48</xdr:row>
      <xdr:rowOff>9525</xdr:rowOff>
    </xdr:from>
    <xdr:to>
      <xdr:col>2</xdr:col>
      <xdr:colOff>0</xdr:colOff>
      <xdr:row>55</xdr:row>
      <xdr:rowOff>0</xdr:rowOff>
    </xdr:to>
    <xdr:pic>
      <xdr:nvPicPr>
        <xdr:cNvPr id="28189" name="Picture 7">
          <a:extLst>
            <a:ext uri="{FF2B5EF4-FFF2-40B4-BE49-F238E27FC236}">
              <a16:creationId xmlns:a16="http://schemas.microsoft.com/office/drawing/2014/main" id="{00000000-0008-0000-0500-00001D6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7543800"/>
          <a:ext cx="17430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209550</xdr:colOff>
      <xdr:row>73</xdr:row>
      <xdr:rowOff>9525</xdr:rowOff>
    </xdr:from>
    <xdr:to>
      <xdr:col>1</xdr:col>
      <xdr:colOff>1447800</xdr:colOff>
      <xdr:row>76</xdr:row>
      <xdr:rowOff>152400</xdr:rowOff>
    </xdr:to>
    <xdr:pic>
      <xdr:nvPicPr>
        <xdr:cNvPr id="28190" name="Picture 9">
          <a:extLst>
            <a:ext uri="{FF2B5EF4-FFF2-40B4-BE49-F238E27FC236}">
              <a16:creationId xmlns:a16="http://schemas.microsoft.com/office/drawing/2014/main" id="{00000000-0008-0000-0500-00001E6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820525"/>
          <a:ext cx="12382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7</xdr:col>
      <xdr:colOff>581025</xdr:colOff>
      <xdr:row>5</xdr:row>
      <xdr:rowOff>200025</xdr:rowOff>
    </xdr:to>
    <xdr:pic>
      <xdr:nvPicPr>
        <xdr:cNvPr id="28191" name="Picture 17">
          <a:extLst>
            <a:ext uri="{FF2B5EF4-FFF2-40B4-BE49-F238E27FC236}">
              <a16:creationId xmlns:a16="http://schemas.microsoft.com/office/drawing/2014/main" id="{00000000-0008-0000-0500-00001F6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8850" y="47625"/>
          <a:ext cx="581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71</xdr:row>
      <xdr:rowOff>19050</xdr:rowOff>
    </xdr:from>
    <xdr:to>
      <xdr:col>1</xdr:col>
      <xdr:colOff>828675</xdr:colOff>
      <xdr:row>72</xdr:row>
      <xdr:rowOff>66675</xdr:rowOff>
    </xdr:to>
    <xdr:pic>
      <xdr:nvPicPr>
        <xdr:cNvPr id="28192" name="Picture 490">
          <a:extLst>
            <a:ext uri="{FF2B5EF4-FFF2-40B4-BE49-F238E27FC236}">
              <a16:creationId xmlns:a16="http://schemas.microsoft.com/office/drawing/2014/main" id="{00000000-0008-0000-0500-0000206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11315700"/>
          <a:ext cx="809625" cy="304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2</xdr:col>
      <xdr:colOff>0</xdr:colOff>
      <xdr:row>15</xdr:row>
      <xdr:rowOff>161925</xdr:rowOff>
    </xdr:to>
    <xdr:pic>
      <xdr:nvPicPr>
        <xdr:cNvPr id="28193" name="Picture 502">
          <a:extLst>
            <a:ext uri="{FF2B5EF4-FFF2-40B4-BE49-F238E27FC236}">
              <a16:creationId xmlns:a16="http://schemas.microsoft.com/office/drawing/2014/main" id="{00000000-0008-0000-0500-0000216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885825"/>
          <a:ext cx="17430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22</xdr:row>
      <xdr:rowOff>0</xdr:rowOff>
    </xdr:from>
    <xdr:to>
      <xdr:col>2</xdr:col>
      <xdr:colOff>0</xdr:colOff>
      <xdr:row>28</xdr:row>
      <xdr:rowOff>142875</xdr:rowOff>
    </xdr:to>
    <xdr:pic>
      <xdr:nvPicPr>
        <xdr:cNvPr id="28194" name="Picture 506">
          <a:extLst>
            <a:ext uri="{FF2B5EF4-FFF2-40B4-BE49-F238E27FC236}">
              <a16:creationId xmlns:a16="http://schemas.microsoft.com/office/drawing/2014/main" id="{00000000-0008-0000-0500-0000226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3114675"/>
          <a:ext cx="17335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35</xdr:row>
      <xdr:rowOff>9525</xdr:rowOff>
    </xdr:from>
    <xdr:to>
      <xdr:col>2</xdr:col>
      <xdr:colOff>0</xdr:colOff>
      <xdr:row>42</xdr:row>
      <xdr:rowOff>0</xdr:rowOff>
    </xdr:to>
    <xdr:pic>
      <xdr:nvPicPr>
        <xdr:cNvPr id="28195" name="Picture 508">
          <a:extLst>
            <a:ext uri="{FF2B5EF4-FFF2-40B4-BE49-F238E27FC236}">
              <a16:creationId xmlns:a16="http://schemas.microsoft.com/office/drawing/2014/main" id="{00000000-0008-0000-0500-0000236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5334000"/>
          <a:ext cx="17430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61</xdr:row>
      <xdr:rowOff>0</xdr:rowOff>
    </xdr:from>
    <xdr:to>
      <xdr:col>2</xdr:col>
      <xdr:colOff>0</xdr:colOff>
      <xdr:row>69</xdr:row>
      <xdr:rowOff>0</xdr:rowOff>
    </xdr:to>
    <xdr:pic>
      <xdr:nvPicPr>
        <xdr:cNvPr id="28196" name="Picture 509">
          <a:extLst>
            <a:ext uri="{FF2B5EF4-FFF2-40B4-BE49-F238E27FC236}">
              <a16:creationId xmlns:a16="http://schemas.microsoft.com/office/drawing/2014/main" id="{00000000-0008-0000-0500-0000246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9782175"/>
          <a:ext cx="1743075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400050</xdr:colOff>
      <xdr:row>79</xdr:row>
      <xdr:rowOff>0</xdr:rowOff>
    </xdr:from>
    <xdr:to>
      <xdr:col>7</xdr:col>
      <xdr:colOff>561975</xdr:colOff>
      <xdr:row>79</xdr:row>
      <xdr:rowOff>190500</xdr:rowOff>
    </xdr:to>
    <xdr:pic>
      <xdr:nvPicPr>
        <xdr:cNvPr id="28197" name="Picture 69">
          <a:extLst>
            <a:ext uri="{FF2B5EF4-FFF2-40B4-BE49-F238E27FC236}">
              <a16:creationId xmlns:a16="http://schemas.microsoft.com/office/drawing/2014/main" id="{00000000-0008-0000-0500-0000256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0750" y="12887325"/>
          <a:ext cx="6000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409575</xdr:colOff>
      <xdr:row>71</xdr:row>
      <xdr:rowOff>0</xdr:rowOff>
    </xdr:from>
    <xdr:to>
      <xdr:col>7</xdr:col>
      <xdr:colOff>571500</xdr:colOff>
      <xdr:row>71</xdr:row>
      <xdr:rowOff>190500</xdr:rowOff>
    </xdr:to>
    <xdr:pic>
      <xdr:nvPicPr>
        <xdr:cNvPr id="28198" name="Picture 69">
          <a:extLst>
            <a:ext uri="{FF2B5EF4-FFF2-40B4-BE49-F238E27FC236}">
              <a16:creationId xmlns:a16="http://schemas.microsoft.com/office/drawing/2014/main" id="{00000000-0008-0000-0500-0000266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0275" y="11296650"/>
          <a:ext cx="6000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419100</xdr:colOff>
      <xdr:row>57</xdr:row>
      <xdr:rowOff>19050</xdr:rowOff>
    </xdr:from>
    <xdr:to>
      <xdr:col>7</xdr:col>
      <xdr:colOff>581025</xdr:colOff>
      <xdr:row>57</xdr:row>
      <xdr:rowOff>209550</xdr:rowOff>
    </xdr:to>
    <xdr:pic>
      <xdr:nvPicPr>
        <xdr:cNvPr id="28199" name="Picture 69">
          <a:extLst>
            <a:ext uri="{FF2B5EF4-FFF2-40B4-BE49-F238E27FC236}">
              <a16:creationId xmlns:a16="http://schemas.microsoft.com/office/drawing/2014/main" id="{00000000-0008-0000-0500-0000276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8924925"/>
          <a:ext cx="6000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409575</xdr:colOff>
      <xdr:row>44</xdr:row>
      <xdr:rowOff>19050</xdr:rowOff>
    </xdr:from>
    <xdr:to>
      <xdr:col>7</xdr:col>
      <xdr:colOff>571500</xdr:colOff>
      <xdr:row>44</xdr:row>
      <xdr:rowOff>209550</xdr:rowOff>
    </xdr:to>
    <xdr:pic>
      <xdr:nvPicPr>
        <xdr:cNvPr id="28200" name="Picture 69">
          <a:extLst>
            <a:ext uri="{FF2B5EF4-FFF2-40B4-BE49-F238E27FC236}">
              <a16:creationId xmlns:a16="http://schemas.microsoft.com/office/drawing/2014/main" id="{00000000-0008-0000-0500-0000286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0275" y="6715125"/>
          <a:ext cx="6000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409575</xdr:colOff>
      <xdr:row>31</xdr:row>
      <xdr:rowOff>19050</xdr:rowOff>
    </xdr:from>
    <xdr:to>
      <xdr:col>7</xdr:col>
      <xdr:colOff>571500</xdr:colOff>
      <xdr:row>31</xdr:row>
      <xdr:rowOff>209550</xdr:rowOff>
    </xdr:to>
    <xdr:pic>
      <xdr:nvPicPr>
        <xdr:cNvPr id="28201" name="Picture 69">
          <a:extLst>
            <a:ext uri="{FF2B5EF4-FFF2-40B4-BE49-F238E27FC236}">
              <a16:creationId xmlns:a16="http://schemas.microsoft.com/office/drawing/2014/main" id="{00000000-0008-0000-0500-0000296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0275" y="4505325"/>
          <a:ext cx="6000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400050</xdr:colOff>
      <xdr:row>18</xdr:row>
      <xdr:rowOff>19050</xdr:rowOff>
    </xdr:from>
    <xdr:to>
      <xdr:col>7</xdr:col>
      <xdr:colOff>561975</xdr:colOff>
      <xdr:row>18</xdr:row>
      <xdr:rowOff>209550</xdr:rowOff>
    </xdr:to>
    <xdr:pic>
      <xdr:nvPicPr>
        <xdr:cNvPr id="28202" name="Picture 69">
          <a:extLst>
            <a:ext uri="{FF2B5EF4-FFF2-40B4-BE49-F238E27FC236}">
              <a16:creationId xmlns:a16="http://schemas.microsoft.com/office/drawing/2014/main" id="{00000000-0008-0000-0500-00002A6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0750" y="2295525"/>
          <a:ext cx="6000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114300</xdr:colOff>
      <xdr:row>5</xdr:row>
      <xdr:rowOff>95250</xdr:rowOff>
    </xdr:from>
    <xdr:to>
      <xdr:col>20</xdr:col>
      <xdr:colOff>304800</xdr:colOff>
      <xdr:row>8</xdr:row>
      <xdr:rowOff>152400</xdr:rowOff>
    </xdr:to>
    <xdr:sp macro="" textlink="">
      <xdr:nvSpPr>
        <xdr:cNvPr id="28170" name="AutoShape 522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500-00000A6E0000}"/>
            </a:ext>
          </a:extLst>
        </xdr:cNvPr>
        <xdr:cNvSpPr>
          <a:spLocks noChangeArrowheads="1"/>
        </xdr:cNvSpPr>
      </xdr:nvSpPr>
      <xdr:spPr bwMode="auto">
        <a:xfrm>
          <a:off x="7239000" y="142875"/>
          <a:ext cx="1838325" cy="6953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</xdr:colOff>
      <xdr:row>7</xdr:row>
      <xdr:rowOff>9525</xdr:rowOff>
    </xdr:from>
    <xdr:to>
      <xdr:col>2</xdr:col>
      <xdr:colOff>0</xdr:colOff>
      <xdr:row>15</xdr:row>
      <xdr:rowOff>152400</xdr:rowOff>
    </xdr:to>
    <xdr:pic>
      <xdr:nvPicPr>
        <xdr:cNvPr id="2450" name="Picture 321">
          <a:extLst>
            <a:ext uri="{FF2B5EF4-FFF2-40B4-BE49-F238E27FC236}">
              <a16:creationId xmlns:a16="http://schemas.microsoft.com/office/drawing/2014/main" id="{00000000-0008-0000-0600-0000920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942975"/>
          <a:ext cx="204787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22</xdr:row>
      <xdr:rowOff>9525</xdr:rowOff>
    </xdr:from>
    <xdr:to>
      <xdr:col>2</xdr:col>
      <xdr:colOff>0</xdr:colOff>
      <xdr:row>30</xdr:row>
      <xdr:rowOff>161925</xdr:rowOff>
    </xdr:to>
    <xdr:pic>
      <xdr:nvPicPr>
        <xdr:cNvPr id="2451" name="Picture 322">
          <a:extLst>
            <a:ext uri="{FF2B5EF4-FFF2-40B4-BE49-F238E27FC236}">
              <a16:creationId xmlns:a16="http://schemas.microsoft.com/office/drawing/2014/main" id="{00000000-0008-0000-0600-0000930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3352800"/>
          <a:ext cx="20478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37</xdr:row>
      <xdr:rowOff>9525</xdr:rowOff>
    </xdr:from>
    <xdr:to>
      <xdr:col>2</xdr:col>
      <xdr:colOff>0</xdr:colOff>
      <xdr:row>46</xdr:row>
      <xdr:rowOff>161925</xdr:rowOff>
    </xdr:to>
    <xdr:pic>
      <xdr:nvPicPr>
        <xdr:cNvPr id="2452" name="Picture 325">
          <a:extLst>
            <a:ext uri="{FF2B5EF4-FFF2-40B4-BE49-F238E27FC236}">
              <a16:creationId xmlns:a16="http://schemas.microsoft.com/office/drawing/2014/main" id="{00000000-0008-0000-0600-0000940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5924550"/>
          <a:ext cx="2047875" cy="157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52</xdr:row>
      <xdr:rowOff>9525</xdr:rowOff>
    </xdr:from>
    <xdr:to>
      <xdr:col>2</xdr:col>
      <xdr:colOff>0</xdr:colOff>
      <xdr:row>63</xdr:row>
      <xdr:rowOff>9525</xdr:rowOff>
    </xdr:to>
    <xdr:pic>
      <xdr:nvPicPr>
        <xdr:cNvPr id="2453" name="Picture 326">
          <a:extLst>
            <a:ext uri="{FF2B5EF4-FFF2-40B4-BE49-F238E27FC236}">
              <a16:creationId xmlns:a16="http://schemas.microsoft.com/office/drawing/2014/main" id="{00000000-0008-0000-0600-0000950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9172575"/>
          <a:ext cx="2047875" cy="174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67</xdr:row>
      <xdr:rowOff>9525</xdr:rowOff>
    </xdr:from>
    <xdr:to>
      <xdr:col>1</xdr:col>
      <xdr:colOff>2057399</xdr:colOff>
      <xdr:row>78</xdr:row>
      <xdr:rowOff>0</xdr:rowOff>
    </xdr:to>
    <xdr:pic>
      <xdr:nvPicPr>
        <xdr:cNvPr id="2454" name="Picture 327">
          <a:extLst>
            <a:ext uri="{FF2B5EF4-FFF2-40B4-BE49-F238E27FC236}">
              <a16:creationId xmlns:a16="http://schemas.microsoft.com/office/drawing/2014/main" id="{00000000-0008-0000-0600-0000960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11277600"/>
          <a:ext cx="2038349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3</xdr:row>
      <xdr:rowOff>9525</xdr:rowOff>
    </xdr:from>
    <xdr:to>
      <xdr:col>1</xdr:col>
      <xdr:colOff>828675</xdr:colOff>
      <xdr:row>4</xdr:row>
      <xdr:rowOff>57150</xdr:rowOff>
    </xdr:to>
    <xdr:pic>
      <xdr:nvPicPr>
        <xdr:cNvPr id="2455" name="Picture 335">
          <a:extLst>
            <a:ext uri="{FF2B5EF4-FFF2-40B4-BE49-F238E27FC236}">
              <a16:creationId xmlns:a16="http://schemas.microsoft.com/office/drawing/2014/main" id="{00000000-0008-0000-0600-0000970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85725"/>
          <a:ext cx="809625" cy="295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</xdr:colOff>
      <xdr:row>18</xdr:row>
      <xdr:rowOff>19050</xdr:rowOff>
    </xdr:from>
    <xdr:to>
      <xdr:col>1</xdr:col>
      <xdr:colOff>828675</xdr:colOff>
      <xdr:row>19</xdr:row>
      <xdr:rowOff>76200</xdr:rowOff>
    </xdr:to>
    <xdr:pic>
      <xdr:nvPicPr>
        <xdr:cNvPr id="2456" name="Picture 336">
          <a:extLst>
            <a:ext uri="{FF2B5EF4-FFF2-40B4-BE49-F238E27FC236}">
              <a16:creationId xmlns:a16="http://schemas.microsoft.com/office/drawing/2014/main" id="{00000000-0008-0000-0600-0000980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2505075"/>
          <a:ext cx="809625" cy="304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28575</xdr:colOff>
      <xdr:row>33</xdr:row>
      <xdr:rowOff>19050</xdr:rowOff>
    </xdr:from>
    <xdr:to>
      <xdr:col>1</xdr:col>
      <xdr:colOff>838200</xdr:colOff>
      <xdr:row>34</xdr:row>
      <xdr:rowOff>76200</xdr:rowOff>
    </xdr:to>
    <xdr:pic>
      <xdr:nvPicPr>
        <xdr:cNvPr id="2457" name="Picture 337">
          <a:extLst>
            <a:ext uri="{FF2B5EF4-FFF2-40B4-BE49-F238E27FC236}">
              <a16:creationId xmlns:a16="http://schemas.microsoft.com/office/drawing/2014/main" id="{00000000-0008-0000-0600-0000990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5076825"/>
          <a:ext cx="809625" cy="304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</xdr:colOff>
      <xdr:row>49</xdr:row>
      <xdr:rowOff>28575</xdr:rowOff>
    </xdr:from>
    <xdr:to>
      <xdr:col>1</xdr:col>
      <xdr:colOff>828675</xdr:colOff>
      <xdr:row>49</xdr:row>
      <xdr:rowOff>333375</xdr:rowOff>
    </xdr:to>
    <xdr:pic>
      <xdr:nvPicPr>
        <xdr:cNvPr id="2463" name="Picture 366">
          <a:extLst>
            <a:ext uri="{FF2B5EF4-FFF2-40B4-BE49-F238E27FC236}">
              <a16:creationId xmlns:a16="http://schemas.microsoft.com/office/drawing/2014/main" id="{00000000-0008-0000-0600-00009F0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7820025"/>
          <a:ext cx="809625" cy="304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9525</xdr:colOff>
      <xdr:row>82</xdr:row>
      <xdr:rowOff>0</xdr:rowOff>
    </xdr:from>
    <xdr:to>
      <xdr:col>2</xdr:col>
      <xdr:colOff>0</xdr:colOff>
      <xdr:row>93</xdr:row>
      <xdr:rowOff>161925</xdr:rowOff>
    </xdr:to>
    <xdr:pic>
      <xdr:nvPicPr>
        <xdr:cNvPr id="2464" name="Picture 367">
          <a:extLst>
            <a:ext uri="{FF2B5EF4-FFF2-40B4-BE49-F238E27FC236}">
              <a16:creationId xmlns:a16="http://schemas.microsoft.com/office/drawing/2014/main" id="{00000000-0008-0000-0600-0000A00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14039850"/>
          <a:ext cx="2047875" cy="194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</xdr:colOff>
      <xdr:row>7</xdr:row>
      <xdr:rowOff>0</xdr:rowOff>
    </xdr:from>
    <xdr:to>
      <xdr:col>2</xdr:col>
      <xdr:colOff>0</xdr:colOff>
      <xdr:row>16</xdr:row>
      <xdr:rowOff>161925</xdr:rowOff>
    </xdr:to>
    <xdr:pic>
      <xdr:nvPicPr>
        <xdr:cNvPr id="2" name="Picture 433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952500"/>
          <a:ext cx="2028825" cy="161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9526</xdr:colOff>
      <xdr:row>20</xdr:row>
      <xdr:rowOff>9524</xdr:rowOff>
    </xdr:from>
    <xdr:to>
      <xdr:col>1</xdr:col>
      <xdr:colOff>2028826</xdr:colOff>
      <xdr:row>22</xdr:row>
      <xdr:rowOff>171449</xdr:rowOff>
    </xdr:to>
    <xdr:pic>
      <xdr:nvPicPr>
        <xdr:cNvPr id="3" name="Picture 440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067049"/>
          <a:ext cx="2019300" cy="485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28</xdr:row>
      <xdr:rowOff>7131</xdr:rowOff>
    </xdr:from>
    <xdr:to>
      <xdr:col>2</xdr:col>
      <xdr:colOff>0</xdr:colOff>
      <xdr:row>38</xdr:row>
      <xdr:rowOff>161924</xdr:rowOff>
    </xdr:to>
    <xdr:pic>
      <xdr:nvPicPr>
        <xdr:cNvPr id="4" name="Picture 434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4750581"/>
          <a:ext cx="2028825" cy="17740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19051</xdr:colOff>
      <xdr:row>45</xdr:row>
      <xdr:rowOff>19050</xdr:rowOff>
    </xdr:from>
    <xdr:to>
      <xdr:col>1</xdr:col>
      <xdr:colOff>2038351</xdr:colOff>
      <xdr:row>58</xdr:row>
      <xdr:rowOff>0</xdr:rowOff>
    </xdr:to>
    <xdr:pic>
      <xdr:nvPicPr>
        <xdr:cNvPr id="5" name="Picture 448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1" y="7839075"/>
          <a:ext cx="2019300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7612</xdr:colOff>
      <xdr:row>64</xdr:row>
      <xdr:rowOff>9525</xdr:rowOff>
    </xdr:from>
    <xdr:to>
      <xdr:col>1</xdr:col>
      <xdr:colOff>2038350</xdr:colOff>
      <xdr:row>77</xdr:row>
      <xdr:rowOff>161925</xdr:rowOff>
    </xdr:to>
    <xdr:pic>
      <xdr:nvPicPr>
        <xdr:cNvPr id="6" name="Picture 437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262" y="10944225"/>
          <a:ext cx="2030738" cy="2257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57150</xdr:colOff>
      <xdr:row>72</xdr:row>
      <xdr:rowOff>142875</xdr:rowOff>
    </xdr:from>
    <xdr:to>
      <xdr:col>12</xdr:col>
      <xdr:colOff>38100</xdr:colOff>
      <xdr:row>77</xdr:row>
      <xdr:rowOff>28575</xdr:rowOff>
    </xdr:to>
    <xdr:sp macro="" textlink="">
      <xdr:nvSpPr>
        <xdr:cNvPr id="7" name="AutoShape 36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>
          <a:spLocks noChangeArrowheads="1"/>
        </xdr:cNvSpPr>
      </xdr:nvSpPr>
      <xdr:spPr bwMode="auto">
        <a:xfrm>
          <a:off x="7839075" y="12220575"/>
          <a:ext cx="2133600" cy="6953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 editAs="oneCell">
    <xdr:from>
      <xdr:col>6</xdr:col>
      <xdr:colOff>428625</xdr:colOff>
      <xdr:row>0</xdr:row>
      <xdr:rowOff>28575</xdr:rowOff>
    </xdr:from>
    <xdr:to>
      <xdr:col>7</xdr:col>
      <xdr:colOff>590550</xdr:colOff>
      <xdr:row>0</xdr:row>
      <xdr:rowOff>228600</xdr:rowOff>
    </xdr:to>
    <xdr:pic>
      <xdr:nvPicPr>
        <xdr:cNvPr id="8" name="Picture 6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91275" y="28575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1</xdr:col>
      <xdr:colOff>809625</xdr:colOff>
      <xdr:row>4</xdr:row>
      <xdr:rowOff>47625</xdr:rowOff>
    </xdr:to>
    <xdr:pic>
      <xdr:nvPicPr>
        <xdr:cNvPr id="7552" name="Picture 342">
          <a:extLst>
            <a:ext uri="{FF2B5EF4-FFF2-40B4-BE49-F238E27FC236}">
              <a16:creationId xmlns:a16="http://schemas.microsoft.com/office/drawing/2014/main" id="{00000000-0008-0000-0800-0000801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95250"/>
          <a:ext cx="809625" cy="295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809625</xdr:colOff>
      <xdr:row>37</xdr:row>
      <xdr:rowOff>57150</xdr:rowOff>
    </xdr:to>
    <xdr:pic>
      <xdr:nvPicPr>
        <xdr:cNvPr id="7553" name="Picture 343">
          <a:extLst>
            <a:ext uri="{FF2B5EF4-FFF2-40B4-BE49-F238E27FC236}">
              <a16:creationId xmlns:a16="http://schemas.microsoft.com/office/drawing/2014/main" id="{00000000-0008-0000-0800-0000811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5572125"/>
          <a:ext cx="809625" cy="304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2</xdr:col>
      <xdr:colOff>0</xdr:colOff>
      <xdr:row>16</xdr:row>
      <xdr:rowOff>0</xdr:rowOff>
    </xdr:to>
    <xdr:pic>
      <xdr:nvPicPr>
        <xdr:cNvPr id="7554" name="Picture 349">
          <a:extLst>
            <a:ext uri="{FF2B5EF4-FFF2-40B4-BE49-F238E27FC236}">
              <a16:creationId xmlns:a16="http://schemas.microsoft.com/office/drawing/2014/main" id="{00000000-0008-0000-0800-0000821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952500"/>
          <a:ext cx="187642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40</xdr:row>
      <xdr:rowOff>9525</xdr:rowOff>
    </xdr:from>
    <xdr:to>
      <xdr:col>1</xdr:col>
      <xdr:colOff>1866900</xdr:colOff>
      <xdr:row>52</xdr:row>
      <xdr:rowOff>152400</xdr:rowOff>
    </xdr:to>
    <xdr:pic>
      <xdr:nvPicPr>
        <xdr:cNvPr id="7555" name="Picture 352">
          <a:extLst>
            <a:ext uri="{FF2B5EF4-FFF2-40B4-BE49-F238E27FC236}">
              <a16:creationId xmlns:a16="http://schemas.microsoft.com/office/drawing/2014/main" id="{00000000-0008-0000-0800-0000831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6781800"/>
          <a:ext cx="1857375" cy="2085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104775</xdr:colOff>
      <xdr:row>64</xdr:row>
      <xdr:rowOff>152400</xdr:rowOff>
    </xdr:from>
    <xdr:to>
      <xdr:col>14</xdr:col>
      <xdr:colOff>104775</xdr:colOff>
      <xdr:row>70</xdr:row>
      <xdr:rowOff>47625</xdr:rowOff>
    </xdr:to>
    <xdr:sp macro="" textlink="">
      <xdr:nvSpPr>
        <xdr:cNvPr id="7522" name="AutoShape 35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800-0000621D0000}"/>
            </a:ext>
          </a:extLst>
        </xdr:cNvPr>
        <xdr:cNvSpPr>
          <a:spLocks noChangeArrowheads="1"/>
        </xdr:cNvSpPr>
      </xdr:nvSpPr>
      <xdr:spPr bwMode="auto">
        <a:xfrm>
          <a:off x="7324725" y="10153650"/>
          <a:ext cx="1828800" cy="704850"/>
        </a:xfrm>
        <a:prstGeom prst="leftArrow">
          <a:avLst>
            <a:gd name="adj1" fmla="val 45204"/>
            <a:gd name="adj2" fmla="val 71255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 editAs="oneCell">
    <xdr:from>
      <xdr:col>6</xdr:col>
      <xdr:colOff>485775</xdr:colOff>
      <xdr:row>0</xdr:row>
      <xdr:rowOff>38100</xdr:rowOff>
    </xdr:from>
    <xdr:to>
      <xdr:col>7</xdr:col>
      <xdr:colOff>581025</xdr:colOff>
      <xdr:row>0</xdr:row>
      <xdr:rowOff>238125</xdr:rowOff>
    </xdr:to>
    <xdr:pic>
      <xdr:nvPicPr>
        <xdr:cNvPr id="7557" name="Picture 69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800-0000851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8375" y="38100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56</xdr:row>
      <xdr:rowOff>19050</xdr:rowOff>
    </xdr:from>
    <xdr:to>
      <xdr:col>1</xdr:col>
      <xdr:colOff>828675</xdr:colOff>
      <xdr:row>57</xdr:row>
      <xdr:rowOff>66675</xdr:rowOff>
    </xdr:to>
    <xdr:pic>
      <xdr:nvPicPr>
        <xdr:cNvPr id="7559" name="Picture 357">
          <a:extLst>
            <a:ext uri="{FF2B5EF4-FFF2-40B4-BE49-F238E27FC236}">
              <a16:creationId xmlns:a16="http://schemas.microsoft.com/office/drawing/2014/main" id="{00000000-0008-0000-0800-0000871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8658225"/>
          <a:ext cx="809625" cy="304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809625</xdr:colOff>
      <xdr:row>19</xdr:row>
      <xdr:rowOff>57150</xdr:rowOff>
    </xdr:to>
    <xdr:pic>
      <xdr:nvPicPr>
        <xdr:cNvPr id="7561" name="Picture 363">
          <a:extLst>
            <a:ext uri="{FF2B5EF4-FFF2-40B4-BE49-F238E27FC236}">
              <a16:creationId xmlns:a16="http://schemas.microsoft.com/office/drawing/2014/main" id="{00000000-0008-0000-0800-0000891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2667000"/>
          <a:ext cx="809625" cy="304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9525</xdr:colOff>
      <xdr:row>60</xdr:row>
      <xdr:rowOff>9525</xdr:rowOff>
    </xdr:from>
    <xdr:to>
      <xdr:col>2</xdr:col>
      <xdr:colOff>0</xdr:colOff>
      <xdr:row>69</xdr:row>
      <xdr:rowOff>0</xdr:rowOff>
    </xdr:to>
    <xdr:pic>
      <xdr:nvPicPr>
        <xdr:cNvPr id="7563" name="Picture 369">
          <a:extLst>
            <a:ext uri="{FF2B5EF4-FFF2-40B4-BE49-F238E27FC236}">
              <a16:creationId xmlns:a16="http://schemas.microsoft.com/office/drawing/2014/main" id="{00000000-0008-0000-0800-00008B1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9525000"/>
          <a:ext cx="18669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10785</xdr:colOff>
      <xdr:row>22</xdr:row>
      <xdr:rowOff>28575</xdr:rowOff>
    </xdr:from>
    <xdr:to>
      <xdr:col>2</xdr:col>
      <xdr:colOff>77</xdr:colOff>
      <xdr:row>32</xdr:row>
      <xdr:rowOff>142875</xdr:rowOff>
    </xdr:to>
    <xdr:pic>
      <xdr:nvPicPr>
        <xdr:cNvPr id="7564" name="Picture 370">
          <a:extLst>
            <a:ext uri="{FF2B5EF4-FFF2-40B4-BE49-F238E27FC236}">
              <a16:creationId xmlns:a16="http://schemas.microsoft.com/office/drawing/2014/main" id="{00000000-0008-0000-0800-00008C1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435" y="3552825"/>
          <a:ext cx="1865717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9525</xdr:colOff>
      <xdr:row>3</xdr:row>
      <xdr:rowOff>0</xdr:rowOff>
    </xdr:from>
    <xdr:to>
      <xdr:col>8</xdr:col>
      <xdr:colOff>0</xdr:colOff>
      <xdr:row>3</xdr:row>
      <xdr:rowOff>0</xdr:rowOff>
    </xdr:to>
    <xdr:pic>
      <xdr:nvPicPr>
        <xdr:cNvPr id="33064" name="Picture 6">
          <a:extLst>
            <a:ext uri="{FF2B5EF4-FFF2-40B4-BE49-F238E27FC236}">
              <a16:creationId xmlns:a16="http://schemas.microsoft.com/office/drawing/2014/main" id="{00000000-0008-0000-0900-000028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0"/>
          <a:ext cx="5334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</xdr:row>
      <xdr:rowOff>0</xdr:rowOff>
    </xdr:from>
    <xdr:to>
      <xdr:col>7</xdr:col>
      <xdr:colOff>0</xdr:colOff>
      <xdr:row>3</xdr:row>
      <xdr:rowOff>0</xdr:rowOff>
    </xdr:to>
    <xdr:pic>
      <xdr:nvPicPr>
        <xdr:cNvPr id="33065" name="Picture 7">
          <a:extLst>
            <a:ext uri="{FF2B5EF4-FFF2-40B4-BE49-F238E27FC236}">
              <a16:creationId xmlns:a16="http://schemas.microsoft.com/office/drawing/2014/main" id="{00000000-0008-0000-0900-000029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0"/>
          <a:ext cx="40957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8</xdr:row>
      <xdr:rowOff>9525</xdr:rowOff>
    </xdr:from>
    <xdr:to>
      <xdr:col>1</xdr:col>
      <xdr:colOff>2514600</xdr:colOff>
      <xdr:row>19</xdr:row>
      <xdr:rowOff>161925</xdr:rowOff>
    </xdr:to>
    <xdr:pic>
      <xdr:nvPicPr>
        <xdr:cNvPr id="33066" name="Picture 266">
          <a:extLst>
            <a:ext uri="{FF2B5EF4-FFF2-40B4-BE49-F238E27FC236}">
              <a16:creationId xmlns:a16="http://schemas.microsoft.com/office/drawing/2014/main" id="{00000000-0008-0000-0900-00002A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1228725"/>
          <a:ext cx="2505075" cy="1943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0</xdr:colOff>
      <xdr:row>47</xdr:row>
      <xdr:rowOff>9525</xdr:rowOff>
    </xdr:from>
    <xdr:to>
      <xdr:col>2</xdr:col>
      <xdr:colOff>0</xdr:colOff>
      <xdr:row>59</xdr:row>
      <xdr:rowOff>161925</xdr:rowOff>
    </xdr:to>
    <xdr:pic>
      <xdr:nvPicPr>
        <xdr:cNvPr id="33067" name="Picture 267">
          <a:extLst>
            <a:ext uri="{FF2B5EF4-FFF2-40B4-BE49-F238E27FC236}">
              <a16:creationId xmlns:a16="http://schemas.microsoft.com/office/drawing/2014/main" id="{00000000-0008-0000-0900-00002B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4619625"/>
          <a:ext cx="2524125" cy="2105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6</xdr:col>
      <xdr:colOff>161925</xdr:colOff>
      <xdr:row>3</xdr:row>
      <xdr:rowOff>19050</xdr:rowOff>
    </xdr:from>
    <xdr:to>
      <xdr:col>7</xdr:col>
      <xdr:colOff>523875</xdr:colOff>
      <xdr:row>4</xdr:row>
      <xdr:rowOff>85725</xdr:rowOff>
    </xdr:to>
    <xdr:pic>
      <xdr:nvPicPr>
        <xdr:cNvPr id="33068" name="Picture 268">
          <a:extLst>
            <a:ext uri="{FF2B5EF4-FFF2-40B4-BE49-F238E27FC236}">
              <a16:creationId xmlns:a16="http://schemas.microsoft.com/office/drawing/2014/main" id="{00000000-0008-0000-0900-00002C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438150"/>
          <a:ext cx="866775" cy="314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514350</xdr:colOff>
      <xdr:row>54</xdr:row>
      <xdr:rowOff>114300</xdr:rowOff>
    </xdr:from>
    <xdr:to>
      <xdr:col>16</xdr:col>
      <xdr:colOff>28575</xdr:colOff>
      <xdr:row>59</xdr:row>
      <xdr:rowOff>0</xdr:rowOff>
    </xdr:to>
    <xdr:sp macro="" textlink="">
      <xdr:nvSpPr>
        <xdr:cNvPr id="33044" name="AutoShape 27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900-000014810000}"/>
            </a:ext>
          </a:extLst>
        </xdr:cNvPr>
        <xdr:cNvSpPr>
          <a:spLocks noChangeArrowheads="1"/>
        </xdr:cNvSpPr>
      </xdr:nvSpPr>
      <xdr:spPr bwMode="auto">
        <a:xfrm>
          <a:off x="7705725" y="9420225"/>
          <a:ext cx="2247900" cy="695325"/>
        </a:xfrm>
        <a:prstGeom prst="leftArrow">
          <a:avLst>
            <a:gd name="adj1" fmla="val 45204"/>
            <a:gd name="adj2" fmla="val 68846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 editAs="oneCell">
    <xdr:from>
      <xdr:col>6</xdr:col>
      <xdr:colOff>428625</xdr:colOff>
      <xdr:row>0</xdr:row>
      <xdr:rowOff>28575</xdr:rowOff>
    </xdr:from>
    <xdr:to>
      <xdr:col>7</xdr:col>
      <xdr:colOff>523875</xdr:colOff>
      <xdr:row>0</xdr:row>
      <xdr:rowOff>228600</xdr:rowOff>
    </xdr:to>
    <xdr:pic>
      <xdr:nvPicPr>
        <xdr:cNvPr id="33071" name="Picture 69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900-00002F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4775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419100</xdr:colOff>
      <xdr:row>42</xdr:row>
      <xdr:rowOff>19050</xdr:rowOff>
    </xdr:from>
    <xdr:to>
      <xdr:col>7</xdr:col>
      <xdr:colOff>514350</xdr:colOff>
      <xdr:row>42</xdr:row>
      <xdr:rowOff>219075</xdr:rowOff>
    </xdr:to>
    <xdr:pic>
      <xdr:nvPicPr>
        <xdr:cNvPr id="33072" name="Picture 69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900-000030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3457575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27</xdr:row>
      <xdr:rowOff>9525</xdr:rowOff>
    </xdr:from>
    <xdr:to>
      <xdr:col>1</xdr:col>
      <xdr:colOff>2514601</xdr:colOff>
      <xdr:row>39</xdr:row>
      <xdr:rowOff>152425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4619625"/>
          <a:ext cx="2505076" cy="2095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</xdr:colOff>
      <xdr:row>22</xdr:row>
      <xdr:rowOff>0</xdr:rowOff>
    </xdr:from>
    <xdr:to>
      <xdr:col>2</xdr:col>
      <xdr:colOff>0</xdr:colOff>
      <xdr:row>30</xdr:row>
      <xdr:rowOff>152400</xdr:rowOff>
    </xdr:to>
    <xdr:pic>
      <xdr:nvPicPr>
        <xdr:cNvPr id="43034" name="Picture 1">
          <a:extLst>
            <a:ext uri="{FF2B5EF4-FFF2-40B4-BE49-F238E27FC236}">
              <a16:creationId xmlns:a16="http://schemas.microsoft.com/office/drawing/2014/main" id="{00000000-0008-0000-0A00-00001AA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3895725"/>
          <a:ext cx="196215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8</xdr:row>
      <xdr:rowOff>19049</xdr:rowOff>
    </xdr:from>
    <xdr:to>
      <xdr:col>1</xdr:col>
      <xdr:colOff>1952625</xdr:colOff>
      <xdr:row>16</xdr:row>
      <xdr:rowOff>142874</xdr:rowOff>
    </xdr:to>
    <xdr:pic>
      <xdr:nvPicPr>
        <xdr:cNvPr id="43035" name="Picture 9">
          <a:extLst>
            <a:ext uri="{FF2B5EF4-FFF2-40B4-BE49-F238E27FC236}">
              <a16:creationId xmlns:a16="http://schemas.microsoft.com/office/drawing/2014/main" id="{00000000-0008-0000-0A00-00001BA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981074"/>
          <a:ext cx="194310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34</xdr:row>
      <xdr:rowOff>19050</xdr:rowOff>
    </xdr:from>
    <xdr:to>
      <xdr:col>1</xdr:col>
      <xdr:colOff>1962150</xdr:colOff>
      <xdr:row>44</xdr:row>
      <xdr:rowOff>152400</xdr:rowOff>
    </xdr:to>
    <xdr:pic>
      <xdr:nvPicPr>
        <xdr:cNvPr id="43036" name="Picture 2">
          <a:extLst>
            <a:ext uri="{FF2B5EF4-FFF2-40B4-BE49-F238E27FC236}">
              <a16:creationId xmlns:a16="http://schemas.microsoft.com/office/drawing/2014/main" id="{00000000-0008-0000-0A00-00001CA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4924425"/>
          <a:ext cx="1952625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56</xdr:row>
      <xdr:rowOff>9525</xdr:rowOff>
    </xdr:from>
    <xdr:to>
      <xdr:col>2</xdr:col>
      <xdr:colOff>0</xdr:colOff>
      <xdr:row>66</xdr:row>
      <xdr:rowOff>152400</xdr:rowOff>
    </xdr:to>
    <xdr:pic>
      <xdr:nvPicPr>
        <xdr:cNvPr id="43037" name="Picture 4">
          <a:extLst>
            <a:ext uri="{FF2B5EF4-FFF2-40B4-BE49-F238E27FC236}">
              <a16:creationId xmlns:a16="http://schemas.microsoft.com/office/drawing/2014/main" id="{00000000-0008-0000-0A00-00001DA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7610475"/>
          <a:ext cx="1971675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ctr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</xdr:colOff>
      <xdr:row>70</xdr:row>
      <xdr:rowOff>9525</xdr:rowOff>
    </xdr:from>
    <xdr:to>
      <xdr:col>2</xdr:col>
      <xdr:colOff>0</xdr:colOff>
      <xdr:row>83</xdr:row>
      <xdr:rowOff>152400</xdr:rowOff>
    </xdr:to>
    <xdr:pic>
      <xdr:nvPicPr>
        <xdr:cNvPr id="43038" name="Picture 7">
          <a:extLst>
            <a:ext uri="{FF2B5EF4-FFF2-40B4-BE49-F238E27FC236}">
              <a16:creationId xmlns:a16="http://schemas.microsoft.com/office/drawing/2014/main" id="{00000000-0008-0000-0A00-00001EA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9829800"/>
          <a:ext cx="1962150" cy="2200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ctr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89</xdr:row>
      <xdr:rowOff>9525</xdr:rowOff>
    </xdr:from>
    <xdr:to>
      <xdr:col>2</xdr:col>
      <xdr:colOff>0</xdr:colOff>
      <xdr:row>99</xdr:row>
      <xdr:rowOff>152400</xdr:rowOff>
    </xdr:to>
    <xdr:pic>
      <xdr:nvPicPr>
        <xdr:cNvPr id="43039" name="Picture 3">
          <a:extLst>
            <a:ext uri="{FF2B5EF4-FFF2-40B4-BE49-F238E27FC236}">
              <a16:creationId xmlns:a16="http://schemas.microsoft.com/office/drawing/2014/main" id="{00000000-0008-0000-0A00-00001FA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13030200"/>
          <a:ext cx="1971675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ctr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</xdr:colOff>
      <xdr:row>103</xdr:row>
      <xdr:rowOff>9525</xdr:rowOff>
    </xdr:from>
    <xdr:to>
      <xdr:col>2</xdr:col>
      <xdr:colOff>0</xdr:colOff>
      <xdr:row>116</xdr:row>
      <xdr:rowOff>152400</xdr:rowOff>
    </xdr:to>
    <xdr:pic>
      <xdr:nvPicPr>
        <xdr:cNvPr id="43040" name="Picture 6">
          <a:extLst>
            <a:ext uri="{FF2B5EF4-FFF2-40B4-BE49-F238E27FC236}">
              <a16:creationId xmlns:a16="http://schemas.microsoft.com/office/drawing/2014/main" id="{00000000-0008-0000-0A00-000020A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15354300"/>
          <a:ext cx="1962150" cy="2200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ctr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63</xdr:col>
      <xdr:colOff>381001</xdr:colOff>
      <xdr:row>112</xdr:row>
      <xdr:rowOff>66675</xdr:rowOff>
    </xdr:from>
    <xdr:to>
      <xdr:col>65</xdr:col>
      <xdr:colOff>209551</xdr:colOff>
      <xdr:row>116</xdr:row>
      <xdr:rowOff>114300</xdr:rowOff>
    </xdr:to>
    <xdr:sp macro="" textlink="">
      <xdr:nvSpPr>
        <xdr:cNvPr id="43024" name="AutoShape 16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A00-000010A80000}"/>
            </a:ext>
          </a:extLst>
        </xdr:cNvPr>
        <xdr:cNvSpPr>
          <a:spLocks noChangeArrowheads="1"/>
        </xdr:cNvSpPr>
      </xdr:nvSpPr>
      <xdr:spPr bwMode="auto">
        <a:xfrm>
          <a:off x="7267576" y="16983075"/>
          <a:ext cx="2038350" cy="6953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 editAs="oneCell">
    <xdr:from>
      <xdr:col>1</xdr:col>
      <xdr:colOff>28575</xdr:colOff>
      <xdr:row>48</xdr:row>
      <xdr:rowOff>9526</xdr:rowOff>
    </xdr:from>
    <xdr:to>
      <xdr:col>1</xdr:col>
      <xdr:colOff>1962150</xdr:colOff>
      <xdr:row>50</xdr:row>
      <xdr:rowOff>150828</xdr:rowOff>
    </xdr:to>
    <xdr:pic>
      <xdr:nvPicPr>
        <xdr:cNvPr id="11" name="Picture 44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7991476"/>
          <a:ext cx="1933575" cy="4651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438151</xdr:colOff>
      <xdr:row>53</xdr:row>
      <xdr:rowOff>142875</xdr:rowOff>
    </xdr:from>
    <xdr:to>
      <xdr:col>18</xdr:col>
      <xdr:colOff>476251</xdr:colOff>
      <xdr:row>58</xdr:row>
      <xdr:rowOff>76200</xdr:rowOff>
    </xdr:to>
    <xdr:sp macro="" textlink="">
      <xdr:nvSpPr>
        <xdr:cNvPr id="36" name="AutoShape 1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SpPr>
          <a:spLocks noChangeArrowheads="1"/>
        </xdr:cNvSpPr>
      </xdr:nvSpPr>
      <xdr:spPr bwMode="auto">
        <a:xfrm>
          <a:off x="7324726" y="9029700"/>
          <a:ext cx="1924050" cy="742950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 editAs="oneCell">
    <xdr:from>
      <xdr:col>1</xdr:col>
      <xdr:colOff>19050</xdr:colOff>
      <xdr:row>45</xdr:row>
      <xdr:rowOff>19050</xdr:rowOff>
    </xdr:from>
    <xdr:to>
      <xdr:col>1</xdr:col>
      <xdr:colOff>2324100</xdr:colOff>
      <xdr:row>59</xdr:row>
      <xdr:rowOff>150077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7772400"/>
          <a:ext cx="2305050" cy="236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</xdr:colOff>
      <xdr:row>25</xdr:row>
      <xdr:rowOff>19050</xdr:rowOff>
    </xdr:from>
    <xdr:to>
      <xdr:col>1</xdr:col>
      <xdr:colOff>2324100</xdr:colOff>
      <xdr:row>39</xdr:row>
      <xdr:rowOff>142875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4381500"/>
          <a:ext cx="2314575" cy="2371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</xdr:colOff>
      <xdr:row>7</xdr:row>
      <xdr:rowOff>123825</xdr:rowOff>
    </xdr:from>
    <xdr:to>
      <xdr:col>1</xdr:col>
      <xdr:colOff>2324100</xdr:colOff>
      <xdr:row>18</xdr:row>
      <xdr:rowOff>159314</xdr:rowOff>
    </xdr:to>
    <xdr:pic>
      <xdr:nvPicPr>
        <xdr:cNvPr id="5" name="Picture 349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1419225"/>
          <a:ext cx="2314575" cy="17976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21</xdr:row>
      <xdr:rowOff>9525</xdr:rowOff>
    </xdr:from>
    <xdr:to>
      <xdr:col>1</xdr:col>
      <xdr:colOff>1962150</xdr:colOff>
      <xdr:row>29</xdr:row>
      <xdr:rowOff>161925</xdr:rowOff>
    </xdr:to>
    <xdr:pic>
      <xdr:nvPicPr>
        <xdr:cNvPr id="35967" name="Picture 1">
          <a:extLst>
            <a:ext uri="{FF2B5EF4-FFF2-40B4-BE49-F238E27FC236}">
              <a16:creationId xmlns:a16="http://schemas.microsoft.com/office/drawing/2014/main" id="{00000000-0008-0000-0C00-00007F8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257550"/>
          <a:ext cx="196215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48</xdr:row>
      <xdr:rowOff>22914</xdr:rowOff>
    </xdr:from>
    <xdr:to>
      <xdr:col>2</xdr:col>
      <xdr:colOff>0</xdr:colOff>
      <xdr:row>57</xdr:row>
      <xdr:rowOff>161924</xdr:rowOff>
    </xdr:to>
    <xdr:pic>
      <xdr:nvPicPr>
        <xdr:cNvPr id="35968" name="Picture 6">
          <a:extLst>
            <a:ext uri="{FF2B5EF4-FFF2-40B4-BE49-F238E27FC236}">
              <a16:creationId xmlns:a16="http://schemas.microsoft.com/office/drawing/2014/main" id="{00000000-0008-0000-0C00-0000808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" y="8242989"/>
          <a:ext cx="1943100" cy="1558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7</xdr:row>
      <xdr:rowOff>28574</xdr:rowOff>
    </xdr:from>
    <xdr:to>
      <xdr:col>1</xdr:col>
      <xdr:colOff>1952625</xdr:colOff>
      <xdr:row>15</xdr:row>
      <xdr:rowOff>151157</xdr:rowOff>
    </xdr:to>
    <xdr:pic>
      <xdr:nvPicPr>
        <xdr:cNvPr id="35969" name="Picture 9">
          <a:extLst>
            <a:ext uri="{FF2B5EF4-FFF2-40B4-BE49-F238E27FC236}">
              <a16:creationId xmlns:a16="http://schemas.microsoft.com/office/drawing/2014/main" id="{00000000-0008-0000-0C00-0000818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125" y="1009649"/>
          <a:ext cx="1943100" cy="13798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196</xdr:row>
      <xdr:rowOff>0</xdr:rowOff>
    </xdr:from>
    <xdr:to>
      <xdr:col>1</xdr:col>
      <xdr:colOff>1962150</xdr:colOff>
      <xdr:row>197</xdr:row>
      <xdr:rowOff>0</xdr:rowOff>
    </xdr:to>
    <xdr:pic>
      <xdr:nvPicPr>
        <xdr:cNvPr id="35970" name="Picture 45">
          <a:extLst>
            <a:ext uri="{FF2B5EF4-FFF2-40B4-BE49-F238E27FC236}">
              <a16:creationId xmlns:a16="http://schemas.microsoft.com/office/drawing/2014/main" id="{00000000-0008-0000-0C00-0000828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7995225"/>
          <a:ext cx="19621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132</xdr:row>
      <xdr:rowOff>66675</xdr:rowOff>
    </xdr:from>
    <xdr:to>
      <xdr:col>2</xdr:col>
      <xdr:colOff>0</xdr:colOff>
      <xdr:row>142</xdr:row>
      <xdr:rowOff>28575</xdr:rowOff>
    </xdr:to>
    <xdr:pic>
      <xdr:nvPicPr>
        <xdr:cNvPr id="35971" name="Picture 3">
          <a:extLst>
            <a:ext uri="{FF2B5EF4-FFF2-40B4-BE49-F238E27FC236}">
              <a16:creationId xmlns:a16="http://schemas.microsoft.com/office/drawing/2014/main" id="{00000000-0008-0000-0C00-0000838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21707475"/>
          <a:ext cx="1971675" cy="158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97</xdr:row>
      <xdr:rowOff>38100</xdr:rowOff>
    </xdr:from>
    <xdr:to>
      <xdr:col>1</xdr:col>
      <xdr:colOff>1962150</xdr:colOff>
      <xdr:row>106</xdr:row>
      <xdr:rowOff>66675</xdr:rowOff>
    </xdr:to>
    <xdr:pic>
      <xdr:nvPicPr>
        <xdr:cNvPr id="35972" name="Picture 5">
          <a:extLst>
            <a:ext uri="{FF2B5EF4-FFF2-40B4-BE49-F238E27FC236}">
              <a16:creationId xmlns:a16="http://schemas.microsoft.com/office/drawing/2014/main" id="{00000000-0008-0000-0C00-0000848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16097250"/>
          <a:ext cx="19621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80</xdr:row>
      <xdr:rowOff>9525</xdr:rowOff>
    </xdr:from>
    <xdr:to>
      <xdr:col>1</xdr:col>
      <xdr:colOff>1962150</xdr:colOff>
      <xdr:row>91</xdr:row>
      <xdr:rowOff>142875</xdr:rowOff>
    </xdr:to>
    <xdr:pic>
      <xdr:nvPicPr>
        <xdr:cNvPr id="35973" name="Picture 4">
          <a:extLst>
            <a:ext uri="{FF2B5EF4-FFF2-40B4-BE49-F238E27FC236}">
              <a16:creationId xmlns:a16="http://schemas.microsoft.com/office/drawing/2014/main" id="{00000000-0008-0000-0C00-0000858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125" y="13134975"/>
          <a:ext cx="19526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33</xdr:row>
      <xdr:rowOff>19050</xdr:rowOff>
    </xdr:from>
    <xdr:to>
      <xdr:col>1</xdr:col>
      <xdr:colOff>1952625</xdr:colOff>
      <xdr:row>43</xdr:row>
      <xdr:rowOff>152400</xdr:rowOff>
    </xdr:to>
    <xdr:pic>
      <xdr:nvPicPr>
        <xdr:cNvPr id="35974" name="Picture 2">
          <a:extLst>
            <a:ext uri="{FF2B5EF4-FFF2-40B4-BE49-F238E27FC236}">
              <a16:creationId xmlns:a16="http://schemas.microsoft.com/office/drawing/2014/main" id="{00000000-0008-0000-0C00-0000868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" y="5314950"/>
          <a:ext cx="1924050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64</xdr:row>
      <xdr:rowOff>133350</xdr:rowOff>
    </xdr:from>
    <xdr:to>
      <xdr:col>2</xdr:col>
      <xdr:colOff>0</xdr:colOff>
      <xdr:row>74</xdr:row>
      <xdr:rowOff>0</xdr:rowOff>
    </xdr:to>
    <xdr:pic>
      <xdr:nvPicPr>
        <xdr:cNvPr id="35975" name="Picture 7">
          <a:extLst>
            <a:ext uri="{FF2B5EF4-FFF2-40B4-BE49-F238E27FC236}">
              <a16:creationId xmlns:a16="http://schemas.microsoft.com/office/drawing/2014/main" id="{00000000-0008-0000-0C00-0000878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10934700"/>
          <a:ext cx="19621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114</xdr:row>
      <xdr:rowOff>152400</xdr:rowOff>
    </xdr:from>
    <xdr:to>
      <xdr:col>2</xdr:col>
      <xdr:colOff>0</xdr:colOff>
      <xdr:row>124</xdr:row>
      <xdr:rowOff>38100</xdr:rowOff>
    </xdr:to>
    <xdr:pic>
      <xdr:nvPicPr>
        <xdr:cNvPr id="35976" name="Picture 8">
          <a:extLst>
            <a:ext uri="{FF2B5EF4-FFF2-40B4-BE49-F238E27FC236}">
              <a16:creationId xmlns:a16="http://schemas.microsoft.com/office/drawing/2014/main" id="{00000000-0008-0000-0C00-0000888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18916650"/>
          <a:ext cx="19621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552451</xdr:colOff>
      <xdr:row>138</xdr:row>
      <xdr:rowOff>95250</xdr:rowOff>
    </xdr:from>
    <xdr:to>
      <xdr:col>19</xdr:col>
      <xdr:colOff>133351</xdr:colOff>
      <xdr:row>143</xdr:row>
      <xdr:rowOff>142875</xdr:rowOff>
    </xdr:to>
    <xdr:sp macro="" textlink="">
      <xdr:nvSpPr>
        <xdr:cNvPr id="35932" name="AutoShape 9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C00-00005C8C0000}"/>
            </a:ext>
          </a:extLst>
        </xdr:cNvPr>
        <xdr:cNvSpPr>
          <a:spLocks noChangeArrowheads="1"/>
        </xdr:cNvSpPr>
      </xdr:nvSpPr>
      <xdr:spPr bwMode="auto">
        <a:xfrm>
          <a:off x="7591426" y="25793700"/>
          <a:ext cx="2076450" cy="6953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38100</xdr:colOff>
      <xdr:row>5</xdr:row>
      <xdr:rowOff>28575</xdr:rowOff>
    </xdr:from>
    <xdr:to>
      <xdr:col>16</xdr:col>
      <xdr:colOff>1590675</xdr:colOff>
      <xdr:row>5</xdr:row>
      <xdr:rowOff>1247775</xdr:rowOff>
    </xdr:to>
    <xdr:pic>
      <xdr:nvPicPr>
        <xdr:cNvPr id="29835" name="Picture 119">
          <a:extLst>
            <a:ext uri="{FF2B5EF4-FFF2-40B4-BE49-F238E27FC236}">
              <a16:creationId xmlns:a16="http://schemas.microsoft.com/office/drawing/2014/main" id="{00000000-0008-0000-0D00-00008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1114425"/>
          <a:ext cx="1552575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5</xdr:row>
      <xdr:rowOff>28575</xdr:rowOff>
    </xdr:from>
    <xdr:to>
      <xdr:col>2</xdr:col>
      <xdr:colOff>1485900</xdr:colOff>
      <xdr:row>6</xdr:row>
      <xdr:rowOff>95250</xdr:rowOff>
    </xdr:to>
    <xdr:pic>
      <xdr:nvPicPr>
        <xdr:cNvPr id="29836" name="Picture 121">
          <a:extLst>
            <a:ext uri="{FF2B5EF4-FFF2-40B4-BE49-F238E27FC236}">
              <a16:creationId xmlns:a16="http://schemas.microsoft.com/office/drawing/2014/main" id="{00000000-0008-0000-0D00-00008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9700" y="1114425"/>
          <a:ext cx="147637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47625</xdr:colOff>
      <xdr:row>5</xdr:row>
      <xdr:rowOff>28575</xdr:rowOff>
    </xdr:from>
    <xdr:to>
      <xdr:col>9</xdr:col>
      <xdr:colOff>1466850</xdr:colOff>
      <xdr:row>5</xdr:row>
      <xdr:rowOff>1314450</xdr:rowOff>
    </xdr:to>
    <xdr:pic>
      <xdr:nvPicPr>
        <xdr:cNvPr id="29837" name="Picture 122">
          <a:extLst>
            <a:ext uri="{FF2B5EF4-FFF2-40B4-BE49-F238E27FC236}">
              <a16:creationId xmlns:a16="http://schemas.microsoft.com/office/drawing/2014/main" id="{00000000-0008-0000-0D00-00008D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200" y="1114425"/>
          <a:ext cx="141922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23</xdr:col>
      <xdr:colOff>95250</xdr:colOff>
      <xdr:row>5</xdr:row>
      <xdr:rowOff>9525</xdr:rowOff>
    </xdr:from>
    <xdr:to>
      <xdr:col>23</xdr:col>
      <xdr:colOff>1647825</xdr:colOff>
      <xdr:row>5</xdr:row>
      <xdr:rowOff>1228725</xdr:rowOff>
    </xdr:to>
    <xdr:pic>
      <xdr:nvPicPr>
        <xdr:cNvPr id="29838" name="Picture 125">
          <a:extLst>
            <a:ext uri="{FF2B5EF4-FFF2-40B4-BE49-F238E27FC236}">
              <a16:creationId xmlns:a16="http://schemas.microsoft.com/office/drawing/2014/main" id="{00000000-0008-0000-0D00-00008E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01075" y="1095375"/>
          <a:ext cx="1552575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809625</xdr:colOff>
      <xdr:row>1</xdr:row>
      <xdr:rowOff>57150</xdr:rowOff>
    </xdr:to>
    <xdr:pic>
      <xdr:nvPicPr>
        <xdr:cNvPr id="29839" name="Picture 126">
          <a:extLst>
            <a:ext uri="{FF2B5EF4-FFF2-40B4-BE49-F238E27FC236}">
              <a16:creationId xmlns:a16="http://schemas.microsoft.com/office/drawing/2014/main" id="{00000000-0008-0000-0D00-00008F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809625" cy="304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23</xdr:col>
      <xdr:colOff>1190625</xdr:colOff>
      <xdr:row>41</xdr:row>
      <xdr:rowOff>123825</xdr:rowOff>
    </xdr:from>
    <xdr:to>
      <xdr:col>31</xdr:col>
      <xdr:colOff>514350</xdr:colOff>
      <xdr:row>46</xdr:row>
      <xdr:rowOff>9525</xdr:rowOff>
    </xdr:to>
    <xdr:sp macro="" textlink="">
      <xdr:nvSpPr>
        <xdr:cNvPr id="29824" name="AutoShape 12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D00-000080740000}"/>
            </a:ext>
          </a:extLst>
        </xdr:cNvPr>
        <xdr:cNvSpPr>
          <a:spLocks noChangeArrowheads="1"/>
        </xdr:cNvSpPr>
      </xdr:nvSpPr>
      <xdr:spPr bwMode="auto">
        <a:xfrm>
          <a:off x="9696450" y="6791325"/>
          <a:ext cx="1838325" cy="6953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 editAs="oneCell">
    <xdr:from>
      <xdr:col>30</xdr:col>
      <xdr:colOff>219075</xdr:colOff>
      <xdr:row>0</xdr:row>
      <xdr:rowOff>0</xdr:rowOff>
    </xdr:from>
    <xdr:to>
      <xdr:col>31</xdr:col>
      <xdr:colOff>600075</xdr:colOff>
      <xdr:row>0</xdr:row>
      <xdr:rowOff>200025</xdr:rowOff>
    </xdr:to>
    <xdr:pic>
      <xdr:nvPicPr>
        <xdr:cNvPr id="29841" name="Picture 69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D00-000091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1375" y="0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49</xdr:row>
      <xdr:rowOff>19050</xdr:rowOff>
    </xdr:from>
    <xdr:to>
      <xdr:col>1</xdr:col>
      <xdr:colOff>2390775</xdr:colOff>
      <xdr:row>50</xdr:row>
      <xdr:rowOff>504825</xdr:rowOff>
    </xdr:to>
    <xdr:pic>
      <xdr:nvPicPr>
        <xdr:cNvPr id="35492" name="Picture 103">
          <a:extLst>
            <a:ext uri="{FF2B5EF4-FFF2-40B4-BE49-F238E27FC236}">
              <a16:creationId xmlns:a16="http://schemas.microsoft.com/office/drawing/2014/main" id="{00000000-0008-0000-0E00-0000A4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10944225"/>
          <a:ext cx="23526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53</xdr:row>
      <xdr:rowOff>19050</xdr:rowOff>
    </xdr:from>
    <xdr:to>
      <xdr:col>1</xdr:col>
      <xdr:colOff>2343150</xdr:colOff>
      <xdr:row>54</xdr:row>
      <xdr:rowOff>495300</xdr:rowOff>
    </xdr:to>
    <xdr:pic>
      <xdr:nvPicPr>
        <xdr:cNvPr id="35493" name="Picture 104">
          <a:extLst>
            <a:ext uri="{FF2B5EF4-FFF2-40B4-BE49-F238E27FC236}">
              <a16:creationId xmlns:a16="http://schemas.microsoft.com/office/drawing/2014/main" id="{00000000-0008-0000-0E00-0000A5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13954125"/>
          <a:ext cx="231457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55</xdr:row>
      <xdr:rowOff>0</xdr:rowOff>
    </xdr:from>
    <xdr:to>
      <xdr:col>1</xdr:col>
      <xdr:colOff>2362200</xdr:colOff>
      <xdr:row>56</xdr:row>
      <xdr:rowOff>0</xdr:rowOff>
    </xdr:to>
    <xdr:pic>
      <xdr:nvPicPr>
        <xdr:cNvPr id="35494" name="Picture 105">
          <a:extLst>
            <a:ext uri="{FF2B5EF4-FFF2-40B4-BE49-F238E27FC236}">
              <a16:creationId xmlns:a16="http://schemas.microsoft.com/office/drawing/2014/main" id="{00000000-0008-0000-0E00-0000A6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14982825"/>
          <a:ext cx="23431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56</xdr:row>
      <xdr:rowOff>0</xdr:rowOff>
    </xdr:from>
    <xdr:to>
      <xdr:col>1</xdr:col>
      <xdr:colOff>2352675</xdr:colOff>
      <xdr:row>57</xdr:row>
      <xdr:rowOff>495300</xdr:rowOff>
    </xdr:to>
    <xdr:pic>
      <xdr:nvPicPr>
        <xdr:cNvPr id="35495" name="Picture 106">
          <a:extLst>
            <a:ext uri="{FF2B5EF4-FFF2-40B4-BE49-F238E27FC236}">
              <a16:creationId xmlns:a16="http://schemas.microsoft.com/office/drawing/2014/main" id="{00000000-0008-0000-0E00-0000A7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5116175"/>
          <a:ext cx="23241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61</xdr:row>
      <xdr:rowOff>19050</xdr:rowOff>
    </xdr:from>
    <xdr:to>
      <xdr:col>1</xdr:col>
      <xdr:colOff>2352675</xdr:colOff>
      <xdr:row>62</xdr:row>
      <xdr:rowOff>514350</xdr:rowOff>
    </xdr:to>
    <xdr:pic>
      <xdr:nvPicPr>
        <xdr:cNvPr id="35496" name="Picture 107">
          <a:extLst>
            <a:ext uri="{FF2B5EF4-FFF2-40B4-BE49-F238E27FC236}">
              <a16:creationId xmlns:a16="http://schemas.microsoft.com/office/drawing/2014/main" id="{00000000-0008-0000-0E00-0000A8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8278475"/>
          <a:ext cx="23241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58</xdr:row>
      <xdr:rowOff>9525</xdr:rowOff>
    </xdr:from>
    <xdr:to>
      <xdr:col>1</xdr:col>
      <xdr:colOff>2352675</xdr:colOff>
      <xdr:row>59</xdr:row>
      <xdr:rowOff>504825</xdr:rowOff>
    </xdr:to>
    <xdr:pic>
      <xdr:nvPicPr>
        <xdr:cNvPr id="35497" name="Picture 108">
          <a:extLst>
            <a:ext uri="{FF2B5EF4-FFF2-40B4-BE49-F238E27FC236}">
              <a16:creationId xmlns:a16="http://schemas.microsoft.com/office/drawing/2014/main" id="{00000000-0008-0000-0E00-0000A9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16173450"/>
          <a:ext cx="23336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51</xdr:row>
      <xdr:rowOff>9525</xdr:rowOff>
    </xdr:from>
    <xdr:to>
      <xdr:col>1</xdr:col>
      <xdr:colOff>2371725</xdr:colOff>
      <xdr:row>53</xdr:row>
      <xdr:rowOff>0</xdr:rowOff>
    </xdr:to>
    <xdr:pic>
      <xdr:nvPicPr>
        <xdr:cNvPr id="35498" name="Picture 111">
          <a:extLst>
            <a:ext uri="{FF2B5EF4-FFF2-40B4-BE49-F238E27FC236}">
              <a16:creationId xmlns:a16="http://schemas.microsoft.com/office/drawing/2014/main" id="{00000000-0008-0000-0E00-0000AA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11982450"/>
          <a:ext cx="23526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63</xdr:row>
      <xdr:rowOff>28575</xdr:rowOff>
    </xdr:from>
    <xdr:to>
      <xdr:col>1</xdr:col>
      <xdr:colOff>2352675</xdr:colOff>
      <xdr:row>64</xdr:row>
      <xdr:rowOff>514350</xdr:rowOff>
    </xdr:to>
    <xdr:pic>
      <xdr:nvPicPr>
        <xdr:cNvPr id="35499" name="Picture 112">
          <a:extLst>
            <a:ext uri="{FF2B5EF4-FFF2-40B4-BE49-F238E27FC236}">
              <a16:creationId xmlns:a16="http://schemas.microsoft.com/office/drawing/2014/main" id="{00000000-0008-0000-0E00-0000AB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19335750"/>
          <a:ext cx="23050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60</xdr:row>
      <xdr:rowOff>9525</xdr:rowOff>
    </xdr:from>
    <xdr:to>
      <xdr:col>1</xdr:col>
      <xdr:colOff>2352675</xdr:colOff>
      <xdr:row>61</xdr:row>
      <xdr:rowOff>0</xdr:rowOff>
    </xdr:to>
    <xdr:pic>
      <xdr:nvPicPr>
        <xdr:cNvPr id="35500" name="Picture 113">
          <a:extLst>
            <a:ext uri="{FF2B5EF4-FFF2-40B4-BE49-F238E27FC236}">
              <a16:creationId xmlns:a16="http://schemas.microsoft.com/office/drawing/2014/main" id="{00000000-0008-0000-0E00-0000AC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17221200"/>
          <a:ext cx="234315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40</xdr:row>
      <xdr:rowOff>9525</xdr:rowOff>
    </xdr:from>
    <xdr:to>
      <xdr:col>1</xdr:col>
      <xdr:colOff>2419350</xdr:colOff>
      <xdr:row>41</xdr:row>
      <xdr:rowOff>9525</xdr:rowOff>
    </xdr:to>
    <xdr:pic>
      <xdr:nvPicPr>
        <xdr:cNvPr id="35501" name="Picture 118">
          <a:extLst>
            <a:ext uri="{FF2B5EF4-FFF2-40B4-BE49-F238E27FC236}">
              <a16:creationId xmlns:a16="http://schemas.microsoft.com/office/drawing/2014/main" id="{00000000-0008-0000-0E00-0000AD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7315200"/>
          <a:ext cx="24098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37</xdr:row>
      <xdr:rowOff>0</xdr:rowOff>
    </xdr:from>
    <xdr:to>
      <xdr:col>1</xdr:col>
      <xdr:colOff>2419350</xdr:colOff>
      <xdr:row>40</xdr:row>
      <xdr:rowOff>19050</xdr:rowOff>
    </xdr:to>
    <xdr:pic>
      <xdr:nvPicPr>
        <xdr:cNvPr id="35502" name="Picture 119">
          <a:extLst>
            <a:ext uri="{FF2B5EF4-FFF2-40B4-BE49-F238E27FC236}">
              <a16:creationId xmlns:a16="http://schemas.microsoft.com/office/drawing/2014/main" id="{00000000-0008-0000-0E00-0000AE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6448425"/>
          <a:ext cx="24098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36</xdr:row>
      <xdr:rowOff>9525</xdr:rowOff>
    </xdr:from>
    <xdr:to>
      <xdr:col>2</xdr:col>
      <xdr:colOff>0</xdr:colOff>
      <xdr:row>37</xdr:row>
      <xdr:rowOff>0</xdr:rowOff>
    </xdr:to>
    <xdr:pic>
      <xdr:nvPicPr>
        <xdr:cNvPr id="35503" name="Picture 120">
          <a:extLst>
            <a:ext uri="{FF2B5EF4-FFF2-40B4-BE49-F238E27FC236}">
              <a16:creationId xmlns:a16="http://schemas.microsoft.com/office/drawing/2014/main" id="{00000000-0008-0000-0E00-0000AF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5581650"/>
          <a:ext cx="240982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139</xdr:row>
      <xdr:rowOff>9525</xdr:rowOff>
    </xdr:from>
    <xdr:to>
      <xdr:col>2</xdr:col>
      <xdr:colOff>9525</xdr:colOff>
      <xdr:row>142</xdr:row>
      <xdr:rowOff>0</xdr:rowOff>
    </xdr:to>
    <xdr:pic>
      <xdr:nvPicPr>
        <xdr:cNvPr id="35504" name="Picture 127">
          <a:extLst>
            <a:ext uri="{FF2B5EF4-FFF2-40B4-BE49-F238E27FC236}">
              <a16:creationId xmlns:a16="http://schemas.microsoft.com/office/drawing/2014/main" id="{00000000-0008-0000-0E00-0000B0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59921775"/>
          <a:ext cx="2428875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66675</xdr:colOff>
      <xdr:row>85</xdr:row>
      <xdr:rowOff>9525</xdr:rowOff>
    </xdr:from>
    <xdr:to>
      <xdr:col>1</xdr:col>
      <xdr:colOff>2181225</xdr:colOff>
      <xdr:row>86</xdr:row>
      <xdr:rowOff>504825</xdr:rowOff>
    </xdr:to>
    <xdr:pic>
      <xdr:nvPicPr>
        <xdr:cNvPr id="35506" name="Picture 151">
          <a:extLst>
            <a:ext uri="{FF2B5EF4-FFF2-40B4-BE49-F238E27FC236}">
              <a16:creationId xmlns:a16="http://schemas.microsoft.com/office/drawing/2014/main" id="{00000000-0008-0000-0E00-0000B2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28022550"/>
          <a:ext cx="21145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82</xdr:row>
      <xdr:rowOff>0</xdr:rowOff>
    </xdr:from>
    <xdr:to>
      <xdr:col>1</xdr:col>
      <xdr:colOff>2200275</xdr:colOff>
      <xdr:row>83</xdr:row>
      <xdr:rowOff>514350</xdr:rowOff>
    </xdr:to>
    <xdr:pic>
      <xdr:nvPicPr>
        <xdr:cNvPr id="35507" name="Picture 152">
          <a:extLst>
            <a:ext uri="{FF2B5EF4-FFF2-40B4-BE49-F238E27FC236}">
              <a16:creationId xmlns:a16="http://schemas.microsoft.com/office/drawing/2014/main" id="{00000000-0008-0000-0E00-0000B3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6793825"/>
          <a:ext cx="22002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409575</xdr:colOff>
      <xdr:row>79</xdr:row>
      <xdr:rowOff>0</xdr:rowOff>
    </xdr:from>
    <xdr:to>
      <xdr:col>1</xdr:col>
      <xdr:colOff>1885950</xdr:colOff>
      <xdr:row>80</xdr:row>
      <xdr:rowOff>514350</xdr:rowOff>
    </xdr:to>
    <xdr:pic>
      <xdr:nvPicPr>
        <xdr:cNvPr id="35508" name="Picture 153">
          <a:extLst>
            <a:ext uri="{FF2B5EF4-FFF2-40B4-BE49-F238E27FC236}">
              <a16:creationId xmlns:a16="http://schemas.microsoft.com/office/drawing/2014/main" id="{00000000-0008-0000-0E00-0000B4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25574625"/>
          <a:ext cx="14763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523875</xdr:colOff>
      <xdr:row>73</xdr:row>
      <xdr:rowOff>0</xdr:rowOff>
    </xdr:from>
    <xdr:to>
      <xdr:col>1</xdr:col>
      <xdr:colOff>1847850</xdr:colOff>
      <xdr:row>74</xdr:row>
      <xdr:rowOff>514350</xdr:rowOff>
    </xdr:to>
    <xdr:pic>
      <xdr:nvPicPr>
        <xdr:cNvPr id="35509" name="Picture 154">
          <a:extLst>
            <a:ext uri="{FF2B5EF4-FFF2-40B4-BE49-F238E27FC236}">
              <a16:creationId xmlns:a16="http://schemas.microsoft.com/office/drawing/2014/main" id="{00000000-0008-0000-0E00-0000B5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" y="23136225"/>
          <a:ext cx="13239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666750</xdr:colOff>
      <xdr:row>70</xdr:row>
      <xdr:rowOff>19050</xdr:rowOff>
    </xdr:from>
    <xdr:to>
      <xdr:col>1</xdr:col>
      <xdr:colOff>1762125</xdr:colOff>
      <xdr:row>71</xdr:row>
      <xdr:rowOff>504825</xdr:rowOff>
    </xdr:to>
    <xdr:pic>
      <xdr:nvPicPr>
        <xdr:cNvPr id="35510" name="Picture 155">
          <a:extLst>
            <a:ext uri="{FF2B5EF4-FFF2-40B4-BE49-F238E27FC236}">
              <a16:creationId xmlns:a16="http://schemas.microsoft.com/office/drawing/2014/main" id="{00000000-0008-0000-0E00-0000B6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" y="21936075"/>
          <a:ext cx="10953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685800</xdr:colOff>
      <xdr:row>67</xdr:row>
      <xdr:rowOff>9525</xdr:rowOff>
    </xdr:from>
    <xdr:to>
      <xdr:col>1</xdr:col>
      <xdr:colOff>1743075</xdr:colOff>
      <xdr:row>68</xdr:row>
      <xdr:rowOff>514350</xdr:rowOff>
    </xdr:to>
    <xdr:pic>
      <xdr:nvPicPr>
        <xdr:cNvPr id="35511" name="Picture 156">
          <a:extLst>
            <a:ext uri="{FF2B5EF4-FFF2-40B4-BE49-F238E27FC236}">
              <a16:creationId xmlns:a16="http://schemas.microsoft.com/office/drawing/2014/main" id="{00000000-0008-0000-0E00-0000B7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20707350"/>
          <a:ext cx="105727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514350</xdr:colOff>
      <xdr:row>76</xdr:row>
      <xdr:rowOff>0</xdr:rowOff>
    </xdr:from>
    <xdr:to>
      <xdr:col>1</xdr:col>
      <xdr:colOff>1819275</xdr:colOff>
      <xdr:row>77</xdr:row>
      <xdr:rowOff>495300</xdr:rowOff>
    </xdr:to>
    <xdr:pic>
      <xdr:nvPicPr>
        <xdr:cNvPr id="35512" name="Picture 157">
          <a:extLst>
            <a:ext uri="{FF2B5EF4-FFF2-40B4-BE49-F238E27FC236}">
              <a16:creationId xmlns:a16="http://schemas.microsoft.com/office/drawing/2014/main" id="{00000000-0008-0000-0E00-0000B8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" y="24355425"/>
          <a:ext cx="13049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41</xdr:row>
      <xdr:rowOff>9525</xdr:rowOff>
    </xdr:from>
    <xdr:to>
      <xdr:col>1</xdr:col>
      <xdr:colOff>2419350</xdr:colOff>
      <xdr:row>41</xdr:row>
      <xdr:rowOff>866775</xdr:rowOff>
    </xdr:to>
    <xdr:pic>
      <xdr:nvPicPr>
        <xdr:cNvPr id="35513" name="Picture 1643">
          <a:extLst>
            <a:ext uri="{FF2B5EF4-FFF2-40B4-BE49-F238E27FC236}">
              <a16:creationId xmlns:a16="http://schemas.microsoft.com/office/drawing/2014/main" id="{00000000-0008-0000-0E00-0000B9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8191500"/>
          <a:ext cx="2409825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9525</xdr:colOff>
      <xdr:row>42</xdr:row>
      <xdr:rowOff>0</xdr:rowOff>
    </xdr:from>
    <xdr:to>
      <xdr:col>1</xdr:col>
      <xdr:colOff>2409825</xdr:colOff>
      <xdr:row>42</xdr:row>
      <xdr:rowOff>866775</xdr:rowOff>
    </xdr:to>
    <xdr:pic>
      <xdr:nvPicPr>
        <xdr:cNvPr id="35514" name="Picture 1644">
          <a:extLst>
            <a:ext uri="{FF2B5EF4-FFF2-40B4-BE49-F238E27FC236}">
              <a16:creationId xmlns:a16="http://schemas.microsoft.com/office/drawing/2014/main" id="{00000000-0008-0000-0E00-0000BA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9058275"/>
          <a:ext cx="24003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9525</xdr:colOff>
      <xdr:row>7</xdr:row>
      <xdr:rowOff>9524</xdr:rowOff>
    </xdr:from>
    <xdr:to>
      <xdr:col>1</xdr:col>
      <xdr:colOff>1781175</xdr:colOff>
      <xdr:row>15</xdr:row>
      <xdr:rowOff>161924</xdr:rowOff>
    </xdr:to>
    <xdr:pic>
      <xdr:nvPicPr>
        <xdr:cNvPr id="35515" name="Picture 1645">
          <a:extLst>
            <a:ext uri="{FF2B5EF4-FFF2-40B4-BE49-F238E27FC236}">
              <a16:creationId xmlns:a16="http://schemas.microsoft.com/office/drawing/2014/main" id="{00000000-0008-0000-0E00-0000BB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1343024"/>
          <a:ext cx="177165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22</xdr:row>
      <xdr:rowOff>0</xdr:rowOff>
    </xdr:from>
    <xdr:to>
      <xdr:col>1</xdr:col>
      <xdr:colOff>1771650</xdr:colOff>
      <xdr:row>30</xdr:row>
      <xdr:rowOff>161925</xdr:rowOff>
    </xdr:to>
    <xdr:pic>
      <xdr:nvPicPr>
        <xdr:cNvPr id="35516" name="Picture 1651">
          <a:extLst>
            <a:ext uri="{FF2B5EF4-FFF2-40B4-BE49-F238E27FC236}">
              <a16:creationId xmlns:a16="http://schemas.microsoft.com/office/drawing/2014/main" id="{00000000-0008-0000-0E00-0000BC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3276600"/>
          <a:ext cx="176212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45</xdr:row>
      <xdr:rowOff>28575</xdr:rowOff>
    </xdr:from>
    <xdr:to>
      <xdr:col>7</xdr:col>
      <xdr:colOff>619125</xdr:colOff>
      <xdr:row>45</xdr:row>
      <xdr:rowOff>200025</xdr:rowOff>
    </xdr:to>
    <xdr:pic>
      <xdr:nvPicPr>
        <xdr:cNvPr id="35517" name="Picture 377">
          <a:extLst>
            <a:ext uri="{FF2B5EF4-FFF2-40B4-BE49-F238E27FC236}">
              <a16:creationId xmlns:a16="http://schemas.microsoft.com/office/drawing/2014/main" id="{00000000-0008-0000-0E00-0000BD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0" y="11049000"/>
          <a:ext cx="5334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</xdr:row>
      <xdr:rowOff>19050</xdr:rowOff>
    </xdr:from>
    <xdr:to>
      <xdr:col>28</xdr:col>
      <xdr:colOff>0</xdr:colOff>
      <xdr:row>3</xdr:row>
      <xdr:rowOff>19050</xdr:rowOff>
    </xdr:to>
    <xdr:pic>
      <xdr:nvPicPr>
        <xdr:cNvPr id="35518" name="Picture 1657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id="{00000000-0008-0000-0E00-0000BE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19050"/>
          <a:ext cx="1181100" cy="495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8</xdr:col>
      <xdr:colOff>57150</xdr:colOff>
      <xdr:row>33</xdr:row>
      <xdr:rowOff>0</xdr:rowOff>
    </xdr:from>
    <xdr:to>
      <xdr:col>28</xdr:col>
      <xdr:colOff>19050</xdr:colOff>
      <xdr:row>35</xdr:row>
      <xdr:rowOff>0</xdr:rowOff>
    </xdr:to>
    <xdr:pic>
      <xdr:nvPicPr>
        <xdr:cNvPr id="35519" name="Picture 1658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id="{00000000-0008-0000-0E00-0000BF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4914900"/>
          <a:ext cx="1181100" cy="495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8</xdr:col>
      <xdr:colOff>57150</xdr:colOff>
      <xdr:row>45</xdr:row>
      <xdr:rowOff>0</xdr:rowOff>
    </xdr:from>
    <xdr:to>
      <xdr:col>28</xdr:col>
      <xdr:colOff>19050</xdr:colOff>
      <xdr:row>47</xdr:row>
      <xdr:rowOff>0</xdr:rowOff>
    </xdr:to>
    <xdr:pic>
      <xdr:nvPicPr>
        <xdr:cNvPr id="35520" name="Picture 1660">
          <a:extLst>
            <a:ext uri="{FF2B5EF4-FFF2-40B4-BE49-F238E27FC236}">
              <a16:creationId xmlns:a16="http://schemas.microsoft.com/office/drawing/2014/main" id="{00000000-0008-0000-0E00-0000C0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10106025"/>
          <a:ext cx="1181100" cy="495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27</xdr:col>
      <xdr:colOff>333375</xdr:colOff>
      <xdr:row>6</xdr:row>
      <xdr:rowOff>85725</xdr:rowOff>
    </xdr:from>
    <xdr:to>
      <xdr:col>30</xdr:col>
      <xdr:colOff>342900</xdr:colOff>
      <xdr:row>10</xdr:row>
      <xdr:rowOff>95250</xdr:rowOff>
    </xdr:to>
    <xdr:sp macro="" textlink="">
      <xdr:nvSpPr>
        <xdr:cNvPr id="35455" name="AutoShape 1663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id="{00000000-0008-0000-0E00-00007F8A0000}"/>
            </a:ext>
          </a:extLst>
        </xdr:cNvPr>
        <xdr:cNvSpPr>
          <a:spLocks noChangeArrowheads="1"/>
        </xdr:cNvSpPr>
      </xdr:nvSpPr>
      <xdr:spPr bwMode="auto">
        <a:xfrm>
          <a:off x="11287125" y="981075"/>
          <a:ext cx="1838325" cy="6953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 editAs="oneCell">
    <xdr:from>
      <xdr:col>7</xdr:col>
      <xdr:colOff>19050</xdr:colOff>
      <xdr:row>1</xdr:row>
      <xdr:rowOff>9525</xdr:rowOff>
    </xdr:from>
    <xdr:to>
      <xdr:col>7</xdr:col>
      <xdr:colOff>619125</xdr:colOff>
      <xdr:row>1</xdr:row>
      <xdr:rowOff>209550</xdr:rowOff>
    </xdr:to>
    <xdr:pic>
      <xdr:nvPicPr>
        <xdr:cNvPr id="35522" name="Picture 69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id="{00000000-0008-0000-0E00-0000C2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85725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</xdr:colOff>
      <xdr:row>33</xdr:row>
      <xdr:rowOff>19050</xdr:rowOff>
    </xdr:from>
    <xdr:to>
      <xdr:col>7</xdr:col>
      <xdr:colOff>619125</xdr:colOff>
      <xdr:row>33</xdr:row>
      <xdr:rowOff>219075</xdr:rowOff>
    </xdr:to>
    <xdr:pic>
      <xdr:nvPicPr>
        <xdr:cNvPr id="35523" name="Picture 69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id="{00000000-0008-0000-0E00-0000C38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4933950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847725</xdr:colOff>
      <xdr:row>92</xdr:row>
      <xdr:rowOff>57150</xdr:rowOff>
    </xdr:from>
    <xdr:to>
      <xdr:col>1</xdr:col>
      <xdr:colOff>1533525</xdr:colOff>
      <xdr:row>94</xdr:row>
      <xdr:rowOff>390525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E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650" y="40938450"/>
          <a:ext cx="685800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95</xdr:row>
      <xdr:rowOff>28574</xdr:rowOff>
    </xdr:from>
    <xdr:to>
      <xdr:col>1</xdr:col>
      <xdr:colOff>1676400</xdr:colOff>
      <xdr:row>97</xdr:row>
      <xdr:rowOff>400049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E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6775" y="42224324"/>
          <a:ext cx="971550" cy="1228725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98</xdr:row>
      <xdr:rowOff>38100</xdr:rowOff>
    </xdr:from>
    <xdr:to>
      <xdr:col>1</xdr:col>
      <xdr:colOff>1743075</xdr:colOff>
      <xdr:row>100</xdr:row>
      <xdr:rowOff>419100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E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0100" y="43519725"/>
          <a:ext cx="1104900" cy="12573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101</xdr:row>
      <xdr:rowOff>28575</xdr:rowOff>
    </xdr:from>
    <xdr:to>
      <xdr:col>1</xdr:col>
      <xdr:colOff>1838325</xdr:colOff>
      <xdr:row>103</xdr:row>
      <xdr:rowOff>409575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E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5" y="44824650"/>
          <a:ext cx="1247775" cy="123825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104</xdr:row>
      <xdr:rowOff>38100</xdr:rowOff>
    </xdr:from>
    <xdr:to>
      <xdr:col>1</xdr:col>
      <xdr:colOff>2009775</xdr:colOff>
      <xdr:row>106</xdr:row>
      <xdr:rowOff>419100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E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175" y="46120050"/>
          <a:ext cx="1533525" cy="1257300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107</xdr:row>
      <xdr:rowOff>47624</xdr:rowOff>
    </xdr:from>
    <xdr:to>
      <xdr:col>1</xdr:col>
      <xdr:colOff>2305050</xdr:colOff>
      <xdr:row>109</xdr:row>
      <xdr:rowOff>419099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E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47444024"/>
          <a:ext cx="2105025" cy="126682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110</xdr:row>
      <xdr:rowOff>57150</xdr:rowOff>
    </xdr:from>
    <xdr:to>
      <xdr:col>1</xdr:col>
      <xdr:colOff>2400300</xdr:colOff>
      <xdr:row>112</xdr:row>
      <xdr:rowOff>428625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E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48796575"/>
          <a:ext cx="2390775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885825</xdr:colOff>
      <xdr:row>113</xdr:row>
      <xdr:rowOff>38100</xdr:rowOff>
    </xdr:from>
    <xdr:to>
      <xdr:col>1</xdr:col>
      <xdr:colOff>1571625</xdr:colOff>
      <xdr:row>115</xdr:row>
      <xdr:rowOff>457200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E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0" y="50091975"/>
          <a:ext cx="685800" cy="13716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116</xdr:row>
      <xdr:rowOff>47624</xdr:rowOff>
    </xdr:from>
    <xdr:to>
      <xdr:col>1</xdr:col>
      <xdr:colOff>1695450</xdr:colOff>
      <xdr:row>118</xdr:row>
      <xdr:rowOff>419099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E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2975" y="51530249"/>
          <a:ext cx="914400" cy="1343025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119</xdr:row>
      <xdr:rowOff>38100</xdr:rowOff>
    </xdr:from>
    <xdr:to>
      <xdr:col>1</xdr:col>
      <xdr:colOff>1781175</xdr:colOff>
      <xdr:row>121</xdr:row>
      <xdr:rowOff>428625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E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52978050"/>
          <a:ext cx="1057275" cy="1343025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685800</xdr:colOff>
      <xdr:row>122</xdr:row>
      <xdr:rowOff>28575</xdr:rowOff>
    </xdr:from>
    <xdr:to>
      <xdr:col>1</xdr:col>
      <xdr:colOff>1876425</xdr:colOff>
      <xdr:row>124</xdr:row>
      <xdr:rowOff>390525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E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5" y="54397275"/>
          <a:ext cx="1190625" cy="12954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125</xdr:row>
      <xdr:rowOff>57150</xdr:rowOff>
    </xdr:from>
    <xdr:to>
      <xdr:col>1</xdr:col>
      <xdr:colOff>1971675</xdr:colOff>
      <xdr:row>127</xdr:row>
      <xdr:rowOff>419100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E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175" y="55826025"/>
          <a:ext cx="1495425" cy="1314450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128</xdr:row>
      <xdr:rowOff>47624</xdr:rowOff>
    </xdr:from>
    <xdr:to>
      <xdr:col>1</xdr:col>
      <xdr:colOff>2257425</xdr:colOff>
      <xdr:row>130</xdr:row>
      <xdr:rowOff>438149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E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57245249"/>
          <a:ext cx="2057400" cy="134302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131</xdr:row>
      <xdr:rowOff>38099</xdr:rowOff>
    </xdr:from>
    <xdr:to>
      <xdr:col>1</xdr:col>
      <xdr:colOff>2390775</xdr:colOff>
      <xdr:row>133</xdr:row>
      <xdr:rowOff>438150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E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" y="58664474"/>
          <a:ext cx="2343150" cy="1352551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142</xdr:row>
      <xdr:rowOff>9525</xdr:rowOff>
    </xdr:from>
    <xdr:to>
      <xdr:col>1</xdr:col>
      <xdr:colOff>2419351</xdr:colOff>
      <xdr:row>147</xdr:row>
      <xdr:rowOff>190500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71450" y="52339875"/>
          <a:ext cx="2409826" cy="122872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1466851</xdr:colOff>
      <xdr:row>0</xdr:row>
      <xdr:rowOff>0</xdr:rowOff>
    </xdr:from>
    <xdr:to>
      <xdr:col>6</xdr:col>
      <xdr:colOff>0</xdr:colOff>
      <xdr:row>0</xdr:row>
      <xdr:rowOff>247649</xdr:rowOff>
    </xdr:to>
    <xdr:pic>
      <xdr:nvPicPr>
        <xdr:cNvPr id="2" name="Picture 6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1" y="0"/>
          <a:ext cx="581024" cy="2476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38101</xdr:colOff>
      <xdr:row>4</xdr:row>
      <xdr:rowOff>142875</xdr:rowOff>
    </xdr:from>
    <xdr:to>
      <xdr:col>1</xdr:col>
      <xdr:colOff>1924051</xdr:colOff>
      <xdr:row>15</xdr:row>
      <xdr:rowOff>151160</xdr:rowOff>
    </xdr:to>
    <xdr:pic>
      <xdr:nvPicPr>
        <xdr:cNvPr id="3" name="Picture 367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1" y="838200"/>
          <a:ext cx="1885950" cy="1789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4</xdr:row>
      <xdr:rowOff>133350</xdr:rowOff>
    </xdr:from>
    <xdr:to>
      <xdr:col>3</xdr:col>
      <xdr:colOff>1991175</xdr:colOff>
      <xdr:row>4</xdr:row>
      <xdr:rowOff>1952625</xdr:rowOff>
    </xdr:to>
    <xdr:pic>
      <xdr:nvPicPr>
        <xdr:cNvPr id="4" name="Picture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" y="828675"/>
          <a:ext cx="1905450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ctr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</xdr:colOff>
      <xdr:row>4</xdr:row>
      <xdr:rowOff>161924</xdr:rowOff>
    </xdr:from>
    <xdr:to>
      <xdr:col>5</xdr:col>
      <xdr:colOff>1962600</xdr:colOff>
      <xdr:row>16</xdr:row>
      <xdr:rowOff>8024</xdr:rowOff>
    </xdr:to>
    <xdr:pic>
      <xdr:nvPicPr>
        <xdr:cNvPr id="5" name="Picture 6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857249"/>
          <a:ext cx="1886400" cy="178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38101</xdr:colOff>
      <xdr:row>4</xdr:row>
      <xdr:rowOff>142875</xdr:rowOff>
    </xdr:from>
    <xdr:to>
      <xdr:col>1</xdr:col>
      <xdr:colOff>1924051</xdr:colOff>
      <xdr:row>15</xdr:row>
      <xdr:rowOff>151160</xdr:rowOff>
    </xdr:to>
    <xdr:pic>
      <xdr:nvPicPr>
        <xdr:cNvPr id="11" name="Picture 367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1" y="838200"/>
          <a:ext cx="1885950" cy="1789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85725</xdr:colOff>
      <xdr:row>4</xdr:row>
      <xdr:rowOff>133350</xdr:rowOff>
    </xdr:from>
    <xdr:to>
      <xdr:col>3</xdr:col>
      <xdr:colOff>1991175</xdr:colOff>
      <xdr:row>15</xdr:row>
      <xdr:rowOff>152400</xdr:rowOff>
    </xdr:to>
    <xdr:pic>
      <xdr:nvPicPr>
        <xdr:cNvPr id="12" name="Picture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" y="923925"/>
          <a:ext cx="190545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ctr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</xdr:colOff>
      <xdr:row>4</xdr:row>
      <xdr:rowOff>161924</xdr:rowOff>
    </xdr:from>
    <xdr:to>
      <xdr:col>5</xdr:col>
      <xdr:colOff>1962600</xdr:colOff>
      <xdr:row>16</xdr:row>
      <xdr:rowOff>8024</xdr:rowOff>
    </xdr:to>
    <xdr:pic>
      <xdr:nvPicPr>
        <xdr:cNvPr id="13" name="Picture 6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857249"/>
          <a:ext cx="1886400" cy="178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0</xdr:colOff>
      <xdr:row>5</xdr:row>
      <xdr:rowOff>0</xdr:rowOff>
    </xdr:from>
    <xdr:to>
      <xdr:col>10</xdr:col>
      <xdr:colOff>9525</xdr:colOff>
      <xdr:row>9</xdr:row>
      <xdr:rowOff>47625</xdr:rowOff>
    </xdr:to>
    <xdr:sp macro="" textlink="">
      <xdr:nvSpPr>
        <xdr:cNvPr id="14" name="AutoShape 32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SpPr>
          <a:spLocks noChangeArrowheads="1"/>
        </xdr:cNvSpPr>
      </xdr:nvSpPr>
      <xdr:spPr bwMode="auto">
        <a:xfrm>
          <a:off x="8296275" y="952500"/>
          <a:ext cx="1838325" cy="6953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561975</xdr:colOff>
      <xdr:row>5</xdr:row>
      <xdr:rowOff>28575</xdr:rowOff>
    </xdr:from>
    <xdr:to>
      <xdr:col>21</xdr:col>
      <xdr:colOff>381000</xdr:colOff>
      <xdr:row>9</xdr:row>
      <xdr:rowOff>104775</xdr:rowOff>
    </xdr:to>
    <xdr:sp macro="" textlink="">
      <xdr:nvSpPr>
        <xdr:cNvPr id="2" name="AutoShape 3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SpPr>
          <a:spLocks noChangeArrowheads="1"/>
        </xdr:cNvSpPr>
      </xdr:nvSpPr>
      <xdr:spPr bwMode="auto">
        <a:xfrm>
          <a:off x="8820150" y="847725"/>
          <a:ext cx="1962150" cy="857250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ctr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 editAs="oneCell">
    <xdr:from>
      <xdr:col>1</xdr:col>
      <xdr:colOff>57150</xdr:colOff>
      <xdr:row>28</xdr:row>
      <xdr:rowOff>95250</xdr:rowOff>
    </xdr:from>
    <xdr:to>
      <xdr:col>1</xdr:col>
      <xdr:colOff>2326417</xdr:colOff>
      <xdr:row>38</xdr:row>
      <xdr:rowOff>38100</xdr:rowOff>
    </xdr:to>
    <xdr:pic>
      <xdr:nvPicPr>
        <xdr:cNvPr id="4" name="Picture 322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4924425"/>
          <a:ext cx="2269267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45</xdr:row>
      <xdr:rowOff>9525</xdr:rowOff>
    </xdr:from>
    <xdr:to>
      <xdr:col>1</xdr:col>
      <xdr:colOff>2057400</xdr:colOff>
      <xdr:row>54</xdr:row>
      <xdr:rowOff>123825</xdr:rowOff>
    </xdr:to>
    <xdr:pic>
      <xdr:nvPicPr>
        <xdr:cNvPr id="5" name="Picture 325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6429375"/>
          <a:ext cx="2047875" cy="157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65</xdr:row>
      <xdr:rowOff>0</xdr:rowOff>
    </xdr:from>
    <xdr:to>
      <xdr:col>1</xdr:col>
      <xdr:colOff>2324100</xdr:colOff>
      <xdr:row>77</xdr:row>
      <xdr:rowOff>26980</xdr:rowOff>
    </xdr:to>
    <xdr:pic>
      <xdr:nvPicPr>
        <xdr:cNvPr id="6" name="Picture 326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11096625"/>
          <a:ext cx="2314575" cy="1970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84</xdr:row>
      <xdr:rowOff>95249</xdr:rowOff>
    </xdr:from>
    <xdr:to>
      <xdr:col>1</xdr:col>
      <xdr:colOff>2324518</xdr:colOff>
      <xdr:row>96</xdr:row>
      <xdr:rowOff>104774</xdr:rowOff>
    </xdr:to>
    <xdr:pic>
      <xdr:nvPicPr>
        <xdr:cNvPr id="7" name="Picture 327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14401799"/>
          <a:ext cx="2295943" cy="1952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102</xdr:row>
      <xdr:rowOff>0</xdr:rowOff>
    </xdr:from>
    <xdr:to>
      <xdr:col>1</xdr:col>
      <xdr:colOff>2057400</xdr:colOff>
      <xdr:row>114</xdr:row>
      <xdr:rowOff>9525</xdr:rowOff>
    </xdr:to>
    <xdr:pic>
      <xdr:nvPicPr>
        <xdr:cNvPr id="12" name="Picture 367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14706600"/>
          <a:ext cx="2047875" cy="194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9</xdr:row>
      <xdr:rowOff>28575</xdr:rowOff>
    </xdr:from>
    <xdr:to>
      <xdr:col>1</xdr:col>
      <xdr:colOff>2321768</xdr:colOff>
      <xdr:row>19</xdr:row>
      <xdr:rowOff>152400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0025" y="1628775"/>
          <a:ext cx="2312243" cy="174307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63</xdr:col>
      <xdr:colOff>304800</xdr:colOff>
      <xdr:row>5</xdr:row>
      <xdr:rowOff>38100</xdr:rowOff>
    </xdr:from>
    <xdr:to>
      <xdr:col>66</xdr:col>
      <xdr:colOff>314325</xdr:colOff>
      <xdr:row>10</xdr:row>
      <xdr:rowOff>19050</xdr:rowOff>
    </xdr:to>
    <xdr:sp macro="" textlink="">
      <xdr:nvSpPr>
        <xdr:cNvPr id="2" name="AutoShape 3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SpPr>
          <a:spLocks noChangeArrowheads="1"/>
        </xdr:cNvSpPr>
      </xdr:nvSpPr>
      <xdr:spPr bwMode="auto">
        <a:xfrm>
          <a:off x="41481375" y="1190625"/>
          <a:ext cx="1838325" cy="895350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ctr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 editAs="oneCell">
    <xdr:from>
      <xdr:col>1</xdr:col>
      <xdr:colOff>9524</xdr:colOff>
      <xdr:row>28</xdr:row>
      <xdr:rowOff>95249</xdr:rowOff>
    </xdr:from>
    <xdr:to>
      <xdr:col>2</xdr:col>
      <xdr:colOff>0</xdr:colOff>
      <xdr:row>38</xdr:row>
      <xdr:rowOff>161924</xdr:rowOff>
    </xdr:to>
    <xdr:pic>
      <xdr:nvPicPr>
        <xdr:cNvPr id="3" name="Picture 1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5305424"/>
          <a:ext cx="2324101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19049</xdr:colOff>
      <xdr:row>10</xdr:row>
      <xdr:rowOff>47624</xdr:rowOff>
    </xdr:from>
    <xdr:to>
      <xdr:col>2</xdr:col>
      <xdr:colOff>1703</xdr:colOff>
      <xdr:row>20</xdr:row>
      <xdr:rowOff>142875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49" y="2114549"/>
          <a:ext cx="2316279" cy="1714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44</xdr:row>
      <xdr:rowOff>28575</xdr:rowOff>
    </xdr:from>
    <xdr:to>
      <xdr:col>1</xdr:col>
      <xdr:colOff>2324100</xdr:colOff>
      <xdr:row>56</xdr:row>
      <xdr:rowOff>151657</xdr:rowOff>
    </xdr:to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8010525"/>
          <a:ext cx="2314575" cy="20661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65</xdr:row>
      <xdr:rowOff>9525</xdr:rowOff>
    </xdr:from>
    <xdr:to>
      <xdr:col>2</xdr:col>
      <xdr:colOff>0</xdr:colOff>
      <xdr:row>77</xdr:row>
      <xdr:rowOff>161925</xdr:rowOff>
    </xdr:to>
    <xdr:pic>
      <xdr:nvPicPr>
        <xdr:cNvPr id="6" name="Picture 4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11572875"/>
          <a:ext cx="2333625" cy="209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ctr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</xdr:colOff>
      <xdr:row>83</xdr:row>
      <xdr:rowOff>85724</xdr:rowOff>
    </xdr:from>
    <xdr:to>
      <xdr:col>2</xdr:col>
      <xdr:colOff>0</xdr:colOff>
      <xdr:row>97</xdr:row>
      <xdr:rowOff>47625</xdr:rowOff>
    </xdr:to>
    <xdr:pic>
      <xdr:nvPicPr>
        <xdr:cNvPr id="7" name="Picture 7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14678024"/>
          <a:ext cx="2324100" cy="2228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ctr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107</xdr:row>
      <xdr:rowOff>28575</xdr:rowOff>
    </xdr:from>
    <xdr:to>
      <xdr:col>2</xdr:col>
      <xdr:colOff>0</xdr:colOff>
      <xdr:row>119</xdr:row>
      <xdr:rowOff>161925</xdr:rowOff>
    </xdr:to>
    <xdr:pic>
      <xdr:nvPicPr>
        <xdr:cNvPr id="8" name="Picture 3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18697575"/>
          <a:ext cx="2333625" cy="207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ctr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</xdr:colOff>
      <xdr:row>125</xdr:row>
      <xdr:rowOff>66676</xdr:rowOff>
    </xdr:from>
    <xdr:to>
      <xdr:col>2</xdr:col>
      <xdr:colOff>0</xdr:colOff>
      <xdr:row>139</xdr:row>
      <xdr:rowOff>114301</xdr:rowOff>
    </xdr:to>
    <xdr:pic>
      <xdr:nvPicPr>
        <xdr:cNvPr id="9" name="Picture 6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21631276"/>
          <a:ext cx="2324100" cy="2343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ctr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466725</xdr:colOff>
      <xdr:row>3</xdr:row>
      <xdr:rowOff>114300</xdr:rowOff>
    </xdr:from>
    <xdr:to>
      <xdr:col>19</xdr:col>
      <xdr:colOff>476250</xdr:colOff>
      <xdr:row>6</xdr:row>
      <xdr:rowOff>161925</xdr:rowOff>
    </xdr:to>
    <xdr:sp macro="" textlink="">
      <xdr:nvSpPr>
        <xdr:cNvPr id="2" name="AutoShape 3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SpPr>
          <a:spLocks noChangeArrowheads="1"/>
        </xdr:cNvSpPr>
      </xdr:nvSpPr>
      <xdr:spPr bwMode="auto">
        <a:xfrm>
          <a:off x="12077700" y="857250"/>
          <a:ext cx="1838325" cy="7334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 editAs="oneCell">
    <xdr:from>
      <xdr:col>1</xdr:col>
      <xdr:colOff>0</xdr:colOff>
      <xdr:row>27</xdr:row>
      <xdr:rowOff>66675</xdr:rowOff>
    </xdr:from>
    <xdr:to>
      <xdr:col>1</xdr:col>
      <xdr:colOff>1962150</xdr:colOff>
      <xdr:row>36</xdr:row>
      <xdr:rowOff>19050</xdr:rowOff>
    </xdr:to>
    <xdr:pic>
      <xdr:nvPicPr>
        <xdr:cNvPr id="3" name="Picture 1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5086350"/>
          <a:ext cx="196215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61</xdr:row>
      <xdr:rowOff>156264</xdr:rowOff>
    </xdr:from>
    <xdr:to>
      <xdr:col>2</xdr:col>
      <xdr:colOff>0</xdr:colOff>
      <xdr:row>71</xdr:row>
      <xdr:rowOff>95249</xdr:rowOff>
    </xdr:to>
    <xdr:pic>
      <xdr:nvPicPr>
        <xdr:cNvPr id="4" name="Picture 6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10986189"/>
          <a:ext cx="1943100" cy="1558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9</xdr:row>
      <xdr:rowOff>47624</xdr:rowOff>
    </xdr:from>
    <xdr:to>
      <xdr:col>1</xdr:col>
      <xdr:colOff>1962150</xdr:colOff>
      <xdr:row>17</xdr:row>
      <xdr:rowOff>132107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2000249"/>
          <a:ext cx="1943100" cy="13798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190</xdr:row>
      <xdr:rowOff>0</xdr:rowOff>
    </xdr:from>
    <xdr:to>
      <xdr:col>1</xdr:col>
      <xdr:colOff>1962150</xdr:colOff>
      <xdr:row>193</xdr:row>
      <xdr:rowOff>19050</xdr:rowOff>
    </xdr:to>
    <xdr:pic>
      <xdr:nvPicPr>
        <xdr:cNvPr id="6" name="Picture 45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35394900"/>
          <a:ext cx="19621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103</xdr:row>
      <xdr:rowOff>57150</xdr:rowOff>
    </xdr:from>
    <xdr:to>
      <xdr:col>2</xdr:col>
      <xdr:colOff>0</xdr:colOff>
      <xdr:row>112</xdr:row>
      <xdr:rowOff>85725</xdr:rowOff>
    </xdr:to>
    <xdr:pic>
      <xdr:nvPicPr>
        <xdr:cNvPr id="8" name="Picture 5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17849850"/>
          <a:ext cx="19621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42</xdr:row>
      <xdr:rowOff>114300</xdr:rowOff>
    </xdr:from>
    <xdr:to>
      <xdr:col>1</xdr:col>
      <xdr:colOff>1952625</xdr:colOff>
      <xdr:row>53</xdr:row>
      <xdr:rowOff>47625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7715250"/>
          <a:ext cx="1924050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180975</xdr:colOff>
      <xdr:row>82</xdr:row>
      <xdr:rowOff>28575</xdr:rowOff>
    </xdr:from>
    <xdr:to>
      <xdr:col>1</xdr:col>
      <xdr:colOff>1952625</xdr:colOff>
      <xdr:row>91</xdr:row>
      <xdr:rowOff>57150</xdr:rowOff>
    </xdr:to>
    <xdr:pic>
      <xdr:nvPicPr>
        <xdr:cNvPr id="11" name="Picture 7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13696950"/>
          <a:ext cx="19621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124</xdr:row>
      <xdr:rowOff>123825</xdr:rowOff>
    </xdr:from>
    <xdr:to>
      <xdr:col>2</xdr:col>
      <xdr:colOff>0</xdr:colOff>
      <xdr:row>134</xdr:row>
      <xdr:rowOff>9525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21374100"/>
          <a:ext cx="19621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9525</xdr:colOff>
      <xdr:row>8</xdr:row>
      <xdr:rowOff>47625</xdr:rowOff>
    </xdr:from>
    <xdr:ext cx="2291379" cy="1828800"/>
    <xdr:pic>
      <xdr:nvPicPr>
        <xdr:cNvPr id="3" name="Picture 433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1514475"/>
          <a:ext cx="2291379" cy="1828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19050</xdr:colOff>
      <xdr:row>26</xdr:row>
      <xdr:rowOff>7131</xdr:rowOff>
    </xdr:from>
    <xdr:ext cx="2301150" cy="2012169"/>
    <xdr:pic>
      <xdr:nvPicPr>
        <xdr:cNvPr id="4" name="Picture 434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4541031"/>
          <a:ext cx="2301150" cy="2012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19051</xdr:colOff>
      <xdr:row>47</xdr:row>
      <xdr:rowOff>19050</xdr:rowOff>
    </xdr:from>
    <xdr:to>
      <xdr:col>1</xdr:col>
      <xdr:colOff>2038351</xdr:colOff>
      <xdr:row>60</xdr:row>
      <xdr:rowOff>0</xdr:rowOff>
    </xdr:to>
    <xdr:pic>
      <xdr:nvPicPr>
        <xdr:cNvPr id="5" name="Picture 448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1" y="8191500"/>
          <a:ext cx="2019300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7612</xdr:colOff>
      <xdr:row>70</xdr:row>
      <xdr:rowOff>9525</xdr:rowOff>
    </xdr:from>
    <xdr:to>
      <xdr:col>1</xdr:col>
      <xdr:colOff>2038350</xdr:colOff>
      <xdr:row>84</xdr:row>
      <xdr:rowOff>9525</xdr:rowOff>
    </xdr:to>
    <xdr:pic>
      <xdr:nvPicPr>
        <xdr:cNvPr id="6" name="Picture 437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262" y="11296650"/>
          <a:ext cx="2030738" cy="2257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7</xdr:row>
      <xdr:rowOff>0</xdr:rowOff>
    </xdr:from>
    <xdr:to>
      <xdr:col>13</xdr:col>
      <xdr:colOff>133350</xdr:colOff>
      <xdr:row>11</xdr:row>
      <xdr:rowOff>142875</xdr:rowOff>
    </xdr:to>
    <xdr:sp macro="" textlink="">
      <xdr:nvSpPr>
        <xdr:cNvPr id="7" name="AutoShape 3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SpPr>
          <a:spLocks noChangeArrowheads="1"/>
        </xdr:cNvSpPr>
      </xdr:nvSpPr>
      <xdr:spPr bwMode="auto">
        <a:xfrm>
          <a:off x="7648575" y="1304925"/>
          <a:ext cx="1962150" cy="79057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ctr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</xdr:colOff>
      <xdr:row>5</xdr:row>
      <xdr:rowOff>9524</xdr:rowOff>
    </xdr:from>
    <xdr:to>
      <xdr:col>2</xdr:col>
      <xdr:colOff>0</xdr:colOff>
      <xdr:row>11</xdr:row>
      <xdr:rowOff>152399</xdr:rowOff>
    </xdr:to>
    <xdr:pic>
      <xdr:nvPicPr>
        <xdr:cNvPr id="22927" name="Picture 2">
          <a:extLst>
            <a:ext uri="{FF2B5EF4-FFF2-40B4-BE49-F238E27FC236}">
              <a16:creationId xmlns:a16="http://schemas.microsoft.com/office/drawing/2014/main" id="{00000000-0008-0000-1400-00008F5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923924"/>
          <a:ext cx="170497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40</xdr:row>
      <xdr:rowOff>0</xdr:rowOff>
    </xdr:from>
    <xdr:to>
      <xdr:col>1</xdr:col>
      <xdr:colOff>1704975</xdr:colOff>
      <xdr:row>49</xdr:row>
      <xdr:rowOff>152400</xdr:rowOff>
    </xdr:to>
    <xdr:pic>
      <xdr:nvPicPr>
        <xdr:cNvPr id="22928" name="Picture 3">
          <a:extLst>
            <a:ext uri="{FF2B5EF4-FFF2-40B4-BE49-F238E27FC236}">
              <a16:creationId xmlns:a16="http://schemas.microsoft.com/office/drawing/2014/main" id="{00000000-0008-0000-1400-0000905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6734175"/>
          <a:ext cx="1695450" cy="160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85725</xdr:colOff>
      <xdr:row>31</xdr:row>
      <xdr:rowOff>9525</xdr:rowOff>
    </xdr:from>
    <xdr:to>
      <xdr:col>1</xdr:col>
      <xdr:colOff>1600200</xdr:colOff>
      <xdr:row>38</xdr:row>
      <xdr:rowOff>0</xdr:rowOff>
    </xdr:to>
    <xdr:pic>
      <xdr:nvPicPr>
        <xdr:cNvPr id="22929" name="Picture 4">
          <a:extLst>
            <a:ext uri="{FF2B5EF4-FFF2-40B4-BE49-F238E27FC236}">
              <a16:creationId xmlns:a16="http://schemas.microsoft.com/office/drawing/2014/main" id="{00000000-0008-0000-1400-0000915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5286375"/>
          <a:ext cx="15144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14</xdr:row>
      <xdr:rowOff>9525</xdr:rowOff>
    </xdr:from>
    <xdr:to>
      <xdr:col>2</xdr:col>
      <xdr:colOff>0</xdr:colOff>
      <xdr:row>20</xdr:row>
      <xdr:rowOff>152400</xdr:rowOff>
    </xdr:to>
    <xdr:pic>
      <xdr:nvPicPr>
        <xdr:cNvPr id="22930" name="Picture 5">
          <a:extLst>
            <a:ext uri="{FF2B5EF4-FFF2-40B4-BE49-F238E27FC236}">
              <a16:creationId xmlns:a16="http://schemas.microsoft.com/office/drawing/2014/main" id="{00000000-0008-0000-1400-0000925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2381250"/>
          <a:ext cx="17049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152400</xdr:colOff>
      <xdr:row>1</xdr:row>
      <xdr:rowOff>19050</xdr:rowOff>
    </xdr:from>
    <xdr:to>
      <xdr:col>13</xdr:col>
      <xdr:colOff>581025</xdr:colOff>
      <xdr:row>2</xdr:row>
      <xdr:rowOff>85725</xdr:rowOff>
    </xdr:to>
    <xdr:pic>
      <xdr:nvPicPr>
        <xdr:cNvPr id="22931" name="Picture 382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1400-0000935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77375" y="114300"/>
          <a:ext cx="866775" cy="314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47625</xdr:colOff>
      <xdr:row>1</xdr:row>
      <xdr:rowOff>9525</xdr:rowOff>
    </xdr:from>
    <xdr:to>
      <xdr:col>5</xdr:col>
      <xdr:colOff>647700</xdr:colOff>
      <xdr:row>1</xdr:row>
      <xdr:rowOff>209550</xdr:rowOff>
    </xdr:to>
    <xdr:pic>
      <xdr:nvPicPr>
        <xdr:cNvPr id="22932" name="Picture 69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1400-0000945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4450" y="104775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47625</xdr:colOff>
      <xdr:row>27</xdr:row>
      <xdr:rowOff>9525</xdr:rowOff>
    </xdr:from>
    <xdr:to>
      <xdr:col>5</xdr:col>
      <xdr:colOff>647700</xdr:colOff>
      <xdr:row>27</xdr:row>
      <xdr:rowOff>209550</xdr:rowOff>
    </xdr:to>
    <xdr:pic>
      <xdr:nvPicPr>
        <xdr:cNvPr id="22933" name="Picture 69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1400-0000955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4450" y="4467225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485775</xdr:colOff>
      <xdr:row>28</xdr:row>
      <xdr:rowOff>171450</xdr:rowOff>
    </xdr:from>
    <xdr:to>
      <xdr:col>12</xdr:col>
      <xdr:colOff>219075</xdr:colOff>
      <xdr:row>32</xdr:row>
      <xdr:rowOff>133350</xdr:rowOff>
    </xdr:to>
    <xdr:sp macro="" textlink="">
      <xdr:nvSpPr>
        <xdr:cNvPr id="22916" name="AutoShape 388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1400-000084590000}"/>
            </a:ext>
          </a:extLst>
        </xdr:cNvPr>
        <xdr:cNvSpPr>
          <a:spLocks noChangeArrowheads="1"/>
        </xdr:cNvSpPr>
      </xdr:nvSpPr>
      <xdr:spPr bwMode="auto">
        <a:xfrm>
          <a:off x="7267575" y="4876800"/>
          <a:ext cx="2276475" cy="695325"/>
        </a:xfrm>
        <a:prstGeom prst="leftArrow">
          <a:avLst>
            <a:gd name="adj1" fmla="val 45204"/>
            <a:gd name="adj2" fmla="val 89913"/>
          </a:avLst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 editAs="oneCell">
    <xdr:from>
      <xdr:col>5</xdr:col>
      <xdr:colOff>47625</xdr:colOff>
      <xdr:row>59</xdr:row>
      <xdr:rowOff>9525</xdr:rowOff>
    </xdr:from>
    <xdr:to>
      <xdr:col>5</xdr:col>
      <xdr:colOff>647700</xdr:colOff>
      <xdr:row>59</xdr:row>
      <xdr:rowOff>209550</xdr:rowOff>
    </xdr:to>
    <xdr:pic>
      <xdr:nvPicPr>
        <xdr:cNvPr id="22935" name="Picture 69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1400-0000975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4450" y="9791700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0</xdr:colOff>
      <xdr:row>50</xdr:row>
      <xdr:rowOff>0</xdr:rowOff>
    </xdr:from>
    <xdr:to>
      <xdr:col>6</xdr:col>
      <xdr:colOff>0</xdr:colOff>
      <xdr:row>50</xdr:row>
      <xdr:rowOff>0</xdr:rowOff>
    </xdr:to>
    <xdr:sp macro="" textlink="">
      <xdr:nvSpPr>
        <xdr:cNvPr id="41997" name="AutoShape 1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500-00000DA40000}"/>
            </a:ext>
          </a:extLst>
        </xdr:cNvPr>
        <xdr:cNvSpPr>
          <a:spLocks noChangeArrowheads="1"/>
        </xdr:cNvSpPr>
      </xdr:nvSpPr>
      <xdr:spPr bwMode="auto">
        <a:xfrm>
          <a:off x="4276725" y="4943475"/>
          <a:ext cx="0" cy="0"/>
        </a:xfrm>
        <a:prstGeom prst="leftArrow">
          <a:avLst>
            <a:gd name="adj1" fmla="val 45204"/>
            <a:gd name="adj2" fmla="val -2147483648"/>
          </a:avLst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>
    <xdr:from>
      <xdr:col>11</xdr:col>
      <xdr:colOff>171450</xdr:colOff>
      <xdr:row>3</xdr:row>
      <xdr:rowOff>85725</xdr:rowOff>
    </xdr:from>
    <xdr:to>
      <xdr:col>14</xdr:col>
      <xdr:colOff>1409700</xdr:colOff>
      <xdr:row>6</xdr:row>
      <xdr:rowOff>180975</xdr:rowOff>
    </xdr:to>
    <xdr:sp macro="" textlink="">
      <xdr:nvSpPr>
        <xdr:cNvPr id="42005" name="AutoShape 2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500-000015A40000}"/>
            </a:ext>
          </a:extLst>
        </xdr:cNvPr>
        <xdr:cNvSpPr>
          <a:spLocks noChangeArrowheads="1"/>
        </xdr:cNvSpPr>
      </xdr:nvSpPr>
      <xdr:spPr bwMode="auto">
        <a:xfrm>
          <a:off x="8172450" y="571500"/>
          <a:ext cx="2266950" cy="695325"/>
        </a:xfrm>
        <a:prstGeom prst="leftArrow">
          <a:avLst>
            <a:gd name="adj1" fmla="val 45204"/>
            <a:gd name="adj2" fmla="val 89913"/>
          </a:avLst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</xdr:colOff>
      <xdr:row>6</xdr:row>
      <xdr:rowOff>9525</xdr:rowOff>
    </xdr:from>
    <xdr:to>
      <xdr:col>2</xdr:col>
      <xdr:colOff>0</xdr:colOff>
      <xdr:row>17</xdr:row>
      <xdr:rowOff>0</xdr:rowOff>
    </xdr:to>
    <xdr:pic>
      <xdr:nvPicPr>
        <xdr:cNvPr id="11640" name="Picture 294">
          <a:extLst>
            <a:ext uri="{FF2B5EF4-FFF2-40B4-BE49-F238E27FC236}">
              <a16:creationId xmlns:a16="http://schemas.microsoft.com/office/drawing/2014/main" id="{00000000-0008-0000-1600-0000782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171575"/>
          <a:ext cx="1485900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27</xdr:row>
      <xdr:rowOff>9525</xdr:rowOff>
    </xdr:from>
    <xdr:to>
      <xdr:col>2</xdr:col>
      <xdr:colOff>0</xdr:colOff>
      <xdr:row>35</xdr:row>
      <xdr:rowOff>152400</xdr:rowOff>
    </xdr:to>
    <xdr:pic>
      <xdr:nvPicPr>
        <xdr:cNvPr id="11641" name="Picture 295">
          <a:extLst>
            <a:ext uri="{FF2B5EF4-FFF2-40B4-BE49-F238E27FC236}">
              <a16:creationId xmlns:a16="http://schemas.microsoft.com/office/drawing/2014/main" id="{00000000-0008-0000-1600-0000792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791075"/>
          <a:ext cx="1504950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42</xdr:row>
      <xdr:rowOff>9526</xdr:rowOff>
    </xdr:from>
    <xdr:to>
      <xdr:col>2</xdr:col>
      <xdr:colOff>0</xdr:colOff>
      <xdr:row>50</xdr:row>
      <xdr:rowOff>161926</xdr:rowOff>
    </xdr:to>
    <xdr:pic>
      <xdr:nvPicPr>
        <xdr:cNvPr id="11642" name="Picture 296">
          <a:extLst>
            <a:ext uri="{FF2B5EF4-FFF2-40B4-BE49-F238E27FC236}">
              <a16:creationId xmlns:a16="http://schemas.microsoft.com/office/drawing/2014/main" id="{00000000-0008-0000-1600-00007A2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7391401"/>
          <a:ext cx="1495425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60</xdr:row>
      <xdr:rowOff>9525</xdr:rowOff>
    </xdr:from>
    <xdr:to>
      <xdr:col>2</xdr:col>
      <xdr:colOff>0</xdr:colOff>
      <xdr:row>65</xdr:row>
      <xdr:rowOff>152400</xdr:rowOff>
    </xdr:to>
    <xdr:pic>
      <xdr:nvPicPr>
        <xdr:cNvPr id="11643" name="Picture 297">
          <a:extLst>
            <a:ext uri="{FF2B5EF4-FFF2-40B4-BE49-F238E27FC236}">
              <a16:creationId xmlns:a16="http://schemas.microsoft.com/office/drawing/2014/main" id="{00000000-0008-0000-1600-00007B2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0020300"/>
          <a:ext cx="14954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15767</xdr:colOff>
      <xdr:row>71</xdr:row>
      <xdr:rowOff>9525</xdr:rowOff>
    </xdr:from>
    <xdr:to>
      <xdr:col>1</xdr:col>
      <xdr:colOff>1495424</xdr:colOff>
      <xdr:row>77</xdr:row>
      <xdr:rowOff>152400</xdr:rowOff>
    </xdr:to>
    <xdr:pic>
      <xdr:nvPicPr>
        <xdr:cNvPr id="11644" name="Picture 298">
          <a:extLst>
            <a:ext uri="{FF2B5EF4-FFF2-40B4-BE49-F238E27FC236}">
              <a16:creationId xmlns:a16="http://schemas.microsoft.com/office/drawing/2014/main" id="{00000000-0008-0000-1600-00007C2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442" y="11801475"/>
          <a:ext cx="1479657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89</xdr:row>
      <xdr:rowOff>9525</xdr:rowOff>
    </xdr:from>
    <xdr:to>
      <xdr:col>2</xdr:col>
      <xdr:colOff>0</xdr:colOff>
      <xdr:row>94</xdr:row>
      <xdr:rowOff>161925</xdr:rowOff>
    </xdr:to>
    <xdr:pic>
      <xdr:nvPicPr>
        <xdr:cNvPr id="11645" name="Picture 299">
          <a:extLst>
            <a:ext uri="{FF2B5EF4-FFF2-40B4-BE49-F238E27FC236}">
              <a16:creationId xmlns:a16="http://schemas.microsoft.com/office/drawing/2014/main" id="{00000000-0008-0000-1600-00007D2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5640050"/>
          <a:ext cx="14859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80</xdr:row>
      <xdr:rowOff>9525</xdr:rowOff>
    </xdr:from>
    <xdr:to>
      <xdr:col>1</xdr:col>
      <xdr:colOff>1495425</xdr:colOff>
      <xdr:row>81</xdr:row>
      <xdr:rowOff>161925</xdr:rowOff>
    </xdr:to>
    <xdr:pic>
      <xdr:nvPicPr>
        <xdr:cNvPr id="11654" name="Picture 324">
          <a:extLst>
            <a:ext uri="{FF2B5EF4-FFF2-40B4-BE49-F238E27FC236}">
              <a16:creationId xmlns:a16="http://schemas.microsoft.com/office/drawing/2014/main" id="{00000000-0008-0000-1600-0000862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287375"/>
          <a:ext cx="14763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19049</xdr:colOff>
      <xdr:row>19</xdr:row>
      <xdr:rowOff>19050</xdr:rowOff>
    </xdr:from>
    <xdr:to>
      <xdr:col>1</xdr:col>
      <xdr:colOff>1495424</xdr:colOff>
      <xdr:row>20</xdr:row>
      <xdr:rowOff>161925</xdr:rowOff>
    </xdr:to>
    <xdr:pic>
      <xdr:nvPicPr>
        <xdr:cNvPr id="11656" name="Picture 326">
          <a:extLst>
            <a:ext uri="{FF2B5EF4-FFF2-40B4-BE49-F238E27FC236}">
              <a16:creationId xmlns:a16="http://schemas.microsoft.com/office/drawing/2014/main" id="{00000000-0008-0000-1600-0000882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4" y="3324225"/>
          <a:ext cx="14763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</xdr:col>
      <xdr:colOff>19049</xdr:colOff>
      <xdr:row>101</xdr:row>
      <xdr:rowOff>104775</xdr:rowOff>
    </xdr:from>
    <xdr:ext cx="1476375" cy="962025"/>
    <xdr:pic>
      <xdr:nvPicPr>
        <xdr:cNvPr id="18" name="Picture 299">
          <a:extLst>
            <a:ext uri="{FF2B5EF4-FFF2-40B4-BE49-F238E27FC236}">
              <a16:creationId xmlns:a16="http://schemas.microsoft.com/office/drawing/2014/main" id="{00000000-0008-0000-16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4" y="18583275"/>
          <a:ext cx="147637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247650</xdr:colOff>
      <xdr:row>109</xdr:row>
      <xdr:rowOff>19050</xdr:rowOff>
    </xdr:from>
    <xdr:ext cx="1038225" cy="304800"/>
    <xdr:pic>
      <xdr:nvPicPr>
        <xdr:cNvPr id="20" name="Picture 323">
          <a:extLst>
            <a:ext uri="{FF2B5EF4-FFF2-40B4-BE49-F238E27FC236}">
              <a16:creationId xmlns:a16="http://schemas.microsoft.com/office/drawing/2014/main" id="{00000000-0008-0000-16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" y="17011650"/>
          <a:ext cx="10382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19052</xdr:colOff>
      <xdr:row>129</xdr:row>
      <xdr:rowOff>9526</xdr:rowOff>
    </xdr:from>
    <xdr:to>
      <xdr:col>1</xdr:col>
      <xdr:colOff>1495426</xdr:colOff>
      <xdr:row>135</xdr:row>
      <xdr:rowOff>161925</xdr:rowOff>
    </xdr:to>
    <xdr:pic>
      <xdr:nvPicPr>
        <xdr:cNvPr id="26" name="Grafik 5">
          <a:extLst>
            <a:ext uri="{FF2B5EF4-FFF2-40B4-BE49-F238E27FC236}">
              <a16:creationId xmlns:a16="http://schemas.microsoft.com/office/drawing/2014/main" id="{00000000-0008-0000-1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7" y="21212176"/>
          <a:ext cx="1476374" cy="1152524"/>
        </a:xfrm>
        <a:prstGeom prst="rect">
          <a:avLst/>
        </a:prstGeom>
        <a:noFill/>
        <a:ln w="0">
          <a:noFill/>
        </a:ln>
        <a:effectLst/>
      </xdr:spPr>
    </xdr:pic>
    <xdr:clientData/>
  </xdr:twoCellAnchor>
  <xdr:twoCellAnchor editAs="oneCell">
    <xdr:from>
      <xdr:col>1</xdr:col>
      <xdr:colOff>9525</xdr:colOff>
      <xdr:row>118</xdr:row>
      <xdr:rowOff>9525</xdr:rowOff>
    </xdr:from>
    <xdr:to>
      <xdr:col>2</xdr:col>
      <xdr:colOff>0</xdr:colOff>
      <xdr:row>122</xdr:row>
      <xdr:rowOff>161925</xdr:rowOff>
    </xdr:to>
    <xdr:pic>
      <xdr:nvPicPr>
        <xdr:cNvPr id="28" name="Grafik 4">
          <a:extLst>
            <a:ext uri="{FF2B5EF4-FFF2-40B4-BE49-F238E27FC236}">
              <a16:creationId xmlns:a16="http://schemas.microsoft.com/office/drawing/2014/main" id="{00000000-0008-0000-1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57200" y="19440525"/>
          <a:ext cx="1495425" cy="800100"/>
        </a:xfrm>
        <a:prstGeom prst="rect">
          <a:avLst/>
        </a:prstGeom>
        <a:effectLst/>
      </xdr:spPr>
    </xdr:pic>
    <xdr:clientData/>
  </xdr:twoCellAnchor>
  <xdr:twoCellAnchor editAs="oneCell">
    <xdr:from>
      <xdr:col>1</xdr:col>
      <xdr:colOff>381039</xdr:colOff>
      <xdr:row>54</xdr:row>
      <xdr:rowOff>9490</xdr:rowOff>
    </xdr:from>
    <xdr:to>
      <xdr:col>1</xdr:col>
      <xdr:colOff>1114430</xdr:colOff>
      <xdr:row>54</xdr:row>
      <xdr:rowOff>464378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967966" y="9299988"/>
          <a:ext cx="454888" cy="733391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809625</xdr:colOff>
      <xdr:row>1</xdr:row>
      <xdr:rowOff>57150</xdr:rowOff>
    </xdr:to>
    <xdr:pic>
      <xdr:nvPicPr>
        <xdr:cNvPr id="36919" name="Picture 43">
          <a:extLst>
            <a:ext uri="{FF2B5EF4-FFF2-40B4-BE49-F238E27FC236}">
              <a16:creationId xmlns:a16="http://schemas.microsoft.com/office/drawing/2014/main" id="{00000000-0008-0000-1700-0000379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809625" cy="304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28</xdr:col>
      <xdr:colOff>276225</xdr:colOff>
      <xdr:row>0</xdr:row>
      <xdr:rowOff>0</xdr:rowOff>
    </xdr:from>
    <xdr:to>
      <xdr:col>29</xdr:col>
      <xdr:colOff>590550</xdr:colOff>
      <xdr:row>0</xdr:row>
      <xdr:rowOff>200025</xdr:rowOff>
    </xdr:to>
    <xdr:pic>
      <xdr:nvPicPr>
        <xdr:cNvPr id="36921" name="Picture 69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700-0000399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8850" y="0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</xdr:colOff>
      <xdr:row>14</xdr:row>
      <xdr:rowOff>19050</xdr:rowOff>
    </xdr:from>
    <xdr:to>
      <xdr:col>2</xdr:col>
      <xdr:colOff>0</xdr:colOff>
      <xdr:row>19</xdr:row>
      <xdr:rowOff>152400</xdr:rowOff>
    </xdr:to>
    <xdr:pic>
      <xdr:nvPicPr>
        <xdr:cNvPr id="44084" name="Picture 35">
          <a:extLst>
            <a:ext uri="{FF2B5EF4-FFF2-40B4-BE49-F238E27FC236}">
              <a16:creationId xmlns:a16="http://schemas.microsoft.com/office/drawing/2014/main" id="{00000000-0008-0000-1800-000034A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" y="2695575"/>
          <a:ext cx="169545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9</xdr:row>
      <xdr:rowOff>19050</xdr:rowOff>
    </xdr:from>
    <xdr:to>
      <xdr:col>6</xdr:col>
      <xdr:colOff>600075</xdr:colOff>
      <xdr:row>9</xdr:row>
      <xdr:rowOff>219075</xdr:rowOff>
    </xdr:to>
    <xdr:pic>
      <xdr:nvPicPr>
        <xdr:cNvPr id="44085" name="Picture 180">
          <a:extLst>
            <a:ext uri="{FF2B5EF4-FFF2-40B4-BE49-F238E27FC236}">
              <a16:creationId xmlns:a16="http://schemas.microsoft.com/office/drawing/2014/main" id="{00000000-0008-0000-1800-000035A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0" y="1666875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1</xdr:row>
      <xdr:rowOff>19050</xdr:rowOff>
    </xdr:from>
    <xdr:to>
      <xdr:col>6</xdr:col>
      <xdr:colOff>600075</xdr:colOff>
      <xdr:row>1</xdr:row>
      <xdr:rowOff>219075</xdr:rowOff>
    </xdr:to>
    <xdr:pic>
      <xdr:nvPicPr>
        <xdr:cNvPr id="44086" name="Picture 180">
          <a:extLst>
            <a:ext uri="{FF2B5EF4-FFF2-40B4-BE49-F238E27FC236}">
              <a16:creationId xmlns:a16="http://schemas.microsoft.com/office/drawing/2014/main" id="{00000000-0008-0000-1800-000036A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0" y="114300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31</xdr:row>
      <xdr:rowOff>19050</xdr:rowOff>
    </xdr:from>
    <xdr:to>
      <xdr:col>6</xdr:col>
      <xdr:colOff>600075</xdr:colOff>
      <xdr:row>31</xdr:row>
      <xdr:rowOff>219075</xdr:rowOff>
    </xdr:to>
    <xdr:pic>
      <xdr:nvPicPr>
        <xdr:cNvPr id="44087" name="Picture 180">
          <a:extLst>
            <a:ext uri="{FF2B5EF4-FFF2-40B4-BE49-F238E27FC236}">
              <a16:creationId xmlns:a16="http://schemas.microsoft.com/office/drawing/2014/main" id="{00000000-0008-0000-1800-000037A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0" y="5495925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23</xdr:row>
      <xdr:rowOff>9525</xdr:rowOff>
    </xdr:from>
    <xdr:to>
      <xdr:col>2</xdr:col>
      <xdr:colOff>0</xdr:colOff>
      <xdr:row>28</xdr:row>
      <xdr:rowOff>152400</xdr:rowOff>
    </xdr:to>
    <xdr:pic>
      <xdr:nvPicPr>
        <xdr:cNvPr id="44088" name="Picture 41">
          <a:extLst>
            <a:ext uri="{FF2B5EF4-FFF2-40B4-BE49-F238E27FC236}">
              <a16:creationId xmlns:a16="http://schemas.microsoft.com/office/drawing/2014/main" id="{00000000-0008-0000-1800-000038A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" y="4171950"/>
          <a:ext cx="16954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35</xdr:row>
      <xdr:rowOff>9525</xdr:rowOff>
    </xdr:from>
    <xdr:to>
      <xdr:col>2</xdr:col>
      <xdr:colOff>0</xdr:colOff>
      <xdr:row>39</xdr:row>
      <xdr:rowOff>161925</xdr:rowOff>
    </xdr:to>
    <xdr:pic>
      <xdr:nvPicPr>
        <xdr:cNvPr id="44089" name="Picture 43">
          <a:extLst>
            <a:ext uri="{FF2B5EF4-FFF2-40B4-BE49-F238E27FC236}">
              <a16:creationId xmlns:a16="http://schemas.microsoft.com/office/drawing/2014/main" id="{00000000-0008-0000-1800-000039A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" y="6353175"/>
          <a:ext cx="16954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447675</xdr:colOff>
      <xdr:row>1</xdr:row>
      <xdr:rowOff>152400</xdr:rowOff>
    </xdr:from>
    <xdr:to>
      <xdr:col>10</xdr:col>
      <xdr:colOff>457200</xdr:colOff>
      <xdr:row>4</xdr:row>
      <xdr:rowOff>171450</xdr:rowOff>
    </xdr:to>
    <xdr:sp macro="" textlink="">
      <xdr:nvSpPr>
        <xdr:cNvPr id="44076" name="AutoShape 4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1800-00002CAC0000}"/>
            </a:ext>
          </a:extLst>
        </xdr:cNvPr>
        <xdr:cNvSpPr>
          <a:spLocks noChangeArrowheads="1"/>
        </xdr:cNvSpPr>
      </xdr:nvSpPr>
      <xdr:spPr bwMode="auto">
        <a:xfrm>
          <a:off x="6391275" y="247650"/>
          <a:ext cx="1838325" cy="6953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1</xdr:row>
      <xdr:rowOff>0</xdr:rowOff>
    </xdr:from>
    <xdr:to>
      <xdr:col>7</xdr:col>
      <xdr:colOff>600075</xdr:colOff>
      <xdr:row>1</xdr:row>
      <xdr:rowOff>200025</xdr:rowOff>
    </xdr:to>
    <xdr:pic>
      <xdr:nvPicPr>
        <xdr:cNvPr id="39987" name="Picture 6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900-0000339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47625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5</xdr:row>
      <xdr:rowOff>9525</xdr:rowOff>
    </xdr:from>
    <xdr:to>
      <xdr:col>1</xdr:col>
      <xdr:colOff>1457325</xdr:colOff>
      <xdr:row>11</xdr:row>
      <xdr:rowOff>152400</xdr:rowOff>
    </xdr:to>
    <xdr:pic>
      <xdr:nvPicPr>
        <xdr:cNvPr id="39988" name="Picture 5">
          <a:extLst>
            <a:ext uri="{FF2B5EF4-FFF2-40B4-BE49-F238E27FC236}">
              <a16:creationId xmlns:a16="http://schemas.microsoft.com/office/drawing/2014/main" id="{00000000-0008-0000-1900-0000349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923925"/>
          <a:ext cx="143827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2</xdr:col>
      <xdr:colOff>0</xdr:colOff>
      <xdr:row>19</xdr:row>
      <xdr:rowOff>161925</xdr:rowOff>
    </xdr:to>
    <xdr:pic>
      <xdr:nvPicPr>
        <xdr:cNvPr id="39989" name="Picture 7">
          <a:extLst>
            <a:ext uri="{FF2B5EF4-FFF2-40B4-BE49-F238E27FC236}">
              <a16:creationId xmlns:a16="http://schemas.microsoft.com/office/drawing/2014/main" id="{00000000-0008-0000-1900-0000359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2247900"/>
          <a:ext cx="14763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21</xdr:row>
      <xdr:rowOff>9525</xdr:rowOff>
    </xdr:from>
    <xdr:to>
      <xdr:col>2</xdr:col>
      <xdr:colOff>0</xdr:colOff>
      <xdr:row>26</xdr:row>
      <xdr:rowOff>152400</xdr:rowOff>
    </xdr:to>
    <xdr:pic>
      <xdr:nvPicPr>
        <xdr:cNvPr id="39990" name="Picture 9">
          <a:extLst>
            <a:ext uri="{FF2B5EF4-FFF2-40B4-BE49-F238E27FC236}">
              <a16:creationId xmlns:a16="http://schemas.microsoft.com/office/drawing/2014/main" id="{00000000-0008-0000-1900-0000369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3590925"/>
          <a:ext cx="14763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28</xdr:row>
      <xdr:rowOff>0</xdr:rowOff>
    </xdr:from>
    <xdr:to>
      <xdr:col>1</xdr:col>
      <xdr:colOff>1466850</xdr:colOff>
      <xdr:row>35</xdr:row>
      <xdr:rowOff>152400</xdr:rowOff>
    </xdr:to>
    <xdr:pic>
      <xdr:nvPicPr>
        <xdr:cNvPr id="39991" name="Picture 11">
          <a:extLst>
            <a:ext uri="{FF2B5EF4-FFF2-40B4-BE49-F238E27FC236}">
              <a16:creationId xmlns:a16="http://schemas.microsoft.com/office/drawing/2014/main" id="{00000000-0008-0000-1900-0000379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4752975"/>
          <a:ext cx="146685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37</xdr:row>
      <xdr:rowOff>19050</xdr:rowOff>
    </xdr:from>
    <xdr:to>
      <xdr:col>2</xdr:col>
      <xdr:colOff>0</xdr:colOff>
      <xdr:row>42</xdr:row>
      <xdr:rowOff>152400</xdr:rowOff>
    </xdr:to>
    <xdr:pic>
      <xdr:nvPicPr>
        <xdr:cNvPr id="39992" name="Picture 14">
          <a:extLst>
            <a:ext uri="{FF2B5EF4-FFF2-40B4-BE49-F238E27FC236}">
              <a16:creationId xmlns:a16="http://schemas.microsoft.com/office/drawing/2014/main" id="{00000000-0008-0000-1900-0000389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6267450"/>
          <a:ext cx="147637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1466850</xdr:colOff>
      <xdr:row>52</xdr:row>
      <xdr:rowOff>161925</xdr:rowOff>
    </xdr:to>
    <xdr:pic>
      <xdr:nvPicPr>
        <xdr:cNvPr id="39993" name="Picture 16">
          <a:extLst>
            <a:ext uri="{FF2B5EF4-FFF2-40B4-BE49-F238E27FC236}">
              <a16:creationId xmlns:a16="http://schemas.microsoft.com/office/drawing/2014/main" id="{00000000-0008-0000-1900-0000399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7419975"/>
          <a:ext cx="1466850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54</xdr:row>
      <xdr:rowOff>0</xdr:rowOff>
    </xdr:from>
    <xdr:to>
      <xdr:col>1</xdr:col>
      <xdr:colOff>1466850</xdr:colOff>
      <xdr:row>62</xdr:row>
      <xdr:rowOff>152400</xdr:rowOff>
    </xdr:to>
    <xdr:pic>
      <xdr:nvPicPr>
        <xdr:cNvPr id="39994" name="Picture 18">
          <a:extLst>
            <a:ext uri="{FF2B5EF4-FFF2-40B4-BE49-F238E27FC236}">
              <a16:creationId xmlns:a16="http://schemas.microsoft.com/office/drawing/2014/main" id="{00000000-0008-0000-1900-00003A9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9077325"/>
          <a:ext cx="146685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64</xdr:row>
      <xdr:rowOff>19050</xdr:rowOff>
    </xdr:from>
    <xdr:to>
      <xdr:col>2</xdr:col>
      <xdr:colOff>0</xdr:colOff>
      <xdr:row>69</xdr:row>
      <xdr:rowOff>161925</xdr:rowOff>
    </xdr:to>
    <xdr:pic>
      <xdr:nvPicPr>
        <xdr:cNvPr id="39995" name="Picture 20">
          <a:extLst>
            <a:ext uri="{FF2B5EF4-FFF2-40B4-BE49-F238E27FC236}">
              <a16:creationId xmlns:a16="http://schemas.microsoft.com/office/drawing/2014/main" id="{00000000-0008-0000-1900-00003B9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10753725"/>
          <a:ext cx="14763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</xdr:row>
      <xdr:rowOff>76200</xdr:rowOff>
    </xdr:from>
    <xdr:to>
      <xdr:col>11</xdr:col>
      <xdr:colOff>219075</xdr:colOff>
      <xdr:row>4</xdr:row>
      <xdr:rowOff>95250</xdr:rowOff>
    </xdr:to>
    <xdr:sp macro="" textlink="">
      <xdr:nvSpPr>
        <xdr:cNvPr id="39958" name="AutoShape 22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1900-0000169C0000}"/>
            </a:ext>
          </a:extLst>
        </xdr:cNvPr>
        <xdr:cNvSpPr>
          <a:spLocks noChangeArrowheads="1"/>
        </xdr:cNvSpPr>
      </xdr:nvSpPr>
      <xdr:spPr bwMode="auto">
        <a:xfrm>
          <a:off x="8372475" y="123825"/>
          <a:ext cx="1838325" cy="6953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 editAs="oneCell">
    <xdr:from>
      <xdr:col>1</xdr:col>
      <xdr:colOff>0</xdr:colOff>
      <xdr:row>71</xdr:row>
      <xdr:rowOff>0</xdr:rowOff>
    </xdr:from>
    <xdr:to>
      <xdr:col>2</xdr:col>
      <xdr:colOff>0</xdr:colOff>
      <xdr:row>76</xdr:row>
      <xdr:rowOff>161925</xdr:rowOff>
    </xdr:to>
    <xdr:pic>
      <xdr:nvPicPr>
        <xdr:cNvPr id="39997" name="Picture 28">
          <a:extLst>
            <a:ext uri="{FF2B5EF4-FFF2-40B4-BE49-F238E27FC236}">
              <a16:creationId xmlns:a16="http://schemas.microsoft.com/office/drawing/2014/main" id="{00000000-0008-0000-1900-00003D9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11906250"/>
          <a:ext cx="147637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83</xdr:row>
      <xdr:rowOff>19050</xdr:rowOff>
    </xdr:from>
    <xdr:to>
      <xdr:col>2</xdr:col>
      <xdr:colOff>0</xdr:colOff>
      <xdr:row>90</xdr:row>
      <xdr:rowOff>0</xdr:rowOff>
    </xdr:to>
    <xdr:pic>
      <xdr:nvPicPr>
        <xdr:cNvPr id="39999" name="Picture 33">
          <a:extLst>
            <a:ext uri="{FF2B5EF4-FFF2-40B4-BE49-F238E27FC236}">
              <a16:creationId xmlns:a16="http://schemas.microsoft.com/office/drawing/2014/main" id="{00000000-0008-0000-1900-00003F9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14106525"/>
          <a:ext cx="14763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304800</xdr:colOff>
      <xdr:row>79</xdr:row>
      <xdr:rowOff>76200</xdr:rowOff>
    </xdr:from>
    <xdr:to>
      <xdr:col>11</xdr:col>
      <xdr:colOff>314325</xdr:colOff>
      <xdr:row>82</xdr:row>
      <xdr:rowOff>95250</xdr:rowOff>
    </xdr:to>
    <xdr:sp macro="" textlink="">
      <xdr:nvSpPr>
        <xdr:cNvPr id="39972" name="AutoShape 36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1900-0000249C0000}"/>
            </a:ext>
          </a:extLst>
        </xdr:cNvPr>
        <xdr:cNvSpPr>
          <a:spLocks noChangeArrowheads="1"/>
        </xdr:cNvSpPr>
      </xdr:nvSpPr>
      <xdr:spPr bwMode="auto">
        <a:xfrm>
          <a:off x="8467725" y="13296900"/>
          <a:ext cx="1838325" cy="6953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723900</xdr:colOff>
      <xdr:row>24</xdr:row>
      <xdr:rowOff>9525</xdr:rowOff>
    </xdr:from>
    <xdr:to>
      <xdr:col>4</xdr:col>
      <xdr:colOff>276225</xdr:colOff>
      <xdr:row>35</xdr:row>
      <xdr:rowOff>85725</xdr:rowOff>
    </xdr:to>
    <xdr:pic>
      <xdr:nvPicPr>
        <xdr:cNvPr id="41019" name="Picture 27">
          <a:extLst>
            <a:ext uri="{FF2B5EF4-FFF2-40B4-BE49-F238E27FC236}">
              <a16:creationId xmlns:a16="http://schemas.microsoft.com/office/drawing/2014/main" id="{00000000-0008-0000-1A00-00003BA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" y="3562350"/>
          <a:ext cx="2324100" cy="226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361950</xdr:colOff>
      <xdr:row>25</xdr:row>
      <xdr:rowOff>28575</xdr:rowOff>
    </xdr:from>
    <xdr:to>
      <xdr:col>13</xdr:col>
      <xdr:colOff>723900</xdr:colOff>
      <xdr:row>35</xdr:row>
      <xdr:rowOff>152400</xdr:rowOff>
    </xdr:to>
    <xdr:pic>
      <xdr:nvPicPr>
        <xdr:cNvPr id="41020" name="Picture 28">
          <a:extLst>
            <a:ext uri="{FF2B5EF4-FFF2-40B4-BE49-F238E27FC236}">
              <a16:creationId xmlns:a16="http://schemas.microsoft.com/office/drawing/2014/main" id="{00000000-0008-0000-1A00-00003CA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3743325"/>
          <a:ext cx="2867025" cy="215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723900</xdr:colOff>
      <xdr:row>24</xdr:row>
      <xdr:rowOff>9525</xdr:rowOff>
    </xdr:from>
    <xdr:to>
      <xdr:col>4</xdr:col>
      <xdr:colOff>276225</xdr:colOff>
      <xdr:row>35</xdr:row>
      <xdr:rowOff>85725</xdr:rowOff>
    </xdr:to>
    <xdr:pic>
      <xdr:nvPicPr>
        <xdr:cNvPr id="6" name="Picture 27">
          <a:extLst>
            <a:ext uri="{FF2B5EF4-FFF2-40B4-BE49-F238E27FC236}">
              <a16:creationId xmlns:a16="http://schemas.microsoft.com/office/drawing/2014/main" id="{00000000-0008-0000-1A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" y="3562350"/>
          <a:ext cx="2324100" cy="226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361950</xdr:colOff>
      <xdr:row>25</xdr:row>
      <xdr:rowOff>28575</xdr:rowOff>
    </xdr:from>
    <xdr:to>
      <xdr:col>13</xdr:col>
      <xdr:colOff>723900</xdr:colOff>
      <xdr:row>35</xdr:row>
      <xdr:rowOff>152400</xdr:rowOff>
    </xdr:to>
    <xdr:pic>
      <xdr:nvPicPr>
        <xdr:cNvPr id="7" name="Picture 28">
          <a:extLst>
            <a:ext uri="{FF2B5EF4-FFF2-40B4-BE49-F238E27FC236}">
              <a16:creationId xmlns:a16="http://schemas.microsoft.com/office/drawing/2014/main" id="{00000000-0008-0000-1A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3743325"/>
          <a:ext cx="2867025" cy="215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</xdr:colOff>
      <xdr:row>26</xdr:row>
      <xdr:rowOff>9525</xdr:rowOff>
    </xdr:from>
    <xdr:to>
      <xdr:col>1</xdr:col>
      <xdr:colOff>1962150</xdr:colOff>
      <xdr:row>35</xdr:row>
      <xdr:rowOff>142875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2047875"/>
          <a:ext cx="1952625" cy="1552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96</xdr:row>
      <xdr:rowOff>9525</xdr:rowOff>
    </xdr:from>
    <xdr:to>
      <xdr:col>1</xdr:col>
      <xdr:colOff>1962149</xdr:colOff>
      <xdr:row>105</xdr:row>
      <xdr:rowOff>152400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B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6286500"/>
          <a:ext cx="1943099" cy="1552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9526</xdr:colOff>
      <xdr:row>130</xdr:row>
      <xdr:rowOff>9524</xdr:rowOff>
    </xdr:from>
    <xdr:to>
      <xdr:col>2</xdr:col>
      <xdr:colOff>1</xdr:colOff>
      <xdr:row>140</xdr:row>
      <xdr:rowOff>142874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B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6" y="15001874"/>
          <a:ext cx="1962150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19051</xdr:colOff>
      <xdr:row>109</xdr:row>
      <xdr:rowOff>19050</xdr:rowOff>
    </xdr:from>
    <xdr:to>
      <xdr:col>1</xdr:col>
      <xdr:colOff>1964631</xdr:colOff>
      <xdr:row>124</xdr:row>
      <xdr:rowOff>152400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B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1" y="12077700"/>
          <a:ext cx="1945580" cy="2562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19051</xdr:colOff>
      <xdr:row>39</xdr:row>
      <xdr:rowOff>19051</xdr:rowOff>
    </xdr:from>
    <xdr:to>
      <xdr:col>1</xdr:col>
      <xdr:colOff>1962151</xdr:colOff>
      <xdr:row>51</xdr:row>
      <xdr:rowOff>152400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B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1" y="6877051"/>
          <a:ext cx="1943100" cy="20764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11</xdr:row>
      <xdr:rowOff>19050</xdr:rowOff>
    </xdr:from>
    <xdr:to>
      <xdr:col>1</xdr:col>
      <xdr:colOff>1952625</xdr:colOff>
      <xdr:row>20</xdr:row>
      <xdr:rowOff>145797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B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1857375"/>
          <a:ext cx="1933575" cy="1545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84</xdr:col>
      <xdr:colOff>9525</xdr:colOff>
      <xdr:row>1</xdr:row>
      <xdr:rowOff>0</xdr:rowOff>
    </xdr:from>
    <xdr:to>
      <xdr:col>90</xdr:col>
      <xdr:colOff>257175</xdr:colOff>
      <xdr:row>8</xdr:row>
      <xdr:rowOff>9525</xdr:rowOff>
    </xdr:to>
    <xdr:pic>
      <xdr:nvPicPr>
        <xdr:cNvPr id="9" name="Picture 28">
          <a:extLst>
            <a:ext uri="{FF2B5EF4-FFF2-40B4-BE49-F238E27FC236}">
              <a16:creationId xmlns:a16="http://schemas.microsoft.com/office/drawing/2014/main" id="{00000000-0008-0000-1B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19074"/>
          <a:ext cx="4038600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>
    <xdr:from>
      <xdr:col>84</xdr:col>
      <xdr:colOff>38099</xdr:colOff>
      <xdr:row>16</xdr:row>
      <xdr:rowOff>123825</xdr:rowOff>
    </xdr:from>
    <xdr:to>
      <xdr:col>87</xdr:col>
      <xdr:colOff>323850</xdr:colOff>
      <xdr:row>21</xdr:row>
      <xdr:rowOff>66675</xdr:rowOff>
    </xdr:to>
    <xdr:sp macro="" textlink="">
      <xdr:nvSpPr>
        <xdr:cNvPr id="10" name="Стрелка влево 9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1B00-00000A000000}"/>
            </a:ext>
          </a:extLst>
        </xdr:cNvPr>
        <xdr:cNvSpPr/>
      </xdr:nvSpPr>
      <xdr:spPr bwMode="auto">
        <a:xfrm>
          <a:off x="7848599" y="2495550"/>
          <a:ext cx="2190751" cy="752475"/>
        </a:xfrm>
        <a:prstGeom prst="leftArrow">
          <a:avLst>
            <a:gd name="adj1" fmla="val 50000"/>
            <a:gd name="adj2" fmla="val 70779"/>
          </a:avLst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noAutofit/>
        </a:bodyPr>
        <a:lstStyle/>
        <a:p>
          <a:pPr marL="0" indent="0" algn="l"/>
          <a:r>
            <a:rPr lang="en-US" sz="16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      </a:t>
          </a:r>
          <a:r>
            <a:rPr lang="ru-RU" sz="16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СОДЕРЖАНИЕ</a:t>
          </a:r>
        </a:p>
      </xdr:txBody>
    </xdr:sp>
    <xdr:clientData/>
  </xdr:twoCellAnchor>
  <xdr:twoCellAnchor editAs="oneCell">
    <xdr:from>
      <xdr:col>1</xdr:col>
      <xdr:colOff>9524</xdr:colOff>
      <xdr:row>165</xdr:row>
      <xdr:rowOff>95248</xdr:rowOff>
    </xdr:from>
    <xdr:to>
      <xdr:col>2</xdr:col>
      <xdr:colOff>0</xdr:colOff>
      <xdr:row>177</xdr:row>
      <xdr:rowOff>28574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B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18507073"/>
          <a:ext cx="1962151" cy="182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</xdr:colOff>
      <xdr:row>202</xdr:row>
      <xdr:rowOff>104775</xdr:rowOff>
    </xdr:from>
    <xdr:to>
      <xdr:col>1</xdr:col>
      <xdr:colOff>1964928</xdr:colOff>
      <xdr:row>216</xdr:row>
      <xdr:rowOff>9525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B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24784050"/>
          <a:ext cx="1955403" cy="217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9526</xdr:colOff>
      <xdr:row>181</xdr:row>
      <xdr:rowOff>57150</xdr:rowOff>
    </xdr:from>
    <xdr:to>
      <xdr:col>2</xdr:col>
      <xdr:colOff>0</xdr:colOff>
      <xdr:row>196</xdr:row>
      <xdr:rowOff>95250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B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6" y="21240750"/>
          <a:ext cx="1962149" cy="2466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87</xdr:col>
      <xdr:colOff>428626</xdr:colOff>
      <xdr:row>28</xdr:row>
      <xdr:rowOff>66675</xdr:rowOff>
    </xdr:from>
    <xdr:to>
      <xdr:col>89</xdr:col>
      <xdr:colOff>495300</xdr:colOff>
      <xdr:row>30</xdr:row>
      <xdr:rowOff>52839</xdr:rowOff>
    </xdr:to>
    <xdr:sp macro="" textlink="">
      <xdr:nvSpPr>
        <xdr:cNvPr id="13" name="Скругленный прямоугольник 1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1B00-00000D000000}"/>
            </a:ext>
          </a:extLst>
        </xdr:cNvPr>
        <xdr:cNvSpPr/>
      </xdr:nvSpPr>
      <xdr:spPr bwMode="auto">
        <a:xfrm>
          <a:off x="10144126" y="4514850"/>
          <a:ext cx="1343024" cy="310014"/>
        </a:xfrm>
        <a:prstGeom prst="roundRect">
          <a:avLst/>
        </a:prstGeom>
        <a:solidFill>
          <a:schemeClr val="bg1">
            <a:lumMod val="85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SERVO-DRIVE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85</xdr:col>
      <xdr:colOff>38100</xdr:colOff>
      <xdr:row>21</xdr:row>
      <xdr:rowOff>9525</xdr:rowOff>
    </xdr:from>
    <xdr:to>
      <xdr:col>87</xdr:col>
      <xdr:colOff>323851</xdr:colOff>
      <xdr:row>23</xdr:row>
      <xdr:rowOff>80569</xdr:rowOff>
    </xdr:to>
    <xdr:sp macro="" textlink="">
      <xdr:nvSpPr>
        <xdr:cNvPr id="15" name="Скругленный прямоугольник 14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1B00-00000F000000}"/>
            </a:ext>
          </a:extLst>
        </xdr:cNvPr>
        <xdr:cNvSpPr/>
      </xdr:nvSpPr>
      <xdr:spPr bwMode="auto">
        <a:xfrm>
          <a:off x="8458200" y="3190875"/>
          <a:ext cx="1581151" cy="413944"/>
        </a:xfrm>
        <a:prstGeom prst="roundRect">
          <a:avLst/>
        </a:prstGeom>
        <a:solidFill>
          <a:schemeClr val="bg1">
            <a:lumMod val="50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marL="0" indent="0" algn="ctr"/>
          <a:r>
            <a:rPr lang="en-US" sz="18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LEGRABOX </a:t>
          </a:r>
          <a:endParaRPr lang="ru-RU" sz="1800" b="1">
            <a:solidFill>
              <a:sysClr val="windowText" lastClr="00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85</xdr:col>
      <xdr:colOff>266700</xdr:colOff>
      <xdr:row>25</xdr:row>
      <xdr:rowOff>142875</xdr:rowOff>
    </xdr:from>
    <xdr:to>
      <xdr:col>87</xdr:col>
      <xdr:colOff>323850</xdr:colOff>
      <xdr:row>27</xdr:row>
      <xdr:rowOff>129039</xdr:rowOff>
    </xdr:to>
    <xdr:sp macro="" textlink="">
      <xdr:nvSpPr>
        <xdr:cNvPr id="16" name="Скругленный прямоугольник 15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0000000-0008-0000-1B00-000010000000}"/>
            </a:ext>
          </a:extLst>
        </xdr:cNvPr>
        <xdr:cNvSpPr/>
      </xdr:nvSpPr>
      <xdr:spPr bwMode="auto">
        <a:xfrm>
          <a:off x="8686800" y="4105275"/>
          <a:ext cx="1352550" cy="310014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AMBIA-LINE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87</xdr:col>
      <xdr:colOff>390527</xdr:colOff>
      <xdr:row>23</xdr:row>
      <xdr:rowOff>171450</xdr:rowOff>
    </xdr:from>
    <xdr:to>
      <xdr:col>89</xdr:col>
      <xdr:colOff>457201</xdr:colOff>
      <xdr:row>25</xdr:row>
      <xdr:rowOff>43314</xdr:rowOff>
    </xdr:to>
    <xdr:sp macro="" textlink="">
      <xdr:nvSpPr>
        <xdr:cNvPr id="17" name="Скругленный прямоугольник 16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1B00-000011000000}"/>
            </a:ext>
          </a:extLst>
        </xdr:cNvPr>
        <xdr:cNvSpPr/>
      </xdr:nvSpPr>
      <xdr:spPr bwMode="auto">
        <a:xfrm>
          <a:off x="10106027" y="3695700"/>
          <a:ext cx="1343024" cy="310014"/>
        </a:xfrm>
        <a:prstGeom prst="roundRect">
          <a:avLst/>
        </a:prstGeom>
        <a:solidFill>
          <a:schemeClr val="bg1">
            <a:lumMod val="65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LEGRABOX</a:t>
          </a:r>
          <a:r>
            <a:rPr lang="en-US" sz="1200" b="1" baseline="0">
              <a:solidFill>
                <a:sysClr val="windowText" lastClr="000000"/>
              </a:solidFill>
            </a:rPr>
            <a:t> free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85</xdr:col>
      <xdr:colOff>276227</xdr:colOff>
      <xdr:row>23</xdr:row>
      <xdr:rowOff>171450</xdr:rowOff>
    </xdr:from>
    <xdr:to>
      <xdr:col>87</xdr:col>
      <xdr:colOff>323851</xdr:colOff>
      <xdr:row>25</xdr:row>
      <xdr:rowOff>43314</xdr:rowOff>
    </xdr:to>
    <xdr:sp macro="" textlink="">
      <xdr:nvSpPr>
        <xdr:cNvPr id="19" name="Скругленный прямоугольник 18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1B00-000013000000}"/>
            </a:ext>
          </a:extLst>
        </xdr:cNvPr>
        <xdr:cNvSpPr/>
      </xdr:nvSpPr>
      <xdr:spPr bwMode="auto">
        <a:xfrm>
          <a:off x="8696327" y="3695700"/>
          <a:ext cx="1343024" cy="310014"/>
        </a:xfrm>
        <a:prstGeom prst="roundRect">
          <a:avLst/>
        </a:prstGeom>
        <a:solidFill>
          <a:schemeClr val="bg1">
            <a:lumMod val="65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LEGRABOX</a:t>
          </a:r>
          <a:r>
            <a:rPr lang="en-US" sz="1200" b="1" baseline="0">
              <a:solidFill>
                <a:sysClr val="windowText" lastClr="000000"/>
              </a:solidFill>
            </a:rPr>
            <a:t> pure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85</xdr:col>
      <xdr:colOff>266700</xdr:colOff>
      <xdr:row>28</xdr:row>
      <xdr:rowOff>66675</xdr:rowOff>
    </xdr:from>
    <xdr:to>
      <xdr:col>87</xdr:col>
      <xdr:colOff>352425</xdr:colOff>
      <xdr:row>30</xdr:row>
      <xdr:rowOff>52839</xdr:rowOff>
    </xdr:to>
    <xdr:sp macro="" textlink="">
      <xdr:nvSpPr>
        <xdr:cNvPr id="21" name="Скругленный прямоугольник 20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0000000-0008-0000-1B00-000015000000}"/>
            </a:ext>
          </a:extLst>
        </xdr:cNvPr>
        <xdr:cNvSpPr/>
      </xdr:nvSpPr>
      <xdr:spPr bwMode="auto">
        <a:xfrm>
          <a:off x="8686800" y="4772025"/>
          <a:ext cx="1381125" cy="310014"/>
        </a:xfrm>
        <a:prstGeom prst="roundRect">
          <a:avLst/>
        </a:prstGeom>
        <a:solidFill>
          <a:schemeClr val="bg1">
            <a:lumMod val="85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TIP-ON </a:t>
          </a:r>
          <a:r>
            <a:rPr lang="en-US" sz="1200" b="1" baseline="0">
              <a:solidFill>
                <a:sysClr val="windowText" lastClr="000000"/>
              </a:solidFill>
            </a:rPr>
            <a:t>Blumotion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1</xdr:col>
      <xdr:colOff>390526</xdr:colOff>
      <xdr:row>53</xdr:row>
      <xdr:rowOff>28575</xdr:rowOff>
    </xdr:from>
    <xdr:to>
      <xdr:col>1</xdr:col>
      <xdr:colOff>1457325</xdr:colOff>
      <xdr:row>56</xdr:row>
      <xdr:rowOff>141393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81026" y="8734425"/>
          <a:ext cx="1066799" cy="598593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200026</xdr:colOff>
      <xdr:row>41</xdr:row>
      <xdr:rowOff>38099</xdr:rowOff>
    </xdr:from>
    <xdr:to>
      <xdr:col>1</xdr:col>
      <xdr:colOff>1670196</xdr:colOff>
      <xdr:row>44</xdr:row>
      <xdr:rowOff>133349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6" y="5067299"/>
          <a:ext cx="1470170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200025</xdr:colOff>
      <xdr:row>48</xdr:row>
      <xdr:rowOff>19050</xdr:rowOff>
    </xdr:from>
    <xdr:to>
      <xdr:col>1</xdr:col>
      <xdr:colOff>1638300</xdr:colOff>
      <xdr:row>51</xdr:row>
      <xdr:rowOff>115644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C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5353050"/>
          <a:ext cx="1438275" cy="5823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9526</xdr:colOff>
      <xdr:row>65</xdr:row>
      <xdr:rowOff>19051</xdr:rowOff>
    </xdr:from>
    <xdr:to>
      <xdr:col>1</xdr:col>
      <xdr:colOff>1962149</xdr:colOff>
      <xdr:row>71</xdr:row>
      <xdr:rowOff>34656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C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6" y="7981951"/>
          <a:ext cx="1952623" cy="1053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9526</xdr:colOff>
      <xdr:row>55</xdr:row>
      <xdr:rowOff>19050</xdr:rowOff>
    </xdr:from>
    <xdr:to>
      <xdr:col>1</xdr:col>
      <xdr:colOff>1962150</xdr:colOff>
      <xdr:row>61</xdr:row>
      <xdr:rowOff>113250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C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6" y="6429375"/>
          <a:ext cx="1952624" cy="105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</xdr:colOff>
      <xdr:row>78</xdr:row>
      <xdr:rowOff>28574</xdr:rowOff>
    </xdr:from>
    <xdr:to>
      <xdr:col>1</xdr:col>
      <xdr:colOff>1950244</xdr:colOff>
      <xdr:row>83</xdr:row>
      <xdr:rowOff>28574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C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10153649"/>
          <a:ext cx="1940719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87</xdr:row>
      <xdr:rowOff>104774</xdr:rowOff>
    </xdr:from>
    <xdr:to>
      <xdr:col>1</xdr:col>
      <xdr:colOff>1943100</xdr:colOff>
      <xdr:row>93</xdr:row>
      <xdr:rowOff>21824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C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11782424"/>
          <a:ext cx="1924050" cy="84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19051</xdr:colOff>
      <xdr:row>97</xdr:row>
      <xdr:rowOff>28576</xdr:rowOff>
    </xdr:from>
    <xdr:to>
      <xdr:col>1</xdr:col>
      <xdr:colOff>1962150</xdr:colOff>
      <xdr:row>102</xdr:row>
      <xdr:rowOff>95251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C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1" y="13163551"/>
          <a:ext cx="1943099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390524</xdr:colOff>
      <xdr:row>1</xdr:row>
      <xdr:rowOff>9525</xdr:rowOff>
    </xdr:from>
    <xdr:to>
      <xdr:col>23</xdr:col>
      <xdr:colOff>142875</xdr:colOff>
      <xdr:row>4</xdr:row>
      <xdr:rowOff>180975</xdr:rowOff>
    </xdr:to>
    <xdr:sp macro="" textlink="">
      <xdr:nvSpPr>
        <xdr:cNvPr id="24" name="Стрелка влево 23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1C00-000018000000}"/>
            </a:ext>
          </a:extLst>
        </xdr:cNvPr>
        <xdr:cNvSpPr/>
      </xdr:nvSpPr>
      <xdr:spPr bwMode="auto">
        <a:xfrm>
          <a:off x="14725649" y="200025"/>
          <a:ext cx="2190751" cy="752475"/>
        </a:xfrm>
        <a:prstGeom prst="leftArrow">
          <a:avLst>
            <a:gd name="adj1" fmla="val 50000"/>
            <a:gd name="adj2" fmla="val 70779"/>
          </a:avLst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noAutofit/>
        </a:bodyPr>
        <a:lstStyle/>
        <a:p>
          <a:pPr marL="0" indent="0" algn="l"/>
          <a:r>
            <a:rPr lang="en-US" sz="16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      </a:t>
          </a:r>
          <a:r>
            <a:rPr lang="ru-RU" sz="16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СОДЕРЖАНИЕ</a:t>
          </a:r>
        </a:p>
      </xdr:txBody>
    </xdr:sp>
    <xdr:clientData/>
  </xdr:twoCellAnchor>
  <xdr:twoCellAnchor>
    <xdr:from>
      <xdr:col>23</xdr:col>
      <xdr:colOff>247652</xdr:colOff>
      <xdr:row>12</xdr:row>
      <xdr:rowOff>228600</xdr:rowOff>
    </xdr:from>
    <xdr:to>
      <xdr:col>25</xdr:col>
      <xdr:colOff>371476</xdr:colOff>
      <xdr:row>14</xdr:row>
      <xdr:rowOff>129039</xdr:rowOff>
    </xdr:to>
    <xdr:sp macro="" textlink="">
      <xdr:nvSpPr>
        <xdr:cNvPr id="25" name="Скругленный прямоугольник 24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1C00-000019000000}"/>
            </a:ext>
          </a:extLst>
        </xdr:cNvPr>
        <xdr:cNvSpPr/>
      </xdr:nvSpPr>
      <xdr:spPr bwMode="auto">
        <a:xfrm>
          <a:off x="9296402" y="2219325"/>
          <a:ext cx="1343024" cy="310014"/>
        </a:xfrm>
        <a:prstGeom prst="roundRect">
          <a:avLst/>
        </a:prstGeom>
        <a:solidFill>
          <a:schemeClr val="bg1">
            <a:lumMod val="85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SERVO-DRIVE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20</xdr:col>
      <xdr:colOff>390526</xdr:colOff>
      <xdr:row>4</xdr:row>
      <xdr:rowOff>123825</xdr:rowOff>
    </xdr:from>
    <xdr:to>
      <xdr:col>23</xdr:col>
      <xdr:colOff>142877</xdr:colOff>
      <xdr:row>7</xdr:row>
      <xdr:rowOff>71044</xdr:rowOff>
    </xdr:to>
    <xdr:sp macro="" textlink="">
      <xdr:nvSpPr>
        <xdr:cNvPr id="26" name="Скругленный прямоугольник 25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1C00-00001A000000}"/>
            </a:ext>
          </a:extLst>
        </xdr:cNvPr>
        <xdr:cNvSpPr/>
      </xdr:nvSpPr>
      <xdr:spPr bwMode="auto">
        <a:xfrm>
          <a:off x="7610476" y="895350"/>
          <a:ext cx="1581151" cy="413944"/>
        </a:xfrm>
        <a:prstGeom prst="roundRect">
          <a:avLst/>
        </a:prstGeom>
        <a:solidFill>
          <a:schemeClr val="bg1">
            <a:lumMod val="50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marL="0" indent="0" algn="ctr"/>
          <a:r>
            <a:rPr lang="en-US" sz="18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LEGRABOX </a:t>
          </a:r>
          <a:endParaRPr lang="ru-RU" sz="1800" b="1">
            <a:solidFill>
              <a:sysClr val="windowText" lastClr="00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21</xdr:col>
      <xdr:colOff>9526</xdr:colOff>
      <xdr:row>11</xdr:row>
      <xdr:rowOff>66675</xdr:rowOff>
    </xdr:from>
    <xdr:to>
      <xdr:col>23</xdr:col>
      <xdr:colOff>142876</xdr:colOff>
      <xdr:row>12</xdr:row>
      <xdr:rowOff>129039</xdr:rowOff>
    </xdr:to>
    <xdr:sp macro="" textlink="">
      <xdr:nvSpPr>
        <xdr:cNvPr id="27" name="Скругленный прямоугольник 26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1C00-00001B000000}"/>
            </a:ext>
          </a:extLst>
        </xdr:cNvPr>
        <xdr:cNvSpPr/>
      </xdr:nvSpPr>
      <xdr:spPr bwMode="auto">
        <a:xfrm>
          <a:off x="7839076" y="1809750"/>
          <a:ext cx="1352550" cy="310014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AMBIA-LINE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23</xdr:col>
      <xdr:colOff>209553</xdr:colOff>
      <xdr:row>8</xdr:row>
      <xdr:rowOff>0</xdr:rowOff>
    </xdr:from>
    <xdr:to>
      <xdr:col>25</xdr:col>
      <xdr:colOff>333377</xdr:colOff>
      <xdr:row>9</xdr:row>
      <xdr:rowOff>148089</xdr:rowOff>
    </xdr:to>
    <xdr:sp macro="" textlink="">
      <xdr:nvSpPr>
        <xdr:cNvPr id="28" name="Скругленный прямоугольник 27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1C00-00001C000000}"/>
            </a:ext>
          </a:extLst>
        </xdr:cNvPr>
        <xdr:cNvSpPr/>
      </xdr:nvSpPr>
      <xdr:spPr bwMode="auto">
        <a:xfrm>
          <a:off x="9258303" y="1400175"/>
          <a:ext cx="1343024" cy="310014"/>
        </a:xfrm>
        <a:prstGeom prst="roundRect">
          <a:avLst/>
        </a:prstGeom>
        <a:solidFill>
          <a:schemeClr val="bg1">
            <a:lumMod val="65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LEGRABOX</a:t>
          </a:r>
          <a:r>
            <a:rPr lang="en-US" sz="1200" b="1" baseline="0">
              <a:solidFill>
                <a:sysClr val="windowText" lastClr="000000"/>
              </a:solidFill>
            </a:rPr>
            <a:t> free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21</xdr:col>
      <xdr:colOff>19053</xdr:colOff>
      <xdr:row>8</xdr:row>
      <xdr:rowOff>0</xdr:rowOff>
    </xdr:from>
    <xdr:to>
      <xdr:col>23</xdr:col>
      <xdr:colOff>142877</xdr:colOff>
      <xdr:row>9</xdr:row>
      <xdr:rowOff>148089</xdr:rowOff>
    </xdr:to>
    <xdr:sp macro="" textlink="">
      <xdr:nvSpPr>
        <xdr:cNvPr id="29" name="Скругленный прямоугольник 28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1C00-00001D000000}"/>
            </a:ext>
          </a:extLst>
        </xdr:cNvPr>
        <xdr:cNvSpPr/>
      </xdr:nvSpPr>
      <xdr:spPr bwMode="auto">
        <a:xfrm>
          <a:off x="7848603" y="1400175"/>
          <a:ext cx="1343024" cy="310014"/>
        </a:xfrm>
        <a:prstGeom prst="roundRect">
          <a:avLst/>
        </a:prstGeom>
        <a:solidFill>
          <a:schemeClr val="bg1">
            <a:lumMod val="65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LEGRABOX</a:t>
          </a:r>
          <a:r>
            <a:rPr lang="en-US" sz="1200" b="1" baseline="0">
              <a:solidFill>
                <a:sysClr val="windowText" lastClr="000000"/>
              </a:solidFill>
            </a:rPr>
            <a:t> pure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21</xdr:col>
      <xdr:colOff>9526</xdr:colOff>
      <xdr:row>12</xdr:row>
      <xdr:rowOff>228600</xdr:rowOff>
    </xdr:from>
    <xdr:to>
      <xdr:col>23</xdr:col>
      <xdr:colOff>171451</xdr:colOff>
      <xdr:row>14</xdr:row>
      <xdr:rowOff>129039</xdr:rowOff>
    </xdr:to>
    <xdr:sp macro="" textlink="">
      <xdr:nvSpPr>
        <xdr:cNvPr id="30" name="Скругленный прямоугольник 29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1C00-00001E000000}"/>
            </a:ext>
          </a:extLst>
        </xdr:cNvPr>
        <xdr:cNvSpPr/>
      </xdr:nvSpPr>
      <xdr:spPr bwMode="auto">
        <a:xfrm>
          <a:off x="7839076" y="2219325"/>
          <a:ext cx="1381125" cy="310014"/>
        </a:xfrm>
        <a:prstGeom prst="roundRect">
          <a:avLst/>
        </a:prstGeom>
        <a:solidFill>
          <a:schemeClr val="bg1">
            <a:lumMod val="85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TIP-ON </a:t>
          </a:r>
          <a:r>
            <a:rPr lang="en-US" sz="1200" b="1" baseline="0">
              <a:solidFill>
                <a:sysClr val="windowText" lastClr="000000"/>
              </a:solidFill>
            </a:rPr>
            <a:t>Blumotion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1</xdr:col>
      <xdr:colOff>9525</xdr:colOff>
      <xdr:row>109</xdr:row>
      <xdr:rowOff>15052</xdr:rowOff>
    </xdr:from>
    <xdr:to>
      <xdr:col>1</xdr:col>
      <xdr:colOff>1962150</xdr:colOff>
      <xdr:row>114</xdr:row>
      <xdr:rowOff>133350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C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13502452"/>
          <a:ext cx="1952625" cy="1118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295275</xdr:colOff>
      <xdr:row>13</xdr:row>
      <xdr:rowOff>9525</xdr:rowOff>
    </xdr:from>
    <xdr:to>
      <xdr:col>1</xdr:col>
      <xdr:colOff>1362075</xdr:colOff>
      <xdr:row>17</xdr:row>
      <xdr:rowOff>153109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85775" y="2257425"/>
          <a:ext cx="1066800" cy="753184"/>
        </a:xfrm>
        <a:prstGeom prst="rect">
          <a:avLst/>
        </a:prstGeom>
      </xdr:spPr>
    </xdr:pic>
    <xdr:clientData/>
  </xdr:twoCellAnchor>
  <xdr:twoCellAnchor editAs="oneCell">
    <xdr:from>
      <xdr:col>1</xdr:col>
      <xdr:colOff>9526</xdr:colOff>
      <xdr:row>22</xdr:row>
      <xdr:rowOff>9525</xdr:rowOff>
    </xdr:from>
    <xdr:to>
      <xdr:col>1</xdr:col>
      <xdr:colOff>1028700</xdr:colOff>
      <xdr:row>25</xdr:row>
      <xdr:rowOff>20881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00026" y="3752850"/>
          <a:ext cx="1019174" cy="744781"/>
        </a:xfrm>
        <a:prstGeom prst="rect">
          <a:avLst/>
        </a:prstGeom>
      </xdr:spPr>
    </xdr:pic>
    <xdr:clientData/>
  </xdr:twoCellAnchor>
  <xdr:twoCellAnchor editAs="oneCell">
    <xdr:from>
      <xdr:col>1</xdr:col>
      <xdr:colOff>1028700</xdr:colOff>
      <xdr:row>22</xdr:row>
      <xdr:rowOff>85726</xdr:rowOff>
    </xdr:from>
    <xdr:to>
      <xdr:col>1</xdr:col>
      <xdr:colOff>1958841</xdr:colOff>
      <xdr:row>24</xdr:row>
      <xdr:rowOff>238126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19200" y="3829051"/>
          <a:ext cx="930141" cy="60960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1038226</xdr:colOff>
      <xdr:row>24</xdr:row>
      <xdr:rowOff>171451</xdr:rowOff>
    </xdr:from>
    <xdr:to>
      <xdr:col>2</xdr:col>
      <xdr:colOff>1467</xdr:colOff>
      <xdr:row>26</xdr:row>
      <xdr:rowOff>266701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28726" y="4495801"/>
          <a:ext cx="934916" cy="64770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28576</xdr:colOff>
      <xdr:row>24</xdr:row>
      <xdr:rowOff>171451</xdr:rowOff>
    </xdr:from>
    <xdr:to>
      <xdr:col>1</xdr:col>
      <xdr:colOff>1014636</xdr:colOff>
      <xdr:row>26</xdr:row>
      <xdr:rowOff>190501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19076" y="4495801"/>
          <a:ext cx="986060" cy="5715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419101</xdr:colOff>
      <xdr:row>31</xdr:row>
      <xdr:rowOff>28576</xdr:rowOff>
    </xdr:from>
    <xdr:to>
      <xdr:col>1</xdr:col>
      <xdr:colOff>1524000</xdr:colOff>
      <xdr:row>34</xdr:row>
      <xdr:rowOff>314326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09601" y="5705476"/>
          <a:ext cx="1104899" cy="95250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15</xdr:row>
      <xdr:rowOff>19050</xdr:rowOff>
    </xdr:from>
    <xdr:to>
      <xdr:col>7</xdr:col>
      <xdr:colOff>88677</xdr:colOff>
      <xdr:row>26</xdr:row>
      <xdr:rowOff>76200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838450"/>
          <a:ext cx="6679977" cy="1847850"/>
        </a:xfrm>
        <a:prstGeom prst="rect">
          <a:avLst/>
        </a:prstGeom>
      </xdr:spPr>
    </xdr:pic>
    <xdr:clientData/>
  </xdr:twoCellAnchor>
  <xdr:twoCellAnchor>
    <xdr:from>
      <xdr:col>21</xdr:col>
      <xdr:colOff>0</xdr:colOff>
      <xdr:row>2</xdr:row>
      <xdr:rowOff>0</xdr:rowOff>
    </xdr:from>
    <xdr:to>
      <xdr:col>24</xdr:col>
      <xdr:colOff>361951</xdr:colOff>
      <xdr:row>6</xdr:row>
      <xdr:rowOff>76200</xdr:rowOff>
    </xdr:to>
    <xdr:sp macro="" textlink="">
      <xdr:nvSpPr>
        <xdr:cNvPr id="3" name="Стрелка влево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D00-000003000000}"/>
            </a:ext>
          </a:extLst>
        </xdr:cNvPr>
        <xdr:cNvSpPr/>
      </xdr:nvSpPr>
      <xdr:spPr bwMode="auto">
        <a:xfrm>
          <a:off x="7315200" y="523875"/>
          <a:ext cx="2190751" cy="752475"/>
        </a:xfrm>
        <a:prstGeom prst="leftArrow">
          <a:avLst>
            <a:gd name="adj1" fmla="val 50000"/>
            <a:gd name="adj2" fmla="val 70779"/>
          </a:avLst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noAutofit/>
        </a:bodyPr>
        <a:lstStyle/>
        <a:p>
          <a:pPr marL="0" indent="0" algn="l"/>
          <a:r>
            <a:rPr lang="en-US" sz="16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      </a:t>
          </a:r>
          <a:r>
            <a:rPr lang="ru-RU" sz="16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СОДЕРЖАНИЕ</a:t>
          </a:r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</xdr:colOff>
      <xdr:row>6</xdr:row>
      <xdr:rowOff>19050</xdr:rowOff>
    </xdr:from>
    <xdr:to>
      <xdr:col>1</xdr:col>
      <xdr:colOff>2362200</xdr:colOff>
      <xdr:row>21</xdr:row>
      <xdr:rowOff>120358</xdr:rowOff>
    </xdr:to>
    <xdr:pic>
      <xdr:nvPicPr>
        <xdr:cNvPr id="2" name="Grafik 1" descr="006">
          <a:extLst>
            <a:ext uri="{FF2B5EF4-FFF2-40B4-BE49-F238E27FC236}">
              <a16:creationId xmlns:a16="http://schemas.microsoft.com/office/drawing/2014/main" id="{00000000-0008-0000-1E00-000002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1009650"/>
          <a:ext cx="2343150" cy="25301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180978</xdr:colOff>
      <xdr:row>32</xdr:row>
      <xdr:rowOff>9526</xdr:rowOff>
    </xdr:from>
    <xdr:to>
      <xdr:col>1</xdr:col>
      <xdr:colOff>2162176</xdr:colOff>
      <xdr:row>41</xdr:row>
      <xdr:rowOff>161925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E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8" y="9144001"/>
          <a:ext cx="1981198" cy="1609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31</xdr:col>
      <xdr:colOff>200025</xdr:colOff>
      <xdr:row>4</xdr:row>
      <xdr:rowOff>200025</xdr:rowOff>
    </xdr:from>
    <xdr:to>
      <xdr:col>34</xdr:col>
      <xdr:colOff>209550</xdr:colOff>
      <xdr:row>9</xdr:row>
      <xdr:rowOff>0</xdr:rowOff>
    </xdr:to>
    <xdr:sp macro="" textlink="">
      <xdr:nvSpPr>
        <xdr:cNvPr id="6" name="AutoShape 52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E00-000006000000}"/>
            </a:ext>
          </a:extLst>
        </xdr:cNvPr>
        <xdr:cNvSpPr>
          <a:spLocks noChangeArrowheads="1"/>
        </xdr:cNvSpPr>
      </xdr:nvSpPr>
      <xdr:spPr bwMode="auto">
        <a:xfrm>
          <a:off x="8105775" y="1314450"/>
          <a:ext cx="1838325" cy="6953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</xdr:colOff>
      <xdr:row>7</xdr:row>
      <xdr:rowOff>133350</xdr:rowOff>
    </xdr:from>
    <xdr:to>
      <xdr:col>1</xdr:col>
      <xdr:colOff>1713208</xdr:colOff>
      <xdr:row>15</xdr:row>
      <xdr:rowOff>95250</xdr:rowOff>
    </xdr:to>
    <xdr:pic>
      <xdr:nvPicPr>
        <xdr:cNvPr id="11" name="Picture 4">
          <a:extLst>
            <a:ext uri="{FF2B5EF4-FFF2-40B4-BE49-F238E27FC236}">
              <a16:creationId xmlns:a16="http://schemas.microsoft.com/office/drawing/2014/main" id="{00000000-0008-0000-1F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1714500"/>
          <a:ext cx="1694158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</xdr:colOff>
      <xdr:row>2</xdr:row>
      <xdr:rowOff>9525</xdr:rowOff>
    </xdr:from>
    <xdr:to>
      <xdr:col>5</xdr:col>
      <xdr:colOff>638175</xdr:colOff>
      <xdr:row>2</xdr:row>
      <xdr:rowOff>209550</xdr:rowOff>
    </xdr:to>
    <xdr:pic>
      <xdr:nvPicPr>
        <xdr:cNvPr id="12" name="Picture 69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F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609600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28575</xdr:colOff>
      <xdr:row>30</xdr:row>
      <xdr:rowOff>9525</xdr:rowOff>
    </xdr:from>
    <xdr:to>
      <xdr:col>5</xdr:col>
      <xdr:colOff>628650</xdr:colOff>
      <xdr:row>30</xdr:row>
      <xdr:rowOff>209550</xdr:rowOff>
    </xdr:to>
    <xdr:pic>
      <xdr:nvPicPr>
        <xdr:cNvPr id="13" name="Picture 69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F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5286375"/>
          <a:ext cx="600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20</xdr:row>
      <xdr:rowOff>19050</xdr:rowOff>
    </xdr:from>
    <xdr:to>
      <xdr:col>1</xdr:col>
      <xdr:colOff>1703683</xdr:colOff>
      <xdr:row>27</xdr:row>
      <xdr:rowOff>142875</xdr:rowOff>
    </xdr:to>
    <xdr:pic>
      <xdr:nvPicPr>
        <xdr:cNvPr id="14" name="Picture 4">
          <a:extLst>
            <a:ext uri="{FF2B5EF4-FFF2-40B4-BE49-F238E27FC236}">
              <a16:creationId xmlns:a16="http://schemas.microsoft.com/office/drawing/2014/main" id="{00000000-0008-0000-1F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3705225"/>
          <a:ext cx="1694158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37</xdr:row>
      <xdr:rowOff>114300</xdr:rowOff>
    </xdr:from>
    <xdr:to>
      <xdr:col>1</xdr:col>
      <xdr:colOff>1703683</xdr:colOff>
      <xdr:row>45</xdr:row>
      <xdr:rowOff>76200</xdr:rowOff>
    </xdr:to>
    <xdr:pic>
      <xdr:nvPicPr>
        <xdr:cNvPr id="15" name="Picture 4">
          <a:extLst>
            <a:ext uri="{FF2B5EF4-FFF2-40B4-BE49-F238E27FC236}">
              <a16:creationId xmlns:a16="http://schemas.microsoft.com/office/drawing/2014/main" id="{00000000-0008-0000-1F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6696075"/>
          <a:ext cx="1694158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59</xdr:row>
      <xdr:rowOff>66675</xdr:rowOff>
    </xdr:from>
    <xdr:to>
      <xdr:col>1</xdr:col>
      <xdr:colOff>1703683</xdr:colOff>
      <xdr:row>67</xdr:row>
      <xdr:rowOff>28575</xdr:rowOff>
    </xdr:to>
    <xdr:pic>
      <xdr:nvPicPr>
        <xdr:cNvPr id="16" name="Picture 4">
          <a:extLst>
            <a:ext uri="{FF2B5EF4-FFF2-40B4-BE49-F238E27FC236}">
              <a16:creationId xmlns:a16="http://schemas.microsoft.com/office/drawing/2014/main" id="{00000000-0008-0000-1F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10210800"/>
          <a:ext cx="1694158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342900</xdr:colOff>
      <xdr:row>2</xdr:row>
      <xdr:rowOff>114300</xdr:rowOff>
    </xdr:from>
    <xdr:to>
      <xdr:col>11</xdr:col>
      <xdr:colOff>180975</xdr:colOff>
      <xdr:row>5</xdr:row>
      <xdr:rowOff>152400</xdr:rowOff>
    </xdr:to>
    <xdr:sp macro="" textlink="">
      <xdr:nvSpPr>
        <xdr:cNvPr id="17" name="AutoShape 38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1F00-000011000000}"/>
            </a:ext>
          </a:extLst>
        </xdr:cNvPr>
        <xdr:cNvSpPr>
          <a:spLocks noChangeArrowheads="1"/>
        </xdr:cNvSpPr>
      </xdr:nvSpPr>
      <xdr:spPr bwMode="auto">
        <a:xfrm>
          <a:off x="6619875" y="714375"/>
          <a:ext cx="2276475" cy="695325"/>
        </a:xfrm>
        <a:prstGeom prst="leftArrow">
          <a:avLst>
            <a:gd name="adj1" fmla="val 45204"/>
            <a:gd name="adj2" fmla="val 89913"/>
          </a:avLst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</xdr:colOff>
      <xdr:row>27</xdr:row>
      <xdr:rowOff>9525</xdr:rowOff>
    </xdr:from>
    <xdr:to>
      <xdr:col>1</xdr:col>
      <xdr:colOff>619125</xdr:colOff>
      <xdr:row>36</xdr:row>
      <xdr:rowOff>104775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2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4876800"/>
          <a:ext cx="1952625" cy="1552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92</xdr:row>
      <xdr:rowOff>9525</xdr:rowOff>
    </xdr:from>
    <xdr:to>
      <xdr:col>1</xdr:col>
      <xdr:colOff>628649</xdr:colOff>
      <xdr:row>101</xdr:row>
      <xdr:rowOff>104775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2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10953750"/>
          <a:ext cx="1943099" cy="1552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9526</xdr:colOff>
      <xdr:row>127</xdr:row>
      <xdr:rowOff>9524</xdr:rowOff>
    </xdr:from>
    <xdr:to>
      <xdr:col>1</xdr:col>
      <xdr:colOff>619126</xdr:colOff>
      <xdr:row>137</xdr:row>
      <xdr:rowOff>114299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2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6" y="16744949"/>
          <a:ext cx="1962150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19051</xdr:colOff>
      <xdr:row>105</xdr:row>
      <xdr:rowOff>19050</xdr:rowOff>
    </xdr:from>
    <xdr:to>
      <xdr:col>1</xdr:col>
      <xdr:colOff>631131</xdr:colOff>
      <xdr:row>120</xdr:row>
      <xdr:rowOff>152400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2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1" y="13087350"/>
          <a:ext cx="1945580" cy="2562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19051</xdr:colOff>
      <xdr:row>40</xdr:row>
      <xdr:rowOff>19051</xdr:rowOff>
    </xdr:from>
    <xdr:to>
      <xdr:col>1</xdr:col>
      <xdr:colOff>628651</xdr:colOff>
      <xdr:row>52</xdr:row>
      <xdr:rowOff>152400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2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1" y="6905626"/>
          <a:ext cx="1943100" cy="20764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11</xdr:row>
      <xdr:rowOff>19050</xdr:rowOff>
    </xdr:from>
    <xdr:to>
      <xdr:col>1</xdr:col>
      <xdr:colOff>628650</xdr:colOff>
      <xdr:row>20</xdr:row>
      <xdr:rowOff>107697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2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2324100"/>
          <a:ext cx="1933575" cy="1545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84</xdr:col>
      <xdr:colOff>9525</xdr:colOff>
      <xdr:row>1</xdr:row>
      <xdr:rowOff>1</xdr:rowOff>
    </xdr:from>
    <xdr:to>
      <xdr:col>90</xdr:col>
      <xdr:colOff>171450</xdr:colOff>
      <xdr:row>9</xdr:row>
      <xdr:rowOff>133351</xdr:rowOff>
    </xdr:to>
    <xdr:pic>
      <xdr:nvPicPr>
        <xdr:cNvPr id="8" name="Picture 28">
          <a:extLst>
            <a:ext uri="{FF2B5EF4-FFF2-40B4-BE49-F238E27FC236}">
              <a16:creationId xmlns:a16="http://schemas.microsoft.com/office/drawing/2014/main" id="{00000000-0008-0000-2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3025" y="57151"/>
          <a:ext cx="3952875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>
    <xdr:from>
      <xdr:col>84</xdr:col>
      <xdr:colOff>38099</xdr:colOff>
      <xdr:row>16</xdr:row>
      <xdr:rowOff>123825</xdr:rowOff>
    </xdr:from>
    <xdr:to>
      <xdr:col>87</xdr:col>
      <xdr:colOff>323850</xdr:colOff>
      <xdr:row>22</xdr:row>
      <xdr:rowOff>66675</xdr:rowOff>
    </xdr:to>
    <xdr:sp macro="" textlink="">
      <xdr:nvSpPr>
        <xdr:cNvPr id="9" name="Стрелка влево 8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2000-000009000000}"/>
            </a:ext>
          </a:extLst>
        </xdr:cNvPr>
        <xdr:cNvSpPr/>
      </xdr:nvSpPr>
      <xdr:spPr bwMode="auto">
        <a:xfrm>
          <a:off x="55911749" y="3200400"/>
          <a:ext cx="2190751" cy="752475"/>
        </a:xfrm>
        <a:prstGeom prst="leftArrow">
          <a:avLst>
            <a:gd name="adj1" fmla="val 50000"/>
            <a:gd name="adj2" fmla="val 70779"/>
          </a:avLst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noAutofit/>
        </a:bodyPr>
        <a:lstStyle/>
        <a:p>
          <a:pPr marL="0" indent="0" algn="l"/>
          <a:r>
            <a:rPr lang="en-US" sz="16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      </a:t>
          </a:r>
          <a:r>
            <a:rPr lang="ru-RU" sz="16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СОДЕРЖАНИЕ</a:t>
          </a:r>
        </a:p>
      </xdr:txBody>
    </xdr:sp>
    <xdr:clientData/>
  </xdr:twoCellAnchor>
  <xdr:twoCellAnchor editAs="oneCell">
    <xdr:from>
      <xdr:col>1</xdr:col>
      <xdr:colOff>9524</xdr:colOff>
      <xdr:row>169</xdr:row>
      <xdr:rowOff>95248</xdr:rowOff>
    </xdr:from>
    <xdr:to>
      <xdr:col>1</xdr:col>
      <xdr:colOff>619125</xdr:colOff>
      <xdr:row>180</xdr:row>
      <xdr:rowOff>142874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2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20250148"/>
          <a:ext cx="1962151" cy="182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</xdr:colOff>
      <xdr:row>206</xdr:row>
      <xdr:rowOff>104775</xdr:rowOff>
    </xdr:from>
    <xdr:to>
      <xdr:col>1</xdr:col>
      <xdr:colOff>621903</xdr:colOff>
      <xdr:row>220</xdr:row>
      <xdr:rowOff>9525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2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26365200"/>
          <a:ext cx="1955403" cy="217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9526</xdr:colOff>
      <xdr:row>185</xdr:row>
      <xdr:rowOff>57150</xdr:rowOff>
    </xdr:from>
    <xdr:to>
      <xdr:col>1</xdr:col>
      <xdr:colOff>619125</xdr:colOff>
      <xdr:row>200</xdr:row>
      <xdr:rowOff>95250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2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6" y="22821900"/>
          <a:ext cx="1962149" cy="2466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87</xdr:col>
      <xdr:colOff>428626</xdr:colOff>
      <xdr:row>29</xdr:row>
      <xdr:rowOff>66675</xdr:rowOff>
    </xdr:from>
    <xdr:to>
      <xdr:col>89</xdr:col>
      <xdr:colOff>495300</xdr:colOff>
      <xdr:row>31</xdr:row>
      <xdr:rowOff>52839</xdr:rowOff>
    </xdr:to>
    <xdr:sp macro="" textlink="">
      <xdr:nvSpPr>
        <xdr:cNvPr id="13" name="Скругленный прямоугольник 1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2000-00000D000000}"/>
            </a:ext>
          </a:extLst>
        </xdr:cNvPr>
        <xdr:cNvSpPr/>
      </xdr:nvSpPr>
      <xdr:spPr bwMode="auto">
        <a:xfrm>
          <a:off x="58207276" y="5219700"/>
          <a:ext cx="1343024" cy="310014"/>
        </a:xfrm>
        <a:prstGeom prst="roundRect">
          <a:avLst/>
        </a:prstGeom>
        <a:solidFill>
          <a:schemeClr val="bg1">
            <a:lumMod val="85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SERVO-DRIVE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85</xdr:col>
      <xdr:colOff>38100</xdr:colOff>
      <xdr:row>22</xdr:row>
      <xdr:rowOff>9525</xdr:rowOff>
    </xdr:from>
    <xdr:to>
      <xdr:col>87</xdr:col>
      <xdr:colOff>323851</xdr:colOff>
      <xdr:row>24</xdr:row>
      <xdr:rowOff>80569</xdr:rowOff>
    </xdr:to>
    <xdr:sp macro="" textlink="">
      <xdr:nvSpPr>
        <xdr:cNvPr id="14" name="Скругленный прямоугольник 13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2000-00000E000000}"/>
            </a:ext>
          </a:extLst>
        </xdr:cNvPr>
        <xdr:cNvSpPr/>
      </xdr:nvSpPr>
      <xdr:spPr bwMode="auto">
        <a:xfrm>
          <a:off x="56521350" y="3895725"/>
          <a:ext cx="1581151" cy="413944"/>
        </a:xfrm>
        <a:prstGeom prst="roundRect">
          <a:avLst/>
        </a:prstGeom>
        <a:solidFill>
          <a:schemeClr val="bg1">
            <a:lumMod val="50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marL="0" indent="0" algn="ctr"/>
          <a:r>
            <a:rPr lang="en-US" sz="18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LEGRABOX </a:t>
          </a:r>
          <a:endParaRPr lang="ru-RU" sz="1800" b="1">
            <a:solidFill>
              <a:sysClr val="windowText" lastClr="00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85</xdr:col>
      <xdr:colOff>266700</xdr:colOff>
      <xdr:row>26</xdr:row>
      <xdr:rowOff>142875</xdr:rowOff>
    </xdr:from>
    <xdr:to>
      <xdr:col>87</xdr:col>
      <xdr:colOff>323850</xdr:colOff>
      <xdr:row>28</xdr:row>
      <xdr:rowOff>129039</xdr:rowOff>
    </xdr:to>
    <xdr:sp macro="" textlink="">
      <xdr:nvSpPr>
        <xdr:cNvPr id="15" name="Скругленный прямоугольник 14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0000000-0008-0000-2000-00000F000000}"/>
            </a:ext>
          </a:extLst>
        </xdr:cNvPr>
        <xdr:cNvSpPr/>
      </xdr:nvSpPr>
      <xdr:spPr bwMode="auto">
        <a:xfrm>
          <a:off x="56749950" y="4810125"/>
          <a:ext cx="1352550" cy="310014"/>
        </a:xfrm>
        <a:prstGeom prst="roundRect">
          <a:avLst/>
        </a:prstGeom>
        <a:solidFill>
          <a:sysClr val="window" lastClr="FFFFFF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AMBIA-LINE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87</xdr:col>
      <xdr:colOff>390527</xdr:colOff>
      <xdr:row>24</xdr:row>
      <xdr:rowOff>171450</xdr:rowOff>
    </xdr:from>
    <xdr:to>
      <xdr:col>89</xdr:col>
      <xdr:colOff>457201</xdr:colOff>
      <xdr:row>26</xdr:row>
      <xdr:rowOff>43314</xdr:rowOff>
    </xdr:to>
    <xdr:sp macro="" textlink="">
      <xdr:nvSpPr>
        <xdr:cNvPr id="16" name="Скругленный прямоугольник 15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2000-000010000000}"/>
            </a:ext>
          </a:extLst>
        </xdr:cNvPr>
        <xdr:cNvSpPr/>
      </xdr:nvSpPr>
      <xdr:spPr bwMode="auto">
        <a:xfrm>
          <a:off x="58169177" y="4400550"/>
          <a:ext cx="1343024" cy="310014"/>
        </a:xfrm>
        <a:prstGeom prst="roundRect">
          <a:avLst/>
        </a:prstGeom>
        <a:solidFill>
          <a:schemeClr val="bg1">
            <a:lumMod val="65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LEGRABOX</a:t>
          </a:r>
          <a:r>
            <a:rPr lang="en-US" sz="1200" b="1" baseline="0">
              <a:solidFill>
                <a:sysClr val="windowText" lastClr="000000"/>
              </a:solidFill>
            </a:rPr>
            <a:t> free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85</xdr:col>
      <xdr:colOff>276227</xdr:colOff>
      <xdr:row>24</xdr:row>
      <xdr:rowOff>171450</xdr:rowOff>
    </xdr:from>
    <xdr:to>
      <xdr:col>87</xdr:col>
      <xdr:colOff>323851</xdr:colOff>
      <xdr:row>26</xdr:row>
      <xdr:rowOff>43314</xdr:rowOff>
    </xdr:to>
    <xdr:sp macro="" textlink="">
      <xdr:nvSpPr>
        <xdr:cNvPr id="17" name="Скругленный прямоугольник 16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2000-000011000000}"/>
            </a:ext>
          </a:extLst>
        </xdr:cNvPr>
        <xdr:cNvSpPr/>
      </xdr:nvSpPr>
      <xdr:spPr bwMode="auto">
        <a:xfrm>
          <a:off x="56759477" y="4400550"/>
          <a:ext cx="1343024" cy="310014"/>
        </a:xfrm>
        <a:prstGeom prst="roundRect">
          <a:avLst/>
        </a:prstGeom>
        <a:solidFill>
          <a:schemeClr val="bg1">
            <a:lumMod val="65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LEGRABOX</a:t>
          </a:r>
          <a:r>
            <a:rPr lang="en-US" sz="1200" b="1" baseline="0">
              <a:solidFill>
                <a:sysClr val="windowText" lastClr="000000"/>
              </a:solidFill>
            </a:rPr>
            <a:t> pure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85</xdr:col>
      <xdr:colOff>266700</xdr:colOff>
      <xdr:row>29</xdr:row>
      <xdr:rowOff>66675</xdr:rowOff>
    </xdr:from>
    <xdr:to>
      <xdr:col>87</xdr:col>
      <xdr:colOff>352425</xdr:colOff>
      <xdr:row>31</xdr:row>
      <xdr:rowOff>52839</xdr:rowOff>
    </xdr:to>
    <xdr:sp macro="" textlink="">
      <xdr:nvSpPr>
        <xdr:cNvPr id="18" name="Скругленный прямоугольник 17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0000000-0008-0000-2000-000012000000}"/>
            </a:ext>
          </a:extLst>
        </xdr:cNvPr>
        <xdr:cNvSpPr/>
      </xdr:nvSpPr>
      <xdr:spPr bwMode="auto">
        <a:xfrm>
          <a:off x="56749950" y="5219700"/>
          <a:ext cx="1381125" cy="310014"/>
        </a:xfrm>
        <a:prstGeom prst="roundRect">
          <a:avLst/>
        </a:prstGeom>
        <a:solidFill>
          <a:schemeClr val="bg1">
            <a:lumMod val="85000"/>
          </a:schemeClr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t" anchorCtr="0" upright="1">
          <a:spAutoFit/>
        </a:bodyPr>
        <a:lstStyle/>
        <a:p>
          <a:pPr algn="ctr"/>
          <a:r>
            <a:rPr lang="en-US" sz="1200" b="1">
              <a:solidFill>
                <a:sysClr val="windowText" lastClr="000000"/>
              </a:solidFill>
            </a:rPr>
            <a:t>TIP-ON </a:t>
          </a:r>
          <a:r>
            <a:rPr lang="en-US" sz="1200" b="1" baseline="0">
              <a:solidFill>
                <a:sysClr val="windowText" lastClr="000000"/>
              </a:solidFill>
            </a:rPr>
            <a:t>Blumotion</a:t>
          </a:r>
          <a:endParaRPr lang="ru-RU" sz="1200" b="1">
            <a:solidFill>
              <a:sysClr val="windowText" lastClr="000000"/>
            </a:solidFill>
          </a:endParaRPr>
        </a:p>
      </xdr:txBody>
    </xdr:sp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809625</xdr:colOff>
      <xdr:row>2</xdr:row>
      <xdr:rowOff>104775</xdr:rowOff>
    </xdr:from>
    <xdr:to>
      <xdr:col>8</xdr:col>
      <xdr:colOff>2647950</xdr:colOff>
      <xdr:row>6</xdr:row>
      <xdr:rowOff>133350</xdr:rowOff>
    </xdr:to>
    <xdr:sp macro="" textlink="">
      <xdr:nvSpPr>
        <xdr:cNvPr id="3" name="AutoShape 52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2100-000003000000}"/>
            </a:ext>
          </a:extLst>
        </xdr:cNvPr>
        <xdr:cNvSpPr>
          <a:spLocks noChangeArrowheads="1"/>
        </xdr:cNvSpPr>
      </xdr:nvSpPr>
      <xdr:spPr bwMode="auto">
        <a:xfrm>
          <a:off x="9096375" y="628650"/>
          <a:ext cx="1838325" cy="695325"/>
        </a:xfrm>
        <a:prstGeom prst="leftArrow">
          <a:avLst>
            <a:gd name="adj1" fmla="val 45204"/>
            <a:gd name="adj2" fmla="val 72608"/>
          </a:avLst>
        </a:prstGeom>
        <a:solidFill>
          <a:srgbClr xmlns:mc="http://schemas.openxmlformats.org/markup-compatibility/2006" xmlns:a14="http://schemas.microsoft.com/office/drawing/2010/main" val="FF9900" mc:Ignorable="a14" a14:legacySpreadsheetColorIndex="52"/>
        </a:solidFill>
        <a:ln w="19050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ffectLst>
          <a:outerShdw dist="53882" dir="8100000" algn="ctr" rotWithShape="0">
            <a:srgbClr xmlns:mc="http://schemas.openxmlformats.org/markup-compatibility/2006" xmlns:a14="http://schemas.microsoft.com/office/drawing/2010/main" val="FF9900" mc:Ignorable="a14" a14:legacySpreadsheetColorIndex="52"/>
          </a:outerShdw>
        </a:effectLst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ru-RU" sz="1200" b="1" i="0" u="none" strike="noStrike" baseline="0">
              <a:solidFill>
                <a:srgbClr val="000000"/>
              </a:solidFill>
              <a:latin typeface="Arial Cyr"/>
              <a:cs typeface="Arial Cyr"/>
            </a:rPr>
            <a:t>     </a:t>
          </a:r>
          <a:r>
            <a:rPr lang="ru-RU" sz="1400" b="1" i="0" u="none" strike="noStrike" baseline="0">
              <a:solidFill>
                <a:srgbClr val="FFFFFF"/>
              </a:solidFill>
              <a:latin typeface="Arial Cyr"/>
              <a:cs typeface="Arial Cyr"/>
            </a:rPr>
            <a:t>Содержание</a:t>
          </a:r>
          <a:endParaRPr lang="ru-RU"/>
        </a:p>
      </xdr:txBody>
    </xdr:sp>
    <xdr:clientData/>
  </xdr:twoCellAnchor>
  <xdr:twoCellAnchor editAs="oneCell">
    <xdr:from>
      <xdr:col>1</xdr:col>
      <xdr:colOff>19051</xdr:colOff>
      <xdr:row>18</xdr:row>
      <xdr:rowOff>19049</xdr:rowOff>
    </xdr:from>
    <xdr:to>
      <xdr:col>1</xdr:col>
      <xdr:colOff>1990725</xdr:colOff>
      <xdr:row>28</xdr:row>
      <xdr:rowOff>161924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2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51" y="3400424"/>
          <a:ext cx="1971674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62</xdr:row>
      <xdr:rowOff>9526</xdr:rowOff>
    </xdr:from>
    <xdr:to>
      <xdr:col>1</xdr:col>
      <xdr:colOff>1990724</xdr:colOff>
      <xdr:row>72</xdr:row>
      <xdr:rowOff>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2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50" y="11258551"/>
          <a:ext cx="1971674" cy="161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9526</xdr:colOff>
      <xdr:row>77</xdr:row>
      <xdr:rowOff>9525</xdr:rowOff>
    </xdr:from>
    <xdr:to>
      <xdr:col>2</xdr:col>
      <xdr:colOff>1</xdr:colOff>
      <xdr:row>86</xdr:row>
      <xdr:rowOff>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2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126" y="13935075"/>
          <a:ext cx="2000250" cy="1457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</xdr:colOff>
      <xdr:row>34</xdr:row>
      <xdr:rowOff>19050</xdr:rowOff>
    </xdr:from>
    <xdr:to>
      <xdr:col>2</xdr:col>
      <xdr:colOff>0</xdr:colOff>
      <xdr:row>43</xdr:row>
      <xdr:rowOff>161925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2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125" y="6238875"/>
          <a:ext cx="2000250" cy="160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</xdr:colOff>
      <xdr:row>4</xdr:row>
      <xdr:rowOff>9525</xdr:rowOff>
    </xdr:from>
    <xdr:to>
      <xdr:col>1</xdr:col>
      <xdr:colOff>1990725</xdr:colOff>
      <xdr:row>12</xdr:row>
      <xdr:rowOff>152400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2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125" y="895350"/>
          <a:ext cx="1981200" cy="1419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49</xdr:row>
      <xdr:rowOff>19051</xdr:rowOff>
    </xdr:from>
    <xdr:to>
      <xdr:col>1</xdr:col>
      <xdr:colOff>2000250</xdr:colOff>
      <xdr:row>56</xdr:row>
      <xdr:rowOff>161926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21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50" y="8915401"/>
          <a:ext cx="1981200" cy="127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1</xdr:row>
      <xdr:rowOff>19051</xdr:rowOff>
    </xdr:from>
    <xdr:to>
      <xdr:col>4</xdr:col>
      <xdr:colOff>619125</xdr:colOff>
      <xdr:row>1</xdr:row>
      <xdr:rowOff>209551</xdr:rowOff>
    </xdr:to>
    <xdr:pic>
      <xdr:nvPicPr>
        <xdr:cNvPr id="2" name="Picture 180">
          <a:extLst>
            <a:ext uri="{FF2B5EF4-FFF2-40B4-BE49-F238E27FC236}">
              <a16:creationId xmlns:a16="http://schemas.microsoft.com/office/drawing/2014/main" id="{00000000-0008-0000-2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0" y="190501"/>
          <a:ext cx="6191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</xdr:row>
      <xdr:rowOff>19051</xdr:rowOff>
    </xdr:from>
    <xdr:to>
      <xdr:col>5</xdr:col>
      <xdr:colOff>619125</xdr:colOff>
      <xdr:row>1</xdr:row>
      <xdr:rowOff>209551</xdr:rowOff>
    </xdr:to>
    <xdr:pic>
      <xdr:nvPicPr>
        <xdr:cNvPr id="5" name="Picture 180">
          <a:extLst>
            <a:ext uri="{FF2B5EF4-FFF2-40B4-BE49-F238E27FC236}">
              <a16:creationId xmlns:a16="http://schemas.microsoft.com/office/drawing/2014/main" id="{00000000-0008-0000-2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190501"/>
          <a:ext cx="6191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0</xdr:colOff>
      <xdr:row>2</xdr:row>
      <xdr:rowOff>0</xdr:rowOff>
    </xdr:from>
    <xdr:to>
      <xdr:col>14</xdr:col>
      <xdr:colOff>361951</xdr:colOff>
      <xdr:row>6</xdr:row>
      <xdr:rowOff>57150</xdr:rowOff>
    </xdr:to>
    <xdr:sp macro="" textlink="">
      <xdr:nvSpPr>
        <xdr:cNvPr id="6" name="Стрелка влево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2200-000006000000}"/>
            </a:ext>
          </a:extLst>
        </xdr:cNvPr>
        <xdr:cNvSpPr/>
      </xdr:nvSpPr>
      <xdr:spPr bwMode="auto">
        <a:xfrm>
          <a:off x="8115300" y="428625"/>
          <a:ext cx="2190751" cy="828675"/>
        </a:xfrm>
        <a:prstGeom prst="leftArrow">
          <a:avLst>
            <a:gd name="adj1" fmla="val 50000"/>
            <a:gd name="adj2" fmla="val 70779"/>
          </a:avLst>
        </a:prstGeom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xdr:spPr>
      <xdr:txBody>
        <a:bodyPr vertOverflow="clip" horzOverflow="clip" wrap="square" lIns="91440" tIns="45720" rIns="91440" bIns="45720" rtlCol="0" anchor="ctr" anchorCtr="0" upright="1">
          <a:noAutofit/>
        </a:bodyPr>
        <a:lstStyle/>
        <a:p>
          <a:pPr marL="0" indent="0" algn="l"/>
          <a:r>
            <a:rPr lang="en-US" sz="16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      </a:t>
          </a:r>
          <a:r>
            <a:rPr lang="ru-RU" sz="1600" b="1">
              <a:solidFill>
                <a:sysClr val="windowText" lastClr="000000"/>
              </a:solidFill>
              <a:latin typeface="+mn-lt"/>
              <a:ea typeface="+mn-ea"/>
              <a:cs typeface="+mn-cs"/>
            </a:rPr>
            <a:t>СОДЕРЖАНИЕ</a:t>
          </a:r>
        </a:p>
      </xdr:txBody>
    </xdr:sp>
    <xdr:clientData/>
  </xdr:twoCellAnchor>
  <xdr:twoCellAnchor editAs="oneCell">
    <xdr:from>
      <xdr:col>1</xdr:col>
      <xdr:colOff>25361</xdr:colOff>
      <xdr:row>10</xdr:row>
      <xdr:rowOff>9524</xdr:rowOff>
    </xdr:from>
    <xdr:to>
      <xdr:col>1</xdr:col>
      <xdr:colOff>1964171</xdr:colOff>
      <xdr:row>12</xdr:row>
      <xdr:rowOff>476250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2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6811" y="1885949"/>
          <a:ext cx="1938810" cy="1457326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152400</xdr:colOff>
          <xdr:row>5</xdr:row>
          <xdr:rowOff>19050</xdr:rowOff>
        </xdr:from>
        <xdr:to>
          <xdr:col>1</xdr:col>
          <xdr:colOff>180975</xdr:colOff>
          <xdr:row>5</xdr:row>
          <xdr:rowOff>152400</xdr:rowOff>
        </xdr:to>
        <xdr:sp macro="" textlink="">
          <xdr:nvSpPr>
            <xdr:cNvPr id="29697" name="Check Box 1" hidden="1">
              <a:extLst>
                <a:ext uri="{63B3BB69-23CF-44E3-9099-C40C66FF867C}">
                  <a14:compatExt spid="_x0000_s29697"/>
                </a:ext>
                <a:ext uri="{FF2B5EF4-FFF2-40B4-BE49-F238E27FC236}">
                  <a16:creationId xmlns:a16="http://schemas.microsoft.com/office/drawing/2014/main" id="{00000000-0008-0000-2200-0000017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152400</xdr:colOff>
          <xdr:row>5</xdr:row>
          <xdr:rowOff>152400</xdr:rowOff>
        </xdr:from>
        <xdr:to>
          <xdr:col>1</xdr:col>
          <xdr:colOff>152400</xdr:colOff>
          <xdr:row>7</xdr:row>
          <xdr:rowOff>9525</xdr:rowOff>
        </xdr:to>
        <xdr:sp macro="" textlink="">
          <xdr:nvSpPr>
            <xdr:cNvPr id="29698" name="Check Box 2" hidden="1">
              <a:extLst>
                <a:ext uri="{63B3BB69-23CF-44E3-9099-C40C66FF867C}">
                  <a14:compatExt spid="_x0000_s29698"/>
                </a:ext>
                <a:ext uri="{FF2B5EF4-FFF2-40B4-BE49-F238E27FC236}">
                  <a16:creationId xmlns:a16="http://schemas.microsoft.com/office/drawing/2014/main" id="{00000000-0008-0000-2200-0000027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152400</xdr:colOff>
          <xdr:row>7</xdr:row>
          <xdr:rowOff>9525</xdr:rowOff>
        </xdr:from>
        <xdr:to>
          <xdr:col>1</xdr:col>
          <xdr:colOff>142875</xdr:colOff>
          <xdr:row>8</xdr:row>
          <xdr:rowOff>19050</xdr:rowOff>
        </xdr:to>
        <xdr:sp macro="" textlink="">
          <xdr:nvSpPr>
            <xdr:cNvPr id="29699" name="Check Box 3" hidden="1">
              <a:extLst>
                <a:ext uri="{63B3BB69-23CF-44E3-9099-C40C66FF867C}">
                  <a14:compatExt spid="_x0000_s29699"/>
                </a:ext>
                <a:ext uri="{FF2B5EF4-FFF2-40B4-BE49-F238E27FC236}">
                  <a16:creationId xmlns:a16="http://schemas.microsoft.com/office/drawing/2014/main" id="{00000000-0008-0000-2200-0000037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&#1050;&#1085;&#1080;&#1075;&#1072;2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era.loc\Profile$\!Offices\Ekaterinburg\&#1053;&#1048;&#1050;&#1040;\Legrabox%20&#1053;&#1048;&#1050;&#1040;\AMBIA-LINE%20&#1094;&#1077;&#1085;&#1099;%20&#1053;&#1048;&#1050;&#1040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ryzhenkov/Documents/&#1069;&#1090;&#1072;&#1083;&#1086;&#1085;/BLUM%20&#1055;&#1088;&#1072;&#1081;&#1089;%2010.05.2017!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12"/>
    </sheetNames>
    <sheetDataSet>
      <sheetData sheetId="0">
        <row r="32">
          <cell r="BF32" t="str">
            <v>ORION матово-серый</v>
          </cell>
          <cell r="BG32">
            <v>0</v>
          </cell>
          <cell r="BH32">
            <v>0</v>
          </cell>
          <cell r="BI32">
            <v>0</v>
          </cell>
          <cell r="BJ32">
            <v>0</v>
          </cell>
          <cell r="BK32" t="str">
            <v>2550380/</v>
          </cell>
          <cell r="BL32" t="str">
            <v>5820744/</v>
          </cell>
          <cell r="BM32" t="str">
            <v>8650259/</v>
          </cell>
          <cell r="BN32" t="str">
            <v>3168711/</v>
          </cell>
          <cell r="BO32" t="str">
            <v>4682008/</v>
          </cell>
          <cell r="BP32" t="str">
            <v>8248549/</v>
          </cell>
          <cell r="BQ32" t="str">
            <v>5897587/</v>
          </cell>
        </row>
        <row r="33">
          <cell r="BF33" t="str">
            <v>БЕЛЫЙ ШЕЛК - матовый</v>
          </cell>
          <cell r="BG33" t="str">
            <v>8432288/</v>
          </cell>
          <cell r="BH33" t="str">
            <v>8360372/</v>
          </cell>
          <cell r="BI33">
            <v>0</v>
          </cell>
          <cell r="BJ33">
            <v>0</v>
          </cell>
          <cell r="BK33" t="str">
            <v>8322157/</v>
          </cell>
          <cell r="BL33" t="str">
            <v>7944577/</v>
          </cell>
          <cell r="BM33" t="str">
            <v>4738450/</v>
          </cell>
          <cell r="BN33" t="str">
            <v>9780599/</v>
          </cell>
          <cell r="BO33" t="str">
            <v>4735001/</v>
          </cell>
          <cell r="BP33" t="str">
            <v>9653821/</v>
          </cell>
          <cell r="BQ33" t="str">
            <v>7731476/</v>
          </cell>
        </row>
        <row r="34">
          <cell r="BF34" t="str">
            <v>ТЕРРА ЧЕРНЫЙ - матовый</v>
          </cell>
          <cell r="BG34">
            <v>0</v>
          </cell>
          <cell r="BH34">
            <v>0</v>
          </cell>
          <cell r="BI34">
            <v>0</v>
          </cell>
          <cell r="BJ34">
            <v>0</v>
          </cell>
          <cell r="BK34" t="str">
            <v>5806987/</v>
          </cell>
          <cell r="BL34" t="str">
            <v>9207744/</v>
          </cell>
          <cell r="BM34" t="str">
            <v>5959595/</v>
          </cell>
          <cell r="BN34" t="str">
            <v>8627853/</v>
          </cell>
          <cell r="BO34" t="str">
            <v>4178075/</v>
          </cell>
          <cell r="BP34" t="str">
            <v>5294219/</v>
          </cell>
          <cell r="BQ34" t="str">
            <v>9425225/</v>
          </cell>
        </row>
        <row r="35">
          <cell r="BF35" t="str">
            <v>Гавана Коричневый</v>
          </cell>
          <cell r="BG35">
            <v>0</v>
          </cell>
          <cell r="BH35">
            <v>0</v>
          </cell>
          <cell r="BI35">
            <v>0</v>
          </cell>
          <cell r="BJ35">
            <v>0</v>
          </cell>
          <cell r="BK35">
            <v>0</v>
          </cell>
          <cell r="BL35">
            <v>0</v>
          </cell>
          <cell r="BM35">
            <v>0</v>
          </cell>
          <cell r="BN35">
            <v>0</v>
          </cell>
          <cell r="BO35" t="str">
            <v>2216204/</v>
          </cell>
          <cell r="BP35" t="str">
            <v>7507660/</v>
          </cell>
          <cell r="BQ35" t="str">
            <v>5893409/</v>
          </cell>
        </row>
        <row r="98">
          <cell r="BF98" t="str">
            <v>ORION матово-серый</v>
          </cell>
          <cell r="BG98" t="str">
            <v>3350893/</v>
          </cell>
          <cell r="BH98" t="str">
            <v>3261220/</v>
          </cell>
          <cell r="BI98" t="str">
            <v>4538135/</v>
          </cell>
          <cell r="BJ98">
            <v>0</v>
          </cell>
          <cell r="BK98" t="str">
            <v>2550380/</v>
          </cell>
          <cell r="BL98" t="str">
            <v>5820744/</v>
          </cell>
          <cell r="BM98" t="str">
            <v>2260649/</v>
          </cell>
          <cell r="BN98" t="str">
            <v>8148550/</v>
          </cell>
          <cell r="BO98" t="str">
            <v>6421490/</v>
          </cell>
          <cell r="BP98" t="str">
            <v>9747958/</v>
          </cell>
          <cell r="BQ98" t="str">
            <v>4939331/</v>
          </cell>
          <cell r="BR98" t="str">
            <v>8190871/</v>
          </cell>
          <cell r="BS98" t="str">
            <v>5897587/</v>
          </cell>
          <cell r="BT98" t="str">
            <v>3359148/</v>
          </cell>
        </row>
        <row r="99">
          <cell r="P99" t="str">
            <v>2550380/</v>
          </cell>
          <cell r="BF99" t="str">
            <v>БЕЛЫЙ ШЕЛК - матовый</v>
          </cell>
          <cell r="BG99" t="str">
            <v>9990024/</v>
          </cell>
          <cell r="BH99" t="str">
            <v>9964164/</v>
          </cell>
          <cell r="BI99" t="str">
            <v>4538135/</v>
          </cell>
          <cell r="BJ99">
            <v>0</v>
          </cell>
          <cell r="BK99" t="str">
            <v>8322157/</v>
          </cell>
          <cell r="BL99" t="str">
            <v>7944577/</v>
          </cell>
          <cell r="BM99" t="str">
            <v>3326679/</v>
          </cell>
          <cell r="BN99" t="str">
            <v>4903108/</v>
          </cell>
          <cell r="BO99" t="str">
            <v>8534062/</v>
          </cell>
          <cell r="BP99" t="str">
            <v>7963265/</v>
          </cell>
          <cell r="BQ99" t="str">
            <v>5506281/</v>
          </cell>
          <cell r="BR99" t="str">
            <v>5866447/</v>
          </cell>
          <cell r="BS99" t="str">
            <v>7731476/</v>
          </cell>
          <cell r="BT99" t="str">
            <v>7053143/</v>
          </cell>
        </row>
        <row r="100">
          <cell r="BF100" t="str">
            <v>ТЕРРА ЧЕРНЫЙ - матовый</v>
          </cell>
          <cell r="BG100" t="str">
            <v>8466179/</v>
          </cell>
          <cell r="BH100" t="str">
            <v>8312711/</v>
          </cell>
          <cell r="BI100" t="str">
            <v>4538135/</v>
          </cell>
          <cell r="BJ100">
            <v>0</v>
          </cell>
          <cell r="BK100" t="str">
            <v>5806987/</v>
          </cell>
          <cell r="BL100" t="str">
            <v>9207744/</v>
          </cell>
          <cell r="BM100" t="str">
            <v>9497175/</v>
          </cell>
          <cell r="BN100" t="str">
            <v>2457961/</v>
          </cell>
          <cell r="BO100" t="str">
            <v>7810377/</v>
          </cell>
          <cell r="BP100" t="str">
            <v>1410149/</v>
          </cell>
          <cell r="BQ100" t="str">
            <v>3377381/</v>
          </cell>
          <cell r="BR100" t="str">
            <v>1541991/</v>
          </cell>
          <cell r="BS100" t="str">
            <v>9425225/</v>
          </cell>
          <cell r="BT100" t="str">
            <v>9751013/</v>
          </cell>
        </row>
        <row r="101">
          <cell r="BF101" t="str">
            <v>Гавана Коричневый</v>
          </cell>
          <cell r="BG101" t="str">
            <v>3964733/</v>
          </cell>
          <cell r="BH101" t="str">
            <v>3833596/</v>
          </cell>
          <cell r="BI101" t="str">
            <v>4538135/</v>
          </cell>
          <cell r="BJ101">
            <v>0</v>
          </cell>
          <cell r="BK101" t="str">
            <v>2113518/</v>
          </cell>
          <cell r="BL101" t="str">
            <v>2215958/</v>
          </cell>
          <cell r="BM101" t="str">
            <v>7604824/</v>
          </cell>
          <cell r="BN101" t="str">
            <v>1058035/</v>
          </cell>
          <cell r="BO101" t="str">
            <v>4857182/</v>
          </cell>
          <cell r="BP101" t="str">
            <v>2700814/</v>
          </cell>
          <cell r="BQ101" t="str">
            <v>2670970/</v>
          </cell>
          <cell r="BR101" t="str">
            <v>3640109/</v>
          </cell>
          <cell r="BS101" t="str">
            <v>5893409/</v>
          </cell>
          <cell r="BT101" t="str">
            <v>2642224/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  <sheetName val="Лист2"/>
      <sheetName val="Лист3"/>
    </sheetNames>
    <sheetDataSet>
      <sheetData sheetId="0">
        <row r="3">
          <cell r="B3" t="str">
            <v>1135009/</v>
          </cell>
          <cell r="C3" t="str">
            <v>AMB, Адапт С, 242 мм, бел ZC7A0U0C </v>
          </cell>
          <cell r="D3">
            <v>133.13999999999999</v>
          </cell>
        </row>
        <row r="4">
          <cell r="B4" t="str">
            <v>1392076/</v>
          </cell>
          <cell r="C4" t="str">
            <v>AMB, Рамка 270/242/50, сер ZC7S300RSU</v>
          </cell>
          <cell r="D4">
            <v>997.75</v>
          </cell>
        </row>
        <row r="5">
          <cell r="B5" t="str">
            <v>1520200/</v>
          </cell>
          <cell r="C5" t="str">
            <v>AMB, Лоток 500мм, дуб небр ZC7S500BH3</v>
          </cell>
          <cell r="D5">
            <v>1638.7</v>
          </cell>
        </row>
        <row r="6">
          <cell r="B6" t="str">
            <v>1918643/</v>
          </cell>
          <cell r="C6" t="str">
            <v>AMB, Рамка 500/100, орех тен ZC7S500RH1</v>
          </cell>
          <cell r="D6">
            <v>1068.79</v>
          </cell>
        </row>
        <row r="7">
          <cell r="B7" t="str">
            <v>2001978/</v>
          </cell>
          <cell r="C7" t="str">
            <v>AMB, Рамка 500/100, черн ZC7S500RS1</v>
          </cell>
          <cell r="D7">
            <v>641.35</v>
          </cell>
        </row>
        <row r="8">
          <cell r="B8" t="str">
            <v>2195450/</v>
          </cell>
          <cell r="C8" t="str">
            <v>AMB, Рамка 400/218/100, бел ZC7F400RSP</v>
          </cell>
          <cell r="D8">
            <v>1353.74</v>
          </cell>
        </row>
        <row r="9">
          <cell r="B9" t="str">
            <v>2258290/</v>
          </cell>
          <cell r="C9" t="str">
            <v>AMB, Адапт С, 218 мм, сер ZC7A0P0C </v>
          </cell>
          <cell r="D9">
            <v>133.13999999999999</v>
          </cell>
        </row>
        <row r="10">
          <cell r="B10" t="str">
            <v>2709332/</v>
          </cell>
          <cell r="C10" t="str">
            <v>AMB, Лоток 500мм, орех тен ZC7S500BH3</v>
          </cell>
          <cell r="D10">
            <v>1638.7</v>
          </cell>
        </row>
        <row r="11">
          <cell r="B11" t="str">
            <v>2921190/</v>
          </cell>
          <cell r="C11" t="str">
            <v>AMB, Рамка 500/200, бел ZC7S500RS2</v>
          </cell>
          <cell r="D11">
            <v>783.83</v>
          </cell>
        </row>
        <row r="12">
          <cell r="B12" t="str">
            <v>3134316/</v>
          </cell>
          <cell r="C12" t="str">
            <v>AMB, Рамка 500/200, дуб бард ZC7S500RH2</v>
          </cell>
          <cell r="D12">
            <v>1211.27</v>
          </cell>
        </row>
        <row r="13">
          <cell r="B13" t="str">
            <v>3149094/</v>
          </cell>
          <cell r="C13" t="str">
            <v>AMB, Рамка 270/242/50, дуб небр</v>
          </cell>
          <cell r="D13">
            <v>1353.74</v>
          </cell>
        </row>
        <row r="14">
          <cell r="B14" t="str">
            <v>3427726/</v>
          </cell>
          <cell r="C14" t="str">
            <v>AMB, Рамка 500/200, орех тен ZC7S500RH2</v>
          </cell>
          <cell r="D14">
            <v>1211.27</v>
          </cell>
        </row>
        <row r="15">
          <cell r="B15" t="str">
            <v>3486858/</v>
          </cell>
          <cell r="C15" t="str">
            <v>AMB, Адапт М, 242 мм, сер ZC7A0U0M </v>
          </cell>
          <cell r="D15">
            <v>111.63</v>
          </cell>
        </row>
        <row r="16">
          <cell r="B16" t="str">
            <v>3493503/</v>
          </cell>
          <cell r="C16" t="str">
            <v>AMB, Рамка 270/242/100, ор тен</v>
          </cell>
          <cell r="D16">
            <v>1353.74</v>
          </cell>
        </row>
        <row r="17">
          <cell r="B17" t="str">
            <v>3670050/</v>
          </cell>
          <cell r="C17" t="str">
            <v>AMB, Рамка 270/242/100, дуб бард</v>
          </cell>
          <cell r="D17">
            <v>1353.74</v>
          </cell>
        </row>
        <row r="18">
          <cell r="B18" t="str">
            <v>4293657/</v>
          </cell>
          <cell r="C18" t="str">
            <v>AMB, Адапт С, 242 мм, сер ZC7A0U0C  </v>
          </cell>
          <cell r="D18">
            <v>133.13999999999999</v>
          </cell>
        </row>
        <row r="19">
          <cell r="B19" t="str">
            <v>4394675/</v>
          </cell>
          <cell r="C19" t="str">
            <v>AMB, Рамка 500/100, бел ZC7S500RS1</v>
          </cell>
          <cell r="D19">
            <v>641.35</v>
          </cell>
        </row>
        <row r="20">
          <cell r="B20" t="str">
            <v>4497947/</v>
          </cell>
          <cell r="C20" t="str">
            <v>AMB, Лоток 500мм, сер ZC7S500BS3 </v>
          </cell>
          <cell r="D20">
            <v>2351.4899999999998</v>
          </cell>
        </row>
        <row r="21">
          <cell r="B21" t="str">
            <v>4542306/</v>
          </cell>
          <cell r="C21" t="str">
            <v>AMB, Рамка 500/100, дуб бард ZC7S500RH1</v>
          </cell>
          <cell r="D21">
            <v>1068.79</v>
          </cell>
        </row>
        <row r="22">
          <cell r="B22" t="str">
            <v>4595319/</v>
          </cell>
          <cell r="C22" t="str">
            <v>AMB, Рамка 500/200, сер ZC7S500RS2</v>
          </cell>
          <cell r="D22">
            <v>783.83</v>
          </cell>
        </row>
        <row r="23">
          <cell r="B23" t="str">
            <v>5010600/</v>
          </cell>
          <cell r="C23" t="str">
            <v>AMB, Рамка 270/242/50, черн ZC7S300RSU</v>
          </cell>
          <cell r="D23">
            <v>997.75</v>
          </cell>
        </row>
        <row r="24">
          <cell r="B24" t="str">
            <v>5700456/</v>
          </cell>
          <cell r="C24" t="str">
            <v>AMB, Адапт М, 242 мм, черн ZC7A0U0M </v>
          </cell>
          <cell r="D24">
            <v>111.63</v>
          </cell>
        </row>
        <row r="25">
          <cell r="B25" t="str">
            <v>6081951/</v>
          </cell>
          <cell r="C25" t="str">
            <v>AMB, Лоток 500мм, черн ZC7S500BS3</v>
          </cell>
          <cell r="D25">
            <v>2351.4899999999998</v>
          </cell>
        </row>
        <row r="26">
          <cell r="B26" t="str">
            <v>6278039/</v>
          </cell>
          <cell r="C26" t="str">
            <v>AMB, Рамка 270/242/100, бел ZC7F300RSU</v>
          </cell>
          <cell r="D26">
            <v>1282.71</v>
          </cell>
        </row>
        <row r="27">
          <cell r="B27" t="str">
            <v>6379696/</v>
          </cell>
          <cell r="C27" t="str">
            <v>AMB, Рамка 270/242/100, черн ZC7F300RSU</v>
          </cell>
          <cell r="D27">
            <v>1282.71</v>
          </cell>
        </row>
        <row r="28">
          <cell r="B28" t="str">
            <v>6523848/</v>
          </cell>
          <cell r="C28" t="str">
            <v>AMB, Адапт М, 242 мм, бел ZC7A0U0M  </v>
          </cell>
          <cell r="D28">
            <v>111.63</v>
          </cell>
        </row>
        <row r="29">
          <cell r="B29" t="str">
            <v>6608218/</v>
          </cell>
          <cell r="C29" t="str">
            <v>AMB, Лоток 500мм, дуб бард ZC7S500BH3</v>
          </cell>
          <cell r="D29">
            <v>1638.7</v>
          </cell>
        </row>
        <row r="30">
          <cell r="B30" t="str">
            <v>6886598/</v>
          </cell>
          <cell r="C30" t="str">
            <v>AMB, Рамка 270/242/50, бел ZC7S300RSU</v>
          </cell>
          <cell r="D30">
            <v>997.75</v>
          </cell>
        </row>
        <row r="31">
          <cell r="B31" t="str">
            <v>6898225/</v>
          </cell>
          <cell r="C31" t="str">
            <v>AMB, Адапт С, 218 мм, черн ZC7A0P0C </v>
          </cell>
          <cell r="D31">
            <v>133.13999999999999</v>
          </cell>
        </row>
        <row r="32">
          <cell r="B32" t="str">
            <v>7375058/</v>
          </cell>
          <cell r="C32" t="str">
            <v>AMB, Рамка 270/242/50, ор тен</v>
          </cell>
          <cell r="D32">
            <v>1353.74</v>
          </cell>
        </row>
        <row r="33">
          <cell r="B33" t="str">
            <v>7502048/</v>
          </cell>
          <cell r="C33" t="str">
            <v>AMB, Рамка 400/218/100, дуб небр</v>
          </cell>
          <cell r="D33">
            <v>1425.18</v>
          </cell>
        </row>
        <row r="34">
          <cell r="B34" t="str">
            <v>7540872/</v>
          </cell>
          <cell r="C34" t="str">
            <v>AMB, Рамка 500/200, дуб небр ZC7S500RH2</v>
          </cell>
          <cell r="D34">
            <v>1211.27</v>
          </cell>
        </row>
        <row r="35">
          <cell r="B35" t="str">
            <v>7649432/</v>
          </cell>
          <cell r="C35" t="str">
            <v>AMB, Рамка 400/218/100, сер ZC7F400RSP</v>
          </cell>
          <cell r="D35">
            <v>1353.74</v>
          </cell>
        </row>
        <row r="36">
          <cell r="B36" t="str">
            <v>7794799/</v>
          </cell>
          <cell r="C36" t="str">
            <v>AMB, Рамка 400/218/100, дуб бард</v>
          </cell>
          <cell r="D36">
            <v>1425.18</v>
          </cell>
        </row>
        <row r="37">
          <cell r="B37" t="str">
            <v>7830344/</v>
          </cell>
          <cell r="C37" t="str">
            <v>AMB, Рамка 270/242/100, сер ZC7F300RSU</v>
          </cell>
          <cell r="D37">
            <v>1282.71</v>
          </cell>
        </row>
        <row r="38">
          <cell r="B38" t="str">
            <v>7842844/</v>
          </cell>
          <cell r="C38" t="str">
            <v>AMB, Рамка 400/218/100, ор тен</v>
          </cell>
          <cell r="D38">
            <v>1425.18</v>
          </cell>
        </row>
        <row r="39">
          <cell r="B39" t="str">
            <v>8408859/</v>
          </cell>
          <cell r="C39" t="str">
            <v>AMB, Адапт С, 218 мм, бел ZC7A0P0C </v>
          </cell>
          <cell r="D39">
            <v>133.13999999999999</v>
          </cell>
        </row>
        <row r="40">
          <cell r="B40" t="str">
            <v>8524202/</v>
          </cell>
          <cell r="C40" t="str">
            <v>AMB, Рамка 500/200, черн ZC7S500RS2</v>
          </cell>
          <cell r="D40">
            <v>783.83</v>
          </cell>
        </row>
        <row r="41">
          <cell r="B41" t="str">
            <v>8693820/</v>
          </cell>
          <cell r="C41" t="str">
            <v>AMB, Рамка 500/100, сер ZC7S500RS1</v>
          </cell>
          <cell r="D41">
            <v>641.35</v>
          </cell>
        </row>
        <row r="42">
          <cell r="B42" t="str">
            <v>8830585/</v>
          </cell>
          <cell r="C42" t="str">
            <v>AMB, Лоток 500мм, бел ZC7S500BS3</v>
          </cell>
          <cell r="D42">
            <v>2351.4899999999998</v>
          </cell>
        </row>
        <row r="43">
          <cell r="B43" t="str">
            <v>8886957/</v>
          </cell>
          <cell r="C43" t="str">
            <v>AMB, Адапт С, 242 мм, черн ZC7A0U0C </v>
          </cell>
          <cell r="D43">
            <v>133.13999999999999</v>
          </cell>
        </row>
        <row r="44">
          <cell r="B44" t="str">
            <v>9116345/</v>
          </cell>
          <cell r="C44" t="str">
            <v>AMB, Рамка 270/242/50, дуб бард</v>
          </cell>
          <cell r="D44">
            <v>1353.74</v>
          </cell>
        </row>
        <row r="45">
          <cell r="B45" t="str">
            <v>9241686/</v>
          </cell>
          <cell r="C45" t="str">
            <v>AMB, Рамка 400/218/100, черн</v>
          </cell>
          <cell r="D45">
            <v>1353.74</v>
          </cell>
        </row>
        <row r="46">
          <cell r="B46" t="str">
            <v>9278001/</v>
          </cell>
          <cell r="C46" t="str">
            <v>AMB, Рамка 500/100, дуб небр ZC7S500RH1</v>
          </cell>
          <cell r="D46">
            <v>1068.79</v>
          </cell>
        </row>
        <row r="47">
          <cell r="B47" t="str">
            <v>9613823/</v>
          </cell>
          <cell r="C47" t="str">
            <v>AMB, Рамка 270/242/100, дуб небр</v>
          </cell>
          <cell r="D47">
            <v>1353.74</v>
          </cell>
        </row>
      </sheetData>
      <sheetData sheetId="1"/>
      <sheetData sheetId="2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3.5"/>
    </sheetNames>
    <sheetDataSet>
      <sheetData sheetId="0" refreshError="1"/>
    </sheetDataSet>
  </externalBook>
</externalLink>
</file>

<file path=xl/queryTables/queryTable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23" refreshOnLoad="1" connectionId="1" xr16:uid="{00000000-0016-0000-0000-000000000000}" autoFormatId="16" applyNumberFormats="0" applyBorderFormats="0" applyFontFormats="1" applyPatternFormats="1" applyAlignmentFormats="0" applyWidthHeightFormats="0"/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solidFill>
          <a:srgbClr val="FF9900"/>
        </a:solidFill>
        <a:ln w="15875" cap="flat" cmpd="sng" algn="ctr">
          <a:solidFill>
            <a:schemeClr val="tx1">
              <a:lumMod val="75000"/>
              <a:lumOff val="2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  <a:scene3d>
          <a:camera prst="obliqueBottomLeft"/>
          <a:lightRig rig="threePt" dir="t"/>
        </a:scene3d>
      </a:spPr>
      <a:bodyPr vertOverflow="clip" horzOverflow="clip" wrap="square" lIns="91440" tIns="45720" rIns="91440" bIns="45720" rtlCol="0" anchor="ctr" anchorCtr="0" upright="1">
        <a:spAutoFit/>
      </a:bodyPr>
      <a:lstStyle>
        <a:defPPr algn="l">
          <a:defRPr sz="1400" b="1">
            <a:solidFill>
              <a:sysClr val="windowText" lastClr="000000"/>
            </a:solidFill>
          </a:defRPr>
        </a:defPPr>
      </a:lstStyle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noFill/>
        <a:ln w="9525" cap="flat" cmpd="sng" algn="ctr">
          <a:noFill/>
          <a:prstDash val="solid"/>
          <a:round/>
          <a:headEnd type="none" w="med" len="med"/>
          <a:tailEnd type="none" w="med" len="med"/>
        </a:ln>
        <a:effectLst/>
      </a:spPr>
      <a:bodyPr vertOverflow="clip" wrap="square" lIns="91440" tIns="45720" rIns="91440" bIns="4572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Relationship Id="rId4" Type="http://schemas.openxmlformats.org/officeDocument/2006/relationships/queryTable" Target="../queryTables/queryTable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4" Type="http://schemas.openxmlformats.org/officeDocument/2006/relationships/ctrlProp" Target="../ctrlProps/ctrlProp1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5.bin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7.bin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9.bin"/><Relationship Id="rId1" Type="http://schemas.openxmlformats.org/officeDocument/2006/relationships/printerSettings" Target="../printerSettings/printerSettings8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11.bin"/><Relationship Id="rId1" Type="http://schemas.openxmlformats.org/officeDocument/2006/relationships/printerSettings" Target="../printerSettings/printerSettings10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13.bin"/><Relationship Id="rId1" Type="http://schemas.openxmlformats.org/officeDocument/2006/relationships/printerSettings" Target="../printerSettings/printerSettings12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.xml"/><Relationship Id="rId2" Type="http://schemas.openxmlformats.org/officeDocument/2006/relationships/printerSettings" Target="../printerSettings/printerSettings15.bin"/><Relationship Id="rId1" Type="http://schemas.openxmlformats.org/officeDocument/2006/relationships/printerSettings" Target="../printerSettings/printerSettings14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17.bin"/><Relationship Id="rId1" Type="http://schemas.openxmlformats.org/officeDocument/2006/relationships/printerSettings" Target="../printerSettings/printerSettings16.bin"/><Relationship Id="rId5" Type="http://schemas.openxmlformats.org/officeDocument/2006/relationships/comments" Target="../comments1.xml"/><Relationship Id="rId4" Type="http://schemas.openxmlformats.org/officeDocument/2006/relationships/vmlDrawing" Target="../drawings/vmlDrawing2.v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printerSettings" Target="../printerSettings/printerSettings19.bin"/><Relationship Id="rId1" Type="http://schemas.openxmlformats.org/officeDocument/2006/relationships/printerSettings" Target="../printerSettings/printerSettings18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21.bin"/><Relationship Id="rId1" Type="http://schemas.openxmlformats.org/officeDocument/2006/relationships/printerSettings" Target="../printerSettings/printerSettings20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printerSettings" Target="../printerSettings/printerSettings23.bin"/><Relationship Id="rId1" Type="http://schemas.openxmlformats.org/officeDocument/2006/relationships/printerSettings" Target="../printerSettings/printerSettings22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24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25.bin"/><Relationship Id="rId4" Type="http://schemas.openxmlformats.org/officeDocument/2006/relationships/comments" Target="../comments2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.xml"/><Relationship Id="rId2" Type="http://schemas.openxmlformats.org/officeDocument/2006/relationships/printerSettings" Target="../printerSettings/printerSettings27.bin"/><Relationship Id="rId1" Type="http://schemas.openxmlformats.org/officeDocument/2006/relationships/printerSettings" Target="../printerSettings/printerSettings26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.xml"/><Relationship Id="rId2" Type="http://schemas.openxmlformats.org/officeDocument/2006/relationships/printerSettings" Target="../printerSettings/printerSettings29.bin"/><Relationship Id="rId1" Type="http://schemas.openxmlformats.org/officeDocument/2006/relationships/printerSettings" Target="../printerSettings/printerSettings28.bin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.xml"/><Relationship Id="rId2" Type="http://schemas.openxmlformats.org/officeDocument/2006/relationships/printerSettings" Target="../printerSettings/printerSettings31.bin"/><Relationship Id="rId1" Type="http://schemas.openxmlformats.org/officeDocument/2006/relationships/printerSettings" Target="../printerSettings/printerSettings30.bin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.xml"/><Relationship Id="rId2" Type="http://schemas.openxmlformats.org/officeDocument/2006/relationships/printerSettings" Target="../printerSettings/printerSettings33.bin"/><Relationship Id="rId1" Type="http://schemas.openxmlformats.org/officeDocument/2006/relationships/printerSettings" Target="../printerSettings/printerSettings32.bin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4.xml"/><Relationship Id="rId2" Type="http://schemas.openxmlformats.org/officeDocument/2006/relationships/printerSettings" Target="../printerSettings/printerSettings35.bin"/><Relationship Id="rId1" Type="http://schemas.openxmlformats.org/officeDocument/2006/relationships/printerSettings" Target="../printerSettings/printerSettings34.bin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5.xml"/><Relationship Id="rId2" Type="http://schemas.openxmlformats.org/officeDocument/2006/relationships/printerSettings" Target="../printerSettings/printerSettings37.bin"/><Relationship Id="rId1" Type="http://schemas.openxmlformats.org/officeDocument/2006/relationships/printerSettings" Target="../printerSettings/printerSettings36.bin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6.xml"/><Relationship Id="rId2" Type="http://schemas.openxmlformats.org/officeDocument/2006/relationships/printerSettings" Target="../printerSettings/printerSettings39.bin"/><Relationship Id="rId1" Type="http://schemas.openxmlformats.org/officeDocument/2006/relationships/printerSettings" Target="../printerSettings/printerSettings38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40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41.bin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42.bin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4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44.bin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45.bin"/><Relationship Id="rId6" Type="http://schemas.openxmlformats.org/officeDocument/2006/relationships/ctrlProp" Target="../ctrlProps/ctrlProp4.xml"/><Relationship Id="rId5" Type="http://schemas.openxmlformats.org/officeDocument/2006/relationships/ctrlProp" Target="../ctrlProps/ctrlProp3.xml"/><Relationship Id="rId4" Type="http://schemas.openxmlformats.org/officeDocument/2006/relationships/ctrlProp" Target="../ctrlProps/ctrlProp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/>
  <dimension ref="A1:IU5169"/>
  <sheetViews>
    <sheetView zoomScaleNormal="100" workbookViewId="0">
      <selection activeCell="K31" sqref="K31"/>
    </sheetView>
  </sheetViews>
  <sheetFormatPr defaultRowHeight="12.75" outlineLevelRow="1" x14ac:dyDescent="0.2"/>
  <cols>
    <col min="1" max="1" width="3" style="8" customWidth="1"/>
    <col min="2" max="2" width="1" style="8" customWidth="1"/>
    <col min="3" max="3" width="20.7109375" customWidth="1"/>
    <col min="4" max="4" width="41" customWidth="1"/>
    <col min="5" max="5" width="5.42578125" style="6" customWidth="1"/>
    <col min="6" max="6" width="11.7109375" style="6" customWidth="1"/>
    <col min="7" max="7" width="7.140625" customWidth="1"/>
    <col min="8" max="8" width="1.85546875" style="8" customWidth="1"/>
    <col min="9" max="9" width="8.5703125" style="8" bestFit="1" customWidth="1"/>
    <col min="10" max="10" width="20.42578125" style="8" customWidth="1"/>
    <col min="11" max="11" width="8" style="8" bestFit="1" customWidth="1"/>
    <col min="12" max="12" width="10.42578125" style="8" bestFit="1" customWidth="1"/>
    <col min="13" max="13" width="9.140625" style="8" customWidth="1"/>
    <col min="14" max="23" width="9.140625" style="8"/>
    <col min="24" max="47" width="9.140625" style="771"/>
  </cols>
  <sheetData>
    <row r="1" spans="1:47" ht="4.5" customHeight="1" thickBot="1" x14ac:dyDescent="0.25">
      <c r="C1" s="8"/>
      <c r="D1" s="8"/>
      <c r="E1" s="37"/>
      <c r="F1" s="37"/>
      <c r="G1" s="8"/>
    </row>
    <row r="2" spans="1:47" ht="14.25" customHeight="1" x14ac:dyDescent="0.2">
      <c r="C2" s="1991"/>
      <c r="D2" s="1992"/>
      <c r="E2" s="1992"/>
      <c r="F2" s="1992"/>
      <c r="G2" s="1993"/>
    </row>
    <row r="3" spans="1:47" ht="150.75" customHeight="1" thickBot="1" x14ac:dyDescent="0.25">
      <c r="A3" s="17"/>
      <c r="B3" s="17"/>
      <c r="C3" s="1994"/>
      <c r="D3" s="1995"/>
      <c r="E3" s="1995"/>
      <c r="F3" s="1995"/>
      <c r="G3" s="1996"/>
    </row>
    <row r="4" spans="1:47" ht="30" customHeight="1" thickBot="1" x14ac:dyDescent="0.3">
      <c r="A4" s="17"/>
      <c r="B4" s="75"/>
      <c r="C4" s="1997" t="s">
        <v>2869</v>
      </c>
      <c r="D4" s="1998"/>
      <c r="E4" s="1998"/>
      <c r="F4" s="683"/>
      <c r="G4" s="684">
        <f>СОДЕРЖАНИЕ!L5</f>
        <v>1.2</v>
      </c>
      <c r="I4" s="610" t="s">
        <v>2203</v>
      </c>
      <c r="J4" s="685">
        <f>СОДЕРЖАНИЕ!P2</f>
        <v>67.767700000000005</v>
      </c>
      <c r="K4" s="610" t="s">
        <v>308</v>
      </c>
    </row>
    <row r="5" spans="1:47" ht="9.9499999999999993" customHeight="1" x14ac:dyDescent="0.25">
      <c r="A5" s="17"/>
      <c r="B5" s="75"/>
      <c r="C5" s="612"/>
      <c r="D5" s="578"/>
      <c r="E5" s="617"/>
      <c r="F5" s="38"/>
      <c r="G5" s="459"/>
    </row>
    <row r="6" spans="1:47" ht="15.75" x14ac:dyDescent="0.25">
      <c r="A6" s="898"/>
      <c r="B6" s="782"/>
      <c r="C6" s="613" t="s">
        <v>2249</v>
      </c>
      <c r="D6" s="788" t="s">
        <v>2248</v>
      </c>
      <c r="E6" s="1515" t="s">
        <v>2227</v>
      </c>
      <c r="F6" s="38"/>
      <c r="G6" s="459"/>
    </row>
    <row r="7" spans="1:47" ht="15.75" x14ac:dyDescent="0.25">
      <c r="A7" s="898"/>
      <c r="B7" s="782"/>
      <c r="C7" s="686"/>
      <c r="D7" s="789" t="s">
        <v>1667</v>
      </c>
      <c r="E7" s="1516" t="s">
        <v>2228</v>
      </c>
      <c r="F7" s="38"/>
      <c r="G7" s="459"/>
    </row>
    <row r="8" spans="1:47" ht="15.75" x14ac:dyDescent="0.25">
      <c r="A8" s="898"/>
      <c r="B8" s="914"/>
      <c r="C8" s="1548" t="s">
        <v>360</v>
      </c>
      <c r="D8" s="775"/>
      <c r="E8" s="1516">
        <v>2</v>
      </c>
      <c r="F8" s="38"/>
      <c r="G8" s="459"/>
    </row>
    <row r="9" spans="1:47" ht="15.75" x14ac:dyDescent="0.25">
      <c r="A9" s="898"/>
      <c r="B9" s="782"/>
      <c r="C9" s="613" t="s">
        <v>1181</v>
      </c>
      <c r="D9" s="788" t="s">
        <v>2253</v>
      </c>
      <c r="E9" s="1515" t="s">
        <v>2229</v>
      </c>
      <c r="F9" s="38"/>
      <c r="G9" s="459"/>
      <c r="I9" s="681"/>
    </row>
    <row r="10" spans="1:47" ht="15" x14ac:dyDescent="0.25">
      <c r="A10" s="898"/>
      <c r="B10" s="782"/>
      <c r="C10" s="614"/>
      <c r="D10" s="788" t="s">
        <v>2262</v>
      </c>
      <c r="E10" s="1515" t="s">
        <v>2230</v>
      </c>
      <c r="F10" s="38"/>
      <c r="G10" s="459"/>
      <c r="I10" s="913"/>
    </row>
    <row r="11" spans="1:47" ht="15" x14ac:dyDescent="0.25">
      <c r="A11" s="898"/>
      <c r="B11" s="782"/>
      <c r="C11" s="614"/>
      <c r="D11" s="788" t="s">
        <v>2263</v>
      </c>
      <c r="E11" s="1515" t="s">
        <v>2231</v>
      </c>
      <c r="F11" s="38"/>
      <c r="G11" s="459"/>
    </row>
    <row r="12" spans="1:47" ht="15" customHeight="1" x14ac:dyDescent="0.25">
      <c r="A12" s="898"/>
      <c r="B12" s="782"/>
      <c r="C12" s="614"/>
      <c r="D12" s="788" t="s">
        <v>2264</v>
      </c>
      <c r="E12" s="1515" t="s">
        <v>2232</v>
      </c>
      <c r="F12" s="38"/>
      <c r="G12" s="459"/>
      <c r="Q12" s="918"/>
    </row>
    <row r="13" spans="1:47" ht="15" customHeight="1" x14ac:dyDescent="0.25">
      <c r="A13" s="898"/>
      <c r="B13" s="782"/>
      <c r="C13" s="1119"/>
      <c r="D13" s="788" t="s">
        <v>2251</v>
      </c>
      <c r="E13" s="1515" t="s">
        <v>2233</v>
      </c>
      <c r="F13" s="38"/>
      <c r="G13" s="459"/>
    </row>
    <row r="14" spans="1:47" s="827" customFormat="1" ht="15.75" x14ac:dyDescent="0.25">
      <c r="A14" s="898"/>
      <c r="B14" s="782"/>
      <c r="C14" s="614"/>
      <c r="D14" s="788" t="s">
        <v>2403</v>
      </c>
      <c r="E14" s="1515" t="s">
        <v>2234</v>
      </c>
      <c r="F14" s="38"/>
      <c r="G14" s="459"/>
      <c r="H14" s="8"/>
      <c r="I14" s="1094" t="s">
        <v>1184</v>
      </c>
      <c r="J14" s="771"/>
      <c r="K14" s="771"/>
      <c r="L14" s="771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771"/>
      <c r="Y14" s="771"/>
      <c r="Z14" s="771"/>
      <c r="AA14" s="771"/>
      <c r="AB14" s="771"/>
      <c r="AC14" s="771"/>
      <c r="AD14" s="771"/>
      <c r="AE14" s="771"/>
      <c r="AF14" s="771"/>
      <c r="AG14" s="771"/>
      <c r="AH14" s="771"/>
      <c r="AI14" s="771"/>
      <c r="AJ14" s="771"/>
      <c r="AK14" s="771"/>
      <c r="AL14" s="771"/>
      <c r="AM14" s="771"/>
      <c r="AN14" s="771"/>
      <c r="AO14" s="771"/>
      <c r="AP14" s="771"/>
      <c r="AQ14" s="771"/>
      <c r="AR14" s="771"/>
      <c r="AS14" s="771"/>
      <c r="AT14" s="771"/>
      <c r="AU14" s="771"/>
    </row>
    <row r="15" spans="1:47" ht="15" x14ac:dyDescent="0.25">
      <c r="A15" s="898"/>
      <c r="B15" s="782"/>
      <c r="C15" s="614"/>
      <c r="D15" s="788" t="s">
        <v>2252</v>
      </c>
      <c r="E15" s="1515" t="s">
        <v>2235</v>
      </c>
      <c r="F15" s="38"/>
      <c r="G15" s="459"/>
      <c r="I15" s="1095" t="s">
        <v>2404</v>
      </c>
    </row>
    <row r="16" spans="1:47" ht="15.75" x14ac:dyDescent="0.25">
      <c r="A16" s="898"/>
      <c r="B16" s="782"/>
      <c r="C16" s="614"/>
      <c r="D16" s="788" t="s">
        <v>2265</v>
      </c>
      <c r="E16" s="1515" t="s">
        <v>2240</v>
      </c>
      <c r="F16" s="38"/>
      <c r="G16" s="459"/>
      <c r="I16" s="1095" t="s">
        <v>3160</v>
      </c>
      <c r="J16" s="912"/>
      <c r="K16" s="912"/>
      <c r="L16" s="912"/>
    </row>
    <row r="17" spans="1:255" ht="15.75" x14ac:dyDescent="0.25">
      <c r="A17" s="898"/>
      <c r="B17" s="782"/>
      <c r="C17" s="776" t="s">
        <v>1780</v>
      </c>
      <c r="D17" s="687"/>
      <c r="E17" s="1516" t="s">
        <v>2261</v>
      </c>
      <c r="F17" s="38"/>
      <c r="G17" s="459"/>
      <c r="I17" s="1095" t="s">
        <v>2828</v>
      </c>
      <c r="J17" s="1038"/>
      <c r="K17" s="912"/>
      <c r="L17" s="912"/>
    </row>
    <row r="18" spans="1:255" s="840" customFormat="1" ht="15.75" x14ac:dyDescent="0.25">
      <c r="A18" s="898"/>
      <c r="B18" s="914"/>
      <c r="C18" s="1037" t="s">
        <v>2350</v>
      </c>
      <c r="D18" s="1549"/>
      <c r="E18" s="1515" t="s">
        <v>2400</v>
      </c>
      <c r="F18" s="38"/>
      <c r="G18" s="459"/>
      <c r="H18" s="8"/>
      <c r="J18" s="1019"/>
      <c r="K18" s="1020"/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771"/>
      <c r="Y18" s="771"/>
      <c r="Z18" s="771"/>
      <c r="AA18" s="771"/>
      <c r="AB18" s="771"/>
      <c r="AC18" s="771"/>
      <c r="AD18" s="771"/>
      <c r="AE18" s="771"/>
      <c r="AF18" s="771"/>
      <c r="AG18" s="771"/>
      <c r="AH18" s="771"/>
      <c r="AI18" s="771"/>
      <c r="AJ18" s="771"/>
      <c r="AK18" s="771"/>
      <c r="AL18" s="771"/>
      <c r="AM18" s="771"/>
      <c r="AN18" s="771"/>
      <c r="AO18" s="771"/>
      <c r="AP18" s="771"/>
      <c r="AQ18" s="771"/>
      <c r="AR18" s="771"/>
      <c r="AS18" s="771"/>
      <c r="AT18" s="771"/>
      <c r="AU18" s="771"/>
    </row>
    <row r="19" spans="1:255" s="879" customFormat="1" ht="15.75" x14ac:dyDescent="0.25">
      <c r="A19" s="899"/>
      <c r="B19" s="782"/>
      <c r="C19" s="883" t="s">
        <v>2358</v>
      </c>
      <c r="D19" s="909"/>
      <c r="E19" s="1516" t="s">
        <v>2401</v>
      </c>
      <c r="F19" s="38"/>
      <c r="G19" s="459"/>
      <c r="H19" s="8"/>
      <c r="I19" s="8"/>
      <c r="J19" s="8"/>
      <c r="K19" s="8"/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771"/>
      <c r="Y19" s="771"/>
      <c r="Z19" s="771"/>
      <c r="AA19" s="771"/>
      <c r="AB19" s="771"/>
      <c r="AC19" s="771"/>
      <c r="AD19" s="771"/>
      <c r="AE19" s="771"/>
      <c r="AF19" s="771"/>
      <c r="AG19" s="771"/>
      <c r="AH19" s="771"/>
      <c r="AI19" s="771"/>
      <c r="AJ19" s="771"/>
      <c r="AK19" s="771"/>
      <c r="AL19" s="771"/>
      <c r="AM19" s="771"/>
      <c r="AN19" s="771"/>
      <c r="AO19" s="771"/>
      <c r="AP19" s="771"/>
      <c r="AQ19" s="771"/>
      <c r="AR19" s="771"/>
      <c r="AS19" s="771"/>
      <c r="AT19" s="771"/>
      <c r="AU19" s="771"/>
    </row>
    <row r="20" spans="1:255" s="978" customFormat="1" ht="15.75" x14ac:dyDescent="0.25">
      <c r="A20" s="899"/>
      <c r="B20" s="782"/>
      <c r="C20" s="776" t="s">
        <v>7044</v>
      </c>
      <c r="D20" s="909"/>
      <c r="E20" s="1516" t="s">
        <v>2829</v>
      </c>
      <c r="F20" s="38"/>
      <c r="G20" s="459"/>
      <c r="H20" s="8"/>
      <c r="J20" s="8"/>
      <c r="K20" s="8"/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771"/>
      <c r="Y20" s="771"/>
      <c r="Z20" s="771"/>
      <c r="AA20" s="771"/>
      <c r="AB20" s="771"/>
      <c r="AC20" s="771"/>
      <c r="AD20" s="771"/>
      <c r="AE20" s="771"/>
      <c r="AF20" s="771"/>
      <c r="AG20" s="771"/>
      <c r="AH20" s="771"/>
      <c r="AI20" s="771"/>
      <c r="AJ20" s="771"/>
      <c r="AK20" s="771"/>
      <c r="AL20" s="771"/>
      <c r="AM20" s="771"/>
      <c r="AN20" s="771"/>
      <c r="AO20" s="771"/>
      <c r="AP20" s="771"/>
      <c r="AQ20" s="771"/>
      <c r="AR20" s="771"/>
      <c r="AS20" s="771"/>
      <c r="AT20" s="771"/>
      <c r="AU20" s="771"/>
    </row>
    <row r="21" spans="1:255" ht="15.75" x14ac:dyDescent="0.25">
      <c r="A21" s="898"/>
      <c r="B21" s="782"/>
      <c r="C21" s="613" t="s">
        <v>361</v>
      </c>
      <c r="D21" s="609"/>
      <c r="E21" s="1515" t="s">
        <v>2241</v>
      </c>
      <c r="F21" s="38"/>
      <c r="G21" s="459"/>
    </row>
    <row r="22" spans="1:255" ht="15.75" x14ac:dyDescent="0.25">
      <c r="A22" s="898"/>
      <c r="B22" s="782"/>
      <c r="C22" s="613" t="s">
        <v>7045</v>
      </c>
      <c r="D22" s="687"/>
      <c r="E22" s="1516" t="s">
        <v>2242</v>
      </c>
      <c r="F22" s="38"/>
      <c r="G22" s="459"/>
    </row>
    <row r="23" spans="1:255" ht="15.75" x14ac:dyDescent="0.25">
      <c r="A23" s="898"/>
      <c r="B23" s="914"/>
      <c r="C23" s="777" t="s">
        <v>1781</v>
      </c>
      <c r="D23" s="609"/>
      <c r="E23" s="1515" t="s">
        <v>2236</v>
      </c>
      <c r="F23" s="38"/>
      <c r="G23" s="459"/>
    </row>
    <row r="24" spans="1:255" ht="15.75" x14ac:dyDescent="0.25">
      <c r="A24" s="898"/>
      <c r="B24" s="782"/>
      <c r="C24" s="954"/>
      <c r="D24" s="977" t="s">
        <v>2826</v>
      </c>
      <c r="E24" s="1517" t="s">
        <v>2237</v>
      </c>
      <c r="F24" s="38"/>
      <c r="G24" s="459"/>
      <c r="J24" s="1036"/>
    </row>
    <row r="25" spans="1:255" ht="15.75" x14ac:dyDescent="0.25">
      <c r="A25" s="898"/>
      <c r="B25" s="782"/>
      <c r="C25" s="955"/>
      <c r="D25" s="775" t="s">
        <v>2827</v>
      </c>
      <c r="E25" s="1515" t="s">
        <v>2239</v>
      </c>
      <c r="F25" s="38"/>
      <c r="G25" s="459"/>
    </row>
    <row r="26" spans="1:255" ht="15.75" x14ac:dyDescent="0.25">
      <c r="A26" s="898"/>
      <c r="B26" s="782"/>
      <c r="C26" s="613" t="s">
        <v>1677</v>
      </c>
      <c r="D26" s="687"/>
      <c r="E26" s="1550" t="s">
        <v>2243</v>
      </c>
      <c r="F26" s="38"/>
      <c r="G26" s="459"/>
    </row>
    <row r="27" spans="1:255" ht="15.75" x14ac:dyDescent="0.25">
      <c r="A27" s="898"/>
      <c r="B27" s="914"/>
      <c r="C27" s="905" t="s">
        <v>1604</v>
      </c>
      <c r="D27" s="1551"/>
      <c r="E27" s="1552" t="s">
        <v>2238</v>
      </c>
      <c r="F27" s="38"/>
      <c r="G27" s="459"/>
    </row>
    <row r="28" spans="1:255" s="8" customFormat="1" ht="9.9499999999999993" customHeight="1" x14ac:dyDescent="0.25">
      <c r="A28" s="17"/>
      <c r="B28" s="1058"/>
      <c r="C28" s="615"/>
      <c r="D28" s="28"/>
      <c r="E28" s="611"/>
      <c r="F28" s="38"/>
      <c r="G28" s="459"/>
      <c r="X28" s="771"/>
      <c r="Y28" s="771"/>
      <c r="Z28" s="771"/>
      <c r="AA28" s="771"/>
      <c r="AB28" s="771"/>
      <c r="AC28" s="771"/>
      <c r="AD28" s="771"/>
      <c r="AE28" s="771"/>
      <c r="AF28" s="771"/>
      <c r="AG28" s="771"/>
      <c r="AH28" s="771"/>
      <c r="AI28" s="771"/>
      <c r="AJ28" s="771"/>
      <c r="AK28" s="771"/>
      <c r="AL28" s="771"/>
      <c r="AM28" s="771"/>
      <c r="AN28" s="771"/>
      <c r="AO28" s="771"/>
      <c r="AP28" s="771"/>
      <c r="AQ28" s="771"/>
      <c r="AR28" s="771"/>
      <c r="AS28" s="771"/>
      <c r="AT28" s="771"/>
      <c r="AU28" s="771"/>
      <c r="AV28"/>
      <c r="AW28"/>
      <c r="AX28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  <c r="BP28"/>
      <c r="BQ28"/>
      <c r="BR28"/>
      <c r="BS28"/>
      <c r="BT28"/>
      <c r="BU28"/>
      <c r="BV28"/>
      <c r="BW28"/>
      <c r="BX28"/>
      <c r="BY28"/>
      <c r="BZ28"/>
      <c r="CA28"/>
      <c r="CB28"/>
      <c r="CC28"/>
      <c r="CD28"/>
      <c r="CE28"/>
      <c r="CF28"/>
      <c r="CG28"/>
      <c r="CH28"/>
      <c r="CI28"/>
      <c r="CJ28"/>
      <c r="CK28"/>
      <c r="CL28"/>
      <c r="CM28"/>
      <c r="CN28"/>
      <c r="CO28"/>
      <c r="CP28"/>
      <c r="CQ28"/>
      <c r="CR28"/>
      <c r="CS28"/>
      <c r="CT28"/>
      <c r="CU28"/>
      <c r="CV28"/>
      <c r="CW28"/>
      <c r="CX28"/>
      <c r="CY28"/>
      <c r="CZ28"/>
      <c r="DA28"/>
      <c r="DB28"/>
      <c r="DC28"/>
      <c r="DD28"/>
      <c r="DE28"/>
      <c r="DF28"/>
      <c r="DG28"/>
      <c r="DH28"/>
      <c r="DI28"/>
      <c r="DJ28"/>
      <c r="DK28"/>
      <c r="DL28"/>
      <c r="DM28"/>
      <c r="DN28"/>
      <c r="DO28"/>
      <c r="DP28"/>
      <c r="DQ28"/>
      <c r="DR28"/>
      <c r="DS28"/>
      <c r="DT28"/>
      <c r="DU28"/>
      <c r="DV28"/>
      <c r="DW28"/>
      <c r="DX28"/>
      <c r="DY28"/>
      <c r="DZ28"/>
      <c r="EA28"/>
      <c r="EB28"/>
      <c r="EC28"/>
      <c r="ED28"/>
      <c r="EE28"/>
      <c r="EF28"/>
      <c r="EG28"/>
      <c r="EH28"/>
      <c r="EI28"/>
      <c r="EJ28"/>
      <c r="EK28"/>
      <c r="EL28"/>
      <c r="EM28"/>
      <c r="EN28"/>
      <c r="EO28"/>
      <c r="EP28"/>
      <c r="EQ28"/>
      <c r="ER28"/>
      <c r="ES28"/>
      <c r="ET28"/>
      <c r="EU28"/>
      <c r="EV28"/>
      <c r="EW28"/>
      <c r="EX28"/>
      <c r="EY28"/>
      <c r="EZ28"/>
      <c r="FA28"/>
      <c r="FB28"/>
      <c r="FC28"/>
      <c r="FD28"/>
      <c r="FE28"/>
      <c r="FF28"/>
      <c r="FG28"/>
      <c r="FH28"/>
      <c r="FI28"/>
      <c r="FJ28"/>
      <c r="FK28"/>
      <c r="FL28"/>
      <c r="FM28"/>
      <c r="FN28"/>
      <c r="FO28"/>
      <c r="FP28"/>
      <c r="FQ28"/>
      <c r="FR28"/>
      <c r="FS28"/>
      <c r="FT28"/>
      <c r="FU28"/>
      <c r="FV28"/>
      <c r="FW28"/>
      <c r="FX28"/>
      <c r="FY28"/>
      <c r="FZ28"/>
      <c r="GA28"/>
      <c r="GB28"/>
      <c r="GC28"/>
      <c r="GD28"/>
      <c r="GE28"/>
      <c r="GF28"/>
      <c r="GG28"/>
      <c r="GH28"/>
      <c r="GI28"/>
      <c r="GJ28"/>
      <c r="GK28"/>
      <c r="GL28"/>
      <c r="GM28"/>
      <c r="GN28"/>
      <c r="GO28"/>
      <c r="GP28"/>
      <c r="GQ28"/>
      <c r="GR28"/>
      <c r="GS28"/>
      <c r="GT28"/>
      <c r="GU28"/>
      <c r="GV28"/>
      <c r="GW28"/>
      <c r="GX28"/>
      <c r="GY28"/>
      <c r="GZ28"/>
      <c r="HA28"/>
      <c r="HB28"/>
      <c r="HC28"/>
      <c r="HD28"/>
      <c r="HE28"/>
      <c r="HF28"/>
      <c r="HG28"/>
      <c r="HH28"/>
      <c r="HI28"/>
      <c r="HJ28"/>
      <c r="HK28"/>
      <c r="HL28"/>
      <c r="HM28"/>
      <c r="HN28"/>
      <c r="HO28"/>
      <c r="HP28"/>
      <c r="HQ28"/>
      <c r="HR28"/>
      <c r="HS28"/>
      <c r="HT28"/>
      <c r="HU28"/>
      <c r="HV28"/>
      <c r="HW28"/>
      <c r="HX28"/>
      <c r="HY28"/>
      <c r="HZ28"/>
      <c r="IA28"/>
      <c r="IB28"/>
      <c r="IC28"/>
      <c r="ID28"/>
      <c r="IE28"/>
      <c r="IF28"/>
      <c r="IG28"/>
      <c r="IH28"/>
      <c r="II28"/>
      <c r="IJ28"/>
      <c r="IK28"/>
      <c r="IL28"/>
      <c r="IM28"/>
      <c r="IN28"/>
      <c r="IO28"/>
      <c r="IP28"/>
      <c r="IQ28"/>
      <c r="IR28"/>
      <c r="IS28"/>
      <c r="IT28"/>
      <c r="IU28"/>
    </row>
    <row r="29" spans="1:255" ht="15.75" outlineLevel="1" x14ac:dyDescent="0.25">
      <c r="A29" s="17"/>
      <c r="B29" s="75"/>
      <c r="C29" s="616" t="s">
        <v>96</v>
      </c>
      <c r="D29" s="222" t="s">
        <v>98</v>
      </c>
      <c r="E29" s="342" t="s">
        <v>94</v>
      </c>
      <c r="F29" s="342" t="s">
        <v>95</v>
      </c>
      <c r="G29" s="459"/>
      <c r="J29" s="8" t="s">
        <v>7172</v>
      </c>
    </row>
    <row r="30" spans="1:255" outlineLevel="1" x14ac:dyDescent="0.2">
      <c r="A30" s="17"/>
      <c r="B30" s="75"/>
      <c r="C30" s="1989" t="s">
        <v>3782</v>
      </c>
      <c r="D30" s="1989" t="s">
        <v>7225</v>
      </c>
      <c r="E30" s="1989">
        <v>0</v>
      </c>
      <c r="F30" s="38">
        <f>E30*$G$4*$J$4</f>
        <v>0</v>
      </c>
      <c r="G30" s="459"/>
      <c r="J30" s="8" t="s">
        <v>7173</v>
      </c>
      <c r="K30" s="8" t="s">
        <v>7174</v>
      </c>
      <c r="L30" s="8" t="s">
        <v>7175</v>
      </c>
    </row>
    <row r="31" spans="1:255" outlineLevel="1" x14ac:dyDescent="0.2">
      <c r="A31" s="17"/>
      <c r="B31" s="75"/>
      <c r="C31" s="1989" t="s">
        <v>3783</v>
      </c>
      <c r="D31" s="1989" t="s">
        <v>7226</v>
      </c>
      <c r="E31" s="1989">
        <v>0</v>
      </c>
      <c r="F31" s="38">
        <f t="shared" ref="F31:F94" si="0">E31*$G$4*$J$4</f>
        <v>0</v>
      </c>
      <c r="G31" s="459"/>
      <c r="J31" s="1930">
        <v>43047</v>
      </c>
      <c r="K31" s="8">
        <v>67.767700000000005</v>
      </c>
      <c r="L31" s="8">
        <v>-0.3145</v>
      </c>
      <c r="N31" s="8" t="s">
        <v>7177</v>
      </c>
    </row>
    <row r="32" spans="1:255" outlineLevel="1" x14ac:dyDescent="0.2">
      <c r="A32" s="17"/>
      <c r="B32" s="75"/>
      <c r="C32" s="1989" t="s">
        <v>3784</v>
      </c>
      <c r="D32" s="1989" t="s">
        <v>5234</v>
      </c>
      <c r="E32" s="1989">
        <v>0</v>
      </c>
      <c r="F32" s="38">
        <f t="shared" si="0"/>
        <v>0</v>
      </c>
      <c r="G32" s="459"/>
      <c r="J32" s="1930">
        <v>43043</v>
      </c>
      <c r="K32" s="8">
        <v>68.0822</v>
      </c>
      <c r="L32" s="8">
        <v>0.4052</v>
      </c>
      <c r="N32" s="8" t="s">
        <v>7178</v>
      </c>
    </row>
    <row r="33" spans="1:47" outlineLevel="1" x14ac:dyDescent="0.2">
      <c r="A33" s="17"/>
      <c r="B33" s="75"/>
      <c r="C33" s="1989" t="s">
        <v>3785</v>
      </c>
      <c r="D33" s="1989" t="s">
        <v>7227</v>
      </c>
      <c r="E33" s="1989">
        <v>0</v>
      </c>
      <c r="F33" s="38">
        <f t="shared" si="0"/>
        <v>0</v>
      </c>
      <c r="G33" s="459"/>
      <c r="J33" s="1930">
        <v>43042</v>
      </c>
      <c r="K33" s="8">
        <v>67.677000000000007</v>
      </c>
      <c r="L33" s="8">
        <v>-3.3700000000000001E-2</v>
      </c>
    </row>
    <row r="34" spans="1:47" outlineLevel="1" x14ac:dyDescent="0.2">
      <c r="A34" s="17"/>
      <c r="B34" s="75"/>
      <c r="C34" s="1989" t="s">
        <v>3786</v>
      </c>
      <c r="D34" s="1989" t="s">
        <v>7228</v>
      </c>
      <c r="E34" s="1989">
        <v>0</v>
      </c>
      <c r="F34" s="38">
        <f t="shared" si="0"/>
        <v>0</v>
      </c>
      <c r="G34" s="459"/>
      <c r="J34" s="1930">
        <v>43041</v>
      </c>
      <c r="K34" s="8">
        <v>67.710700000000003</v>
      </c>
      <c r="L34" s="8">
        <v>6.7299999999999999E-2</v>
      </c>
    </row>
    <row r="35" spans="1:47" s="1135" customFormat="1" outlineLevel="1" x14ac:dyDescent="0.2">
      <c r="A35" s="17"/>
      <c r="B35" s="75"/>
      <c r="C35" s="1989" t="s">
        <v>3787</v>
      </c>
      <c r="D35" s="1989" t="s">
        <v>7229</v>
      </c>
      <c r="E35" s="1989">
        <v>0</v>
      </c>
      <c r="F35" s="38">
        <f t="shared" si="0"/>
        <v>0</v>
      </c>
      <c r="G35" s="459"/>
      <c r="H35" s="8"/>
      <c r="I35" s="8"/>
      <c r="J35" s="1930">
        <v>43040</v>
      </c>
      <c r="K35" s="8">
        <v>67.6434</v>
      </c>
      <c r="L35" s="8">
        <v>0.42549999999999999</v>
      </c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771"/>
      <c r="Y35" s="771"/>
      <c r="Z35" s="771"/>
      <c r="AA35" s="771"/>
      <c r="AB35" s="771"/>
      <c r="AC35" s="771"/>
      <c r="AD35" s="771"/>
      <c r="AE35" s="771"/>
      <c r="AF35" s="771"/>
      <c r="AG35" s="771"/>
      <c r="AH35" s="771"/>
      <c r="AI35" s="771"/>
      <c r="AJ35" s="771"/>
      <c r="AK35" s="771"/>
      <c r="AL35" s="771"/>
      <c r="AM35" s="771"/>
      <c r="AN35" s="771"/>
      <c r="AO35" s="771"/>
      <c r="AP35" s="771"/>
      <c r="AQ35" s="771"/>
      <c r="AR35" s="771"/>
      <c r="AS35" s="771"/>
      <c r="AT35" s="771"/>
      <c r="AU35" s="771"/>
    </row>
    <row r="36" spans="1:47" s="1135" customFormat="1" outlineLevel="1" x14ac:dyDescent="0.2">
      <c r="A36" s="17"/>
      <c r="B36" s="75"/>
      <c r="C36" s="1989" t="s">
        <v>3788</v>
      </c>
      <c r="D36" s="1989" t="s">
        <v>5235</v>
      </c>
      <c r="E36" s="1989">
        <v>0</v>
      </c>
      <c r="F36" s="38">
        <f t="shared" si="0"/>
        <v>0</v>
      </c>
      <c r="G36" s="459"/>
      <c r="H36" s="8"/>
      <c r="I36" s="8"/>
      <c r="J36" s="1930">
        <v>43039</v>
      </c>
      <c r="K36" s="8">
        <v>67.2179</v>
      </c>
      <c r="L36" s="8">
        <v>-0.30969999999999998</v>
      </c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771"/>
      <c r="Y36" s="771"/>
      <c r="Z36" s="771"/>
      <c r="AA36" s="771"/>
      <c r="AB36" s="771"/>
      <c r="AC36" s="771"/>
      <c r="AD36" s="771"/>
      <c r="AE36" s="771"/>
      <c r="AF36" s="771"/>
      <c r="AG36" s="771"/>
      <c r="AH36" s="771"/>
      <c r="AI36" s="771"/>
      <c r="AJ36" s="771"/>
      <c r="AK36" s="771"/>
      <c r="AL36" s="771"/>
      <c r="AM36" s="771"/>
      <c r="AN36" s="771"/>
      <c r="AO36" s="771"/>
      <c r="AP36" s="771"/>
      <c r="AQ36" s="771"/>
      <c r="AR36" s="771"/>
      <c r="AS36" s="771"/>
      <c r="AT36" s="771"/>
      <c r="AU36" s="771"/>
    </row>
    <row r="37" spans="1:47" s="1135" customFormat="1" outlineLevel="1" x14ac:dyDescent="0.2">
      <c r="A37" s="17"/>
      <c r="B37" s="75"/>
      <c r="C37" s="1989" t="s">
        <v>3789</v>
      </c>
      <c r="D37" s="1989" t="s">
        <v>7230</v>
      </c>
      <c r="E37" s="1989">
        <v>0</v>
      </c>
      <c r="F37" s="38">
        <f t="shared" si="0"/>
        <v>0</v>
      </c>
      <c r="G37" s="459"/>
      <c r="H37" s="8"/>
      <c r="I37" s="8"/>
      <c r="J37" s="1930">
        <v>43036</v>
      </c>
      <c r="K37" s="8">
        <v>67.527600000000007</v>
      </c>
      <c r="L37" s="8">
        <v>-0.76139999999999997</v>
      </c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771"/>
      <c r="Y37" s="771"/>
      <c r="Z37" s="771"/>
      <c r="AA37" s="771"/>
      <c r="AB37" s="771"/>
      <c r="AC37" s="771"/>
      <c r="AD37" s="771"/>
      <c r="AE37" s="771"/>
      <c r="AF37" s="771"/>
      <c r="AG37" s="771"/>
      <c r="AH37" s="771"/>
      <c r="AI37" s="771"/>
      <c r="AJ37" s="771"/>
      <c r="AK37" s="771"/>
      <c r="AL37" s="771"/>
      <c r="AM37" s="771"/>
      <c r="AN37" s="771"/>
      <c r="AO37" s="771"/>
      <c r="AP37" s="771"/>
      <c r="AQ37" s="771"/>
      <c r="AR37" s="771"/>
      <c r="AS37" s="771"/>
      <c r="AT37" s="771"/>
      <c r="AU37" s="771"/>
    </row>
    <row r="38" spans="1:47" s="1135" customFormat="1" outlineLevel="1" x14ac:dyDescent="0.2">
      <c r="A38" s="17"/>
      <c r="B38" s="75"/>
      <c r="C38" s="1989" t="s">
        <v>4490</v>
      </c>
      <c r="D38" s="1989" t="s">
        <v>7231</v>
      </c>
      <c r="E38" s="1989">
        <v>0</v>
      </c>
      <c r="F38" s="38">
        <f t="shared" si="0"/>
        <v>0</v>
      </c>
      <c r="G38" s="459"/>
      <c r="H38" s="8"/>
      <c r="I38" s="8"/>
      <c r="J38" s="1930">
        <v>43035</v>
      </c>
      <c r="K38" s="8">
        <v>68.289000000000001</v>
      </c>
      <c r="L38" s="8">
        <v>0.51770000000000005</v>
      </c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771"/>
      <c r="Y38" s="771"/>
      <c r="Z38" s="771"/>
      <c r="AA38" s="771"/>
      <c r="AB38" s="771"/>
      <c r="AC38" s="771"/>
      <c r="AD38" s="771"/>
      <c r="AE38" s="771"/>
      <c r="AF38" s="771"/>
      <c r="AG38" s="771"/>
      <c r="AH38" s="771"/>
      <c r="AI38" s="771"/>
      <c r="AJ38" s="771"/>
      <c r="AK38" s="771"/>
      <c r="AL38" s="771"/>
      <c r="AM38" s="771"/>
      <c r="AN38" s="771"/>
      <c r="AO38" s="771"/>
      <c r="AP38" s="771"/>
      <c r="AQ38" s="771"/>
      <c r="AR38" s="771"/>
      <c r="AS38" s="771"/>
      <c r="AT38" s="771"/>
      <c r="AU38" s="771"/>
    </row>
    <row r="39" spans="1:47" s="1135" customFormat="1" outlineLevel="1" x14ac:dyDescent="0.2">
      <c r="A39" s="17"/>
      <c r="B39" s="75"/>
      <c r="C39" s="1989" t="s">
        <v>4491</v>
      </c>
      <c r="D39" s="1989" t="s">
        <v>7232</v>
      </c>
      <c r="E39" s="1989">
        <v>0</v>
      </c>
      <c r="F39" s="38">
        <f t="shared" si="0"/>
        <v>0</v>
      </c>
      <c r="G39" s="459"/>
      <c r="H39" s="8"/>
      <c r="I39" s="8"/>
      <c r="J39" s="1930">
        <v>43034</v>
      </c>
      <c r="K39" s="8">
        <v>67.771299999999997</v>
      </c>
      <c r="L39" s="8">
        <v>8.5699999999999998E-2</v>
      </c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771"/>
      <c r="Y39" s="771"/>
      <c r="Z39" s="771"/>
      <c r="AA39" s="771"/>
      <c r="AB39" s="771"/>
      <c r="AC39" s="771"/>
      <c r="AD39" s="771"/>
      <c r="AE39" s="771"/>
      <c r="AF39" s="771"/>
      <c r="AG39" s="771"/>
      <c r="AH39" s="771"/>
      <c r="AI39" s="771"/>
      <c r="AJ39" s="771"/>
      <c r="AK39" s="771"/>
      <c r="AL39" s="771"/>
      <c r="AM39" s="771"/>
      <c r="AN39" s="771"/>
      <c r="AO39" s="771"/>
      <c r="AP39" s="771"/>
      <c r="AQ39" s="771"/>
      <c r="AR39" s="771"/>
      <c r="AS39" s="771"/>
      <c r="AT39" s="771"/>
      <c r="AU39" s="771"/>
    </row>
    <row r="40" spans="1:47" s="1135" customFormat="1" outlineLevel="1" x14ac:dyDescent="0.2">
      <c r="A40" s="17"/>
      <c r="B40" s="75"/>
      <c r="C40" s="1989" t="s">
        <v>4492</v>
      </c>
      <c r="D40" s="1989" t="s">
        <v>5236</v>
      </c>
      <c r="E40" s="1989">
        <v>0</v>
      </c>
      <c r="F40" s="38">
        <f t="shared" si="0"/>
        <v>0</v>
      </c>
      <c r="G40" s="459"/>
      <c r="H40" s="8"/>
      <c r="I40" s="8"/>
      <c r="J40" s="1930">
        <v>43033</v>
      </c>
      <c r="K40" s="8">
        <v>67.685599999999994</v>
      </c>
      <c r="L40" s="8">
        <v>0.12889999999999999</v>
      </c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771"/>
      <c r="Y40" s="771"/>
      <c r="Z40" s="771"/>
      <c r="AA40" s="771"/>
      <c r="AB40" s="771"/>
      <c r="AC40" s="771"/>
      <c r="AD40" s="771"/>
      <c r="AE40" s="771"/>
      <c r="AF40" s="771"/>
      <c r="AG40" s="771"/>
      <c r="AH40" s="771"/>
      <c r="AI40" s="771"/>
      <c r="AJ40" s="771"/>
      <c r="AK40" s="771"/>
      <c r="AL40" s="771"/>
      <c r="AM40" s="771"/>
      <c r="AN40" s="771"/>
      <c r="AO40" s="771"/>
      <c r="AP40" s="771"/>
      <c r="AQ40" s="771"/>
      <c r="AR40" s="771"/>
      <c r="AS40" s="771"/>
      <c r="AT40" s="771"/>
      <c r="AU40" s="771"/>
    </row>
    <row r="41" spans="1:47" s="1135" customFormat="1" outlineLevel="1" x14ac:dyDescent="0.2">
      <c r="A41" s="17"/>
      <c r="B41" s="75"/>
      <c r="C41" s="1989" t="s">
        <v>4493</v>
      </c>
      <c r="D41" s="1989" t="s">
        <v>7233</v>
      </c>
      <c r="E41" s="1989">
        <v>0</v>
      </c>
      <c r="F41" s="38">
        <f t="shared" si="0"/>
        <v>0</v>
      </c>
      <c r="G41" s="459"/>
      <c r="H41" s="8"/>
      <c r="I41" s="8"/>
      <c r="J41" s="8"/>
      <c r="K41" s="8"/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771"/>
      <c r="Y41" s="771"/>
      <c r="Z41" s="771"/>
      <c r="AA41" s="771"/>
      <c r="AB41" s="771"/>
      <c r="AC41" s="771"/>
      <c r="AD41" s="771"/>
      <c r="AE41" s="771"/>
      <c r="AF41" s="771"/>
      <c r="AG41" s="771"/>
      <c r="AH41" s="771"/>
      <c r="AI41" s="771"/>
      <c r="AJ41" s="771"/>
      <c r="AK41" s="771"/>
      <c r="AL41" s="771"/>
      <c r="AM41" s="771"/>
      <c r="AN41" s="771"/>
      <c r="AO41" s="771"/>
      <c r="AP41" s="771"/>
      <c r="AQ41" s="771"/>
      <c r="AR41" s="771"/>
      <c r="AS41" s="771"/>
      <c r="AT41" s="771"/>
      <c r="AU41" s="771"/>
    </row>
    <row r="42" spans="1:47" s="1135" customFormat="1" outlineLevel="1" x14ac:dyDescent="0.2">
      <c r="A42" s="17"/>
      <c r="B42" s="75"/>
      <c r="C42" s="1989" t="s">
        <v>4494</v>
      </c>
      <c r="D42" s="1989" t="s">
        <v>7234</v>
      </c>
      <c r="E42" s="1989">
        <v>0</v>
      </c>
      <c r="F42" s="38">
        <f t="shared" si="0"/>
        <v>0</v>
      </c>
      <c r="G42" s="459"/>
      <c r="H42" s="8"/>
      <c r="I42" s="8"/>
      <c r="J42" s="8"/>
      <c r="K42" s="8"/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771"/>
      <c r="Y42" s="771"/>
      <c r="Z42" s="771"/>
      <c r="AA42" s="771"/>
      <c r="AB42" s="771"/>
      <c r="AC42" s="771"/>
      <c r="AD42" s="771"/>
      <c r="AE42" s="771"/>
      <c r="AF42" s="771"/>
      <c r="AG42" s="771"/>
      <c r="AH42" s="771"/>
      <c r="AI42" s="771"/>
      <c r="AJ42" s="771"/>
      <c r="AK42" s="771"/>
      <c r="AL42" s="771"/>
      <c r="AM42" s="771"/>
      <c r="AN42" s="771"/>
      <c r="AO42" s="771"/>
      <c r="AP42" s="771"/>
      <c r="AQ42" s="771"/>
      <c r="AR42" s="771"/>
      <c r="AS42" s="771"/>
      <c r="AT42" s="771"/>
      <c r="AU42" s="771"/>
    </row>
    <row r="43" spans="1:47" s="1135" customFormat="1" outlineLevel="1" x14ac:dyDescent="0.2">
      <c r="A43" s="17"/>
      <c r="B43" s="75"/>
      <c r="C43" s="1989" t="s">
        <v>4495</v>
      </c>
      <c r="D43" s="1989" t="s">
        <v>7235</v>
      </c>
      <c r="E43" s="1989">
        <v>0</v>
      </c>
      <c r="F43" s="38">
        <f t="shared" si="0"/>
        <v>0</v>
      </c>
      <c r="G43" s="459"/>
      <c r="H43" s="8"/>
      <c r="I43" s="8"/>
      <c r="J43" s="8"/>
      <c r="K43" s="8"/>
      <c r="L43" s="8"/>
      <c r="M43" s="8"/>
      <c r="N43" s="8"/>
      <c r="O43" s="8"/>
      <c r="P43" s="8"/>
      <c r="Q43" s="8"/>
      <c r="R43" s="8"/>
      <c r="S43" s="8"/>
      <c r="T43" s="8"/>
      <c r="U43" s="8"/>
      <c r="V43" s="8"/>
      <c r="W43" s="8"/>
      <c r="X43" s="771"/>
      <c r="Y43" s="771"/>
      <c r="Z43" s="771"/>
      <c r="AA43" s="771"/>
      <c r="AB43" s="771"/>
      <c r="AC43" s="771"/>
      <c r="AD43" s="771"/>
      <c r="AE43" s="771"/>
      <c r="AF43" s="771"/>
      <c r="AG43" s="771"/>
      <c r="AH43" s="771"/>
      <c r="AI43" s="771"/>
      <c r="AJ43" s="771"/>
      <c r="AK43" s="771"/>
      <c r="AL43" s="771"/>
      <c r="AM43" s="771"/>
      <c r="AN43" s="771"/>
      <c r="AO43" s="771"/>
      <c r="AP43" s="771"/>
      <c r="AQ43" s="771"/>
      <c r="AR43" s="771"/>
      <c r="AS43" s="771"/>
      <c r="AT43" s="771"/>
      <c r="AU43" s="771"/>
    </row>
    <row r="44" spans="1:47" s="1135" customFormat="1" outlineLevel="1" x14ac:dyDescent="0.2">
      <c r="A44" s="17"/>
      <c r="B44" s="75"/>
      <c r="C44" s="1989" t="s">
        <v>4496</v>
      </c>
      <c r="D44" s="1989" t="s">
        <v>5237</v>
      </c>
      <c r="E44" s="1989">
        <v>0</v>
      </c>
      <c r="F44" s="38">
        <f t="shared" si="0"/>
        <v>0</v>
      </c>
      <c r="G44" s="459"/>
      <c r="H44" s="8"/>
      <c r="I44" s="8"/>
      <c r="J44" s="8"/>
      <c r="K44" s="8"/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771"/>
      <c r="Y44" s="771"/>
      <c r="Z44" s="771"/>
      <c r="AA44" s="771"/>
      <c r="AB44" s="771"/>
      <c r="AC44" s="771"/>
      <c r="AD44" s="771"/>
      <c r="AE44" s="771"/>
      <c r="AF44" s="771"/>
      <c r="AG44" s="771"/>
      <c r="AH44" s="771"/>
      <c r="AI44" s="771"/>
      <c r="AJ44" s="771"/>
      <c r="AK44" s="771"/>
      <c r="AL44" s="771"/>
      <c r="AM44" s="771"/>
      <c r="AN44" s="771"/>
      <c r="AO44" s="771"/>
      <c r="AP44" s="771"/>
      <c r="AQ44" s="771"/>
      <c r="AR44" s="771"/>
      <c r="AS44" s="771"/>
      <c r="AT44" s="771"/>
      <c r="AU44" s="771"/>
    </row>
    <row r="45" spans="1:47" s="1135" customFormat="1" outlineLevel="1" x14ac:dyDescent="0.2">
      <c r="A45" s="17"/>
      <c r="B45" s="75"/>
      <c r="C45" s="1989" t="s">
        <v>4497</v>
      </c>
      <c r="D45" s="1989" t="s">
        <v>7236</v>
      </c>
      <c r="E45" s="1989">
        <v>0</v>
      </c>
      <c r="F45" s="38">
        <f t="shared" si="0"/>
        <v>0</v>
      </c>
      <c r="G45" s="459"/>
      <c r="H45" s="8"/>
      <c r="I45" s="8"/>
      <c r="J45" s="8"/>
      <c r="K45" s="8"/>
      <c r="L45" s="8"/>
      <c r="M45" s="8"/>
      <c r="N45" s="8"/>
      <c r="O45" s="8"/>
      <c r="P45" s="8"/>
      <c r="Q45" s="8"/>
      <c r="R45" s="8"/>
      <c r="S45" s="8"/>
      <c r="T45" s="8"/>
      <c r="U45" s="8"/>
      <c r="V45" s="8"/>
      <c r="W45" s="8"/>
      <c r="X45" s="771"/>
      <c r="Y45" s="771"/>
      <c r="Z45" s="771"/>
      <c r="AA45" s="771"/>
      <c r="AB45" s="771"/>
      <c r="AC45" s="771"/>
      <c r="AD45" s="771"/>
      <c r="AE45" s="771"/>
      <c r="AF45" s="771"/>
      <c r="AG45" s="771"/>
      <c r="AH45" s="771"/>
      <c r="AI45" s="771"/>
      <c r="AJ45" s="771"/>
      <c r="AK45" s="771"/>
      <c r="AL45" s="771"/>
      <c r="AM45" s="771"/>
      <c r="AN45" s="771"/>
      <c r="AO45" s="771"/>
      <c r="AP45" s="771"/>
      <c r="AQ45" s="771"/>
      <c r="AR45" s="771"/>
      <c r="AS45" s="771"/>
      <c r="AT45" s="771"/>
      <c r="AU45" s="771"/>
    </row>
    <row r="46" spans="1:47" s="1135" customFormat="1" outlineLevel="1" x14ac:dyDescent="0.2">
      <c r="A46" s="17"/>
      <c r="B46" s="75"/>
      <c r="C46" s="1989" t="s">
        <v>3790</v>
      </c>
      <c r="D46" s="1989" t="s">
        <v>7237</v>
      </c>
      <c r="E46" s="1989">
        <v>0</v>
      </c>
      <c r="F46" s="38">
        <f t="shared" si="0"/>
        <v>0</v>
      </c>
      <c r="G46" s="459"/>
      <c r="H46" s="8"/>
      <c r="I46" s="8"/>
      <c r="J46" s="8"/>
      <c r="K46" s="8"/>
      <c r="L46" s="8"/>
      <c r="M46" s="8"/>
      <c r="N46" s="8"/>
      <c r="O46" s="8"/>
      <c r="P46" s="8"/>
      <c r="Q46" s="8"/>
      <c r="R46" s="8"/>
      <c r="S46" s="8"/>
      <c r="T46" s="8"/>
      <c r="U46" s="8"/>
      <c r="V46" s="8"/>
      <c r="W46" s="8"/>
      <c r="X46" s="771"/>
      <c r="Y46" s="771"/>
      <c r="Z46" s="771"/>
      <c r="AA46" s="771"/>
      <c r="AB46" s="771"/>
      <c r="AC46" s="771"/>
      <c r="AD46" s="771"/>
      <c r="AE46" s="771"/>
      <c r="AF46" s="771"/>
      <c r="AG46" s="771"/>
      <c r="AH46" s="771"/>
      <c r="AI46" s="771"/>
      <c r="AJ46" s="771"/>
      <c r="AK46" s="771"/>
      <c r="AL46" s="771"/>
      <c r="AM46" s="771"/>
      <c r="AN46" s="771"/>
      <c r="AO46" s="771"/>
      <c r="AP46" s="771"/>
      <c r="AQ46" s="771"/>
      <c r="AR46" s="771"/>
      <c r="AS46" s="771"/>
      <c r="AT46" s="771"/>
      <c r="AU46" s="771"/>
    </row>
    <row r="47" spans="1:47" s="1135" customFormat="1" outlineLevel="1" x14ac:dyDescent="0.2">
      <c r="A47" s="17"/>
      <c r="B47" s="75"/>
      <c r="C47" s="1989" t="s">
        <v>3791</v>
      </c>
      <c r="D47" s="1989" t="s">
        <v>7238</v>
      </c>
      <c r="E47" s="1989">
        <v>0</v>
      </c>
      <c r="F47" s="38">
        <f t="shared" si="0"/>
        <v>0</v>
      </c>
      <c r="G47" s="459"/>
      <c r="H47" s="8"/>
      <c r="I47" s="8"/>
      <c r="J47" s="8"/>
      <c r="K47" s="8"/>
      <c r="L47" s="8"/>
      <c r="M47" s="8"/>
      <c r="N47" s="8"/>
      <c r="O47" s="8"/>
      <c r="P47" s="8"/>
      <c r="Q47" s="8"/>
      <c r="R47" s="8"/>
      <c r="S47" s="8"/>
      <c r="T47" s="8"/>
      <c r="U47" s="8"/>
      <c r="V47" s="8"/>
      <c r="W47" s="8"/>
      <c r="X47" s="771"/>
      <c r="Y47" s="771"/>
      <c r="Z47" s="771"/>
      <c r="AA47" s="771"/>
      <c r="AB47" s="771"/>
      <c r="AC47" s="771"/>
      <c r="AD47" s="771"/>
      <c r="AE47" s="771"/>
      <c r="AF47" s="771"/>
      <c r="AG47" s="771"/>
      <c r="AH47" s="771"/>
      <c r="AI47" s="771"/>
      <c r="AJ47" s="771"/>
      <c r="AK47" s="771"/>
      <c r="AL47" s="771"/>
      <c r="AM47" s="771"/>
      <c r="AN47" s="771"/>
      <c r="AO47" s="771"/>
      <c r="AP47" s="771"/>
      <c r="AQ47" s="771"/>
      <c r="AR47" s="771"/>
      <c r="AS47" s="771"/>
      <c r="AT47" s="771"/>
      <c r="AU47" s="771"/>
    </row>
    <row r="48" spans="1:47" s="1135" customFormat="1" outlineLevel="1" x14ac:dyDescent="0.2">
      <c r="A48" s="17"/>
      <c r="B48" s="75"/>
      <c r="C48" s="1989" t="s">
        <v>3792</v>
      </c>
      <c r="D48" s="1989" t="s">
        <v>5238</v>
      </c>
      <c r="E48" s="1989">
        <v>0</v>
      </c>
      <c r="F48" s="38">
        <f t="shared" si="0"/>
        <v>0</v>
      </c>
      <c r="G48" s="459"/>
      <c r="H48" s="8"/>
      <c r="I48" s="8"/>
      <c r="J48" s="8"/>
      <c r="K48" s="8"/>
      <c r="L48" s="8"/>
      <c r="M48" s="8"/>
      <c r="N48" s="8"/>
      <c r="O48" s="8"/>
      <c r="P48" s="8"/>
      <c r="Q48" s="8"/>
      <c r="R48" s="8"/>
      <c r="S48" s="8"/>
      <c r="T48" s="8"/>
      <c r="U48" s="8"/>
      <c r="V48" s="8"/>
      <c r="W48" s="8"/>
      <c r="X48" s="771"/>
      <c r="Y48" s="771"/>
      <c r="Z48" s="771"/>
      <c r="AA48" s="771"/>
      <c r="AB48" s="771"/>
      <c r="AC48" s="771"/>
      <c r="AD48" s="771"/>
      <c r="AE48" s="771"/>
      <c r="AF48" s="771"/>
      <c r="AG48" s="771"/>
      <c r="AH48" s="771"/>
      <c r="AI48" s="771"/>
      <c r="AJ48" s="771"/>
      <c r="AK48" s="771"/>
      <c r="AL48" s="771"/>
      <c r="AM48" s="771"/>
      <c r="AN48" s="771"/>
      <c r="AO48" s="771"/>
      <c r="AP48" s="771"/>
      <c r="AQ48" s="771"/>
      <c r="AR48" s="771"/>
      <c r="AS48" s="771"/>
      <c r="AT48" s="771"/>
      <c r="AU48" s="771"/>
    </row>
    <row r="49" spans="1:47" s="1135" customFormat="1" outlineLevel="1" x14ac:dyDescent="0.2">
      <c r="A49" s="17"/>
      <c r="B49" s="75"/>
      <c r="C49" s="1989" t="s">
        <v>3793</v>
      </c>
      <c r="D49" s="1989" t="s">
        <v>7239</v>
      </c>
      <c r="E49" s="1989">
        <v>0</v>
      </c>
      <c r="F49" s="38">
        <f t="shared" si="0"/>
        <v>0</v>
      </c>
      <c r="G49" s="459"/>
      <c r="H49" s="8"/>
      <c r="I49" s="8"/>
      <c r="J49" s="8"/>
      <c r="K49" s="8"/>
      <c r="L49" s="8"/>
      <c r="M49" s="8"/>
      <c r="N49" s="8"/>
      <c r="O49" s="8"/>
      <c r="P49" s="8"/>
      <c r="Q49" s="8"/>
      <c r="R49" s="8"/>
      <c r="S49" s="8"/>
      <c r="T49" s="8"/>
      <c r="U49" s="8"/>
      <c r="V49" s="8"/>
      <c r="W49" s="8"/>
      <c r="X49" s="771"/>
      <c r="Y49" s="771"/>
      <c r="Z49" s="771"/>
      <c r="AA49" s="771"/>
      <c r="AB49" s="771"/>
      <c r="AC49" s="771"/>
      <c r="AD49" s="771"/>
      <c r="AE49" s="771"/>
      <c r="AF49" s="771"/>
      <c r="AG49" s="771"/>
      <c r="AH49" s="771"/>
      <c r="AI49" s="771"/>
      <c r="AJ49" s="771"/>
      <c r="AK49" s="771"/>
      <c r="AL49" s="771"/>
      <c r="AM49" s="771"/>
      <c r="AN49" s="771"/>
      <c r="AO49" s="771"/>
      <c r="AP49" s="771"/>
      <c r="AQ49" s="771"/>
      <c r="AR49" s="771"/>
      <c r="AS49" s="771"/>
      <c r="AT49" s="771"/>
      <c r="AU49" s="771"/>
    </row>
    <row r="50" spans="1:47" s="1135" customFormat="1" outlineLevel="1" x14ac:dyDescent="0.2">
      <c r="A50" s="17"/>
      <c r="B50" s="75"/>
      <c r="C50" s="1989" t="s">
        <v>3794</v>
      </c>
      <c r="D50" s="1989" t="s">
        <v>7240</v>
      </c>
      <c r="E50" s="1989">
        <v>0</v>
      </c>
      <c r="F50" s="38">
        <f t="shared" si="0"/>
        <v>0</v>
      </c>
      <c r="G50" s="459"/>
      <c r="H50" s="8"/>
      <c r="I50" s="8"/>
      <c r="J50" s="8"/>
      <c r="K50" s="8"/>
      <c r="L50" s="8"/>
      <c r="M50" s="8"/>
      <c r="N50" s="8"/>
      <c r="O50" s="8"/>
      <c r="P50" s="8"/>
      <c r="Q50" s="8"/>
      <c r="R50" s="8"/>
      <c r="S50" s="8"/>
      <c r="T50" s="8"/>
      <c r="U50" s="8"/>
      <c r="V50" s="8"/>
      <c r="W50" s="8"/>
      <c r="X50" s="771"/>
      <c r="Y50" s="771"/>
      <c r="Z50" s="771"/>
      <c r="AA50" s="771"/>
      <c r="AB50" s="771"/>
      <c r="AC50" s="771"/>
      <c r="AD50" s="771"/>
      <c r="AE50" s="771"/>
      <c r="AF50" s="771"/>
      <c r="AG50" s="771"/>
      <c r="AH50" s="771"/>
      <c r="AI50" s="771"/>
      <c r="AJ50" s="771"/>
      <c r="AK50" s="771"/>
      <c r="AL50" s="771"/>
      <c r="AM50" s="771"/>
      <c r="AN50" s="771"/>
      <c r="AO50" s="771"/>
      <c r="AP50" s="771"/>
      <c r="AQ50" s="771"/>
      <c r="AR50" s="771"/>
      <c r="AS50" s="771"/>
      <c r="AT50" s="771"/>
      <c r="AU50" s="771"/>
    </row>
    <row r="51" spans="1:47" s="1135" customFormat="1" outlineLevel="1" x14ac:dyDescent="0.2">
      <c r="A51" s="17"/>
      <c r="B51" s="75"/>
      <c r="C51" s="1989" t="s">
        <v>3795</v>
      </c>
      <c r="D51" s="1989" t="s">
        <v>7241</v>
      </c>
      <c r="E51" s="1989">
        <v>0</v>
      </c>
      <c r="F51" s="38">
        <f t="shared" si="0"/>
        <v>0</v>
      </c>
      <c r="G51" s="459"/>
      <c r="H51" s="8"/>
      <c r="I51" s="8"/>
      <c r="J51" s="8"/>
      <c r="K51" s="8"/>
      <c r="L51" s="8"/>
      <c r="M51" s="8"/>
      <c r="N51" s="8"/>
      <c r="O51" s="8"/>
      <c r="P51" s="8"/>
      <c r="Q51" s="8"/>
      <c r="R51" s="8"/>
      <c r="S51" s="8"/>
      <c r="T51" s="8"/>
      <c r="U51" s="8"/>
      <c r="V51" s="8"/>
      <c r="W51" s="8"/>
      <c r="X51" s="771"/>
      <c r="Y51" s="771"/>
      <c r="Z51" s="771"/>
      <c r="AA51" s="771"/>
      <c r="AB51" s="771"/>
      <c r="AC51" s="771"/>
      <c r="AD51" s="771"/>
      <c r="AE51" s="771"/>
      <c r="AF51" s="771"/>
      <c r="AG51" s="771"/>
      <c r="AH51" s="771"/>
      <c r="AI51" s="771"/>
      <c r="AJ51" s="771"/>
      <c r="AK51" s="771"/>
      <c r="AL51" s="771"/>
      <c r="AM51" s="771"/>
      <c r="AN51" s="771"/>
      <c r="AO51" s="771"/>
      <c r="AP51" s="771"/>
      <c r="AQ51" s="771"/>
      <c r="AR51" s="771"/>
      <c r="AS51" s="771"/>
      <c r="AT51" s="771"/>
      <c r="AU51" s="771"/>
    </row>
    <row r="52" spans="1:47" s="1135" customFormat="1" outlineLevel="1" x14ac:dyDescent="0.2">
      <c r="A52" s="17"/>
      <c r="B52" s="75"/>
      <c r="C52" s="1989" t="s">
        <v>3796</v>
      </c>
      <c r="D52" s="1989" t="s">
        <v>5239</v>
      </c>
      <c r="E52" s="1989">
        <v>0</v>
      </c>
      <c r="F52" s="38">
        <f t="shared" si="0"/>
        <v>0</v>
      </c>
      <c r="G52" s="459"/>
      <c r="H52" s="8"/>
      <c r="I52" s="8"/>
      <c r="J52" s="8"/>
      <c r="K52" s="8"/>
      <c r="L52" s="8"/>
      <c r="M52" s="8"/>
      <c r="N52" s="8"/>
      <c r="O52" s="8"/>
      <c r="P52" s="8"/>
      <c r="Q52" s="8"/>
      <c r="R52" s="8"/>
      <c r="S52" s="8"/>
      <c r="T52" s="8"/>
      <c r="U52" s="8"/>
      <c r="V52" s="8"/>
      <c r="W52" s="8"/>
      <c r="X52" s="771"/>
      <c r="Y52" s="771"/>
      <c r="Z52" s="771"/>
      <c r="AA52" s="771"/>
      <c r="AB52" s="771"/>
      <c r="AC52" s="771"/>
      <c r="AD52" s="771"/>
      <c r="AE52" s="771"/>
      <c r="AF52" s="771"/>
      <c r="AG52" s="771"/>
      <c r="AH52" s="771"/>
      <c r="AI52" s="771"/>
      <c r="AJ52" s="771"/>
      <c r="AK52" s="771"/>
      <c r="AL52" s="771"/>
      <c r="AM52" s="771"/>
      <c r="AN52" s="771"/>
      <c r="AO52" s="771"/>
      <c r="AP52" s="771"/>
      <c r="AQ52" s="771"/>
      <c r="AR52" s="771"/>
      <c r="AS52" s="771"/>
      <c r="AT52" s="771"/>
      <c r="AU52" s="771"/>
    </row>
    <row r="53" spans="1:47" s="1135" customFormat="1" outlineLevel="1" x14ac:dyDescent="0.2">
      <c r="A53" s="17"/>
      <c r="B53" s="75"/>
      <c r="C53" s="1989" t="s">
        <v>3797</v>
      </c>
      <c r="D53" s="1989" t="s">
        <v>7242</v>
      </c>
      <c r="E53" s="1989">
        <v>0</v>
      </c>
      <c r="F53" s="38">
        <f t="shared" si="0"/>
        <v>0</v>
      </c>
      <c r="G53" s="459"/>
      <c r="H53" s="8"/>
      <c r="I53" s="8"/>
      <c r="J53" s="8"/>
      <c r="K53" s="8"/>
      <c r="L53" s="8"/>
      <c r="M53" s="8"/>
      <c r="N53" s="8"/>
      <c r="O53" s="8"/>
      <c r="P53" s="8"/>
      <c r="Q53" s="8"/>
      <c r="R53" s="8"/>
      <c r="S53" s="8"/>
      <c r="T53" s="8"/>
      <c r="U53" s="8"/>
      <c r="V53" s="8"/>
      <c r="W53" s="8"/>
      <c r="X53" s="771"/>
      <c r="Y53" s="771"/>
      <c r="Z53" s="771"/>
      <c r="AA53" s="771"/>
      <c r="AB53" s="771"/>
      <c r="AC53" s="771"/>
      <c r="AD53" s="771"/>
      <c r="AE53" s="771"/>
      <c r="AF53" s="771"/>
      <c r="AG53" s="771"/>
      <c r="AH53" s="771"/>
      <c r="AI53" s="771"/>
      <c r="AJ53" s="771"/>
      <c r="AK53" s="771"/>
      <c r="AL53" s="771"/>
      <c r="AM53" s="771"/>
      <c r="AN53" s="771"/>
      <c r="AO53" s="771"/>
      <c r="AP53" s="771"/>
      <c r="AQ53" s="771"/>
      <c r="AR53" s="771"/>
      <c r="AS53" s="771"/>
      <c r="AT53" s="771"/>
      <c r="AU53" s="771"/>
    </row>
    <row r="54" spans="1:47" s="1135" customFormat="1" outlineLevel="1" x14ac:dyDescent="0.2">
      <c r="A54" s="17"/>
      <c r="B54" s="75"/>
      <c r="C54" s="1989" t="s">
        <v>3827</v>
      </c>
      <c r="D54" s="1989" t="s">
        <v>7243</v>
      </c>
      <c r="E54" s="1989">
        <v>0</v>
      </c>
      <c r="F54" s="38">
        <f t="shared" si="0"/>
        <v>0</v>
      </c>
      <c r="G54" s="459"/>
      <c r="H54" s="8"/>
      <c r="I54" s="8"/>
      <c r="J54" s="8"/>
      <c r="K54" s="8"/>
      <c r="L54" s="8"/>
      <c r="M54" s="8"/>
      <c r="N54" s="8"/>
      <c r="O54" s="8"/>
      <c r="P54" s="8"/>
      <c r="Q54" s="8"/>
      <c r="R54" s="8"/>
      <c r="S54" s="8"/>
      <c r="T54" s="8"/>
      <c r="U54" s="8"/>
      <c r="V54" s="8"/>
      <c r="W54" s="8"/>
      <c r="X54" s="771"/>
      <c r="Y54" s="771"/>
      <c r="Z54" s="771"/>
      <c r="AA54" s="771"/>
      <c r="AB54" s="771"/>
      <c r="AC54" s="771"/>
      <c r="AD54" s="771"/>
      <c r="AE54" s="771"/>
      <c r="AF54" s="771"/>
      <c r="AG54" s="771"/>
      <c r="AH54" s="771"/>
      <c r="AI54" s="771"/>
      <c r="AJ54" s="771"/>
      <c r="AK54" s="771"/>
      <c r="AL54" s="771"/>
      <c r="AM54" s="771"/>
      <c r="AN54" s="771"/>
      <c r="AO54" s="771"/>
      <c r="AP54" s="771"/>
      <c r="AQ54" s="771"/>
      <c r="AR54" s="771"/>
      <c r="AS54" s="771"/>
      <c r="AT54" s="771"/>
      <c r="AU54" s="771"/>
    </row>
    <row r="55" spans="1:47" s="1135" customFormat="1" outlineLevel="1" x14ac:dyDescent="0.2">
      <c r="A55" s="17"/>
      <c r="B55" s="75"/>
      <c r="C55" s="1989" t="s">
        <v>3828</v>
      </c>
      <c r="D55" s="1989" t="s">
        <v>7244</v>
      </c>
      <c r="E55" s="1989">
        <v>0</v>
      </c>
      <c r="F55" s="38">
        <f t="shared" si="0"/>
        <v>0</v>
      </c>
      <c r="G55" s="459"/>
      <c r="H55" s="8"/>
      <c r="I55" s="8"/>
      <c r="J55" s="8"/>
      <c r="K55" s="8"/>
      <c r="L55" s="8"/>
      <c r="M55" s="8"/>
      <c r="N55" s="8"/>
      <c r="O55" s="8"/>
      <c r="P55" s="8"/>
      <c r="Q55" s="8"/>
      <c r="R55" s="8"/>
      <c r="S55" s="8"/>
      <c r="T55" s="8"/>
      <c r="U55" s="8"/>
      <c r="V55" s="8"/>
      <c r="W55" s="8"/>
      <c r="X55" s="771"/>
      <c r="Y55" s="771"/>
      <c r="Z55" s="771"/>
      <c r="AA55" s="771"/>
      <c r="AB55" s="771"/>
      <c r="AC55" s="771"/>
      <c r="AD55" s="771"/>
      <c r="AE55" s="771"/>
      <c r="AF55" s="771"/>
      <c r="AG55" s="771"/>
      <c r="AH55" s="771"/>
      <c r="AI55" s="771"/>
      <c r="AJ55" s="771"/>
      <c r="AK55" s="771"/>
      <c r="AL55" s="771"/>
      <c r="AM55" s="771"/>
      <c r="AN55" s="771"/>
      <c r="AO55" s="771"/>
      <c r="AP55" s="771"/>
      <c r="AQ55" s="771"/>
      <c r="AR55" s="771"/>
      <c r="AS55" s="771"/>
      <c r="AT55" s="771"/>
      <c r="AU55" s="771"/>
    </row>
    <row r="56" spans="1:47" s="1135" customFormat="1" outlineLevel="1" x14ac:dyDescent="0.2">
      <c r="A56" s="17"/>
      <c r="B56" s="75"/>
      <c r="C56" s="1989" t="s">
        <v>3829</v>
      </c>
      <c r="D56" s="1989" t="s">
        <v>7245</v>
      </c>
      <c r="E56" s="1989">
        <v>0</v>
      </c>
      <c r="F56" s="38">
        <f t="shared" si="0"/>
        <v>0</v>
      </c>
      <c r="G56" s="459"/>
      <c r="H56" s="8"/>
      <c r="I56" s="8"/>
      <c r="J56" s="8"/>
      <c r="K56" s="8"/>
      <c r="L56" s="8"/>
      <c r="M56" s="8"/>
      <c r="N56" s="8"/>
      <c r="O56" s="8"/>
      <c r="P56" s="8"/>
      <c r="Q56" s="8"/>
      <c r="R56" s="8"/>
      <c r="S56" s="8"/>
      <c r="T56" s="8"/>
      <c r="U56" s="8"/>
      <c r="V56" s="8"/>
      <c r="W56" s="8"/>
      <c r="X56" s="771"/>
      <c r="Y56" s="771"/>
      <c r="Z56" s="771"/>
      <c r="AA56" s="771"/>
      <c r="AB56" s="771"/>
      <c r="AC56" s="771"/>
      <c r="AD56" s="771"/>
      <c r="AE56" s="771"/>
      <c r="AF56" s="771"/>
      <c r="AG56" s="771"/>
      <c r="AH56" s="771"/>
      <c r="AI56" s="771"/>
      <c r="AJ56" s="771"/>
      <c r="AK56" s="771"/>
      <c r="AL56" s="771"/>
      <c r="AM56" s="771"/>
      <c r="AN56" s="771"/>
      <c r="AO56" s="771"/>
      <c r="AP56" s="771"/>
      <c r="AQ56" s="771"/>
      <c r="AR56" s="771"/>
      <c r="AS56" s="771"/>
      <c r="AT56" s="771"/>
      <c r="AU56" s="771"/>
    </row>
    <row r="57" spans="1:47" s="1135" customFormat="1" outlineLevel="1" x14ac:dyDescent="0.2">
      <c r="A57" s="17"/>
      <c r="B57" s="75"/>
      <c r="C57" s="1989" t="s">
        <v>3830</v>
      </c>
      <c r="D57" s="1989" t="s">
        <v>7246</v>
      </c>
      <c r="E57" s="1989">
        <v>0</v>
      </c>
      <c r="F57" s="38">
        <f t="shared" si="0"/>
        <v>0</v>
      </c>
      <c r="G57" s="459"/>
      <c r="H57" s="8"/>
      <c r="I57" s="8"/>
      <c r="J57" s="8"/>
      <c r="K57" s="8"/>
      <c r="L57" s="8"/>
      <c r="M57" s="8"/>
      <c r="N57" s="8"/>
      <c r="O57" s="8"/>
      <c r="P57" s="8"/>
      <c r="Q57" s="8"/>
      <c r="R57" s="8"/>
      <c r="S57" s="8"/>
      <c r="T57" s="8"/>
      <c r="U57" s="8"/>
      <c r="V57" s="8"/>
      <c r="W57" s="8"/>
      <c r="X57" s="771"/>
      <c r="Y57" s="771"/>
      <c r="Z57" s="771"/>
      <c r="AA57" s="771"/>
      <c r="AB57" s="771"/>
      <c r="AC57" s="771"/>
      <c r="AD57" s="771"/>
      <c r="AE57" s="771"/>
      <c r="AF57" s="771"/>
      <c r="AG57" s="771"/>
      <c r="AH57" s="771"/>
      <c r="AI57" s="771"/>
      <c r="AJ57" s="771"/>
      <c r="AK57" s="771"/>
      <c r="AL57" s="771"/>
      <c r="AM57" s="771"/>
      <c r="AN57" s="771"/>
      <c r="AO57" s="771"/>
      <c r="AP57" s="771"/>
      <c r="AQ57" s="771"/>
      <c r="AR57" s="771"/>
      <c r="AS57" s="771"/>
      <c r="AT57" s="771"/>
      <c r="AU57" s="771"/>
    </row>
    <row r="58" spans="1:47" s="1135" customFormat="1" outlineLevel="1" x14ac:dyDescent="0.2">
      <c r="A58" s="17"/>
      <c r="B58" s="75"/>
      <c r="C58" s="1989" t="s">
        <v>6660</v>
      </c>
      <c r="D58" s="1989" t="s">
        <v>7247</v>
      </c>
      <c r="E58" s="1989">
        <v>0</v>
      </c>
      <c r="F58" s="38">
        <f t="shared" si="0"/>
        <v>0</v>
      </c>
      <c r="G58" s="459"/>
      <c r="H58" s="8"/>
      <c r="I58" s="8"/>
      <c r="J58" s="8"/>
      <c r="K58" s="8"/>
      <c r="L58" s="8"/>
      <c r="M58" s="8"/>
      <c r="N58" s="8"/>
      <c r="O58" s="8"/>
      <c r="P58" s="8"/>
      <c r="Q58" s="8"/>
      <c r="R58" s="8"/>
      <c r="S58" s="8"/>
      <c r="T58" s="8"/>
      <c r="U58" s="8"/>
      <c r="V58" s="8"/>
      <c r="W58" s="8"/>
      <c r="X58" s="771"/>
      <c r="Y58" s="771"/>
      <c r="Z58" s="771"/>
      <c r="AA58" s="771"/>
      <c r="AB58" s="771"/>
      <c r="AC58" s="771"/>
      <c r="AD58" s="771"/>
      <c r="AE58" s="771"/>
      <c r="AF58" s="771"/>
      <c r="AG58" s="771"/>
      <c r="AH58" s="771"/>
      <c r="AI58" s="771"/>
      <c r="AJ58" s="771"/>
      <c r="AK58" s="771"/>
      <c r="AL58" s="771"/>
      <c r="AM58" s="771"/>
      <c r="AN58" s="771"/>
      <c r="AO58" s="771"/>
      <c r="AP58" s="771"/>
      <c r="AQ58" s="771"/>
      <c r="AR58" s="771"/>
      <c r="AS58" s="771"/>
      <c r="AT58" s="771"/>
      <c r="AU58" s="771"/>
    </row>
    <row r="59" spans="1:47" s="1135" customFormat="1" outlineLevel="1" x14ac:dyDescent="0.2">
      <c r="A59" s="17"/>
      <c r="B59" s="75"/>
      <c r="C59" s="1989" t="s">
        <v>3905</v>
      </c>
      <c r="D59" s="1989" t="s">
        <v>7248</v>
      </c>
      <c r="E59" s="1989">
        <v>0</v>
      </c>
      <c r="F59" s="38">
        <f t="shared" si="0"/>
        <v>0</v>
      </c>
      <c r="G59" s="459"/>
      <c r="H59" s="8"/>
      <c r="I59" s="8"/>
      <c r="J59" s="8"/>
      <c r="K59" s="8"/>
      <c r="L59" s="8"/>
      <c r="M59" s="8"/>
      <c r="N59" s="8"/>
      <c r="O59" s="8"/>
      <c r="P59" s="8"/>
      <c r="Q59" s="8"/>
      <c r="R59" s="8"/>
      <c r="S59" s="8"/>
      <c r="T59" s="8"/>
      <c r="U59" s="8"/>
      <c r="V59" s="8"/>
      <c r="W59" s="8"/>
      <c r="X59" s="771"/>
      <c r="Y59" s="771"/>
      <c r="Z59" s="771"/>
      <c r="AA59" s="771"/>
      <c r="AB59" s="771"/>
      <c r="AC59" s="771"/>
      <c r="AD59" s="771"/>
      <c r="AE59" s="771"/>
      <c r="AF59" s="771"/>
      <c r="AG59" s="771"/>
      <c r="AH59" s="771"/>
      <c r="AI59" s="771"/>
      <c r="AJ59" s="771"/>
      <c r="AK59" s="771"/>
      <c r="AL59" s="771"/>
      <c r="AM59" s="771"/>
      <c r="AN59" s="771"/>
      <c r="AO59" s="771"/>
      <c r="AP59" s="771"/>
      <c r="AQ59" s="771"/>
      <c r="AR59" s="771"/>
      <c r="AS59" s="771"/>
      <c r="AT59" s="771"/>
      <c r="AU59" s="771"/>
    </row>
    <row r="60" spans="1:47" s="1135" customFormat="1" outlineLevel="1" x14ac:dyDescent="0.2">
      <c r="A60" s="17"/>
      <c r="B60" s="75"/>
      <c r="C60" s="1989" t="s">
        <v>6661</v>
      </c>
      <c r="D60" s="1989" t="s">
        <v>7249</v>
      </c>
      <c r="E60" s="1989">
        <v>0</v>
      </c>
      <c r="F60" s="38">
        <f t="shared" si="0"/>
        <v>0</v>
      </c>
      <c r="G60" s="459"/>
      <c r="H60" s="8"/>
      <c r="I60" s="8"/>
      <c r="J60" s="8"/>
      <c r="K60" s="8"/>
      <c r="L60" s="8"/>
      <c r="M60" s="8"/>
      <c r="N60" s="8"/>
      <c r="O60" s="8"/>
      <c r="P60" s="8"/>
      <c r="Q60" s="8"/>
      <c r="R60" s="8"/>
      <c r="S60" s="8"/>
      <c r="T60" s="8"/>
      <c r="U60" s="8"/>
      <c r="V60" s="8"/>
      <c r="W60" s="8"/>
      <c r="X60" s="771"/>
      <c r="Y60" s="771"/>
      <c r="Z60" s="771"/>
      <c r="AA60" s="771"/>
      <c r="AB60" s="771"/>
      <c r="AC60" s="771"/>
      <c r="AD60" s="771"/>
      <c r="AE60" s="771"/>
      <c r="AF60" s="771"/>
      <c r="AG60" s="771"/>
      <c r="AH60" s="771"/>
      <c r="AI60" s="771"/>
      <c r="AJ60" s="771"/>
      <c r="AK60" s="771"/>
      <c r="AL60" s="771"/>
      <c r="AM60" s="771"/>
      <c r="AN60" s="771"/>
      <c r="AO60" s="771"/>
      <c r="AP60" s="771"/>
      <c r="AQ60" s="771"/>
      <c r="AR60" s="771"/>
      <c r="AS60" s="771"/>
      <c r="AT60" s="771"/>
      <c r="AU60" s="771"/>
    </row>
    <row r="61" spans="1:47" s="1135" customFormat="1" outlineLevel="1" x14ac:dyDescent="0.2">
      <c r="A61" s="17"/>
      <c r="B61" s="75"/>
      <c r="C61" s="1989" t="s">
        <v>3906</v>
      </c>
      <c r="D61" s="1989" t="s">
        <v>7250</v>
      </c>
      <c r="E61" s="1989">
        <v>0</v>
      </c>
      <c r="F61" s="38">
        <f t="shared" si="0"/>
        <v>0</v>
      </c>
      <c r="G61" s="459"/>
      <c r="H61" s="8"/>
      <c r="I61" s="8"/>
      <c r="J61" s="8"/>
      <c r="K61" s="8"/>
      <c r="L61" s="8"/>
      <c r="M61" s="8"/>
      <c r="N61" s="8"/>
      <c r="O61" s="8"/>
      <c r="P61" s="8"/>
      <c r="Q61" s="8"/>
      <c r="R61" s="8"/>
      <c r="S61" s="8"/>
      <c r="T61" s="8"/>
      <c r="U61" s="8"/>
      <c r="V61" s="8"/>
      <c r="W61" s="8"/>
      <c r="X61" s="771"/>
      <c r="Y61" s="771"/>
      <c r="Z61" s="771"/>
      <c r="AA61" s="771"/>
      <c r="AB61" s="771"/>
      <c r="AC61" s="771"/>
      <c r="AD61" s="771"/>
      <c r="AE61" s="771"/>
      <c r="AF61" s="771"/>
      <c r="AG61" s="771"/>
      <c r="AH61" s="771"/>
      <c r="AI61" s="771"/>
      <c r="AJ61" s="771"/>
      <c r="AK61" s="771"/>
      <c r="AL61" s="771"/>
      <c r="AM61" s="771"/>
      <c r="AN61" s="771"/>
      <c r="AO61" s="771"/>
      <c r="AP61" s="771"/>
      <c r="AQ61" s="771"/>
      <c r="AR61" s="771"/>
      <c r="AS61" s="771"/>
      <c r="AT61" s="771"/>
      <c r="AU61" s="771"/>
    </row>
    <row r="62" spans="1:47" s="1135" customFormat="1" outlineLevel="1" x14ac:dyDescent="0.2">
      <c r="A62" s="17"/>
      <c r="B62" s="75"/>
      <c r="C62" s="1989" t="s">
        <v>7251</v>
      </c>
      <c r="D62" s="1989" t="s">
        <v>7252</v>
      </c>
      <c r="E62" s="1989">
        <v>0</v>
      </c>
      <c r="F62" s="38">
        <f t="shared" si="0"/>
        <v>0</v>
      </c>
      <c r="G62" s="459"/>
      <c r="H62" s="8"/>
      <c r="I62" s="8"/>
      <c r="J62" s="8"/>
      <c r="K62" s="8"/>
      <c r="L62" s="8"/>
      <c r="M62" s="8"/>
      <c r="N62" s="8"/>
      <c r="O62" s="8"/>
      <c r="P62" s="8"/>
      <c r="Q62" s="8"/>
      <c r="R62" s="8"/>
      <c r="S62" s="8"/>
      <c r="T62" s="8"/>
      <c r="U62" s="8"/>
      <c r="V62" s="8"/>
      <c r="W62" s="8"/>
      <c r="X62" s="771"/>
      <c r="Y62" s="771"/>
      <c r="Z62" s="771"/>
      <c r="AA62" s="771"/>
      <c r="AB62" s="771"/>
      <c r="AC62" s="771"/>
      <c r="AD62" s="771"/>
      <c r="AE62" s="771"/>
      <c r="AF62" s="771"/>
      <c r="AG62" s="771"/>
      <c r="AH62" s="771"/>
      <c r="AI62" s="771"/>
      <c r="AJ62" s="771"/>
      <c r="AK62" s="771"/>
      <c r="AL62" s="771"/>
      <c r="AM62" s="771"/>
      <c r="AN62" s="771"/>
      <c r="AO62" s="771"/>
      <c r="AP62" s="771"/>
      <c r="AQ62" s="771"/>
      <c r="AR62" s="771"/>
      <c r="AS62" s="771"/>
      <c r="AT62" s="771"/>
      <c r="AU62" s="771"/>
    </row>
    <row r="63" spans="1:47" s="1135" customFormat="1" outlineLevel="1" x14ac:dyDescent="0.2">
      <c r="A63" s="17"/>
      <c r="B63" s="75"/>
      <c r="C63" s="1989" t="s">
        <v>6662</v>
      </c>
      <c r="D63" s="1989" t="s">
        <v>7253</v>
      </c>
      <c r="E63" s="1989">
        <v>0</v>
      </c>
      <c r="F63" s="38">
        <f t="shared" si="0"/>
        <v>0</v>
      </c>
      <c r="G63" s="459"/>
      <c r="H63" s="8"/>
      <c r="I63" s="8"/>
      <c r="J63" s="8"/>
      <c r="K63" s="8"/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771"/>
      <c r="Y63" s="771"/>
      <c r="Z63" s="771"/>
      <c r="AA63" s="771"/>
      <c r="AB63" s="771"/>
      <c r="AC63" s="771"/>
      <c r="AD63" s="771"/>
      <c r="AE63" s="771"/>
      <c r="AF63" s="771"/>
      <c r="AG63" s="771"/>
      <c r="AH63" s="771"/>
      <c r="AI63" s="771"/>
      <c r="AJ63" s="771"/>
      <c r="AK63" s="771"/>
      <c r="AL63" s="771"/>
      <c r="AM63" s="771"/>
      <c r="AN63" s="771"/>
      <c r="AO63" s="771"/>
      <c r="AP63" s="771"/>
      <c r="AQ63" s="771"/>
      <c r="AR63" s="771"/>
      <c r="AS63" s="771"/>
      <c r="AT63" s="771"/>
      <c r="AU63" s="771"/>
    </row>
    <row r="64" spans="1:47" s="1135" customFormat="1" outlineLevel="1" x14ac:dyDescent="0.2">
      <c r="A64" s="17"/>
      <c r="B64" s="75"/>
      <c r="C64" s="1989" t="s">
        <v>7254</v>
      </c>
      <c r="D64" s="1989" t="s">
        <v>7255</v>
      </c>
      <c r="E64" s="1989">
        <v>0</v>
      </c>
      <c r="F64" s="38">
        <f t="shared" si="0"/>
        <v>0</v>
      </c>
      <c r="G64" s="459"/>
      <c r="H64" s="8"/>
      <c r="I64" s="8"/>
      <c r="J64" s="8"/>
      <c r="K64" s="8"/>
      <c r="L64" s="8"/>
      <c r="M64" s="8"/>
      <c r="N64" s="8"/>
      <c r="O64" s="8"/>
      <c r="P64" s="8"/>
      <c r="Q64" s="8"/>
      <c r="R64" s="8"/>
      <c r="S64" s="8"/>
      <c r="T64" s="8"/>
      <c r="U64" s="8"/>
      <c r="V64" s="8"/>
      <c r="W64" s="8"/>
      <c r="X64" s="771"/>
      <c r="Y64" s="771"/>
      <c r="Z64" s="771"/>
      <c r="AA64" s="771"/>
      <c r="AB64" s="771"/>
      <c r="AC64" s="771"/>
      <c r="AD64" s="771"/>
      <c r="AE64" s="771"/>
      <c r="AF64" s="771"/>
      <c r="AG64" s="771"/>
      <c r="AH64" s="771"/>
      <c r="AI64" s="771"/>
      <c r="AJ64" s="771"/>
      <c r="AK64" s="771"/>
      <c r="AL64" s="771"/>
      <c r="AM64" s="771"/>
      <c r="AN64" s="771"/>
      <c r="AO64" s="771"/>
      <c r="AP64" s="771"/>
      <c r="AQ64" s="771"/>
      <c r="AR64" s="771"/>
      <c r="AS64" s="771"/>
      <c r="AT64" s="771"/>
      <c r="AU64" s="771"/>
    </row>
    <row r="65" spans="1:47" s="1135" customFormat="1" outlineLevel="1" x14ac:dyDescent="0.2">
      <c r="A65" s="17"/>
      <c r="B65" s="75"/>
      <c r="C65" s="1989" t="s">
        <v>3907</v>
      </c>
      <c r="D65" s="1989" t="s">
        <v>7256</v>
      </c>
      <c r="E65" s="1989">
        <v>0</v>
      </c>
      <c r="F65" s="38">
        <f t="shared" si="0"/>
        <v>0</v>
      </c>
      <c r="G65" s="459"/>
      <c r="H65" s="8"/>
      <c r="I65" s="8"/>
      <c r="J65" s="8"/>
      <c r="K65" s="8"/>
      <c r="L65" s="8"/>
      <c r="M65" s="8"/>
      <c r="N65" s="8"/>
      <c r="O65" s="8"/>
      <c r="P65" s="8"/>
      <c r="Q65" s="8"/>
      <c r="R65" s="8"/>
      <c r="S65" s="8"/>
      <c r="T65" s="8"/>
      <c r="U65" s="8"/>
      <c r="V65" s="8"/>
      <c r="W65" s="8"/>
      <c r="X65" s="771"/>
      <c r="Y65" s="771"/>
      <c r="Z65" s="771"/>
      <c r="AA65" s="771"/>
      <c r="AB65" s="771"/>
      <c r="AC65" s="771"/>
      <c r="AD65" s="771"/>
      <c r="AE65" s="771"/>
      <c r="AF65" s="771"/>
      <c r="AG65" s="771"/>
      <c r="AH65" s="771"/>
      <c r="AI65" s="771"/>
      <c r="AJ65" s="771"/>
      <c r="AK65" s="771"/>
      <c r="AL65" s="771"/>
      <c r="AM65" s="771"/>
      <c r="AN65" s="771"/>
      <c r="AO65" s="771"/>
      <c r="AP65" s="771"/>
      <c r="AQ65" s="771"/>
      <c r="AR65" s="771"/>
      <c r="AS65" s="771"/>
      <c r="AT65" s="771"/>
      <c r="AU65" s="771"/>
    </row>
    <row r="66" spans="1:47" s="1135" customFormat="1" outlineLevel="1" x14ac:dyDescent="0.2">
      <c r="A66" s="17"/>
      <c r="B66" s="75"/>
      <c r="C66" s="1989" t="s">
        <v>6663</v>
      </c>
      <c r="D66" s="1989" t="s">
        <v>7257</v>
      </c>
      <c r="E66" s="1989">
        <v>0</v>
      </c>
      <c r="F66" s="38">
        <f t="shared" si="0"/>
        <v>0</v>
      </c>
      <c r="G66" s="459"/>
      <c r="H66" s="8"/>
      <c r="I66" s="8"/>
      <c r="J66" s="8"/>
      <c r="K66" s="8"/>
      <c r="L66" s="8"/>
      <c r="M66" s="8"/>
      <c r="N66" s="8"/>
      <c r="O66" s="8"/>
      <c r="P66" s="8"/>
      <c r="Q66" s="8"/>
      <c r="R66" s="8"/>
      <c r="S66" s="8"/>
      <c r="T66" s="8"/>
      <c r="U66" s="8"/>
      <c r="V66" s="8"/>
      <c r="W66" s="8"/>
      <c r="X66" s="771"/>
      <c r="Y66" s="771"/>
      <c r="Z66" s="771"/>
      <c r="AA66" s="771"/>
      <c r="AB66" s="771"/>
      <c r="AC66" s="771"/>
      <c r="AD66" s="771"/>
      <c r="AE66" s="771"/>
      <c r="AF66" s="771"/>
      <c r="AG66" s="771"/>
      <c r="AH66" s="771"/>
      <c r="AI66" s="771"/>
      <c r="AJ66" s="771"/>
      <c r="AK66" s="771"/>
      <c r="AL66" s="771"/>
      <c r="AM66" s="771"/>
      <c r="AN66" s="771"/>
      <c r="AO66" s="771"/>
      <c r="AP66" s="771"/>
      <c r="AQ66" s="771"/>
      <c r="AR66" s="771"/>
      <c r="AS66" s="771"/>
      <c r="AT66" s="771"/>
      <c r="AU66" s="771"/>
    </row>
    <row r="67" spans="1:47" s="1135" customFormat="1" outlineLevel="1" x14ac:dyDescent="0.2">
      <c r="A67" s="17"/>
      <c r="B67" s="75"/>
      <c r="C67" s="1989" t="s">
        <v>7258</v>
      </c>
      <c r="D67" s="1989" t="s">
        <v>7259</v>
      </c>
      <c r="E67" s="1989">
        <v>0</v>
      </c>
      <c r="F67" s="38">
        <f t="shared" si="0"/>
        <v>0</v>
      </c>
      <c r="G67" s="459"/>
      <c r="H67" s="8"/>
      <c r="I67" s="8"/>
      <c r="J67" s="8"/>
      <c r="K67" s="8"/>
      <c r="L67" s="8"/>
      <c r="M67" s="8"/>
      <c r="N67" s="8"/>
      <c r="O67" s="8"/>
      <c r="P67" s="8"/>
      <c r="Q67" s="8"/>
      <c r="R67" s="8"/>
      <c r="S67" s="8"/>
      <c r="T67" s="8"/>
      <c r="U67" s="8"/>
      <c r="V67" s="8"/>
      <c r="W67" s="8"/>
      <c r="X67" s="771"/>
      <c r="Y67" s="771"/>
      <c r="Z67" s="771"/>
      <c r="AA67" s="771"/>
      <c r="AB67" s="771"/>
      <c r="AC67" s="771"/>
      <c r="AD67" s="771"/>
      <c r="AE67" s="771"/>
      <c r="AF67" s="771"/>
      <c r="AG67" s="771"/>
      <c r="AH67" s="771"/>
      <c r="AI67" s="771"/>
      <c r="AJ67" s="771"/>
      <c r="AK67" s="771"/>
      <c r="AL67" s="771"/>
      <c r="AM67" s="771"/>
      <c r="AN67" s="771"/>
      <c r="AO67" s="771"/>
      <c r="AP67" s="771"/>
      <c r="AQ67" s="771"/>
      <c r="AR67" s="771"/>
      <c r="AS67" s="771"/>
      <c r="AT67" s="771"/>
      <c r="AU67" s="771"/>
    </row>
    <row r="68" spans="1:47" s="1135" customFormat="1" outlineLevel="1" x14ac:dyDescent="0.2">
      <c r="A68" s="17"/>
      <c r="B68" s="75"/>
      <c r="C68" s="1989" t="s">
        <v>3908</v>
      </c>
      <c r="D68" s="1989" t="s">
        <v>7260</v>
      </c>
      <c r="E68" s="1989">
        <v>0</v>
      </c>
      <c r="F68" s="38">
        <f t="shared" si="0"/>
        <v>0</v>
      </c>
      <c r="G68" s="459"/>
      <c r="H68" s="8"/>
      <c r="I68" s="8"/>
      <c r="J68" s="8"/>
      <c r="K68" s="8"/>
      <c r="L68" s="8"/>
      <c r="M68" s="8"/>
      <c r="N68" s="8"/>
      <c r="O68" s="8"/>
      <c r="P68" s="8"/>
      <c r="Q68" s="8"/>
      <c r="R68" s="8"/>
      <c r="S68" s="8"/>
      <c r="T68" s="8"/>
      <c r="U68" s="8"/>
      <c r="V68" s="8"/>
      <c r="W68" s="8"/>
      <c r="X68" s="771"/>
      <c r="Y68" s="771"/>
      <c r="Z68" s="771"/>
      <c r="AA68" s="771"/>
      <c r="AB68" s="771"/>
      <c r="AC68" s="771"/>
      <c r="AD68" s="771"/>
      <c r="AE68" s="771"/>
      <c r="AF68" s="771"/>
      <c r="AG68" s="771"/>
      <c r="AH68" s="771"/>
      <c r="AI68" s="771"/>
      <c r="AJ68" s="771"/>
      <c r="AK68" s="771"/>
      <c r="AL68" s="771"/>
      <c r="AM68" s="771"/>
      <c r="AN68" s="771"/>
      <c r="AO68" s="771"/>
      <c r="AP68" s="771"/>
      <c r="AQ68" s="771"/>
      <c r="AR68" s="771"/>
      <c r="AS68" s="771"/>
      <c r="AT68" s="771"/>
      <c r="AU68" s="771"/>
    </row>
    <row r="69" spans="1:47" s="1135" customFormat="1" outlineLevel="1" x14ac:dyDescent="0.2">
      <c r="A69" s="17"/>
      <c r="B69" s="75"/>
      <c r="C69" s="1989" t="s">
        <v>1652</v>
      </c>
      <c r="D69" s="1989" t="s">
        <v>7261</v>
      </c>
      <c r="E69" s="1989">
        <v>2.23</v>
      </c>
      <c r="F69" s="38">
        <f t="shared" si="0"/>
        <v>181.34636519999998</v>
      </c>
      <c r="G69" s="459"/>
      <c r="H69" s="8"/>
      <c r="I69" s="8"/>
      <c r="J69" s="8"/>
      <c r="K69" s="8"/>
      <c r="L69" s="8"/>
      <c r="M69" s="8"/>
      <c r="N69" s="8"/>
      <c r="O69" s="8"/>
      <c r="P69" s="8"/>
      <c r="Q69" s="8"/>
      <c r="R69" s="8"/>
      <c r="S69" s="8"/>
      <c r="T69" s="8"/>
      <c r="U69" s="8"/>
      <c r="V69" s="8"/>
      <c r="W69" s="8"/>
      <c r="X69" s="771"/>
      <c r="Y69" s="771"/>
      <c r="Z69" s="771"/>
      <c r="AA69" s="771"/>
      <c r="AB69" s="771"/>
      <c r="AC69" s="771"/>
      <c r="AD69" s="771"/>
      <c r="AE69" s="771"/>
      <c r="AF69" s="771"/>
      <c r="AG69" s="771"/>
      <c r="AH69" s="771"/>
      <c r="AI69" s="771"/>
      <c r="AJ69" s="771"/>
      <c r="AK69" s="771"/>
      <c r="AL69" s="771"/>
      <c r="AM69" s="771"/>
      <c r="AN69" s="771"/>
      <c r="AO69" s="771"/>
      <c r="AP69" s="771"/>
      <c r="AQ69" s="771"/>
      <c r="AR69" s="771"/>
      <c r="AS69" s="771"/>
      <c r="AT69" s="771"/>
      <c r="AU69" s="771"/>
    </row>
    <row r="70" spans="1:47" s="1135" customFormat="1" outlineLevel="1" x14ac:dyDescent="0.2">
      <c r="A70" s="17"/>
      <c r="B70" s="75"/>
      <c r="C70" s="1989" t="s">
        <v>1653</v>
      </c>
      <c r="D70" s="1989" t="s">
        <v>7262</v>
      </c>
      <c r="E70" s="1989">
        <v>2.4</v>
      </c>
      <c r="F70" s="38">
        <f t="shared" si="0"/>
        <v>195.170976</v>
      </c>
      <c r="G70" s="459"/>
      <c r="H70" s="8"/>
      <c r="I70" s="8"/>
      <c r="J70" s="8"/>
      <c r="K70" s="8"/>
      <c r="L70" s="8"/>
      <c r="M70" s="8"/>
      <c r="N70" s="8"/>
      <c r="O70" s="8"/>
      <c r="P70" s="8"/>
      <c r="Q70" s="8"/>
      <c r="R70" s="8"/>
      <c r="S70" s="8"/>
      <c r="T70" s="8"/>
      <c r="U70" s="8"/>
      <c r="V70" s="8"/>
      <c r="W70" s="8"/>
      <c r="X70" s="771"/>
      <c r="Y70" s="771"/>
      <c r="Z70" s="771"/>
      <c r="AA70" s="771"/>
      <c r="AB70" s="771"/>
      <c r="AC70" s="771"/>
      <c r="AD70" s="771"/>
      <c r="AE70" s="771"/>
      <c r="AF70" s="771"/>
      <c r="AG70" s="771"/>
      <c r="AH70" s="771"/>
      <c r="AI70" s="771"/>
      <c r="AJ70" s="771"/>
      <c r="AK70" s="771"/>
      <c r="AL70" s="771"/>
      <c r="AM70" s="771"/>
      <c r="AN70" s="771"/>
      <c r="AO70" s="771"/>
      <c r="AP70" s="771"/>
      <c r="AQ70" s="771"/>
      <c r="AR70" s="771"/>
      <c r="AS70" s="771"/>
      <c r="AT70" s="771"/>
      <c r="AU70" s="771"/>
    </row>
    <row r="71" spans="1:47" s="1135" customFormat="1" outlineLevel="1" x14ac:dyDescent="0.2">
      <c r="A71" s="17"/>
      <c r="B71" s="75"/>
      <c r="C71" s="1989" t="s">
        <v>1654</v>
      </c>
      <c r="D71" s="1989" t="s">
        <v>7263</v>
      </c>
      <c r="E71" s="1989">
        <v>2.56</v>
      </c>
      <c r="F71" s="38">
        <f t="shared" si="0"/>
        <v>208.18237440000001</v>
      </c>
      <c r="G71" s="459"/>
      <c r="H71" s="8"/>
      <c r="I71" s="8"/>
      <c r="J71" s="8"/>
      <c r="K71" s="8"/>
      <c r="L71" s="8"/>
      <c r="M71" s="8"/>
      <c r="N71" s="8"/>
      <c r="O71" s="8"/>
      <c r="P71" s="8"/>
      <c r="Q71" s="8"/>
      <c r="R71" s="8"/>
      <c r="S71" s="8"/>
      <c r="T71" s="8"/>
      <c r="U71" s="8"/>
      <c r="V71" s="8"/>
      <c r="W71" s="8"/>
      <c r="X71" s="771"/>
      <c r="Y71" s="771"/>
      <c r="Z71" s="771"/>
      <c r="AA71" s="771"/>
      <c r="AB71" s="771"/>
      <c r="AC71" s="771"/>
      <c r="AD71" s="771"/>
      <c r="AE71" s="771"/>
      <c r="AF71" s="771"/>
      <c r="AG71" s="771"/>
      <c r="AH71" s="771"/>
      <c r="AI71" s="771"/>
      <c r="AJ71" s="771"/>
      <c r="AK71" s="771"/>
      <c r="AL71" s="771"/>
      <c r="AM71" s="771"/>
      <c r="AN71" s="771"/>
      <c r="AO71" s="771"/>
      <c r="AP71" s="771"/>
      <c r="AQ71" s="771"/>
      <c r="AR71" s="771"/>
      <c r="AS71" s="771"/>
      <c r="AT71" s="771"/>
      <c r="AU71" s="771"/>
    </row>
    <row r="72" spans="1:47" s="1135" customFormat="1" outlineLevel="1" x14ac:dyDescent="0.2">
      <c r="A72" s="17"/>
      <c r="B72" s="75"/>
      <c r="C72" s="1989" t="s">
        <v>1655</v>
      </c>
      <c r="D72" s="1989" t="s">
        <v>7264</v>
      </c>
      <c r="E72" s="1989">
        <v>2.89</v>
      </c>
      <c r="F72" s="38">
        <f t="shared" si="0"/>
        <v>235.01838360000002</v>
      </c>
      <c r="G72" s="459"/>
      <c r="H72" s="8"/>
      <c r="I72" s="8"/>
      <c r="J72" s="8"/>
      <c r="K72" s="8"/>
      <c r="L72" s="8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771"/>
      <c r="Y72" s="771"/>
      <c r="Z72" s="771"/>
      <c r="AA72" s="771"/>
      <c r="AB72" s="771"/>
      <c r="AC72" s="771"/>
      <c r="AD72" s="771"/>
      <c r="AE72" s="771"/>
      <c r="AF72" s="771"/>
      <c r="AG72" s="771"/>
      <c r="AH72" s="771"/>
      <c r="AI72" s="771"/>
      <c r="AJ72" s="771"/>
      <c r="AK72" s="771"/>
      <c r="AL72" s="771"/>
      <c r="AM72" s="771"/>
      <c r="AN72" s="771"/>
      <c r="AO72" s="771"/>
      <c r="AP72" s="771"/>
      <c r="AQ72" s="771"/>
      <c r="AR72" s="771"/>
      <c r="AS72" s="771"/>
      <c r="AT72" s="771"/>
      <c r="AU72" s="771"/>
    </row>
    <row r="73" spans="1:47" s="1135" customFormat="1" outlineLevel="1" x14ac:dyDescent="0.2">
      <c r="A73" s="17"/>
      <c r="B73" s="75"/>
      <c r="C73" s="1989" t="s">
        <v>1656</v>
      </c>
      <c r="D73" s="1989" t="s">
        <v>7265</v>
      </c>
      <c r="E73" s="1989">
        <v>3.35</v>
      </c>
      <c r="F73" s="38">
        <f t="shared" si="0"/>
        <v>272.426154</v>
      </c>
      <c r="G73" s="459"/>
      <c r="H73" s="8"/>
      <c r="I73" s="8"/>
      <c r="J73" s="8"/>
      <c r="K73" s="8"/>
      <c r="L73" s="8"/>
      <c r="M73" s="8"/>
      <c r="N73" s="8"/>
      <c r="O73" s="8"/>
      <c r="P73" s="8"/>
      <c r="Q73" s="8"/>
      <c r="R73" s="8"/>
      <c r="S73" s="8"/>
      <c r="T73" s="8"/>
      <c r="U73" s="8"/>
      <c r="V73" s="8"/>
      <c r="W73" s="8"/>
      <c r="X73" s="771"/>
      <c r="Y73" s="771"/>
      <c r="Z73" s="771"/>
      <c r="AA73" s="771"/>
      <c r="AB73" s="771"/>
      <c r="AC73" s="771"/>
      <c r="AD73" s="771"/>
      <c r="AE73" s="771"/>
      <c r="AF73" s="771"/>
      <c r="AG73" s="771"/>
      <c r="AH73" s="771"/>
      <c r="AI73" s="771"/>
      <c r="AJ73" s="771"/>
      <c r="AK73" s="771"/>
      <c r="AL73" s="771"/>
      <c r="AM73" s="771"/>
      <c r="AN73" s="771"/>
      <c r="AO73" s="771"/>
      <c r="AP73" s="771"/>
      <c r="AQ73" s="771"/>
      <c r="AR73" s="771"/>
      <c r="AS73" s="771"/>
      <c r="AT73" s="771"/>
      <c r="AU73" s="771"/>
    </row>
    <row r="74" spans="1:47" s="1135" customFormat="1" outlineLevel="1" x14ac:dyDescent="0.2">
      <c r="A74" s="17"/>
      <c r="B74" s="75"/>
      <c r="C74" s="1989" t="s">
        <v>1657</v>
      </c>
      <c r="D74" s="1989" t="s">
        <v>7266</v>
      </c>
      <c r="E74" s="1989">
        <v>3.54</v>
      </c>
      <c r="F74" s="38">
        <f t="shared" si="0"/>
        <v>287.87718960000001</v>
      </c>
      <c r="G74" s="459"/>
      <c r="H74" s="8"/>
      <c r="I74" s="8"/>
      <c r="J74" s="8"/>
      <c r="K74" s="8"/>
      <c r="L74" s="8"/>
      <c r="M74" s="8"/>
      <c r="N74" s="8"/>
      <c r="O74" s="8"/>
      <c r="P74" s="8"/>
      <c r="Q74" s="8"/>
      <c r="R74" s="8"/>
      <c r="S74" s="8"/>
      <c r="T74" s="8"/>
      <c r="U74" s="8"/>
      <c r="V74" s="8"/>
      <c r="W74" s="8"/>
      <c r="X74" s="771"/>
      <c r="Y74" s="771"/>
      <c r="Z74" s="771"/>
      <c r="AA74" s="771"/>
      <c r="AB74" s="771"/>
      <c r="AC74" s="771"/>
      <c r="AD74" s="771"/>
      <c r="AE74" s="771"/>
      <c r="AF74" s="771"/>
      <c r="AG74" s="771"/>
      <c r="AH74" s="771"/>
      <c r="AI74" s="771"/>
      <c r="AJ74" s="771"/>
      <c r="AK74" s="771"/>
      <c r="AL74" s="771"/>
      <c r="AM74" s="771"/>
      <c r="AN74" s="771"/>
      <c r="AO74" s="771"/>
      <c r="AP74" s="771"/>
      <c r="AQ74" s="771"/>
      <c r="AR74" s="771"/>
      <c r="AS74" s="771"/>
      <c r="AT74" s="771"/>
      <c r="AU74" s="771"/>
    </row>
    <row r="75" spans="1:47" s="1135" customFormat="1" outlineLevel="1" x14ac:dyDescent="0.2">
      <c r="A75" s="17"/>
      <c r="B75" s="75"/>
      <c r="C75" s="1989" t="s">
        <v>227</v>
      </c>
      <c r="D75" s="1989" t="s">
        <v>7267</v>
      </c>
      <c r="E75" s="1989">
        <v>3.73</v>
      </c>
      <c r="F75" s="38">
        <f t="shared" si="0"/>
        <v>303.32822520000002</v>
      </c>
      <c r="G75" s="459"/>
      <c r="H75" s="8"/>
      <c r="I75" s="8"/>
      <c r="J75" s="8"/>
      <c r="K75" s="8"/>
      <c r="L75" s="8"/>
      <c r="M75" s="8"/>
      <c r="N75" s="8"/>
      <c r="O75" s="8"/>
      <c r="P75" s="8"/>
      <c r="Q75" s="8"/>
      <c r="R75" s="8"/>
      <c r="S75" s="8"/>
      <c r="T75" s="8"/>
      <c r="U75" s="8"/>
      <c r="V75" s="8"/>
      <c r="W75" s="8"/>
      <c r="X75" s="771"/>
      <c r="Y75" s="771"/>
      <c r="Z75" s="771"/>
      <c r="AA75" s="771"/>
      <c r="AB75" s="771"/>
      <c r="AC75" s="771"/>
      <c r="AD75" s="771"/>
      <c r="AE75" s="771"/>
      <c r="AF75" s="771"/>
      <c r="AG75" s="771"/>
      <c r="AH75" s="771"/>
      <c r="AI75" s="771"/>
      <c r="AJ75" s="771"/>
      <c r="AK75" s="771"/>
      <c r="AL75" s="771"/>
      <c r="AM75" s="771"/>
      <c r="AN75" s="771"/>
      <c r="AO75" s="771"/>
      <c r="AP75" s="771"/>
      <c r="AQ75" s="771"/>
      <c r="AR75" s="771"/>
      <c r="AS75" s="771"/>
      <c r="AT75" s="771"/>
      <c r="AU75" s="771"/>
    </row>
    <row r="76" spans="1:47" s="1135" customFormat="1" outlineLevel="1" x14ac:dyDescent="0.2">
      <c r="A76" s="17"/>
      <c r="B76" s="75"/>
      <c r="C76" s="1989" t="s">
        <v>228</v>
      </c>
      <c r="D76" s="1989" t="s">
        <v>7268</v>
      </c>
      <c r="E76" s="1989">
        <v>4.09</v>
      </c>
      <c r="F76" s="38">
        <f t="shared" si="0"/>
        <v>332.60387159999999</v>
      </c>
      <c r="G76" s="459"/>
      <c r="H76" s="8"/>
      <c r="I76" s="8"/>
      <c r="J76" s="8"/>
      <c r="K76" s="8"/>
      <c r="L76" s="8"/>
      <c r="M76" s="8"/>
      <c r="N76" s="8"/>
      <c r="O76" s="8"/>
      <c r="P76" s="8"/>
      <c r="Q76" s="8"/>
      <c r="R76" s="8"/>
      <c r="S76" s="8"/>
      <c r="T76" s="8"/>
      <c r="U76" s="8"/>
      <c r="V76" s="8"/>
      <c r="W76" s="8"/>
      <c r="X76" s="771"/>
      <c r="Y76" s="771"/>
      <c r="Z76" s="771"/>
      <c r="AA76" s="771"/>
      <c r="AB76" s="771"/>
      <c r="AC76" s="771"/>
      <c r="AD76" s="771"/>
      <c r="AE76" s="771"/>
      <c r="AF76" s="771"/>
      <c r="AG76" s="771"/>
      <c r="AH76" s="771"/>
      <c r="AI76" s="771"/>
      <c r="AJ76" s="771"/>
      <c r="AK76" s="771"/>
      <c r="AL76" s="771"/>
      <c r="AM76" s="771"/>
      <c r="AN76" s="771"/>
      <c r="AO76" s="771"/>
      <c r="AP76" s="771"/>
      <c r="AQ76" s="771"/>
      <c r="AR76" s="771"/>
      <c r="AS76" s="771"/>
      <c r="AT76" s="771"/>
      <c r="AU76" s="771"/>
    </row>
    <row r="77" spans="1:47" s="1135" customFormat="1" outlineLevel="1" x14ac:dyDescent="0.2">
      <c r="A77" s="17"/>
      <c r="B77" s="75"/>
      <c r="C77" s="1989" t="s">
        <v>229</v>
      </c>
      <c r="D77" s="1989" t="s">
        <v>7269</v>
      </c>
      <c r="E77" s="1989">
        <v>6.71</v>
      </c>
      <c r="F77" s="38">
        <f t="shared" si="0"/>
        <v>545.66552039999999</v>
      </c>
      <c r="G77" s="459"/>
      <c r="H77" s="8"/>
      <c r="I77" s="8"/>
      <c r="J77" s="8"/>
      <c r="K77" s="8"/>
      <c r="L77" s="8"/>
      <c r="M77" s="8"/>
      <c r="N77" s="8"/>
      <c r="O77" s="8"/>
      <c r="P77" s="8"/>
      <c r="Q77" s="8"/>
      <c r="R77" s="8"/>
      <c r="S77" s="8"/>
      <c r="T77" s="8"/>
      <c r="U77" s="8"/>
      <c r="V77" s="8"/>
      <c r="W77" s="8"/>
      <c r="X77" s="771"/>
      <c r="Y77" s="771"/>
      <c r="Z77" s="771"/>
      <c r="AA77" s="771"/>
      <c r="AB77" s="771"/>
      <c r="AC77" s="771"/>
      <c r="AD77" s="771"/>
      <c r="AE77" s="771"/>
      <c r="AF77" s="771"/>
      <c r="AG77" s="771"/>
      <c r="AH77" s="771"/>
      <c r="AI77" s="771"/>
      <c r="AJ77" s="771"/>
      <c r="AK77" s="771"/>
      <c r="AL77" s="771"/>
      <c r="AM77" s="771"/>
      <c r="AN77" s="771"/>
      <c r="AO77" s="771"/>
      <c r="AP77" s="771"/>
      <c r="AQ77" s="771"/>
      <c r="AR77" s="771"/>
      <c r="AS77" s="771"/>
      <c r="AT77" s="771"/>
      <c r="AU77" s="771"/>
    </row>
    <row r="78" spans="1:47" s="1135" customFormat="1" outlineLevel="1" x14ac:dyDescent="0.2">
      <c r="A78" s="17"/>
      <c r="B78" s="75"/>
      <c r="C78" s="1989" t="s">
        <v>230</v>
      </c>
      <c r="D78" s="1989" t="s">
        <v>7270</v>
      </c>
      <c r="E78" s="1989">
        <v>7.22</v>
      </c>
      <c r="F78" s="38">
        <f t="shared" si="0"/>
        <v>587.13935279999998</v>
      </c>
      <c r="G78" s="459"/>
      <c r="H78" s="8"/>
      <c r="I78" s="8"/>
      <c r="J78" s="8"/>
      <c r="K78" s="8"/>
      <c r="L78" s="8"/>
      <c r="M78" s="8"/>
      <c r="N78" s="8"/>
      <c r="O78" s="8"/>
      <c r="P78" s="8"/>
      <c r="Q78" s="8"/>
      <c r="R78" s="8"/>
      <c r="S78" s="8"/>
      <c r="T78" s="8"/>
      <c r="U78" s="8"/>
      <c r="V78" s="8"/>
      <c r="W78" s="8"/>
      <c r="X78" s="771"/>
      <c r="Y78" s="771"/>
      <c r="Z78" s="771"/>
      <c r="AA78" s="771"/>
      <c r="AB78" s="771"/>
      <c r="AC78" s="771"/>
      <c r="AD78" s="771"/>
      <c r="AE78" s="771"/>
      <c r="AF78" s="771"/>
      <c r="AG78" s="771"/>
      <c r="AH78" s="771"/>
      <c r="AI78" s="771"/>
      <c r="AJ78" s="771"/>
      <c r="AK78" s="771"/>
      <c r="AL78" s="771"/>
      <c r="AM78" s="771"/>
      <c r="AN78" s="771"/>
      <c r="AO78" s="771"/>
      <c r="AP78" s="771"/>
      <c r="AQ78" s="771"/>
      <c r="AR78" s="771"/>
      <c r="AS78" s="771"/>
      <c r="AT78" s="771"/>
      <c r="AU78" s="771"/>
    </row>
    <row r="79" spans="1:47" s="1135" customFormat="1" outlineLevel="1" x14ac:dyDescent="0.2">
      <c r="A79" s="17"/>
      <c r="B79" s="75"/>
      <c r="C79" s="1989" t="s">
        <v>2066</v>
      </c>
      <c r="D79" s="1989" t="s">
        <v>7271</v>
      </c>
      <c r="E79" s="1989">
        <v>5.76</v>
      </c>
      <c r="F79" s="38">
        <f t="shared" si="0"/>
        <v>468.41034240000005</v>
      </c>
      <c r="G79" s="459"/>
      <c r="H79" s="8"/>
      <c r="I79" s="8"/>
      <c r="J79" s="8"/>
      <c r="K79" s="8"/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771"/>
      <c r="Y79" s="771"/>
      <c r="Z79" s="771"/>
      <c r="AA79" s="771"/>
      <c r="AB79" s="771"/>
      <c r="AC79" s="771"/>
      <c r="AD79" s="771"/>
      <c r="AE79" s="771"/>
      <c r="AF79" s="771"/>
      <c r="AG79" s="771"/>
      <c r="AH79" s="771"/>
      <c r="AI79" s="771"/>
      <c r="AJ79" s="771"/>
      <c r="AK79" s="771"/>
      <c r="AL79" s="771"/>
      <c r="AM79" s="771"/>
      <c r="AN79" s="771"/>
      <c r="AO79" s="771"/>
      <c r="AP79" s="771"/>
      <c r="AQ79" s="771"/>
      <c r="AR79" s="771"/>
      <c r="AS79" s="771"/>
      <c r="AT79" s="771"/>
      <c r="AU79" s="771"/>
    </row>
    <row r="80" spans="1:47" s="1135" customFormat="1" outlineLevel="1" x14ac:dyDescent="0.2">
      <c r="A80" s="17"/>
      <c r="B80" s="75"/>
      <c r="C80" s="1989" t="s">
        <v>3523</v>
      </c>
      <c r="D80" s="1989" t="s">
        <v>7272</v>
      </c>
      <c r="E80" s="1989">
        <v>6.53</v>
      </c>
      <c r="F80" s="38">
        <f t="shared" si="0"/>
        <v>531.02769720000003</v>
      </c>
      <c r="G80" s="459"/>
      <c r="H80" s="8"/>
      <c r="I80" s="8"/>
      <c r="J80" s="8"/>
      <c r="K80" s="8"/>
      <c r="L80" s="8"/>
      <c r="M80" s="8"/>
      <c r="N80" s="8"/>
      <c r="O80" s="8"/>
      <c r="P80" s="8"/>
      <c r="Q80" s="8"/>
      <c r="R80" s="8"/>
      <c r="S80" s="8"/>
      <c r="T80" s="8"/>
      <c r="U80" s="8"/>
      <c r="V80" s="8"/>
      <c r="W80" s="8"/>
      <c r="X80" s="771"/>
      <c r="Y80" s="771"/>
      <c r="Z80" s="771"/>
      <c r="AA80" s="771"/>
      <c r="AB80" s="771"/>
      <c r="AC80" s="771"/>
      <c r="AD80" s="771"/>
      <c r="AE80" s="771"/>
      <c r="AF80" s="771"/>
      <c r="AG80" s="771"/>
      <c r="AH80" s="771"/>
      <c r="AI80" s="771"/>
      <c r="AJ80" s="771"/>
      <c r="AK80" s="771"/>
      <c r="AL80" s="771"/>
      <c r="AM80" s="771"/>
      <c r="AN80" s="771"/>
      <c r="AO80" s="771"/>
      <c r="AP80" s="771"/>
      <c r="AQ80" s="771"/>
      <c r="AR80" s="771"/>
      <c r="AS80" s="771"/>
      <c r="AT80" s="771"/>
      <c r="AU80" s="771"/>
    </row>
    <row r="81" spans="1:47" s="1135" customFormat="1" outlineLevel="1" x14ac:dyDescent="0.2">
      <c r="A81" s="17"/>
      <c r="B81" s="75"/>
      <c r="C81" s="1989" t="s">
        <v>3524</v>
      </c>
      <c r="D81" s="1989" t="s">
        <v>5240</v>
      </c>
      <c r="E81" s="1989">
        <v>6.53</v>
      </c>
      <c r="F81" s="38">
        <f t="shared" si="0"/>
        <v>531.02769720000003</v>
      </c>
      <c r="G81" s="459"/>
      <c r="H81" s="8"/>
      <c r="I81" s="8"/>
      <c r="J81" s="8"/>
      <c r="K81" s="8"/>
      <c r="L81" s="8"/>
      <c r="M81" s="8"/>
      <c r="N81" s="8"/>
      <c r="O81" s="8"/>
      <c r="P81" s="8"/>
      <c r="Q81" s="8"/>
      <c r="R81" s="8"/>
      <c r="S81" s="8"/>
      <c r="T81" s="8"/>
      <c r="U81" s="8"/>
      <c r="V81" s="8"/>
      <c r="W81" s="8"/>
      <c r="X81" s="771"/>
      <c r="Y81" s="771"/>
      <c r="Z81" s="771"/>
      <c r="AA81" s="771"/>
      <c r="AB81" s="771"/>
      <c r="AC81" s="771"/>
      <c r="AD81" s="771"/>
      <c r="AE81" s="771"/>
      <c r="AF81" s="771"/>
      <c r="AG81" s="771"/>
      <c r="AH81" s="771"/>
      <c r="AI81" s="771"/>
      <c r="AJ81" s="771"/>
      <c r="AK81" s="771"/>
      <c r="AL81" s="771"/>
      <c r="AM81" s="771"/>
      <c r="AN81" s="771"/>
      <c r="AO81" s="771"/>
      <c r="AP81" s="771"/>
      <c r="AQ81" s="771"/>
      <c r="AR81" s="771"/>
      <c r="AS81" s="771"/>
      <c r="AT81" s="771"/>
      <c r="AU81" s="771"/>
    </row>
    <row r="82" spans="1:47" s="1135" customFormat="1" outlineLevel="1" x14ac:dyDescent="0.2">
      <c r="A82" s="17"/>
      <c r="B82" s="75"/>
      <c r="C82" s="1989" t="s">
        <v>2218</v>
      </c>
      <c r="D82" s="1989" t="s">
        <v>7273</v>
      </c>
      <c r="E82" s="1989">
        <v>0.11</v>
      </c>
      <c r="F82" s="38">
        <f t="shared" si="0"/>
        <v>8.9453364000000004</v>
      </c>
      <c r="G82" s="459"/>
      <c r="H82" s="8"/>
      <c r="I82" s="8"/>
      <c r="J82" s="8"/>
      <c r="K82" s="8"/>
      <c r="L82" s="8"/>
      <c r="M82" s="8"/>
      <c r="N82" s="8"/>
      <c r="O82" s="8"/>
      <c r="P82" s="8"/>
      <c r="Q82" s="8"/>
      <c r="R82" s="8"/>
      <c r="S82" s="8"/>
      <c r="T82" s="8"/>
      <c r="U82" s="8"/>
      <c r="V82" s="8"/>
      <c r="W82" s="8"/>
      <c r="X82" s="771"/>
      <c r="Y82" s="771"/>
      <c r="Z82" s="771"/>
      <c r="AA82" s="771"/>
      <c r="AB82" s="771"/>
      <c r="AC82" s="771"/>
      <c r="AD82" s="771"/>
      <c r="AE82" s="771"/>
      <c r="AF82" s="771"/>
      <c r="AG82" s="771"/>
      <c r="AH82" s="771"/>
      <c r="AI82" s="771"/>
      <c r="AJ82" s="771"/>
      <c r="AK82" s="771"/>
      <c r="AL82" s="771"/>
      <c r="AM82" s="771"/>
      <c r="AN82" s="771"/>
      <c r="AO82" s="771"/>
      <c r="AP82" s="771"/>
      <c r="AQ82" s="771"/>
      <c r="AR82" s="771"/>
      <c r="AS82" s="771"/>
      <c r="AT82" s="771"/>
      <c r="AU82" s="771"/>
    </row>
    <row r="83" spans="1:47" s="1135" customFormat="1" outlineLevel="1" x14ac:dyDescent="0.2">
      <c r="A83" s="17"/>
      <c r="B83" s="75"/>
      <c r="C83" s="1989" t="s">
        <v>2219</v>
      </c>
      <c r="D83" s="1989" t="s">
        <v>7274</v>
      </c>
      <c r="E83" s="1989">
        <v>0.11</v>
      </c>
      <c r="F83" s="38">
        <f t="shared" si="0"/>
        <v>8.9453364000000004</v>
      </c>
      <c r="G83" s="459"/>
      <c r="H83" s="8"/>
      <c r="I83" s="8"/>
      <c r="J83" s="8"/>
      <c r="K83" s="8"/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771"/>
      <c r="Y83" s="771"/>
      <c r="Z83" s="771"/>
      <c r="AA83" s="771"/>
      <c r="AB83" s="771"/>
      <c r="AC83" s="771"/>
      <c r="AD83" s="771"/>
      <c r="AE83" s="771"/>
      <c r="AF83" s="771"/>
      <c r="AG83" s="771"/>
      <c r="AH83" s="771"/>
      <c r="AI83" s="771"/>
      <c r="AJ83" s="771"/>
      <c r="AK83" s="771"/>
      <c r="AL83" s="771"/>
      <c r="AM83" s="771"/>
      <c r="AN83" s="771"/>
      <c r="AO83" s="771"/>
      <c r="AP83" s="771"/>
      <c r="AQ83" s="771"/>
      <c r="AR83" s="771"/>
      <c r="AS83" s="771"/>
      <c r="AT83" s="771"/>
      <c r="AU83" s="771"/>
    </row>
    <row r="84" spans="1:47" s="1135" customFormat="1" outlineLevel="1" x14ac:dyDescent="0.2">
      <c r="A84" s="17"/>
      <c r="B84" s="75"/>
      <c r="C84" s="1989" t="s">
        <v>2408</v>
      </c>
      <c r="D84" s="1989" t="s">
        <v>5241</v>
      </c>
      <c r="E84" s="1989">
        <v>0</v>
      </c>
      <c r="F84" s="38">
        <f t="shared" si="0"/>
        <v>0</v>
      </c>
      <c r="G84" s="459"/>
      <c r="H84" s="8"/>
      <c r="I84" s="8"/>
      <c r="J84" s="8"/>
      <c r="K84" s="8"/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771"/>
      <c r="Y84" s="771"/>
      <c r="Z84" s="771"/>
      <c r="AA84" s="771"/>
      <c r="AB84" s="771"/>
      <c r="AC84" s="771"/>
      <c r="AD84" s="771"/>
      <c r="AE84" s="771"/>
      <c r="AF84" s="771"/>
      <c r="AG84" s="771"/>
      <c r="AH84" s="771"/>
      <c r="AI84" s="771"/>
      <c r="AJ84" s="771"/>
      <c r="AK84" s="771"/>
      <c r="AL84" s="771"/>
      <c r="AM84" s="771"/>
      <c r="AN84" s="771"/>
      <c r="AO84" s="771"/>
      <c r="AP84" s="771"/>
      <c r="AQ84" s="771"/>
      <c r="AR84" s="771"/>
      <c r="AS84" s="771"/>
      <c r="AT84" s="771"/>
      <c r="AU84" s="771"/>
    </row>
    <row r="85" spans="1:47" s="1135" customFormat="1" outlineLevel="1" x14ac:dyDescent="0.2">
      <c r="A85" s="17"/>
      <c r="B85" s="75"/>
      <c r="C85" s="1989" t="s">
        <v>4498</v>
      </c>
      <c r="D85" s="1989" t="s">
        <v>7275</v>
      </c>
      <c r="E85" s="1989">
        <v>9.57</v>
      </c>
      <c r="F85" s="38">
        <f t="shared" si="0"/>
        <v>778.2442668000001</v>
      </c>
      <c r="G85" s="459"/>
      <c r="H85" s="8"/>
      <c r="I85" s="8"/>
      <c r="J85" s="8"/>
      <c r="K85" s="8"/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771"/>
      <c r="Y85" s="771"/>
      <c r="Z85" s="771"/>
      <c r="AA85" s="771"/>
      <c r="AB85" s="771"/>
      <c r="AC85" s="771"/>
      <c r="AD85" s="771"/>
      <c r="AE85" s="771"/>
      <c r="AF85" s="771"/>
      <c r="AG85" s="771"/>
      <c r="AH85" s="771"/>
      <c r="AI85" s="771"/>
      <c r="AJ85" s="771"/>
      <c r="AK85" s="771"/>
      <c r="AL85" s="771"/>
      <c r="AM85" s="771"/>
      <c r="AN85" s="771"/>
      <c r="AO85" s="771"/>
      <c r="AP85" s="771"/>
      <c r="AQ85" s="771"/>
      <c r="AR85" s="771"/>
      <c r="AS85" s="771"/>
      <c r="AT85" s="771"/>
      <c r="AU85" s="771"/>
    </row>
    <row r="86" spans="1:47" s="1135" customFormat="1" outlineLevel="1" x14ac:dyDescent="0.2">
      <c r="A86" s="17"/>
      <c r="B86" s="75"/>
      <c r="C86" s="1989" t="s">
        <v>4499</v>
      </c>
      <c r="D86" s="1989" t="s">
        <v>7276</v>
      </c>
      <c r="E86" s="1989">
        <v>9.57</v>
      </c>
      <c r="F86" s="38">
        <f t="shared" si="0"/>
        <v>778.2442668000001</v>
      </c>
      <c r="G86" s="459"/>
      <c r="H86" s="8"/>
      <c r="I86" s="8"/>
      <c r="J86" s="8"/>
      <c r="K86" s="8"/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771"/>
      <c r="Y86" s="771"/>
      <c r="Z86" s="771"/>
      <c r="AA86" s="771"/>
      <c r="AB86" s="771"/>
      <c r="AC86" s="771"/>
      <c r="AD86" s="771"/>
      <c r="AE86" s="771"/>
      <c r="AF86" s="771"/>
      <c r="AG86" s="771"/>
      <c r="AH86" s="771"/>
      <c r="AI86" s="771"/>
      <c r="AJ86" s="771"/>
      <c r="AK86" s="771"/>
      <c r="AL86" s="771"/>
      <c r="AM86" s="771"/>
      <c r="AN86" s="771"/>
      <c r="AO86" s="771"/>
      <c r="AP86" s="771"/>
      <c r="AQ86" s="771"/>
      <c r="AR86" s="771"/>
      <c r="AS86" s="771"/>
      <c r="AT86" s="771"/>
      <c r="AU86" s="771"/>
    </row>
    <row r="87" spans="1:47" s="1135" customFormat="1" outlineLevel="1" x14ac:dyDescent="0.2">
      <c r="A87" s="17"/>
      <c r="B87" s="75"/>
      <c r="C87" s="1989" t="s">
        <v>3806</v>
      </c>
      <c r="D87" s="1989" t="s">
        <v>5242</v>
      </c>
      <c r="E87" s="1989">
        <v>10.1</v>
      </c>
      <c r="F87" s="38">
        <f t="shared" si="0"/>
        <v>821.34452399999998</v>
      </c>
      <c r="G87" s="459"/>
      <c r="H87" s="8"/>
      <c r="I87" s="8"/>
      <c r="J87" s="8"/>
      <c r="K87" s="8"/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771"/>
      <c r="Y87" s="771"/>
      <c r="Z87" s="771"/>
      <c r="AA87" s="771"/>
      <c r="AB87" s="771"/>
      <c r="AC87" s="771"/>
      <c r="AD87" s="771"/>
      <c r="AE87" s="771"/>
      <c r="AF87" s="771"/>
      <c r="AG87" s="771"/>
      <c r="AH87" s="771"/>
      <c r="AI87" s="771"/>
      <c r="AJ87" s="771"/>
      <c r="AK87" s="771"/>
      <c r="AL87" s="771"/>
      <c r="AM87" s="771"/>
      <c r="AN87" s="771"/>
      <c r="AO87" s="771"/>
      <c r="AP87" s="771"/>
      <c r="AQ87" s="771"/>
      <c r="AR87" s="771"/>
      <c r="AS87" s="771"/>
      <c r="AT87" s="771"/>
      <c r="AU87" s="771"/>
    </row>
    <row r="88" spans="1:47" s="1135" customFormat="1" outlineLevel="1" x14ac:dyDescent="0.2">
      <c r="A88" s="17"/>
      <c r="B88" s="75"/>
      <c r="C88" s="1989" t="s">
        <v>3807</v>
      </c>
      <c r="D88" s="1989" t="s">
        <v>3808</v>
      </c>
      <c r="E88" s="1989">
        <v>10.1</v>
      </c>
      <c r="F88" s="38">
        <f t="shared" si="0"/>
        <v>821.34452399999998</v>
      </c>
      <c r="G88" s="459"/>
      <c r="H88" s="8"/>
      <c r="I88" s="8"/>
      <c r="J88" s="8"/>
      <c r="K88" s="8"/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771"/>
      <c r="Y88" s="771"/>
      <c r="Z88" s="771"/>
      <c r="AA88" s="771"/>
      <c r="AB88" s="771"/>
      <c r="AC88" s="771"/>
      <c r="AD88" s="771"/>
      <c r="AE88" s="771"/>
      <c r="AF88" s="771"/>
      <c r="AG88" s="771"/>
      <c r="AH88" s="771"/>
      <c r="AI88" s="771"/>
      <c r="AJ88" s="771"/>
      <c r="AK88" s="771"/>
      <c r="AL88" s="771"/>
      <c r="AM88" s="771"/>
      <c r="AN88" s="771"/>
      <c r="AO88" s="771"/>
      <c r="AP88" s="771"/>
      <c r="AQ88" s="771"/>
      <c r="AR88" s="771"/>
      <c r="AS88" s="771"/>
      <c r="AT88" s="771"/>
      <c r="AU88" s="771"/>
    </row>
    <row r="89" spans="1:47" s="1135" customFormat="1" outlineLevel="1" x14ac:dyDescent="0.2">
      <c r="A89" s="17"/>
      <c r="B89" s="75"/>
      <c r="C89" s="1989" t="s">
        <v>298</v>
      </c>
      <c r="D89" s="1989" t="s">
        <v>7277</v>
      </c>
      <c r="E89" s="1989">
        <v>0.54</v>
      </c>
      <c r="F89" s="38">
        <f t="shared" si="0"/>
        <v>43.913469600000006</v>
      </c>
      <c r="G89" s="459"/>
      <c r="H89" s="8"/>
      <c r="I89" s="8"/>
      <c r="J89" s="8"/>
      <c r="K89" s="8"/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771"/>
      <c r="Y89" s="771"/>
      <c r="Z89" s="771"/>
      <c r="AA89" s="771"/>
      <c r="AB89" s="771"/>
      <c r="AC89" s="771"/>
      <c r="AD89" s="771"/>
      <c r="AE89" s="771"/>
      <c r="AF89" s="771"/>
      <c r="AG89" s="771"/>
      <c r="AH89" s="771"/>
      <c r="AI89" s="771"/>
      <c r="AJ89" s="771"/>
      <c r="AK89" s="771"/>
      <c r="AL89" s="771"/>
      <c r="AM89" s="771"/>
      <c r="AN89" s="771"/>
      <c r="AO89" s="771"/>
      <c r="AP89" s="771"/>
      <c r="AQ89" s="771"/>
      <c r="AR89" s="771"/>
      <c r="AS89" s="771"/>
      <c r="AT89" s="771"/>
      <c r="AU89" s="771"/>
    </row>
    <row r="90" spans="1:47" s="1135" customFormat="1" outlineLevel="1" x14ac:dyDescent="0.2">
      <c r="A90" s="17"/>
      <c r="B90" s="75"/>
      <c r="C90" s="1989" t="s">
        <v>537</v>
      </c>
      <c r="D90" s="1989" t="s">
        <v>7278</v>
      </c>
      <c r="E90" s="1989">
        <v>1.27</v>
      </c>
      <c r="F90" s="38">
        <f t="shared" si="0"/>
        <v>103.27797480000001</v>
      </c>
      <c r="G90" s="459"/>
      <c r="H90" s="8"/>
      <c r="I90" s="8"/>
      <c r="J90" s="8"/>
      <c r="K90" s="8"/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771"/>
      <c r="Y90" s="771"/>
      <c r="Z90" s="771"/>
      <c r="AA90" s="771"/>
      <c r="AB90" s="771"/>
      <c r="AC90" s="771"/>
      <c r="AD90" s="771"/>
      <c r="AE90" s="771"/>
      <c r="AF90" s="771"/>
      <c r="AG90" s="771"/>
      <c r="AH90" s="771"/>
      <c r="AI90" s="771"/>
      <c r="AJ90" s="771"/>
      <c r="AK90" s="771"/>
      <c r="AL90" s="771"/>
      <c r="AM90" s="771"/>
      <c r="AN90" s="771"/>
      <c r="AO90" s="771"/>
      <c r="AP90" s="771"/>
      <c r="AQ90" s="771"/>
      <c r="AR90" s="771"/>
      <c r="AS90" s="771"/>
      <c r="AT90" s="771"/>
      <c r="AU90" s="771"/>
    </row>
    <row r="91" spans="1:47" s="1135" customFormat="1" outlineLevel="1" x14ac:dyDescent="0.2">
      <c r="A91" s="17"/>
      <c r="B91" s="75"/>
      <c r="C91" s="1989" t="s">
        <v>539</v>
      </c>
      <c r="D91" s="1989" t="s">
        <v>7279</v>
      </c>
      <c r="E91" s="1989">
        <v>1.99</v>
      </c>
      <c r="F91" s="38">
        <f t="shared" si="0"/>
        <v>161.82926760000001</v>
      </c>
      <c r="G91" s="459"/>
      <c r="H91" s="8"/>
      <c r="I91" s="8"/>
      <c r="J91" s="8"/>
      <c r="K91" s="8"/>
      <c r="L91" s="8"/>
      <c r="M91" s="8"/>
      <c r="N91" s="8"/>
      <c r="O91" s="8"/>
      <c r="P91" s="8"/>
      <c r="Q91" s="8"/>
      <c r="R91" s="8"/>
      <c r="S91" s="8"/>
      <c r="T91" s="8"/>
      <c r="U91" s="8"/>
      <c r="V91" s="8"/>
      <c r="W91" s="8"/>
      <c r="X91" s="771"/>
      <c r="Y91" s="771"/>
      <c r="Z91" s="771"/>
      <c r="AA91" s="771"/>
      <c r="AB91" s="771"/>
      <c r="AC91" s="771"/>
      <c r="AD91" s="771"/>
      <c r="AE91" s="771"/>
      <c r="AF91" s="771"/>
      <c r="AG91" s="771"/>
      <c r="AH91" s="771"/>
      <c r="AI91" s="771"/>
      <c r="AJ91" s="771"/>
      <c r="AK91" s="771"/>
      <c r="AL91" s="771"/>
      <c r="AM91" s="771"/>
      <c r="AN91" s="771"/>
      <c r="AO91" s="771"/>
      <c r="AP91" s="771"/>
      <c r="AQ91" s="771"/>
      <c r="AR91" s="771"/>
      <c r="AS91" s="771"/>
      <c r="AT91" s="771"/>
      <c r="AU91" s="771"/>
    </row>
    <row r="92" spans="1:47" s="1135" customFormat="1" outlineLevel="1" x14ac:dyDescent="0.2">
      <c r="A92" s="17"/>
      <c r="B92" s="75"/>
      <c r="C92" s="1989" t="s">
        <v>1665</v>
      </c>
      <c r="D92" s="1989" t="s">
        <v>7280</v>
      </c>
      <c r="E92" s="1989">
        <v>5.3</v>
      </c>
      <c r="F92" s="38">
        <f t="shared" si="0"/>
        <v>431.00257199999999</v>
      </c>
      <c r="G92" s="459"/>
      <c r="H92" s="8"/>
      <c r="I92" s="8"/>
      <c r="J92" s="8"/>
      <c r="K92" s="8"/>
      <c r="L92" s="8"/>
      <c r="M92" s="8"/>
      <c r="N92" s="8"/>
      <c r="O92" s="8"/>
      <c r="P92" s="8"/>
      <c r="Q92" s="8"/>
      <c r="R92" s="8"/>
      <c r="S92" s="8"/>
      <c r="T92" s="8"/>
      <c r="U92" s="8"/>
      <c r="V92" s="8"/>
      <c r="W92" s="8"/>
      <c r="X92" s="771"/>
      <c r="Y92" s="771"/>
      <c r="Z92" s="771"/>
      <c r="AA92" s="771"/>
      <c r="AB92" s="771"/>
      <c r="AC92" s="771"/>
      <c r="AD92" s="771"/>
      <c r="AE92" s="771"/>
      <c r="AF92" s="771"/>
      <c r="AG92" s="771"/>
      <c r="AH92" s="771"/>
      <c r="AI92" s="771"/>
      <c r="AJ92" s="771"/>
      <c r="AK92" s="771"/>
      <c r="AL92" s="771"/>
      <c r="AM92" s="771"/>
      <c r="AN92" s="771"/>
      <c r="AO92" s="771"/>
      <c r="AP92" s="771"/>
      <c r="AQ92" s="771"/>
      <c r="AR92" s="771"/>
      <c r="AS92" s="771"/>
      <c r="AT92" s="771"/>
      <c r="AU92" s="771"/>
    </row>
    <row r="93" spans="1:47" s="1135" customFormat="1" outlineLevel="1" x14ac:dyDescent="0.2">
      <c r="A93" s="17"/>
      <c r="B93" s="75"/>
      <c r="C93" s="1989" t="s">
        <v>317</v>
      </c>
      <c r="D93" s="1989" t="s">
        <v>681</v>
      </c>
      <c r="E93" s="1989">
        <v>2.08</v>
      </c>
      <c r="F93" s="38">
        <f t="shared" si="0"/>
        <v>169.14817920000002</v>
      </c>
      <c r="G93" s="459"/>
      <c r="H93" s="8"/>
      <c r="I93" s="8"/>
      <c r="J93" s="8"/>
      <c r="K93" s="8"/>
      <c r="L93" s="8"/>
      <c r="M93" s="8"/>
      <c r="N93" s="8"/>
      <c r="O93" s="8"/>
      <c r="P93" s="8"/>
      <c r="Q93" s="8"/>
      <c r="R93" s="8"/>
      <c r="S93" s="8"/>
      <c r="T93" s="8"/>
      <c r="U93" s="8"/>
      <c r="V93" s="8"/>
      <c r="W93" s="8"/>
      <c r="X93" s="771"/>
      <c r="Y93" s="771"/>
      <c r="Z93" s="771"/>
      <c r="AA93" s="771"/>
      <c r="AB93" s="771"/>
      <c r="AC93" s="771"/>
      <c r="AD93" s="771"/>
      <c r="AE93" s="771"/>
      <c r="AF93" s="771"/>
      <c r="AG93" s="771"/>
      <c r="AH93" s="771"/>
      <c r="AI93" s="771"/>
      <c r="AJ93" s="771"/>
      <c r="AK93" s="771"/>
      <c r="AL93" s="771"/>
      <c r="AM93" s="771"/>
      <c r="AN93" s="771"/>
      <c r="AO93" s="771"/>
      <c r="AP93" s="771"/>
      <c r="AQ93" s="771"/>
      <c r="AR93" s="771"/>
      <c r="AS93" s="771"/>
      <c r="AT93" s="771"/>
      <c r="AU93" s="771"/>
    </row>
    <row r="94" spans="1:47" s="1135" customFormat="1" outlineLevel="1" x14ac:dyDescent="0.2">
      <c r="A94" s="17"/>
      <c r="B94" s="75"/>
      <c r="C94" s="1989" t="s">
        <v>1302</v>
      </c>
      <c r="D94" s="1989" t="s">
        <v>7281</v>
      </c>
      <c r="E94" s="1989">
        <v>5.05</v>
      </c>
      <c r="F94" s="38">
        <f t="shared" si="0"/>
        <v>410.67226199999999</v>
      </c>
      <c r="G94" s="459"/>
      <c r="H94" s="8"/>
      <c r="I94" s="8"/>
      <c r="J94" s="8"/>
      <c r="K94" s="8"/>
      <c r="L94" s="8"/>
      <c r="M94" s="8"/>
      <c r="N94" s="8"/>
      <c r="O94" s="8"/>
      <c r="P94" s="8"/>
      <c r="Q94" s="8"/>
      <c r="R94" s="8"/>
      <c r="S94" s="8"/>
      <c r="T94" s="8"/>
      <c r="U94" s="8"/>
      <c r="V94" s="8"/>
      <c r="W94" s="8"/>
      <c r="X94" s="771"/>
      <c r="Y94" s="771"/>
      <c r="Z94" s="771"/>
      <c r="AA94" s="771"/>
      <c r="AB94" s="771"/>
      <c r="AC94" s="771"/>
      <c r="AD94" s="771"/>
      <c r="AE94" s="771"/>
      <c r="AF94" s="771"/>
      <c r="AG94" s="771"/>
      <c r="AH94" s="771"/>
      <c r="AI94" s="771"/>
      <c r="AJ94" s="771"/>
      <c r="AK94" s="771"/>
      <c r="AL94" s="771"/>
      <c r="AM94" s="771"/>
      <c r="AN94" s="771"/>
      <c r="AO94" s="771"/>
      <c r="AP94" s="771"/>
      <c r="AQ94" s="771"/>
      <c r="AR94" s="771"/>
      <c r="AS94" s="771"/>
      <c r="AT94" s="771"/>
      <c r="AU94" s="771"/>
    </row>
    <row r="95" spans="1:47" s="1135" customFormat="1" outlineLevel="1" x14ac:dyDescent="0.2">
      <c r="A95" s="17"/>
      <c r="B95" s="75"/>
      <c r="C95" s="1989" t="s">
        <v>1303</v>
      </c>
      <c r="D95" s="1989" t="s">
        <v>7282</v>
      </c>
      <c r="E95" s="1989">
        <v>5.05</v>
      </c>
      <c r="F95" s="38">
        <f t="shared" ref="F95:F158" si="1">E95*$G$4*$J$4</f>
        <v>410.67226199999999</v>
      </c>
      <c r="G95" s="459"/>
      <c r="H95" s="8"/>
      <c r="I95" s="8"/>
      <c r="J95" s="8"/>
      <c r="K95" s="8"/>
      <c r="L95" s="8"/>
      <c r="M95" s="8"/>
      <c r="N95" s="8"/>
      <c r="O95" s="8"/>
      <c r="P95" s="8"/>
      <c r="Q95" s="8"/>
      <c r="R95" s="8"/>
      <c r="S95" s="8"/>
      <c r="T95" s="8"/>
      <c r="U95" s="8"/>
      <c r="V95" s="8"/>
      <c r="W95" s="8"/>
      <c r="X95" s="771"/>
      <c r="Y95" s="771"/>
      <c r="Z95" s="771"/>
      <c r="AA95" s="771"/>
      <c r="AB95" s="771"/>
      <c r="AC95" s="771"/>
      <c r="AD95" s="771"/>
      <c r="AE95" s="771"/>
      <c r="AF95" s="771"/>
      <c r="AG95" s="771"/>
      <c r="AH95" s="771"/>
      <c r="AI95" s="771"/>
      <c r="AJ95" s="771"/>
      <c r="AK95" s="771"/>
      <c r="AL95" s="771"/>
      <c r="AM95" s="771"/>
      <c r="AN95" s="771"/>
      <c r="AO95" s="771"/>
      <c r="AP95" s="771"/>
      <c r="AQ95" s="771"/>
      <c r="AR95" s="771"/>
      <c r="AS95" s="771"/>
      <c r="AT95" s="771"/>
      <c r="AU95" s="771"/>
    </row>
    <row r="96" spans="1:47" s="1135" customFormat="1" outlineLevel="1" x14ac:dyDescent="0.2">
      <c r="A96" s="17"/>
      <c r="B96" s="75"/>
      <c r="C96" s="1989" t="s">
        <v>1054</v>
      </c>
      <c r="D96" s="1989" t="s">
        <v>7283</v>
      </c>
      <c r="E96" s="1989">
        <v>1.82</v>
      </c>
      <c r="F96" s="38">
        <f t="shared" si="1"/>
        <v>148.00465680000002</v>
      </c>
      <c r="G96" s="459"/>
      <c r="H96" s="8"/>
      <c r="I96" s="8"/>
      <c r="J96" s="8"/>
      <c r="K96" s="8"/>
      <c r="L96" s="8"/>
      <c r="M96" s="8"/>
      <c r="N96" s="8"/>
      <c r="O96" s="8"/>
      <c r="P96" s="8"/>
      <c r="Q96" s="8"/>
      <c r="R96" s="8"/>
      <c r="S96" s="8"/>
      <c r="T96" s="8"/>
      <c r="U96" s="8"/>
      <c r="V96" s="8"/>
      <c r="W96" s="8"/>
      <c r="X96" s="771"/>
      <c r="Y96" s="771"/>
      <c r="Z96" s="771"/>
      <c r="AA96" s="771"/>
      <c r="AB96" s="771"/>
      <c r="AC96" s="771"/>
      <c r="AD96" s="771"/>
      <c r="AE96" s="771"/>
      <c r="AF96" s="771"/>
      <c r="AG96" s="771"/>
      <c r="AH96" s="771"/>
      <c r="AI96" s="771"/>
      <c r="AJ96" s="771"/>
      <c r="AK96" s="771"/>
      <c r="AL96" s="771"/>
      <c r="AM96" s="771"/>
      <c r="AN96" s="771"/>
      <c r="AO96" s="771"/>
      <c r="AP96" s="771"/>
      <c r="AQ96" s="771"/>
      <c r="AR96" s="771"/>
      <c r="AS96" s="771"/>
      <c r="AT96" s="771"/>
      <c r="AU96" s="771"/>
    </row>
    <row r="97" spans="1:47" s="1135" customFormat="1" outlineLevel="1" x14ac:dyDescent="0.2">
      <c r="A97" s="17"/>
      <c r="B97" s="75"/>
      <c r="C97" s="1989" t="s">
        <v>1056</v>
      </c>
      <c r="D97" s="1989" t="s">
        <v>7284</v>
      </c>
      <c r="E97" s="1989">
        <v>2.27</v>
      </c>
      <c r="F97" s="38">
        <f t="shared" si="1"/>
        <v>184.5992148</v>
      </c>
      <c r="G97" s="459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771"/>
      <c r="Y97" s="771"/>
      <c r="Z97" s="771"/>
      <c r="AA97" s="771"/>
      <c r="AB97" s="771"/>
      <c r="AC97" s="771"/>
      <c r="AD97" s="771"/>
      <c r="AE97" s="771"/>
      <c r="AF97" s="771"/>
      <c r="AG97" s="771"/>
      <c r="AH97" s="771"/>
      <c r="AI97" s="771"/>
      <c r="AJ97" s="771"/>
      <c r="AK97" s="771"/>
      <c r="AL97" s="771"/>
      <c r="AM97" s="771"/>
      <c r="AN97" s="771"/>
      <c r="AO97" s="771"/>
      <c r="AP97" s="771"/>
      <c r="AQ97" s="771"/>
      <c r="AR97" s="771"/>
      <c r="AS97" s="771"/>
      <c r="AT97" s="771"/>
      <c r="AU97" s="771"/>
    </row>
    <row r="98" spans="1:47" s="1135" customFormat="1" outlineLevel="1" x14ac:dyDescent="0.2">
      <c r="A98" s="17"/>
      <c r="B98" s="75"/>
      <c r="C98" s="1989" t="s">
        <v>540</v>
      </c>
      <c r="D98" s="1989" t="s">
        <v>7285</v>
      </c>
      <c r="E98" s="1989">
        <v>1.94</v>
      </c>
      <c r="F98" s="38">
        <f t="shared" si="1"/>
        <v>157.76320559999999</v>
      </c>
      <c r="G98" s="459"/>
      <c r="H98" s="8"/>
      <c r="I98" s="8"/>
      <c r="J98" s="8"/>
      <c r="K98" s="8"/>
      <c r="L98" s="8"/>
      <c r="M98" s="8"/>
      <c r="N98" s="8"/>
      <c r="O98" s="8"/>
      <c r="P98" s="8"/>
      <c r="Q98" s="8"/>
      <c r="R98" s="8"/>
      <c r="S98" s="8"/>
      <c r="T98" s="8"/>
      <c r="U98" s="8"/>
      <c r="V98" s="8"/>
      <c r="W98" s="8"/>
      <c r="X98" s="771"/>
      <c r="Y98" s="771"/>
      <c r="Z98" s="771"/>
      <c r="AA98" s="771"/>
      <c r="AB98" s="771"/>
      <c r="AC98" s="771"/>
      <c r="AD98" s="771"/>
      <c r="AE98" s="771"/>
      <c r="AF98" s="771"/>
      <c r="AG98" s="771"/>
      <c r="AH98" s="771"/>
      <c r="AI98" s="771"/>
      <c r="AJ98" s="771"/>
      <c r="AK98" s="771"/>
      <c r="AL98" s="771"/>
      <c r="AM98" s="771"/>
      <c r="AN98" s="771"/>
      <c r="AO98" s="771"/>
      <c r="AP98" s="771"/>
      <c r="AQ98" s="771"/>
      <c r="AR98" s="771"/>
      <c r="AS98" s="771"/>
      <c r="AT98" s="771"/>
      <c r="AU98" s="771"/>
    </row>
    <row r="99" spans="1:47" s="1135" customFormat="1" outlineLevel="1" x14ac:dyDescent="0.2">
      <c r="A99" s="17"/>
      <c r="B99" s="75"/>
      <c r="C99" s="1989" t="s">
        <v>1143</v>
      </c>
      <c r="D99" s="1989" t="s">
        <v>7286</v>
      </c>
      <c r="E99" s="1989">
        <v>1.88</v>
      </c>
      <c r="F99" s="38">
        <f t="shared" si="1"/>
        <v>152.88393120000001</v>
      </c>
      <c r="G99" s="459"/>
      <c r="H99" s="8"/>
      <c r="I99" s="8"/>
      <c r="J99" s="8"/>
      <c r="K99" s="8"/>
      <c r="L99" s="8"/>
      <c r="M99" s="8"/>
      <c r="N99" s="8"/>
      <c r="O99" s="8"/>
      <c r="P99" s="8"/>
      <c r="Q99" s="8"/>
      <c r="R99" s="8"/>
      <c r="S99" s="8"/>
      <c r="T99" s="8"/>
      <c r="U99" s="8"/>
      <c r="V99" s="8"/>
      <c r="W99" s="8"/>
      <c r="X99" s="771"/>
      <c r="Y99" s="771"/>
      <c r="Z99" s="771"/>
      <c r="AA99" s="771"/>
      <c r="AB99" s="771"/>
      <c r="AC99" s="771"/>
      <c r="AD99" s="771"/>
      <c r="AE99" s="771"/>
      <c r="AF99" s="771"/>
      <c r="AG99" s="771"/>
      <c r="AH99" s="771"/>
      <c r="AI99" s="771"/>
      <c r="AJ99" s="771"/>
      <c r="AK99" s="771"/>
      <c r="AL99" s="771"/>
      <c r="AM99" s="771"/>
      <c r="AN99" s="771"/>
      <c r="AO99" s="771"/>
      <c r="AP99" s="771"/>
      <c r="AQ99" s="771"/>
      <c r="AR99" s="771"/>
      <c r="AS99" s="771"/>
      <c r="AT99" s="771"/>
      <c r="AU99" s="771"/>
    </row>
    <row r="100" spans="1:47" s="1135" customFormat="1" outlineLevel="1" x14ac:dyDescent="0.2">
      <c r="A100" s="17"/>
      <c r="B100" s="75"/>
      <c r="C100" s="1989" t="s">
        <v>532</v>
      </c>
      <c r="D100" s="1989" t="s">
        <v>5243</v>
      </c>
      <c r="E100" s="1989">
        <v>0.56999999999999995</v>
      </c>
      <c r="F100" s="38">
        <f t="shared" si="1"/>
        <v>46.353106799999999</v>
      </c>
      <c r="G100" s="459"/>
      <c r="H100" s="8"/>
      <c r="I100" s="8"/>
      <c r="J100" s="8"/>
      <c r="K100" s="8"/>
      <c r="L100" s="8"/>
      <c r="M100" s="8"/>
      <c r="N100" s="8"/>
      <c r="O100" s="8"/>
      <c r="P100" s="8"/>
      <c r="Q100" s="8"/>
      <c r="R100" s="8"/>
      <c r="S100" s="8"/>
      <c r="T100" s="8"/>
      <c r="U100" s="8"/>
      <c r="V100" s="8"/>
      <c r="W100" s="8"/>
      <c r="X100" s="771"/>
      <c r="Y100" s="771"/>
      <c r="Z100" s="771"/>
      <c r="AA100" s="771"/>
      <c r="AB100" s="771"/>
      <c r="AC100" s="771"/>
      <c r="AD100" s="771"/>
      <c r="AE100" s="771"/>
      <c r="AF100" s="771"/>
      <c r="AG100" s="771"/>
      <c r="AH100" s="771"/>
      <c r="AI100" s="771"/>
      <c r="AJ100" s="771"/>
      <c r="AK100" s="771"/>
      <c r="AL100" s="771"/>
      <c r="AM100" s="771"/>
      <c r="AN100" s="771"/>
      <c r="AO100" s="771"/>
      <c r="AP100" s="771"/>
      <c r="AQ100" s="771"/>
      <c r="AR100" s="771"/>
      <c r="AS100" s="771"/>
      <c r="AT100" s="771"/>
      <c r="AU100" s="771"/>
    </row>
    <row r="101" spans="1:47" s="1135" customFormat="1" outlineLevel="1" x14ac:dyDescent="0.2">
      <c r="A101" s="17"/>
      <c r="B101" s="75"/>
      <c r="C101" s="1989" t="s">
        <v>534</v>
      </c>
      <c r="D101" s="1989" t="s">
        <v>5244</v>
      </c>
      <c r="E101" s="1989">
        <v>0.56999999999999995</v>
      </c>
      <c r="F101" s="38">
        <f t="shared" si="1"/>
        <v>46.353106799999999</v>
      </c>
      <c r="G101" s="459"/>
      <c r="H101" s="8"/>
      <c r="I101" s="8"/>
      <c r="J101" s="8"/>
      <c r="K101" s="8"/>
      <c r="L101" s="8"/>
      <c r="M101" s="8"/>
      <c r="N101" s="8"/>
      <c r="O101" s="8"/>
      <c r="P101" s="8"/>
      <c r="Q101" s="8"/>
      <c r="R101" s="8"/>
      <c r="S101" s="8"/>
      <c r="T101" s="8"/>
      <c r="U101" s="8"/>
      <c r="V101" s="8"/>
      <c r="W101" s="8"/>
      <c r="X101" s="771"/>
      <c r="Y101" s="771"/>
      <c r="Z101" s="771"/>
      <c r="AA101" s="771"/>
      <c r="AB101" s="771"/>
      <c r="AC101" s="771"/>
      <c r="AD101" s="771"/>
      <c r="AE101" s="771"/>
      <c r="AF101" s="771"/>
      <c r="AG101" s="771"/>
      <c r="AH101" s="771"/>
      <c r="AI101" s="771"/>
      <c r="AJ101" s="771"/>
      <c r="AK101" s="771"/>
      <c r="AL101" s="771"/>
      <c r="AM101" s="771"/>
      <c r="AN101" s="771"/>
      <c r="AO101" s="771"/>
      <c r="AP101" s="771"/>
      <c r="AQ101" s="771"/>
      <c r="AR101" s="771"/>
      <c r="AS101" s="771"/>
      <c r="AT101" s="771"/>
      <c r="AU101" s="771"/>
    </row>
    <row r="102" spans="1:47" s="1135" customFormat="1" outlineLevel="1" x14ac:dyDescent="0.2">
      <c r="A102" s="17"/>
      <c r="B102" s="75"/>
      <c r="C102" s="1989" t="s">
        <v>1630</v>
      </c>
      <c r="D102" s="1989" t="s">
        <v>5245</v>
      </c>
      <c r="E102" s="1989">
        <v>0.42</v>
      </c>
      <c r="F102" s="38">
        <f t="shared" si="1"/>
        <v>34.154920799999999</v>
      </c>
      <c r="G102" s="459"/>
      <c r="H102" s="8"/>
      <c r="I102" s="8"/>
      <c r="J102" s="8"/>
      <c r="K102" s="8"/>
      <c r="L102" s="8"/>
      <c r="M102" s="8"/>
      <c r="N102" s="8"/>
      <c r="O102" s="8"/>
      <c r="P102" s="8"/>
      <c r="Q102" s="8"/>
      <c r="R102" s="8"/>
      <c r="S102" s="8"/>
      <c r="T102" s="8"/>
      <c r="U102" s="8"/>
      <c r="V102" s="8"/>
      <c r="W102" s="8"/>
      <c r="X102" s="771"/>
      <c r="Y102" s="771"/>
      <c r="Z102" s="771"/>
      <c r="AA102" s="771"/>
      <c r="AB102" s="771"/>
      <c r="AC102" s="771"/>
      <c r="AD102" s="771"/>
      <c r="AE102" s="771"/>
      <c r="AF102" s="771"/>
      <c r="AG102" s="771"/>
      <c r="AH102" s="771"/>
      <c r="AI102" s="771"/>
      <c r="AJ102" s="771"/>
      <c r="AK102" s="771"/>
      <c r="AL102" s="771"/>
      <c r="AM102" s="771"/>
      <c r="AN102" s="771"/>
      <c r="AO102" s="771"/>
      <c r="AP102" s="771"/>
      <c r="AQ102" s="771"/>
      <c r="AR102" s="771"/>
      <c r="AS102" s="771"/>
      <c r="AT102" s="771"/>
      <c r="AU102" s="771"/>
    </row>
    <row r="103" spans="1:47" s="1135" customFormat="1" outlineLevel="1" x14ac:dyDescent="0.2">
      <c r="A103" s="17"/>
      <c r="B103" s="75"/>
      <c r="C103" s="1989" t="s">
        <v>1628</v>
      </c>
      <c r="D103" s="1989" t="s">
        <v>5246</v>
      </c>
      <c r="E103" s="1989">
        <v>0.42</v>
      </c>
      <c r="F103" s="38">
        <f t="shared" si="1"/>
        <v>34.154920799999999</v>
      </c>
      <c r="G103" s="459"/>
      <c r="H103" s="8"/>
      <c r="I103" s="8"/>
      <c r="J103" s="8"/>
      <c r="K103" s="8"/>
      <c r="L103" s="8"/>
      <c r="M103" s="8"/>
      <c r="N103" s="8"/>
      <c r="O103" s="8"/>
      <c r="P103" s="8"/>
      <c r="Q103" s="8"/>
      <c r="R103" s="8"/>
      <c r="S103" s="8"/>
      <c r="T103" s="8"/>
      <c r="U103" s="8"/>
      <c r="V103" s="8"/>
      <c r="W103" s="8"/>
      <c r="X103" s="771"/>
      <c r="Y103" s="771"/>
      <c r="Z103" s="771"/>
      <c r="AA103" s="771"/>
      <c r="AB103" s="771"/>
      <c r="AC103" s="771"/>
      <c r="AD103" s="771"/>
      <c r="AE103" s="771"/>
      <c r="AF103" s="771"/>
      <c r="AG103" s="771"/>
      <c r="AH103" s="771"/>
      <c r="AI103" s="771"/>
      <c r="AJ103" s="771"/>
      <c r="AK103" s="771"/>
      <c r="AL103" s="771"/>
      <c r="AM103" s="771"/>
      <c r="AN103" s="771"/>
      <c r="AO103" s="771"/>
      <c r="AP103" s="771"/>
      <c r="AQ103" s="771"/>
      <c r="AR103" s="771"/>
      <c r="AS103" s="771"/>
      <c r="AT103" s="771"/>
      <c r="AU103" s="771"/>
    </row>
    <row r="104" spans="1:47" s="1135" customFormat="1" outlineLevel="1" x14ac:dyDescent="0.2">
      <c r="A104" s="17"/>
      <c r="B104" s="75"/>
      <c r="C104" s="1989" t="s">
        <v>1633</v>
      </c>
      <c r="D104" s="1989" t="s">
        <v>363</v>
      </c>
      <c r="E104" s="1989">
        <v>0.7</v>
      </c>
      <c r="F104" s="38">
        <f t="shared" si="1"/>
        <v>56.924868000000004</v>
      </c>
      <c r="G104" s="459"/>
      <c r="H104" s="8"/>
      <c r="I104" s="8"/>
      <c r="J104" s="8"/>
      <c r="K104" s="8"/>
      <c r="L104" s="8"/>
      <c r="M104" s="8"/>
      <c r="N104" s="8"/>
      <c r="O104" s="8"/>
      <c r="P104" s="8"/>
      <c r="Q104" s="8"/>
      <c r="R104" s="8"/>
      <c r="S104" s="8"/>
      <c r="T104" s="8"/>
      <c r="U104" s="8"/>
      <c r="V104" s="8"/>
      <c r="W104" s="8"/>
      <c r="X104" s="771"/>
      <c r="Y104" s="771"/>
      <c r="Z104" s="771"/>
      <c r="AA104" s="771"/>
      <c r="AB104" s="771"/>
      <c r="AC104" s="771"/>
      <c r="AD104" s="771"/>
      <c r="AE104" s="771"/>
      <c r="AF104" s="771"/>
      <c r="AG104" s="771"/>
      <c r="AH104" s="771"/>
      <c r="AI104" s="771"/>
      <c r="AJ104" s="771"/>
      <c r="AK104" s="771"/>
      <c r="AL104" s="771"/>
      <c r="AM104" s="771"/>
      <c r="AN104" s="771"/>
      <c r="AO104" s="771"/>
      <c r="AP104" s="771"/>
      <c r="AQ104" s="771"/>
      <c r="AR104" s="771"/>
      <c r="AS104" s="771"/>
      <c r="AT104" s="771"/>
      <c r="AU104" s="771"/>
    </row>
    <row r="105" spans="1:47" s="1135" customFormat="1" outlineLevel="1" x14ac:dyDescent="0.2">
      <c r="A105" s="17"/>
      <c r="B105" s="75"/>
      <c r="C105" s="1989" t="s">
        <v>1632</v>
      </c>
      <c r="D105" s="1989" t="s">
        <v>5247</v>
      </c>
      <c r="E105" s="1989">
        <v>0.7</v>
      </c>
      <c r="F105" s="38">
        <f t="shared" si="1"/>
        <v>56.924868000000004</v>
      </c>
      <c r="G105" s="459"/>
      <c r="H105" s="8"/>
      <c r="I105" s="8"/>
      <c r="J105" s="8"/>
      <c r="K105" s="8"/>
      <c r="L105" s="8"/>
      <c r="M105" s="8"/>
      <c r="N105" s="8"/>
      <c r="O105" s="8"/>
      <c r="P105" s="8"/>
      <c r="Q105" s="8"/>
      <c r="R105" s="8"/>
      <c r="S105" s="8"/>
      <c r="T105" s="8"/>
      <c r="U105" s="8"/>
      <c r="V105" s="8"/>
      <c r="W105" s="8"/>
      <c r="X105" s="771"/>
      <c r="Y105" s="771"/>
      <c r="Z105" s="771"/>
      <c r="AA105" s="771"/>
      <c r="AB105" s="771"/>
      <c r="AC105" s="771"/>
      <c r="AD105" s="771"/>
      <c r="AE105" s="771"/>
      <c r="AF105" s="771"/>
      <c r="AG105" s="771"/>
      <c r="AH105" s="771"/>
      <c r="AI105" s="771"/>
      <c r="AJ105" s="771"/>
      <c r="AK105" s="771"/>
      <c r="AL105" s="771"/>
      <c r="AM105" s="771"/>
      <c r="AN105" s="771"/>
      <c r="AO105" s="771"/>
      <c r="AP105" s="771"/>
      <c r="AQ105" s="771"/>
      <c r="AR105" s="771"/>
      <c r="AS105" s="771"/>
      <c r="AT105" s="771"/>
      <c r="AU105" s="771"/>
    </row>
    <row r="106" spans="1:47" s="1135" customFormat="1" outlineLevel="1" x14ac:dyDescent="0.2">
      <c r="A106" s="17"/>
      <c r="B106" s="75"/>
      <c r="C106" s="1989" t="s">
        <v>76</v>
      </c>
      <c r="D106" s="1989" t="s">
        <v>7287</v>
      </c>
      <c r="E106" s="1989">
        <v>6.48</v>
      </c>
      <c r="F106" s="38">
        <f t="shared" si="1"/>
        <v>526.96163520000005</v>
      </c>
      <c r="G106" s="459"/>
      <c r="H106" s="8"/>
      <c r="I106" s="8"/>
      <c r="J106" s="8"/>
      <c r="K106" s="8"/>
      <c r="L106" s="8"/>
      <c r="M106" s="8"/>
      <c r="N106" s="8"/>
      <c r="O106" s="8"/>
      <c r="P106" s="8"/>
      <c r="Q106" s="8"/>
      <c r="R106" s="8"/>
      <c r="S106" s="8"/>
      <c r="T106" s="8"/>
      <c r="U106" s="8"/>
      <c r="V106" s="8"/>
      <c r="W106" s="8"/>
      <c r="X106" s="771"/>
      <c r="Y106" s="771"/>
      <c r="Z106" s="771"/>
      <c r="AA106" s="771"/>
      <c r="AB106" s="771"/>
      <c r="AC106" s="771"/>
      <c r="AD106" s="771"/>
      <c r="AE106" s="771"/>
      <c r="AF106" s="771"/>
      <c r="AG106" s="771"/>
      <c r="AH106" s="771"/>
      <c r="AI106" s="771"/>
      <c r="AJ106" s="771"/>
      <c r="AK106" s="771"/>
      <c r="AL106" s="771"/>
      <c r="AM106" s="771"/>
      <c r="AN106" s="771"/>
      <c r="AO106" s="771"/>
      <c r="AP106" s="771"/>
      <c r="AQ106" s="771"/>
      <c r="AR106" s="771"/>
      <c r="AS106" s="771"/>
      <c r="AT106" s="771"/>
      <c r="AU106" s="771"/>
    </row>
    <row r="107" spans="1:47" s="1135" customFormat="1" outlineLevel="1" x14ac:dyDescent="0.2">
      <c r="A107" s="17"/>
      <c r="B107" s="75"/>
      <c r="C107" s="1989" t="s">
        <v>75</v>
      </c>
      <c r="D107" s="1989" t="s">
        <v>7288</v>
      </c>
      <c r="E107" s="1989">
        <v>6.48</v>
      </c>
      <c r="F107" s="38">
        <f t="shared" si="1"/>
        <v>526.96163520000005</v>
      </c>
      <c r="G107" s="459"/>
      <c r="H107" s="8"/>
      <c r="I107" s="8"/>
      <c r="J107" s="8"/>
      <c r="K107" s="8"/>
      <c r="L107" s="8"/>
      <c r="M107" s="8"/>
      <c r="N107" s="8"/>
      <c r="O107" s="8"/>
      <c r="P107" s="8"/>
      <c r="Q107" s="8"/>
      <c r="R107" s="8"/>
      <c r="S107" s="8"/>
      <c r="T107" s="8"/>
      <c r="U107" s="8"/>
      <c r="V107" s="8"/>
      <c r="W107" s="8"/>
      <c r="X107" s="771"/>
      <c r="Y107" s="771"/>
      <c r="Z107" s="771"/>
      <c r="AA107" s="771"/>
      <c r="AB107" s="771"/>
      <c r="AC107" s="771"/>
      <c r="AD107" s="771"/>
      <c r="AE107" s="771"/>
      <c r="AF107" s="771"/>
      <c r="AG107" s="771"/>
      <c r="AH107" s="771"/>
      <c r="AI107" s="771"/>
      <c r="AJ107" s="771"/>
      <c r="AK107" s="771"/>
      <c r="AL107" s="771"/>
      <c r="AM107" s="771"/>
      <c r="AN107" s="771"/>
      <c r="AO107" s="771"/>
      <c r="AP107" s="771"/>
      <c r="AQ107" s="771"/>
      <c r="AR107" s="771"/>
      <c r="AS107" s="771"/>
      <c r="AT107" s="771"/>
      <c r="AU107" s="771"/>
    </row>
    <row r="108" spans="1:47" s="1135" customFormat="1" outlineLevel="1" x14ac:dyDescent="0.2">
      <c r="A108" s="17"/>
      <c r="B108" s="75"/>
      <c r="C108" s="1989" t="s">
        <v>819</v>
      </c>
      <c r="D108" s="1989" t="s">
        <v>7289</v>
      </c>
      <c r="E108" s="1989">
        <v>6.41</v>
      </c>
      <c r="F108" s="38">
        <f t="shared" si="1"/>
        <v>521.26914840000006</v>
      </c>
      <c r="G108" s="459"/>
      <c r="H108" s="8"/>
      <c r="I108" s="8"/>
      <c r="J108" s="8"/>
      <c r="K108" s="8"/>
      <c r="L108" s="8"/>
      <c r="M108" s="8"/>
      <c r="N108" s="8"/>
      <c r="O108" s="8"/>
      <c r="P108" s="8"/>
      <c r="Q108" s="8"/>
      <c r="R108" s="8"/>
      <c r="S108" s="8"/>
      <c r="T108" s="8"/>
      <c r="U108" s="8"/>
      <c r="V108" s="8"/>
      <c r="W108" s="8"/>
      <c r="X108" s="771"/>
      <c r="Y108" s="771"/>
      <c r="Z108" s="771"/>
      <c r="AA108" s="771"/>
      <c r="AB108" s="771"/>
      <c r="AC108" s="771"/>
      <c r="AD108" s="771"/>
      <c r="AE108" s="771"/>
      <c r="AF108" s="771"/>
      <c r="AG108" s="771"/>
      <c r="AH108" s="771"/>
      <c r="AI108" s="771"/>
      <c r="AJ108" s="771"/>
      <c r="AK108" s="771"/>
      <c r="AL108" s="771"/>
      <c r="AM108" s="771"/>
      <c r="AN108" s="771"/>
      <c r="AO108" s="771"/>
      <c r="AP108" s="771"/>
      <c r="AQ108" s="771"/>
      <c r="AR108" s="771"/>
      <c r="AS108" s="771"/>
      <c r="AT108" s="771"/>
      <c r="AU108" s="771"/>
    </row>
    <row r="109" spans="1:47" s="1135" customFormat="1" outlineLevel="1" x14ac:dyDescent="0.2">
      <c r="A109" s="17"/>
      <c r="B109" s="75"/>
      <c r="C109" s="1989" t="s">
        <v>820</v>
      </c>
      <c r="D109" s="1989" t="s">
        <v>7290</v>
      </c>
      <c r="E109" s="1989">
        <v>6.41</v>
      </c>
      <c r="F109" s="38">
        <f t="shared" si="1"/>
        <v>521.26914840000006</v>
      </c>
      <c r="G109" s="459"/>
      <c r="H109" s="8"/>
      <c r="I109" s="8"/>
      <c r="J109" s="8"/>
      <c r="K109" s="8"/>
      <c r="L109" s="8"/>
      <c r="M109" s="8"/>
      <c r="N109" s="8"/>
      <c r="O109" s="8"/>
      <c r="P109" s="8"/>
      <c r="Q109" s="8"/>
      <c r="R109" s="8"/>
      <c r="S109" s="8"/>
      <c r="T109" s="8"/>
      <c r="U109" s="8"/>
      <c r="V109" s="8"/>
      <c r="W109" s="8"/>
      <c r="X109" s="771"/>
      <c r="Y109" s="771"/>
      <c r="Z109" s="771"/>
      <c r="AA109" s="771"/>
      <c r="AB109" s="771"/>
      <c r="AC109" s="771"/>
      <c r="AD109" s="771"/>
      <c r="AE109" s="771"/>
      <c r="AF109" s="771"/>
      <c r="AG109" s="771"/>
      <c r="AH109" s="771"/>
      <c r="AI109" s="771"/>
      <c r="AJ109" s="771"/>
      <c r="AK109" s="771"/>
      <c r="AL109" s="771"/>
      <c r="AM109" s="771"/>
      <c r="AN109" s="771"/>
      <c r="AO109" s="771"/>
      <c r="AP109" s="771"/>
      <c r="AQ109" s="771"/>
      <c r="AR109" s="771"/>
      <c r="AS109" s="771"/>
      <c r="AT109" s="771"/>
      <c r="AU109" s="771"/>
    </row>
    <row r="110" spans="1:47" s="1135" customFormat="1" outlineLevel="1" x14ac:dyDescent="0.2">
      <c r="A110" s="17"/>
      <c r="B110" s="75"/>
      <c r="C110" s="1989" t="s">
        <v>83</v>
      </c>
      <c r="D110" s="1989" t="s">
        <v>7291</v>
      </c>
      <c r="E110" s="1989">
        <v>6.41</v>
      </c>
      <c r="F110" s="38">
        <f t="shared" si="1"/>
        <v>521.26914840000006</v>
      </c>
      <c r="G110" s="459"/>
      <c r="H110" s="8"/>
      <c r="I110" s="8"/>
      <c r="J110" s="8"/>
      <c r="K110" s="8"/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771"/>
      <c r="Y110" s="771"/>
      <c r="Z110" s="771"/>
      <c r="AA110" s="771"/>
      <c r="AB110" s="771"/>
      <c r="AC110" s="771"/>
      <c r="AD110" s="771"/>
      <c r="AE110" s="771"/>
      <c r="AF110" s="771"/>
      <c r="AG110" s="771"/>
      <c r="AH110" s="771"/>
      <c r="AI110" s="771"/>
      <c r="AJ110" s="771"/>
      <c r="AK110" s="771"/>
      <c r="AL110" s="771"/>
      <c r="AM110" s="771"/>
      <c r="AN110" s="771"/>
      <c r="AO110" s="771"/>
      <c r="AP110" s="771"/>
      <c r="AQ110" s="771"/>
      <c r="AR110" s="771"/>
      <c r="AS110" s="771"/>
      <c r="AT110" s="771"/>
      <c r="AU110" s="771"/>
    </row>
    <row r="111" spans="1:47" s="1135" customFormat="1" outlineLevel="1" x14ac:dyDescent="0.2">
      <c r="A111" s="17"/>
      <c r="B111" s="75"/>
      <c r="C111" s="1989" t="s">
        <v>84</v>
      </c>
      <c r="D111" s="1989" t="s">
        <v>7292</v>
      </c>
      <c r="E111" s="1989">
        <v>6.41</v>
      </c>
      <c r="F111" s="38">
        <f t="shared" si="1"/>
        <v>521.26914840000006</v>
      </c>
      <c r="G111" s="459"/>
      <c r="H111" s="8"/>
      <c r="I111" s="8"/>
      <c r="J111" s="8"/>
      <c r="K111" s="8"/>
      <c r="L111" s="8"/>
      <c r="M111" s="8"/>
      <c r="N111" s="8"/>
      <c r="O111" s="8"/>
      <c r="P111" s="8"/>
      <c r="Q111" s="8"/>
      <c r="R111" s="8"/>
      <c r="S111" s="8"/>
      <c r="T111" s="8"/>
      <c r="U111" s="8"/>
      <c r="V111" s="8"/>
      <c r="W111" s="8"/>
      <c r="X111" s="771"/>
      <c r="Y111" s="771"/>
      <c r="Z111" s="771"/>
      <c r="AA111" s="771"/>
      <c r="AB111" s="771"/>
      <c r="AC111" s="771"/>
      <c r="AD111" s="771"/>
      <c r="AE111" s="771"/>
      <c r="AF111" s="771"/>
      <c r="AG111" s="771"/>
      <c r="AH111" s="771"/>
      <c r="AI111" s="771"/>
      <c r="AJ111" s="771"/>
      <c r="AK111" s="771"/>
      <c r="AL111" s="771"/>
      <c r="AM111" s="771"/>
      <c r="AN111" s="771"/>
      <c r="AO111" s="771"/>
      <c r="AP111" s="771"/>
      <c r="AQ111" s="771"/>
      <c r="AR111" s="771"/>
      <c r="AS111" s="771"/>
      <c r="AT111" s="771"/>
      <c r="AU111" s="771"/>
    </row>
    <row r="112" spans="1:47" s="1135" customFormat="1" outlineLevel="1" x14ac:dyDescent="0.2">
      <c r="A112" s="17"/>
      <c r="B112" s="75"/>
      <c r="C112" s="1989" t="s">
        <v>2879</v>
      </c>
      <c r="D112" s="1989" t="s">
        <v>7293</v>
      </c>
      <c r="E112" s="1989">
        <v>21.05</v>
      </c>
      <c r="F112" s="38">
        <f t="shared" si="1"/>
        <v>1711.8121020000003</v>
      </c>
      <c r="G112" s="459"/>
      <c r="H112" s="8"/>
      <c r="I112" s="8"/>
      <c r="J112" s="8"/>
      <c r="K112" s="8"/>
      <c r="L112" s="8"/>
      <c r="M112" s="8"/>
      <c r="N112" s="8"/>
      <c r="O112" s="8"/>
      <c r="P112" s="8"/>
      <c r="Q112" s="8"/>
      <c r="R112" s="8"/>
      <c r="S112" s="8"/>
      <c r="T112" s="8"/>
      <c r="U112" s="8"/>
      <c r="V112" s="8"/>
      <c r="W112" s="8"/>
      <c r="X112" s="771"/>
      <c r="Y112" s="771"/>
      <c r="Z112" s="771"/>
      <c r="AA112" s="771"/>
      <c r="AB112" s="771"/>
      <c r="AC112" s="771"/>
      <c r="AD112" s="771"/>
      <c r="AE112" s="771"/>
      <c r="AF112" s="771"/>
      <c r="AG112" s="771"/>
      <c r="AH112" s="771"/>
      <c r="AI112" s="771"/>
      <c r="AJ112" s="771"/>
      <c r="AK112" s="771"/>
      <c r="AL112" s="771"/>
      <c r="AM112" s="771"/>
      <c r="AN112" s="771"/>
      <c r="AO112" s="771"/>
      <c r="AP112" s="771"/>
      <c r="AQ112" s="771"/>
      <c r="AR112" s="771"/>
      <c r="AS112" s="771"/>
      <c r="AT112" s="771"/>
      <c r="AU112" s="771"/>
    </row>
    <row r="113" spans="1:47" s="1135" customFormat="1" outlineLevel="1" x14ac:dyDescent="0.2">
      <c r="A113" s="17"/>
      <c r="B113" s="75"/>
      <c r="C113" s="1989" t="s">
        <v>79</v>
      </c>
      <c r="D113" s="1989" t="s">
        <v>7294</v>
      </c>
      <c r="E113" s="1989">
        <v>6.41</v>
      </c>
      <c r="F113" s="38">
        <f t="shared" si="1"/>
        <v>521.26914840000006</v>
      </c>
      <c r="G113" s="459"/>
      <c r="H113" s="8"/>
      <c r="I113" s="8"/>
      <c r="J113" s="8"/>
      <c r="K113" s="8"/>
      <c r="L113" s="8"/>
      <c r="M113" s="8"/>
      <c r="N113" s="8"/>
      <c r="O113" s="8"/>
      <c r="P113" s="8"/>
      <c r="Q113" s="8"/>
      <c r="R113" s="8"/>
      <c r="S113" s="8"/>
      <c r="T113" s="8"/>
      <c r="U113" s="8"/>
      <c r="V113" s="8"/>
      <c r="W113" s="8"/>
      <c r="X113" s="771"/>
      <c r="Y113" s="771"/>
      <c r="Z113" s="771"/>
      <c r="AA113" s="771"/>
      <c r="AB113" s="771"/>
      <c r="AC113" s="771"/>
      <c r="AD113" s="771"/>
      <c r="AE113" s="771"/>
      <c r="AF113" s="771"/>
      <c r="AG113" s="771"/>
      <c r="AH113" s="771"/>
      <c r="AI113" s="771"/>
      <c r="AJ113" s="771"/>
      <c r="AK113" s="771"/>
      <c r="AL113" s="771"/>
      <c r="AM113" s="771"/>
      <c r="AN113" s="771"/>
      <c r="AO113" s="771"/>
      <c r="AP113" s="771"/>
      <c r="AQ113" s="771"/>
      <c r="AR113" s="771"/>
      <c r="AS113" s="771"/>
      <c r="AT113" s="771"/>
      <c r="AU113" s="771"/>
    </row>
    <row r="114" spans="1:47" s="1135" customFormat="1" outlineLevel="1" x14ac:dyDescent="0.2">
      <c r="A114" s="17"/>
      <c r="B114" s="75"/>
      <c r="C114" s="1989" t="s">
        <v>80</v>
      </c>
      <c r="D114" s="1989" t="s">
        <v>7295</v>
      </c>
      <c r="E114" s="1989">
        <v>6.41</v>
      </c>
      <c r="F114" s="38">
        <f t="shared" si="1"/>
        <v>521.26914840000006</v>
      </c>
      <c r="G114" s="459"/>
      <c r="H114" s="8"/>
      <c r="I114" s="8"/>
      <c r="J114" s="8"/>
      <c r="K114" s="8"/>
      <c r="L114" s="8"/>
      <c r="M114" s="8"/>
      <c r="N114" s="8"/>
      <c r="O114" s="8"/>
      <c r="P114" s="8"/>
      <c r="Q114" s="8"/>
      <c r="R114" s="8"/>
      <c r="S114" s="8"/>
      <c r="T114" s="8"/>
      <c r="U114" s="8"/>
      <c r="V114" s="8"/>
      <c r="W114" s="8"/>
      <c r="X114" s="771"/>
      <c r="Y114" s="771"/>
      <c r="Z114" s="771"/>
      <c r="AA114" s="771"/>
      <c r="AB114" s="771"/>
      <c r="AC114" s="771"/>
      <c r="AD114" s="771"/>
      <c r="AE114" s="771"/>
      <c r="AF114" s="771"/>
      <c r="AG114" s="771"/>
      <c r="AH114" s="771"/>
      <c r="AI114" s="771"/>
      <c r="AJ114" s="771"/>
      <c r="AK114" s="771"/>
      <c r="AL114" s="771"/>
      <c r="AM114" s="771"/>
      <c r="AN114" s="771"/>
      <c r="AO114" s="771"/>
      <c r="AP114" s="771"/>
      <c r="AQ114" s="771"/>
      <c r="AR114" s="771"/>
      <c r="AS114" s="771"/>
      <c r="AT114" s="771"/>
      <c r="AU114" s="771"/>
    </row>
    <row r="115" spans="1:47" s="1135" customFormat="1" outlineLevel="1" x14ac:dyDescent="0.2">
      <c r="A115" s="17"/>
      <c r="B115" s="75"/>
      <c r="C115" s="1989" t="s">
        <v>3180</v>
      </c>
      <c r="D115" s="1989" t="s">
        <v>3181</v>
      </c>
      <c r="E115" s="1989">
        <v>21.06</v>
      </c>
      <c r="F115" s="38">
        <f t="shared" si="1"/>
        <v>1712.6253144</v>
      </c>
      <c r="G115" s="459"/>
      <c r="H115" s="8"/>
      <c r="I115" s="8"/>
      <c r="J115" s="8"/>
      <c r="K115" s="8"/>
      <c r="L115" s="8"/>
      <c r="M115" s="8"/>
      <c r="N115" s="8"/>
      <c r="O115" s="8"/>
      <c r="P115" s="8"/>
      <c r="Q115" s="8"/>
      <c r="R115" s="8"/>
      <c r="S115" s="8"/>
      <c r="T115" s="8"/>
      <c r="U115" s="8"/>
      <c r="V115" s="8"/>
      <c r="W115" s="8"/>
      <c r="X115" s="771"/>
      <c r="Y115" s="771"/>
      <c r="Z115" s="771"/>
      <c r="AA115" s="771"/>
      <c r="AB115" s="771"/>
      <c r="AC115" s="771"/>
      <c r="AD115" s="771"/>
      <c r="AE115" s="771"/>
      <c r="AF115" s="771"/>
      <c r="AG115" s="771"/>
      <c r="AH115" s="771"/>
      <c r="AI115" s="771"/>
      <c r="AJ115" s="771"/>
      <c r="AK115" s="771"/>
      <c r="AL115" s="771"/>
      <c r="AM115" s="771"/>
      <c r="AN115" s="771"/>
      <c r="AO115" s="771"/>
      <c r="AP115" s="771"/>
      <c r="AQ115" s="771"/>
      <c r="AR115" s="771"/>
      <c r="AS115" s="771"/>
      <c r="AT115" s="771"/>
      <c r="AU115" s="771"/>
    </row>
    <row r="116" spans="1:47" s="1135" customFormat="1" outlineLevel="1" x14ac:dyDescent="0.2">
      <c r="A116" s="17"/>
      <c r="B116" s="75"/>
      <c r="C116" s="1989" t="s">
        <v>538</v>
      </c>
      <c r="D116" s="1989" t="s">
        <v>7296</v>
      </c>
      <c r="E116" s="1989">
        <v>1.27</v>
      </c>
      <c r="F116" s="38">
        <f t="shared" si="1"/>
        <v>103.27797480000001</v>
      </c>
      <c r="G116" s="459"/>
      <c r="H116" s="8"/>
      <c r="I116" s="8"/>
      <c r="J116" s="8"/>
      <c r="K116" s="8"/>
      <c r="L116" s="8"/>
      <c r="M116" s="8"/>
      <c r="N116" s="8"/>
      <c r="O116" s="8"/>
      <c r="P116" s="8"/>
      <c r="Q116" s="8"/>
      <c r="R116" s="8"/>
      <c r="S116" s="8"/>
      <c r="T116" s="8"/>
      <c r="U116" s="8"/>
      <c r="V116" s="8"/>
      <c r="W116" s="8"/>
      <c r="X116" s="771"/>
      <c r="Y116" s="771"/>
      <c r="Z116" s="771"/>
      <c r="AA116" s="771"/>
      <c r="AB116" s="771"/>
      <c r="AC116" s="771"/>
      <c r="AD116" s="771"/>
      <c r="AE116" s="771"/>
      <c r="AF116" s="771"/>
      <c r="AG116" s="771"/>
      <c r="AH116" s="771"/>
      <c r="AI116" s="771"/>
      <c r="AJ116" s="771"/>
      <c r="AK116" s="771"/>
      <c r="AL116" s="771"/>
      <c r="AM116" s="771"/>
      <c r="AN116" s="771"/>
      <c r="AO116" s="771"/>
      <c r="AP116" s="771"/>
      <c r="AQ116" s="771"/>
      <c r="AR116" s="771"/>
      <c r="AS116" s="771"/>
      <c r="AT116" s="771"/>
      <c r="AU116" s="771"/>
    </row>
    <row r="117" spans="1:47" s="1135" customFormat="1" outlineLevel="1" x14ac:dyDescent="0.2">
      <c r="A117" s="17"/>
      <c r="B117" s="75"/>
      <c r="C117" s="1989" t="s">
        <v>564</v>
      </c>
      <c r="D117" s="1989" t="s">
        <v>7297</v>
      </c>
      <c r="E117" s="1989">
        <v>6.63</v>
      </c>
      <c r="F117" s="38">
        <f t="shared" si="1"/>
        <v>539.15982120000001</v>
      </c>
      <c r="G117" s="459"/>
      <c r="H117" s="8"/>
      <c r="I117" s="8"/>
      <c r="J117" s="8"/>
      <c r="K117" s="8"/>
      <c r="L117" s="8"/>
      <c r="M117" s="8"/>
      <c r="N117" s="8"/>
      <c r="O117" s="8"/>
      <c r="P117" s="8"/>
      <c r="Q117" s="8"/>
      <c r="R117" s="8"/>
      <c r="S117" s="8"/>
      <c r="T117" s="8"/>
      <c r="U117" s="8"/>
      <c r="V117" s="8"/>
      <c r="W117" s="8"/>
      <c r="X117" s="771"/>
      <c r="Y117" s="771"/>
      <c r="Z117" s="771"/>
      <c r="AA117" s="771"/>
      <c r="AB117" s="771"/>
      <c r="AC117" s="771"/>
      <c r="AD117" s="771"/>
      <c r="AE117" s="771"/>
      <c r="AF117" s="771"/>
      <c r="AG117" s="771"/>
      <c r="AH117" s="771"/>
      <c r="AI117" s="771"/>
      <c r="AJ117" s="771"/>
      <c r="AK117" s="771"/>
      <c r="AL117" s="771"/>
      <c r="AM117" s="771"/>
      <c r="AN117" s="771"/>
      <c r="AO117" s="771"/>
      <c r="AP117" s="771"/>
      <c r="AQ117" s="771"/>
      <c r="AR117" s="771"/>
      <c r="AS117" s="771"/>
      <c r="AT117" s="771"/>
      <c r="AU117" s="771"/>
    </row>
    <row r="118" spans="1:47" s="1135" customFormat="1" outlineLevel="1" x14ac:dyDescent="0.2">
      <c r="A118" s="17"/>
      <c r="B118" s="75"/>
      <c r="C118" s="1989" t="s">
        <v>565</v>
      </c>
      <c r="D118" s="1989" t="s">
        <v>7298</v>
      </c>
      <c r="E118" s="1989">
        <v>6.63</v>
      </c>
      <c r="F118" s="38">
        <f t="shared" si="1"/>
        <v>539.15982120000001</v>
      </c>
      <c r="G118" s="459"/>
      <c r="H118" s="8"/>
      <c r="I118" s="8"/>
      <c r="J118" s="8"/>
      <c r="K118" s="8"/>
      <c r="L118" s="8"/>
      <c r="M118" s="8"/>
      <c r="N118" s="8"/>
      <c r="O118" s="8"/>
      <c r="P118" s="8"/>
      <c r="Q118" s="8"/>
      <c r="R118" s="8"/>
      <c r="S118" s="8"/>
      <c r="T118" s="8"/>
      <c r="U118" s="8"/>
      <c r="V118" s="8"/>
      <c r="W118" s="8"/>
      <c r="X118" s="771"/>
      <c r="Y118" s="771"/>
      <c r="Z118" s="771"/>
      <c r="AA118" s="771"/>
      <c r="AB118" s="771"/>
      <c r="AC118" s="771"/>
      <c r="AD118" s="771"/>
      <c r="AE118" s="771"/>
      <c r="AF118" s="771"/>
      <c r="AG118" s="771"/>
      <c r="AH118" s="771"/>
      <c r="AI118" s="771"/>
      <c r="AJ118" s="771"/>
      <c r="AK118" s="771"/>
      <c r="AL118" s="771"/>
      <c r="AM118" s="771"/>
      <c r="AN118" s="771"/>
      <c r="AO118" s="771"/>
      <c r="AP118" s="771"/>
      <c r="AQ118" s="771"/>
      <c r="AR118" s="771"/>
      <c r="AS118" s="771"/>
      <c r="AT118" s="771"/>
      <c r="AU118" s="771"/>
    </row>
    <row r="119" spans="1:47" s="1135" customFormat="1" outlineLevel="1" x14ac:dyDescent="0.2">
      <c r="A119" s="17"/>
      <c r="B119" s="75"/>
      <c r="C119" s="1989" t="s">
        <v>544</v>
      </c>
      <c r="D119" s="1989" t="s">
        <v>7299</v>
      </c>
      <c r="E119" s="1989">
        <v>7.34</v>
      </c>
      <c r="F119" s="38">
        <f t="shared" si="1"/>
        <v>596.89790160000007</v>
      </c>
      <c r="G119" s="459"/>
      <c r="H119" s="8"/>
      <c r="I119" s="8"/>
      <c r="J119" s="8"/>
      <c r="K119" s="8"/>
      <c r="L119" s="8"/>
      <c r="M119" s="8"/>
      <c r="N119" s="8"/>
      <c r="O119" s="8"/>
      <c r="P119" s="8"/>
      <c r="Q119" s="8"/>
      <c r="R119" s="8"/>
      <c r="S119" s="8"/>
      <c r="T119" s="8"/>
      <c r="U119" s="8"/>
      <c r="V119" s="8"/>
      <c r="W119" s="8"/>
      <c r="X119" s="771"/>
      <c r="Y119" s="771"/>
      <c r="Z119" s="771"/>
      <c r="AA119" s="771"/>
      <c r="AB119" s="771"/>
      <c r="AC119" s="771"/>
      <c r="AD119" s="771"/>
      <c r="AE119" s="771"/>
      <c r="AF119" s="771"/>
      <c r="AG119" s="771"/>
      <c r="AH119" s="771"/>
      <c r="AI119" s="771"/>
      <c r="AJ119" s="771"/>
      <c r="AK119" s="771"/>
      <c r="AL119" s="771"/>
      <c r="AM119" s="771"/>
      <c r="AN119" s="771"/>
      <c r="AO119" s="771"/>
      <c r="AP119" s="771"/>
      <c r="AQ119" s="771"/>
      <c r="AR119" s="771"/>
      <c r="AS119" s="771"/>
      <c r="AT119" s="771"/>
      <c r="AU119" s="771"/>
    </row>
    <row r="120" spans="1:47" s="1135" customFormat="1" outlineLevel="1" x14ac:dyDescent="0.2">
      <c r="A120" s="17"/>
      <c r="B120" s="75"/>
      <c r="C120" s="1989" t="s">
        <v>545</v>
      </c>
      <c r="D120" s="1989" t="s">
        <v>7300</v>
      </c>
      <c r="E120" s="1989">
        <v>7.34</v>
      </c>
      <c r="F120" s="38">
        <f t="shared" si="1"/>
        <v>596.89790160000007</v>
      </c>
      <c r="G120" s="459"/>
      <c r="H120" s="8"/>
      <c r="I120" s="8"/>
      <c r="J120" s="8"/>
      <c r="K120" s="8"/>
      <c r="L120" s="8"/>
      <c r="M120" s="8"/>
      <c r="N120" s="8"/>
      <c r="O120" s="8"/>
      <c r="P120" s="8"/>
      <c r="Q120" s="8"/>
      <c r="R120" s="8"/>
      <c r="S120" s="8"/>
      <c r="T120" s="8"/>
      <c r="U120" s="8"/>
      <c r="V120" s="8"/>
      <c r="W120" s="8"/>
      <c r="X120" s="771"/>
      <c r="Y120" s="771"/>
      <c r="Z120" s="771"/>
      <c r="AA120" s="771"/>
      <c r="AB120" s="771"/>
      <c r="AC120" s="771"/>
      <c r="AD120" s="771"/>
      <c r="AE120" s="771"/>
      <c r="AF120" s="771"/>
      <c r="AG120" s="771"/>
      <c r="AH120" s="771"/>
      <c r="AI120" s="771"/>
      <c r="AJ120" s="771"/>
      <c r="AK120" s="771"/>
      <c r="AL120" s="771"/>
      <c r="AM120" s="771"/>
      <c r="AN120" s="771"/>
      <c r="AO120" s="771"/>
      <c r="AP120" s="771"/>
      <c r="AQ120" s="771"/>
      <c r="AR120" s="771"/>
      <c r="AS120" s="771"/>
      <c r="AT120" s="771"/>
      <c r="AU120" s="771"/>
    </row>
    <row r="121" spans="1:47" s="1135" customFormat="1" outlineLevel="1" x14ac:dyDescent="0.2">
      <c r="A121" s="17"/>
      <c r="B121" s="75"/>
      <c r="C121" s="1989" t="s">
        <v>824</v>
      </c>
      <c r="D121" s="1989" t="s">
        <v>5248</v>
      </c>
      <c r="E121" s="1989">
        <v>0.39</v>
      </c>
      <c r="F121" s="38">
        <f t="shared" si="1"/>
        <v>31.715283599999999</v>
      </c>
      <c r="G121" s="459"/>
      <c r="H121" s="8"/>
      <c r="I121" s="8"/>
      <c r="J121" s="8"/>
      <c r="K121" s="8"/>
      <c r="L121" s="8"/>
      <c r="M121" s="8"/>
      <c r="N121" s="8"/>
      <c r="O121" s="8"/>
      <c r="P121" s="8"/>
      <c r="Q121" s="8"/>
      <c r="R121" s="8"/>
      <c r="S121" s="8"/>
      <c r="T121" s="8"/>
      <c r="U121" s="8"/>
      <c r="V121" s="8"/>
      <c r="W121" s="8"/>
      <c r="X121" s="771"/>
      <c r="Y121" s="771"/>
      <c r="Z121" s="771"/>
      <c r="AA121" s="771"/>
      <c r="AB121" s="771"/>
      <c r="AC121" s="771"/>
      <c r="AD121" s="771"/>
      <c r="AE121" s="771"/>
      <c r="AF121" s="771"/>
      <c r="AG121" s="771"/>
      <c r="AH121" s="771"/>
      <c r="AI121" s="771"/>
      <c r="AJ121" s="771"/>
      <c r="AK121" s="771"/>
      <c r="AL121" s="771"/>
      <c r="AM121" s="771"/>
      <c r="AN121" s="771"/>
      <c r="AO121" s="771"/>
      <c r="AP121" s="771"/>
      <c r="AQ121" s="771"/>
      <c r="AR121" s="771"/>
      <c r="AS121" s="771"/>
      <c r="AT121" s="771"/>
      <c r="AU121" s="771"/>
    </row>
    <row r="122" spans="1:47" s="1135" customFormat="1" outlineLevel="1" x14ac:dyDescent="0.2">
      <c r="A122" s="17"/>
      <c r="B122" s="75"/>
      <c r="C122" s="1989" t="s">
        <v>301</v>
      </c>
      <c r="D122" s="1989" t="s">
        <v>7301</v>
      </c>
      <c r="E122" s="1989">
        <v>5.19</v>
      </c>
      <c r="F122" s="38">
        <f t="shared" si="1"/>
        <v>422.05723560000007</v>
      </c>
      <c r="G122" s="459"/>
      <c r="H122" s="8"/>
      <c r="I122" s="8"/>
      <c r="J122" s="8"/>
      <c r="K122" s="8"/>
      <c r="L122" s="8"/>
      <c r="M122" s="8"/>
      <c r="N122" s="8"/>
      <c r="O122" s="8"/>
      <c r="P122" s="8"/>
      <c r="Q122" s="8"/>
      <c r="R122" s="8"/>
      <c r="S122" s="8"/>
      <c r="T122" s="8"/>
      <c r="U122" s="8"/>
      <c r="V122" s="8"/>
      <c r="W122" s="8"/>
      <c r="X122" s="771"/>
      <c r="Y122" s="771"/>
      <c r="Z122" s="771"/>
      <c r="AA122" s="771"/>
      <c r="AB122" s="771"/>
      <c r="AC122" s="771"/>
      <c r="AD122" s="771"/>
      <c r="AE122" s="771"/>
      <c r="AF122" s="771"/>
      <c r="AG122" s="771"/>
      <c r="AH122" s="771"/>
      <c r="AI122" s="771"/>
      <c r="AJ122" s="771"/>
      <c r="AK122" s="771"/>
      <c r="AL122" s="771"/>
      <c r="AM122" s="771"/>
      <c r="AN122" s="771"/>
      <c r="AO122" s="771"/>
      <c r="AP122" s="771"/>
      <c r="AQ122" s="771"/>
      <c r="AR122" s="771"/>
      <c r="AS122" s="771"/>
      <c r="AT122" s="771"/>
      <c r="AU122" s="771"/>
    </row>
    <row r="123" spans="1:47" s="1135" customFormat="1" outlineLevel="1" x14ac:dyDescent="0.2">
      <c r="A123" s="17"/>
      <c r="B123" s="75"/>
      <c r="C123" s="1989" t="s">
        <v>300</v>
      </c>
      <c r="D123" s="1989" t="s">
        <v>7302</v>
      </c>
      <c r="E123" s="1989">
        <v>5.19</v>
      </c>
      <c r="F123" s="38">
        <f t="shared" si="1"/>
        <v>422.05723560000007</v>
      </c>
      <c r="G123" s="459"/>
      <c r="H123" s="8"/>
      <c r="I123" s="8"/>
      <c r="J123" s="8"/>
      <c r="K123" s="8"/>
      <c r="L123" s="8"/>
      <c r="M123" s="8"/>
      <c r="N123" s="8"/>
      <c r="O123" s="8"/>
      <c r="P123" s="8"/>
      <c r="Q123" s="8"/>
      <c r="R123" s="8"/>
      <c r="S123" s="8"/>
      <c r="T123" s="8"/>
      <c r="U123" s="8"/>
      <c r="V123" s="8"/>
      <c r="W123" s="8"/>
      <c r="X123" s="771"/>
      <c r="Y123" s="771"/>
      <c r="Z123" s="771"/>
      <c r="AA123" s="771"/>
      <c r="AB123" s="771"/>
      <c r="AC123" s="771"/>
      <c r="AD123" s="771"/>
      <c r="AE123" s="771"/>
      <c r="AF123" s="771"/>
      <c r="AG123" s="771"/>
      <c r="AH123" s="771"/>
      <c r="AI123" s="771"/>
      <c r="AJ123" s="771"/>
      <c r="AK123" s="771"/>
      <c r="AL123" s="771"/>
      <c r="AM123" s="771"/>
      <c r="AN123" s="771"/>
      <c r="AO123" s="771"/>
      <c r="AP123" s="771"/>
      <c r="AQ123" s="771"/>
      <c r="AR123" s="771"/>
      <c r="AS123" s="771"/>
      <c r="AT123" s="771"/>
      <c r="AU123" s="771"/>
    </row>
    <row r="124" spans="1:47" s="1135" customFormat="1" outlineLevel="1" x14ac:dyDescent="0.2">
      <c r="A124" s="17"/>
      <c r="B124" s="75"/>
      <c r="C124" s="1989" t="s">
        <v>828</v>
      </c>
      <c r="D124" s="1989" t="s">
        <v>7303</v>
      </c>
      <c r="E124" s="1989">
        <v>0.67</v>
      </c>
      <c r="F124" s="38">
        <f t="shared" si="1"/>
        <v>54.485230800000011</v>
      </c>
      <c r="G124" s="459"/>
      <c r="H124" s="8"/>
      <c r="I124" s="8"/>
      <c r="J124" s="8"/>
      <c r="K124" s="8"/>
      <c r="L124" s="8"/>
      <c r="M124" s="8"/>
      <c r="N124" s="8"/>
      <c r="O124" s="8"/>
      <c r="P124" s="8"/>
      <c r="Q124" s="8"/>
      <c r="R124" s="8"/>
      <c r="S124" s="8"/>
      <c r="T124" s="8"/>
      <c r="U124" s="8"/>
      <c r="V124" s="8"/>
      <c r="W124" s="8"/>
      <c r="X124" s="771"/>
      <c r="Y124" s="771"/>
      <c r="Z124" s="771"/>
      <c r="AA124" s="771"/>
      <c r="AB124" s="771"/>
      <c r="AC124" s="771"/>
      <c r="AD124" s="771"/>
      <c r="AE124" s="771"/>
      <c r="AF124" s="771"/>
      <c r="AG124" s="771"/>
      <c r="AH124" s="771"/>
      <c r="AI124" s="771"/>
      <c r="AJ124" s="771"/>
      <c r="AK124" s="771"/>
      <c r="AL124" s="771"/>
      <c r="AM124" s="771"/>
      <c r="AN124" s="771"/>
      <c r="AO124" s="771"/>
      <c r="AP124" s="771"/>
      <c r="AQ124" s="771"/>
      <c r="AR124" s="771"/>
      <c r="AS124" s="771"/>
      <c r="AT124" s="771"/>
      <c r="AU124" s="771"/>
    </row>
    <row r="125" spans="1:47" s="1135" customFormat="1" outlineLevel="1" x14ac:dyDescent="0.2">
      <c r="A125" s="17"/>
      <c r="B125" s="75"/>
      <c r="C125" s="1989" t="s">
        <v>541</v>
      </c>
      <c r="D125" s="1989" t="s">
        <v>7304</v>
      </c>
      <c r="E125" s="1989">
        <v>9.1</v>
      </c>
      <c r="F125" s="38">
        <f t="shared" si="1"/>
        <v>740.0232840000001</v>
      </c>
      <c r="G125" s="459"/>
      <c r="H125" s="8"/>
      <c r="I125" s="8"/>
      <c r="J125" s="8"/>
      <c r="K125" s="8"/>
      <c r="L125" s="8"/>
      <c r="M125" s="8"/>
      <c r="N125" s="8"/>
      <c r="O125" s="8"/>
      <c r="P125" s="8"/>
      <c r="Q125" s="8"/>
      <c r="R125" s="8"/>
      <c r="S125" s="8"/>
      <c r="T125" s="8"/>
      <c r="U125" s="8"/>
      <c r="V125" s="8"/>
      <c r="W125" s="8"/>
      <c r="X125" s="771"/>
      <c r="Y125" s="771"/>
      <c r="Z125" s="771"/>
      <c r="AA125" s="771"/>
      <c r="AB125" s="771"/>
      <c r="AC125" s="771"/>
      <c r="AD125" s="771"/>
      <c r="AE125" s="771"/>
      <c r="AF125" s="771"/>
      <c r="AG125" s="771"/>
      <c r="AH125" s="771"/>
      <c r="AI125" s="771"/>
      <c r="AJ125" s="771"/>
      <c r="AK125" s="771"/>
      <c r="AL125" s="771"/>
      <c r="AM125" s="771"/>
      <c r="AN125" s="771"/>
      <c r="AO125" s="771"/>
      <c r="AP125" s="771"/>
      <c r="AQ125" s="771"/>
      <c r="AR125" s="771"/>
      <c r="AS125" s="771"/>
      <c r="AT125" s="771"/>
      <c r="AU125" s="771"/>
    </row>
    <row r="126" spans="1:47" s="1135" customFormat="1" outlineLevel="1" x14ac:dyDescent="0.2">
      <c r="A126" s="17"/>
      <c r="B126" s="75"/>
      <c r="C126" s="1989" t="s">
        <v>542</v>
      </c>
      <c r="D126" s="1989" t="s">
        <v>7305</v>
      </c>
      <c r="E126" s="1989">
        <v>9.1</v>
      </c>
      <c r="F126" s="38">
        <f t="shared" si="1"/>
        <v>740.0232840000001</v>
      </c>
      <c r="G126" s="459"/>
      <c r="H126" s="8"/>
      <c r="I126" s="8"/>
      <c r="J126" s="8"/>
      <c r="K126" s="8"/>
      <c r="L126" s="8"/>
      <c r="M126" s="8"/>
      <c r="N126" s="8"/>
      <c r="O126" s="8"/>
      <c r="P126" s="8"/>
      <c r="Q126" s="8"/>
      <c r="R126" s="8"/>
      <c r="S126" s="8"/>
      <c r="T126" s="8"/>
      <c r="U126" s="8"/>
      <c r="V126" s="8"/>
      <c r="W126" s="8"/>
      <c r="X126" s="771"/>
      <c r="Y126" s="771"/>
      <c r="Z126" s="771"/>
      <c r="AA126" s="771"/>
      <c r="AB126" s="771"/>
      <c r="AC126" s="771"/>
      <c r="AD126" s="771"/>
      <c r="AE126" s="771"/>
      <c r="AF126" s="771"/>
      <c r="AG126" s="771"/>
      <c r="AH126" s="771"/>
      <c r="AI126" s="771"/>
      <c r="AJ126" s="771"/>
      <c r="AK126" s="771"/>
      <c r="AL126" s="771"/>
      <c r="AM126" s="771"/>
      <c r="AN126" s="771"/>
      <c r="AO126" s="771"/>
      <c r="AP126" s="771"/>
      <c r="AQ126" s="771"/>
      <c r="AR126" s="771"/>
      <c r="AS126" s="771"/>
      <c r="AT126" s="771"/>
      <c r="AU126" s="771"/>
    </row>
    <row r="127" spans="1:47" s="1135" customFormat="1" outlineLevel="1" x14ac:dyDescent="0.2">
      <c r="A127" s="17"/>
      <c r="B127" s="75"/>
      <c r="C127" s="1989" t="s">
        <v>2040</v>
      </c>
      <c r="D127" s="1989" t="s">
        <v>7306</v>
      </c>
      <c r="E127" s="1989">
        <v>9.11</v>
      </c>
      <c r="F127" s="38">
        <f t="shared" si="1"/>
        <v>740.83649639999999</v>
      </c>
      <c r="G127" s="459"/>
      <c r="H127" s="8"/>
      <c r="I127" s="8"/>
      <c r="J127" s="8"/>
      <c r="K127" s="8"/>
      <c r="L127" s="8"/>
      <c r="M127" s="8"/>
      <c r="N127" s="8"/>
      <c r="O127" s="8"/>
      <c r="P127" s="8"/>
      <c r="Q127" s="8"/>
      <c r="R127" s="8"/>
      <c r="S127" s="8"/>
      <c r="T127" s="8"/>
      <c r="U127" s="8"/>
      <c r="V127" s="8"/>
      <c r="W127" s="8"/>
      <c r="X127" s="771"/>
      <c r="Y127" s="771"/>
      <c r="Z127" s="771"/>
      <c r="AA127" s="771"/>
      <c r="AB127" s="771"/>
      <c r="AC127" s="771"/>
      <c r="AD127" s="771"/>
      <c r="AE127" s="771"/>
      <c r="AF127" s="771"/>
      <c r="AG127" s="771"/>
      <c r="AH127" s="771"/>
      <c r="AI127" s="771"/>
      <c r="AJ127" s="771"/>
      <c r="AK127" s="771"/>
      <c r="AL127" s="771"/>
      <c r="AM127" s="771"/>
      <c r="AN127" s="771"/>
      <c r="AO127" s="771"/>
      <c r="AP127" s="771"/>
      <c r="AQ127" s="771"/>
      <c r="AR127" s="771"/>
      <c r="AS127" s="771"/>
      <c r="AT127" s="771"/>
      <c r="AU127" s="771"/>
    </row>
    <row r="128" spans="1:47" s="1135" customFormat="1" outlineLevel="1" x14ac:dyDescent="0.2">
      <c r="A128" s="17"/>
      <c r="B128" s="75"/>
      <c r="C128" s="1989" t="s">
        <v>2041</v>
      </c>
      <c r="D128" s="1989" t="s">
        <v>7307</v>
      </c>
      <c r="E128" s="1989">
        <v>9.11</v>
      </c>
      <c r="F128" s="38">
        <f t="shared" si="1"/>
        <v>740.83649639999999</v>
      </c>
      <c r="G128" s="459"/>
      <c r="H128" s="8"/>
      <c r="I128" s="8"/>
      <c r="J128" s="8"/>
      <c r="K128" s="8"/>
      <c r="L128" s="8"/>
      <c r="M128" s="8"/>
      <c r="N128" s="8"/>
      <c r="O128" s="8"/>
      <c r="P128" s="8"/>
      <c r="Q128" s="8"/>
      <c r="R128" s="8"/>
      <c r="S128" s="8"/>
      <c r="T128" s="8"/>
      <c r="U128" s="8"/>
      <c r="V128" s="8"/>
      <c r="W128" s="8"/>
      <c r="X128" s="771"/>
      <c r="Y128" s="771"/>
      <c r="Z128" s="771"/>
      <c r="AA128" s="771"/>
      <c r="AB128" s="771"/>
      <c r="AC128" s="771"/>
      <c r="AD128" s="771"/>
      <c r="AE128" s="771"/>
      <c r="AF128" s="771"/>
      <c r="AG128" s="771"/>
      <c r="AH128" s="771"/>
      <c r="AI128" s="771"/>
      <c r="AJ128" s="771"/>
      <c r="AK128" s="771"/>
      <c r="AL128" s="771"/>
      <c r="AM128" s="771"/>
      <c r="AN128" s="771"/>
      <c r="AO128" s="771"/>
      <c r="AP128" s="771"/>
      <c r="AQ128" s="771"/>
      <c r="AR128" s="771"/>
      <c r="AS128" s="771"/>
      <c r="AT128" s="771"/>
      <c r="AU128" s="771"/>
    </row>
    <row r="129" spans="1:47" s="1135" customFormat="1" outlineLevel="1" x14ac:dyDescent="0.2">
      <c r="A129" s="17"/>
      <c r="B129" s="75"/>
      <c r="C129" s="1989" t="s">
        <v>6664</v>
      </c>
      <c r="D129" s="1989" t="s">
        <v>7308</v>
      </c>
      <c r="E129" s="1989">
        <v>0.25</v>
      </c>
      <c r="F129" s="38">
        <f t="shared" si="1"/>
        <v>20.330310000000001</v>
      </c>
      <c r="G129" s="459"/>
      <c r="H129" s="8"/>
      <c r="I129" s="8"/>
      <c r="J129" s="8"/>
      <c r="K129" s="8"/>
      <c r="L129" s="8"/>
      <c r="M129" s="8"/>
      <c r="N129" s="8"/>
      <c r="O129" s="8"/>
      <c r="P129" s="8"/>
      <c r="Q129" s="8"/>
      <c r="R129" s="8"/>
      <c r="S129" s="8"/>
      <c r="T129" s="8"/>
      <c r="U129" s="8"/>
      <c r="V129" s="8"/>
      <c r="W129" s="8"/>
      <c r="X129" s="771"/>
      <c r="Y129" s="771"/>
      <c r="Z129" s="771"/>
      <c r="AA129" s="771"/>
      <c r="AB129" s="771"/>
      <c r="AC129" s="771"/>
      <c r="AD129" s="771"/>
      <c r="AE129" s="771"/>
      <c r="AF129" s="771"/>
      <c r="AG129" s="771"/>
      <c r="AH129" s="771"/>
      <c r="AI129" s="771"/>
      <c r="AJ129" s="771"/>
      <c r="AK129" s="771"/>
      <c r="AL129" s="771"/>
      <c r="AM129" s="771"/>
      <c r="AN129" s="771"/>
      <c r="AO129" s="771"/>
      <c r="AP129" s="771"/>
      <c r="AQ129" s="771"/>
      <c r="AR129" s="771"/>
      <c r="AS129" s="771"/>
      <c r="AT129" s="771"/>
      <c r="AU129" s="771"/>
    </row>
    <row r="130" spans="1:47" s="1135" customFormat="1" outlineLevel="1" x14ac:dyDescent="0.2">
      <c r="A130" s="17"/>
      <c r="B130" s="75"/>
      <c r="C130" s="1989" t="s">
        <v>2042</v>
      </c>
      <c r="D130" s="1989" t="s">
        <v>7309</v>
      </c>
      <c r="E130" s="1989">
        <v>2.6</v>
      </c>
      <c r="F130" s="38">
        <f t="shared" si="1"/>
        <v>211.43522400000003</v>
      </c>
      <c r="G130" s="459"/>
      <c r="H130" s="8"/>
      <c r="I130" s="8"/>
      <c r="J130" s="8"/>
      <c r="K130" s="8"/>
      <c r="L130" s="8"/>
      <c r="M130" s="8"/>
      <c r="N130" s="8"/>
      <c r="O130" s="8"/>
      <c r="P130" s="8"/>
      <c r="Q130" s="8"/>
      <c r="R130" s="8"/>
      <c r="S130" s="8"/>
      <c r="T130" s="8"/>
      <c r="U130" s="8"/>
      <c r="V130" s="8"/>
      <c r="W130" s="8"/>
      <c r="X130" s="771"/>
      <c r="Y130" s="771"/>
      <c r="Z130" s="771"/>
      <c r="AA130" s="771"/>
      <c r="AB130" s="771"/>
      <c r="AC130" s="771"/>
      <c r="AD130" s="771"/>
      <c r="AE130" s="771"/>
      <c r="AF130" s="771"/>
      <c r="AG130" s="771"/>
      <c r="AH130" s="771"/>
      <c r="AI130" s="771"/>
      <c r="AJ130" s="771"/>
      <c r="AK130" s="771"/>
      <c r="AL130" s="771"/>
      <c r="AM130" s="771"/>
      <c r="AN130" s="771"/>
      <c r="AO130" s="771"/>
      <c r="AP130" s="771"/>
      <c r="AQ130" s="771"/>
      <c r="AR130" s="771"/>
      <c r="AS130" s="771"/>
      <c r="AT130" s="771"/>
      <c r="AU130" s="771"/>
    </row>
    <row r="131" spans="1:47" s="1135" customFormat="1" outlineLevel="1" x14ac:dyDescent="0.2">
      <c r="A131" s="17"/>
      <c r="B131" s="75"/>
      <c r="C131" s="1989" t="s">
        <v>3809</v>
      </c>
      <c r="D131" s="1989" t="s">
        <v>3810</v>
      </c>
      <c r="E131" s="1989">
        <v>2.17</v>
      </c>
      <c r="F131" s="38">
        <f t="shared" si="1"/>
        <v>176.46709079999999</v>
      </c>
      <c r="G131" s="459"/>
      <c r="H131" s="8"/>
      <c r="I131" s="8"/>
      <c r="J131" s="8"/>
      <c r="K131" s="8"/>
      <c r="L131" s="8"/>
      <c r="M131" s="8"/>
      <c r="N131" s="8"/>
      <c r="O131" s="8"/>
      <c r="P131" s="8"/>
      <c r="Q131" s="8"/>
      <c r="R131" s="8"/>
      <c r="S131" s="8"/>
      <c r="T131" s="8"/>
      <c r="U131" s="8"/>
      <c r="V131" s="8"/>
      <c r="W131" s="8"/>
      <c r="X131" s="771"/>
      <c r="Y131" s="771"/>
      <c r="Z131" s="771"/>
      <c r="AA131" s="771"/>
      <c r="AB131" s="771"/>
      <c r="AC131" s="771"/>
      <c r="AD131" s="771"/>
      <c r="AE131" s="771"/>
      <c r="AF131" s="771"/>
      <c r="AG131" s="771"/>
      <c r="AH131" s="771"/>
      <c r="AI131" s="771"/>
      <c r="AJ131" s="771"/>
      <c r="AK131" s="771"/>
      <c r="AL131" s="771"/>
      <c r="AM131" s="771"/>
      <c r="AN131" s="771"/>
      <c r="AO131" s="771"/>
      <c r="AP131" s="771"/>
      <c r="AQ131" s="771"/>
      <c r="AR131" s="771"/>
      <c r="AS131" s="771"/>
      <c r="AT131" s="771"/>
      <c r="AU131" s="771"/>
    </row>
    <row r="132" spans="1:47" s="1135" customFormat="1" outlineLevel="1" x14ac:dyDescent="0.2">
      <c r="A132" s="17"/>
      <c r="B132" s="75"/>
      <c r="C132" s="1989" t="s">
        <v>1948</v>
      </c>
      <c r="D132" s="1989" t="s">
        <v>1053</v>
      </c>
      <c r="E132" s="1989">
        <v>0.99</v>
      </c>
      <c r="F132" s="38">
        <f t="shared" si="1"/>
        <v>80.508027600000005</v>
      </c>
      <c r="G132" s="459"/>
      <c r="H132" s="8"/>
      <c r="I132" s="8"/>
      <c r="J132" s="8"/>
      <c r="K132" s="8"/>
      <c r="L132" s="8"/>
      <c r="M132" s="8"/>
      <c r="N132" s="8"/>
      <c r="O132" s="8"/>
      <c r="P132" s="8"/>
      <c r="Q132" s="8"/>
      <c r="R132" s="8"/>
      <c r="S132" s="8"/>
      <c r="T132" s="8"/>
      <c r="U132" s="8"/>
      <c r="V132" s="8"/>
      <c r="W132" s="8"/>
      <c r="X132" s="771"/>
      <c r="Y132" s="771"/>
      <c r="Z132" s="771"/>
      <c r="AA132" s="771"/>
      <c r="AB132" s="771"/>
      <c r="AC132" s="771"/>
      <c r="AD132" s="771"/>
      <c r="AE132" s="771"/>
      <c r="AF132" s="771"/>
      <c r="AG132" s="771"/>
      <c r="AH132" s="771"/>
      <c r="AI132" s="771"/>
      <c r="AJ132" s="771"/>
      <c r="AK132" s="771"/>
      <c r="AL132" s="771"/>
      <c r="AM132" s="771"/>
      <c r="AN132" s="771"/>
      <c r="AO132" s="771"/>
      <c r="AP132" s="771"/>
      <c r="AQ132" s="771"/>
      <c r="AR132" s="771"/>
      <c r="AS132" s="771"/>
      <c r="AT132" s="771"/>
      <c r="AU132" s="771"/>
    </row>
    <row r="133" spans="1:47" s="1135" customFormat="1" outlineLevel="1" x14ac:dyDescent="0.2">
      <c r="A133" s="17"/>
      <c r="B133" s="75"/>
      <c r="C133" s="1989" t="s">
        <v>1949</v>
      </c>
      <c r="D133" s="1989" t="s">
        <v>5249</v>
      </c>
      <c r="E133" s="1989">
        <v>0.99</v>
      </c>
      <c r="F133" s="38">
        <f t="shared" si="1"/>
        <v>80.508027600000005</v>
      </c>
      <c r="G133" s="459"/>
      <c r="H133" s="8"/>
      <c r="I133" s="8"/>
      <c r="J133" s="8"/>
      <c r="K133" s="8"/>
      <c r="L133" s="8"/>
      <c r="M133" s="8"/>
      <c r="N133" s="8"/>
      <c r="O133" s="8"/>
      <c r="P133" s="8"/>
      <c r="Q133" s="8"/>
      <c r="R133" s="8"/>
      <c r="S133" s="8"/>
      <c r="T133" s="8"/>
      <c r="U133" s="8"/>
      <c r="V133" s="8"/>
      <c r="W133" s="8"/>
      <c r="X133" s="771"/>
      <c r="Y133" s="771"/>
      <c r="Z133" s="771"/>
      <c r="AA133" s="771"/>
      <c r="AB133" s="771"/>
      <c r="AC133" s="771"/>
      <c r="AD133" s="771"/>
      <c r="AE133" s="771"/>
      <c r="AF133" s="771"/>
      <c r="AG133" s="771"/>
      <c r="AH133" s="771"/>
      <c r="AI133" s="771"/>
      <c r="AJ133" s="771"/>
      <c r="AK133" s="771"/>
      <c r="AL133" s="771"/>
      <c r="AM133" s="771"/>
      <c r="AN133" s="771"/>
      <c r="AO133" s="771"/>
      <c r="AP133" s="771"/>
      <c r="AQ133" s="771"/>
      <c r="AR133" s="771"/>
      <c r="AS133" s="771"/>
      <c r="AT133" s="771"/>
      <c r="AU133" s="771"/>
    </row>
    <row r="134" spans="1:47" s="1135" customFormat="1" outlineLevel="1" x14ac:dyDescent="0.2">
      <c r="A134" s="17"/>
      <c r="B134" s="75"/>
      <c r="C134" s="1989" t="s">
        <v>1030</v>
      </c>
      <c r="D134" s="1989" t="s">
        <v>5250</v>
      </c>
      <c r="E134" s="1989">
        <v>1.99</v>
      </c>
      <c r="F134" s="38">
        <f t="shared" si="1"/>
        <v>161.82926760000001</v>
      </c>
      <c r="G134" s="459"/>
      <c r="H134" s="8"/>
      <c r="I134" s="8"/>
      <c r="J134" s="8"/>
      <c r="K134" s="8"/>
      <c r="L134" s="8"/>
      <c r="M134" s="8"/>
      <c r="N134" s="8"/>
      <c r="O134" s="8"/>
      <c r="P134" s="8"/>
      <c r="Q134" s="8"/>
      <c r="R134" s="8"/>
      <c r="S134" s="8"/>
      <c r="T134" s="8"/>
      <c r="U134" s="8"/>
      <c r="V134" s="8"/>
      <c r="W134" s="8"/>
      <c r="X134" s="771"/>
      <c r="Y134" s="771"/>
      <c r="Z134" s="771"/>
      <c r="AA134" s="771"/>
      <c r="AB134" s="771"/>
      <c r="AC134" s="771"/>
      <c r="AD134" s="771"/>
      <c r="AE134" s="771"/>
      <c r="AF134" s="771"/>
      <c r="AG134" s="771"/>
      <c r="AH134" s="771"/>
      <c r="AI134" s="771"/>
      <c r="AJ134" s="771"/>
      <c r="AK134" s="771"/>
      <c r="AL134" s="771"/>
      <c r="AM134" s="771"/>
      <c r="AN134" s="771"/>
      <c r="AO134" s="771"/>
      <c r="AP134" s="771"/>
      <c r="AQ134" s="771"/>
      <c r="AR134" s="771"/>
      <c r="AS134" s="771"/>
      <c r="AT134" s="771"/>
      <c r="AU134" s="771"/>
    </row>
    <row r="135" spans="1:47" s="1135" customFormat="1" outlineLevel="1" x14ac:dyDescent="0.2">
      <c r="A135" s="17"/>
      <c r="B135" s="75"/>
      <c r="C135" s="1989" t="s">
        <v>3525</v>
      </c>
      <c r="D135" s="1989" t="s">
        <v>7310</v>
      </c>
      <c r="E135" s="1989">
        <v>6.53</v>
      </c>
      <c r="F135" s="38">
        <f t="shared" si="1"/>
        <v>531.02769720000003</v>
      </c>
      <c r="G135" s="459"/>
      <c r="H135" s="8"/>
      <c r="I135" s="8"/>
      <c r="J135" s="8"/>
      <c r="K135" s="8"/>
      <c r="L135" s="8"/>
      <c r="M135" s="8"/>
      <c r="N135" s="8"/>
      <c r="O135" s="8"/>
      <c r="P135" s="8"/>
      <c r="Q135" s="8"/>
      <c r="R135" s="8"/>
      <c r="S135" s="8"/>
      <c r="T135" s="8"/>
      <c r="U135" s="8"/>
      <c r="V135" s="8"/>
      <c r="W135" s="8"/>
      <c r="X135" s="771"/>
      <c r="Y135" s="771"/>
      <c r="Z135" s="771"/>
      <c r="AA135" s="771"/>
      <c r="AB135" s="771"/>
      <c r="AC135" s="771"/>
      <c r="AD135" s="771"/>
      <c r="AE135" s="771"/>
      <c r="AF135" s="771"/>
      <c r="AG135" s="771"/>
      <c r="AH135" s="771"/>
      <c r="AI135" s="771"/>
      <c r="AJ135" s="771"/>
      <c r="AK135" s="771"/>
      <c r="AL135" s="771"/>
      <c r="AM135" s="771"/>
      <c r="AN135" s="771"/>
      <c r="AO135" s="771"/>
      <c r="AP135" s="771"/>
      <c r="AQ135" s="771"/>
      <c r="AR135" s="771"/>
      <c r="AS135" s="771"/>
      <c r="AT135" s="771"/>
      <c r="AU135" s="771"/>
    </row>
    <row r="136" spans="1:47" s="1135" customFormat="1" outlineLevel="1" x14ac:dyDescent="0.2">
      <c r="A136" s="17"/>
      <c r="B136" s="75"/>
      <c r="C136" s="1989" t="s">
        <v>3526</v>
      </c>
      <c r="D136" s="1989" t="s">
        <v>7311</v>
      </c>
      <c r="E136" s="1989">
        <v>6.53</v>
      </c>
      <c r="F136" s="38">
        <f t="shared" si="1"/>
        <v>531.02769720000003</v>
      </c>
      <c r="G136" s="459"/>
      <c r="H136" s="8"/>
      <c r="I136" s="8"/>
      <c r="J136" s="8"/>
      <c r="K136" s="8"/>
      <c r="L136" s="8"/>
      <c r="M136" s="8"/>
      <c r="N136" s="8"/>
      <c r="O136" s="8"/>
      <c r="P136" s="8"/>
      <c r="Q136" s="8"/>
      <c r="R136" s="8"/>
      <c r="S136" s="8"/>
      <c r="T136" s="8"/>
      <c r="U136" s="8"/>
      <c r="V136" s="8"/>
      <c r="W136" s="8"/>
      <c r="X136" s="771"/>
      <c r="Y136" s="771"/>
      <c r="Z136" s="771"/>
      <c r="AA136" s="771"/>
      <c r="AB136" s="771"/>
      <c r="AC136" s="771"/>
      <c r="AD136" s="771"/>
      <c r="AE136" s="771"/>
      <c r="AF136" s="771"/>
      <c r="AG136" s="771"/>
      <c r="AH136" s="771"/>
      <c r="AI136" s="771"/>
      <c r="AJ136" s="771"/>
      <c r="AK136" s="771"/>
      <c r="AL136" s="771"/>
      <c r="AM136" s="771"/>
      <c r="AN136" s="771"/>
      <c r="AO136" s="771"/>
      <c r="AP136" s="771"/>
      <c r="AQ136" s="771"/>
      <c r="AR136" s="771"/>
      <c r="AS136" s="771"/>
      <c r="AT136" s="771"/>
      <c r="AU136" s="771"/>
    </row>
    <row r="137" spans="1:47" s="1135" customFormat="1" outlineLevel="1" x14ac:dyDescent="0.2">
      <c r="A137" s="17"/>
      <c r="B137" s="75"/>
      <c r="C137" s="1989" t="s">
        <v>2438</v>
      </c>
      <c r="D137" s="1989" t="s">
        <v>5251</v>
      </c>
      <c r="E137" s="1989">
        <v>10.01</v>
      </c>
      <c r="F137" s="38">
        <f t="shared" si="1"/>
        <v>814.0256124</v>
      </c>
      <c r="G137" s="459"/>
      <c r="H137" s="8"/>
      <c r="I137" s="8"/>
      <c r="J137" s="8"/>
      <c r="K137" s="8"/>
      <c r="L137" s="8"/>
      <c r="M137" s="8"/>
      <c r="N137" s="8"/>
      <c r="O137" s="8"/>
      <c r="P137" s="8"/>
      <c r="Q137" s="8"/>
      <c r="R137" s="8"/>
      <c r="S137" s="8"/>
      <c r="T137" s="8"/>
      <c r="U137" s="8"/>
      <c r="V137" s="8"/>
      <c r="W137" s="8"/>
      <c r="X137" s="771"/>
      <c r="Y137" s="771"/>
      <c r="Z137" s="771"/>
      <c r="AA137" s="771"/>
      <c r="AB137" s="771"/>
      <c r="AC137" s="771"/>
      <c r="AD137" s="771"/>
      <c r="AE137" s="771"/>
      <c r="AF137" s="771"/>
      <c r="AG137" s="771"/>
      <c r="AH137" s="771"/>
      <c r="AI137" s="771"/>
      <c r="AJ137" s="771"/>
      <c r="AK137" s="771"/>
      <c r="AL137" s="771"/>
      <c r="AM137" s="771"/>
      <c r="AN137" s="771"/>
      <c r="AO137" s="771"/>
      <c r="AP137" s="771"/>
      <c r="AQ137" s="771"/>
      <c r="AR137" s="771"/>
      <c r="AS137" s="771"/>
      <c r="AT137" s="771"/>
      <c r="AU137" s="771"/>
    </row>
    <row r="138" spans="1:47" s="1135" customFormat="1" outlineLevel="1" x14ac:dyDescent="0.2">
      <c r="A138" s="17"/>
      <c r="B138" s="75"/>
      <c r="C138" s="1989" t="s">
        <v>3527</v>
      </c>
      <c r="D138" s="1989" t="s">
        <v>7312</v>
      </c>
      <c r="E138" s="1989">
        <v>6.53</v>
      </c>
      <c r="F138" s="38">
        <f t="shared" si="1"/>
        <v>531.02769720000003</v>
      </c>
      <c r="G138" s="459"/>
      <c r="H138" s="8"/>
      <c r="I138" s="8"/>
      <c r="J138" s="8"/>
      <c r="K138" s="8"/>
      <c r="L138" s="8"/>
      <c r="M138" s="8"/>
      <c r="N138" s="8"/>
      <c r="O138" s="8"/>
      <c r="P138" s="8"/>
      <c r="Q138" s="8"/>
      <c r="R138" s="8"/>
      <c r="S138" s="8"/>
      <c r="T138" s="8"/>
      <c r="U138" s="8"/>
      <c r="V138" s="8"/>
      <c r="W138" s="8"/>
      <c r="X138" s="771"/>
      <c r="Y138" s="771"/>
      <c r="Z138" s="771"/>
      <c r="AA138" s="771"/>
      <c r="AB138" s="771"/>
      <c r="AC138" s="771"/>
      <c r="AD138" s="771"/>
      <c r="AE138" s="771"/>
      <c r="AF138" s="771"/>
      <c r="AG138" s="771"/>
      <c r="AH138" s="771"/>
      <c r="AI138" s="771"/>
      <c r="AJ138" s="771"/>
      <c r="AK138" s="771"/>
      <c r="AL138" s="771"/>
      <c r="AM138" s="771"/>
      <c r="AN138" s="771"/>
      <c r="AO138" s="771"/>
      <c r="AP138" s="771"/>
      <c r="AQ138" s="771"/>
      <c r="AR138" s="771"/>
      <c r="AS138" s="771"/>
      <c r="AT138" s="771"/>
      <c r="AU138" s="771"/>
    </row>
    <row r="139" spans="1:47" s="1135" customFormat="1" outlineLevel="1" x14ac:dyDescent="0.2">
      <c r="A139" s="17"/>
      <c r="B139" s="75"/>
      <c r="C139" s="1989" t="s">
        <v>3528</v>
      </c>
      <c r="D139" s="1989" t="s">
        <v>7313</v>
      </c>
      <c r="E139" s="1989">
        <v>6.53</v>
      </c>
      <c r="F139" s="38">
        <f t="shared" si="1"/>
        <v>531.02769720000003</v>
      </c>
      <c r="G139" s="459"/>
      <c r="H139" s="8"/>
      <c r="I139" s="8"/>
      <c r="J139" s="8"/>
      <c r="K139" s="8"/>
      <c r="L139" s="8"/>
      <c r="M139" s="8"/>
      <c r="N139" s="8"/>
      <c r="O139" s="8"/>
      <c r="P139" s="8"/>
      <c r="Q139" s="8"/>
      <c r="R139" s="8"/>
      <c r="S139" s="8"/>
      <c r="T139" s="8"/>
      <c r="U139" s="8"/>
      <c r="V139" s="8"/>
      <c r="W139" s="8"/>
      <c r="X139" s="771"/>
      <c r="Y139" s="771"/>
      <c r="Z139" s="771"/>
      <c r="AA139" s="771"/>
      <c r="AB139" s="771"/>
      <c r="AC139" s="771"/>
      <c r="AD139" s="771"/>
      <c r="AE139" s="771"/>
      <c r="AF139" s="771"/>
      <c r="AG139" s="771"/>
      <c r="AH139" s="771"/>
      <c r="AI139" s="771"/>
      <c r="AJ139" s="771"/>
      <c r="AK139" s="771"/>
      <c r="AL139" s="771"/>
      <c r="AM139" s="771"/>
      <c r="AN139" s="771"/>
      <c r="AO139" s="771"/>
      <c r="AP139" s="771"/>
      <c r="AQ139" s="771"/>
      <c r="AR139" s="771"/>
      <c r="AS139" s="771"/>
      <c r="AT139" s="771"/>
      <c r="AU139" s="771"/>
    </row>
    <row r="140" spans="1:47" s="1135" customFormat="1" outlineLevel="1" x14ac:dyDescent="0.2">
      <c r="A140" s="17"/>
      <c r="B140" s="75"/>
      <c r="C140" s="1989" t="s">
        <v>2202</v>
      </c>
      <c r="D140" s="1989" t="s">
        <v>7314</v>
      </c>
      <c r="E140" s="1989">
        <v>5.1100000000000003</v>
      </c>
      <c r="F140" s="38">
        <f t="shared" si="1"/>
        <v>415.55153640000009</v>
      </c>
      <c r="G140" s="459"/>
      <c r="H140" s="8"/>
      <c r="I140" s="8"/>
      <c r="J140" s="8"/>
      <c r="K140" s="8"/>
      <c r="L140" s="8"/>
      <c r="M140" s="8"/>
      <c r="N140" s="8"/>
      <c r="O140" s="8"/>
      <c r="P140" s="8"/>
      <c r="Q140" s="8"/>
      <c r="R140" s="8"/>
      <c r="S140" s="8"/>
      <c r="T140" s="8"/>
      <c r="U140" s="8"/>
      <c r="V140" s="8"/>
      <c r="W140" s="8"/>
      <c r="X140" s="771"/>
      <c r="Y140" s="771"/>
      <c r="Z140" s="771"/>
      <c r="AA140" s="771"/>
      <c r="AB140" s="771"/>
      <c r="AC140" s="771"/>
      <c r="AD140" s="771"/>
      <c r="AE140" s="771"/>
      <c r="AF140" s="771"/>
      <c r="AG140" s="771"/>
      <c r="AH140" s="771"/>
      <c r="AI140" s="771"/>
      <c r="AJ140" s="771"/>
      <c r="AK140" s="771"/>
      <c r="AL140" s="771"/>
      <c r="AM140" s="771"/>
      <c r="AN140" s="771"/>
      <c r="AO140" s="771"/>
      <c r="AP140" s="771"/>
      <c r="AQ140" s="771"/>
      <c r="AR140" s="771"/>
      <c r="AS140" s="771"/>
      <c r="AT140" s="771"/>
      <c r="AU140" s="771"/>
    </row>
    <row r="141" spans="1:47" s="1135" customFormat="1" outlineLevel="1" x14ac:dyDescent="0.2">
      <c r="A141" s="17"/>
      <c r="B141" s="75"/>
      <c r="C141" s="1989" t="s">
        <v>2201</v>
      </c>
      <c r="D141" s="1989" t="s">
        <v>7315</v>
      </c>
      <c r="E141" s="1989">
        <v>4.8499999999999996</v>
      </c>
      <c r="F141" s="38">
        <f t="shared" si="1"/>
        <v>394.40801399999998</v>
      </c>
      <c r="G141" s="459"/>
      <c r="H141" s="8"/>
      <c r="I141" s="8"/>
      <c r="J141" s="8"/>
      <c r="K141" s="8"/>
      <c r="L141" s="8"/>
      <c r="M141" s="8"/>
      <c r="N141" s="8"/>
      <c r="O141" s="8"/>
      <c r="P141" s="8"/>
      <c r="Q141" s="8"/>
      <c r="R141" s="8"/>
      <c r="S141" s="8"/>
      <c r="T141" s="8"/>
      <c r="U141" s="8"/>
      <c r="V141" s="8"/>
      <c r="W141" s="8"/>
      <c r="X141" s="771"/>
      <c r="Y141" s="771"/>
      <c r="Z141" s="771"/>
      <c r="AA141" s="771"/>
      <c r="AB141" s="771"/>
      <c r="AC141" s="771"/>
      <c r="AD141" s="771"/>
      <c r="AE141" s="771"/>
      <c r="AF141" s="771"/>
      <c r="AG141" s="771"/>
      <c r="AH141" s="771"/>
      <c r="AI141" s="771"/>
      <c r="AJ141" s="771"/>
      <c r="AK141" s="771"/>
      <c r="AL141" s="771"/>
      <c r="AM141" s="771"/>
      <c r="AN141" s="771"/>
      <c r="AO141" s="771"/>
      <c r="AP141" s="771"/>
      <c r="AQ141" s="771"/>
      <c r="AR141" s="771"/>
      <c r="AS141" s="771"/>
      <c r="AT141" s="771"/>
      <c r="AU141" s="771"/>
    </row>
    <row r="142" spans="1:47" s="1135" customFormat="1" outlineLevel="1" x14ac:dyDescent="0.2">
      <c r="A142" s="17"/>
      <c r="B142" s="75"/>
      <c r="C142" s="1989" t="s">
        <v>1388</v>
      </c>
      <c r="D142" s="1989" t="s">
        <v>7316</v>
      </c>
      <c r="E142" s="1989">
        <v>5.36</v>
      </c>
      <c r="F142" s="38">
        <f t="shared" si="1"/>
        <v>435.88184640000009</v>
      </c>
      <c r="G142" s="459"/>
      <c r="H142" s="8"/>
      <c r="I142" s="8"/>
      <c r="J142" s="8"/>
      <c r="K142" s="8"/>
      <c r="L142" s="8"/>
      <c r="M142" s="8"/>
      <c r="N142" s="8"/>
      <c r="O142" s="8"/>
      <c r="P142" s="8"/>
      <c r="Q142" s="8"/>
      <c r="R142" s="8"/>
      <c r="S142" s="8"/>
      <c r="T142" s="8"/>
      <c r="U142" s="8"/>
      <c r="V142" s="8"/>
      <c r="W142" s="8"/>
      <c r="X142" s="771"/>
      <c r="Y142" s="771"/>
      <c r="Z142" s="771"/>
      <c r="AA142" s="771"/>
      <c r="AB142" s="771"/>
      <c r="AC142" s="771"/>
      <c r="AD142" s="771"/>
      <c r="AE142" s="771"/>
      <c r="AF142" s="771"/>
      <c r="AG142" s="771"/>
      <c r="AH142" s="771"/>
      <c r="AI142" s="771"/>
      <c r="AJ142" s="771"/>
      <c r="AK142" s="771"/>
      <c r="AL142" s="771"/>
      <c r="AM142" s="771"/>
      <c r="AN142" s="771"/>
      <c r="AO142" s="771"/>
      <c r="AP142" s="771"/>
      <c r="AQ142" s="771"/>
      <c r="AR142" s="771"/>
      <c r="AS142" s="771"/>
      <c r="AT142" s="771"/>
      <c r="AU142" s="771"/>
    </row>
    <row r="143" spans="1:47" s="1135" customFormat="1" outlineLevel="1" x14ac:dyDescent="0.2">
      <c r="A143" s="17"/>
      <c r="B143" s="75"/>
      <c r="C143" s="1989" t="s">
        <v>1389</v>
      </c>
      <c r="D143" s="1989" t="s">
        <v>7317</v>
      </c>
      <c r="E143" s="1989">
        <v>5.85</v>
      </c>
      <c r="F143" s="38">
        <f t="shared" si="1"/>
        <v>475.72925400000003</v>
      </c>
      <c r="G143" s="459"/>
      <c r="H143" s="8"/>
      <c r="I143" s="8"/>
      <c r="J143" s="8"/>
      <c r="K143" s="8"/>
      <c r="L143" s="8"/>
      <c r="M143" s="8"/>
      <c r="N143" s="8"/>
      <c r="O143" s="8"/>
      <c r="P143" s="8"/>
      <c r="Q143" s="8"/>
      <c r="R143" s="8"/>
      <c r="S143" s="8"/>
      <c r="T143" s="8"/>
      <c r="U143" s="8"/>
      <c r="V143" s="8"/>
      <c r="W143" s="8"/>
      <c r="X143" s="771"/>
      <c r="Y143" s="771"/>
      <c r="Z143" s="771"/>
      <c r="AA143" s="771"/>
      <c r="AB143" s="771"/>
      <c r="AC143" s="771"/>
      <c r="AD143" s="771"/>
      <c r="AE143" s="771"/>
      <c r="AF143" s="771"/>
      <c r="AG143" s="771"/>
      <c r="AH143" s="771"/>
      <c r="AI143" s="771"/>
      <c r="AJ143" s="771"/>
      <c r="AK143" s="771"/>
      <c r="AL143" s="771"/>
      <c r="AM143" s="771"/>
      <c r="AN143" s="771"/>
      <c r="AO143" s="771"/>
      <c r="AP143" s="771"/>
      <c r="AQ143" s="771"/>
      <c r="AR143" s="771"/>
      <c r="AS143" s="771"/>
      <c r="AT143" s="771"/>
      <c r="AU143" s="771"/>
    </row>
    <row r="144" spans="1:47" s="1135" customFormat="1" outlineLevel="1" x14ac:dyDescent="0.2">
      <c r="A144" s="17"/>
      <c r="B144" s="75"/>
      <c r="C144" s="1989" t="s">
        <v>1315</v>
      </c>
      <c r="D144" s="1989" t="s">
        <v>7318</v>
      </c>
      <c r="E144" s="1989">
        <v>8.84</v>
      </c>
      <c r="F144" s="38">
        <f t="shared" si="1"/>
        <v>718.87976159999994</v>
      </c>
      <c r="G144" s="459"/>
      <c r="H144" s="8"/>
      <c r="I144" s="8"/>
      <c r="J144" s="8"/>
      <c r="K144" s="8"/>
      <c r="L144" s="8"/>
      <c r="M144" s="8"/>
      <c r="N144" s="8"/>
      <c r="O144" s="8"/>
      <c r="P144" s="8"/>
      <c r="Q144" s="8"/>
      <c r="R144" s="8"/>
      <c r="S144" s="8"/>
      <c r="T144" s="8"/>
      <c r="U144" s="8"/>
      <c r="V144" s="8"/>
      <c r="W144" s="8"/>
      <c r="X144" s="771"/>
      <c r="Y144" s="771"/>
      <c r="Z144" s="771"/>
      <c r="AA144" s="771"/>
      <c r="AB144" s="771"/>
      <c r="AC144" s="771"/>
      <c r="AD144" s="771"/>
      <c r="AE144" s="771"/>
      <c r="AF144" s="771"/>
      <c r="AG144" s="771"/>
      <c r="AH144" s="771"/>
      <c r="AI144" s="771"/>
      <c r="AJ144" s="771"/>
      <c r="AK144" s="771"/>
      <c r="AL144" s="771"/>
      <c r="AM144" s="771"/>
      <c r="AN144" s="771"/>
      <c r="AO144" s="771"/>
      <c r="AP144" s="771"/>
      <c r="AQ144" s="771"/>
      <c r="AR144" s="771"/>
      <c r="AS144" s="771"/>
      <c r="AT144" s="771"/>
      <c r="AU144" s="771"/>
    </row>
    <row r="145" spans="1:47" s="1135" customFormat="1" outlineLevel="1" x14ac:dyDescent="0.2">
      <c r="A145" s="17"/>
      <c r="B145" s="75"/>
      <c r="C145" s="1989" t="s">
        <v>1392</v>
      </c>
      <c r="D145" s="1989" t="s">
        <v>7319</v>
      </c>
      <c r="E145" s="1989">
        <v>9.4499999999999993</v>
      </c>
      <c r="F145" s="38">
        <f t="shared" si="1"/>
        <v>768.48571799999991</v>
      </c>
      <c r="G145" s="459"/>
      <c r="H145" s="8"/>
      <c r="I145" s="8"/>
      <c r="J145" s="8"/>
      <c r="K145" s="8"/>
      <c r="L145" s="8"/>
      <c r="M145" s="8"/>
      <c r="N145" s="8"/>
      <c r="O145" s="8"/>
      <c r="P145" s="8"/>
      <c r="Q145" s="8"/>
      <c r="R145" s="8"/>
      <c r="S145" s="8"/>
      <c r="T145" s="8"/>
      <c r="U145" s="8"/>
      <c r="V145" s="8"/>
      <c r="W145" s="8"/>
      <c r="X145" s="771"/>
      <c r="Y145" s="771"/>
      <c r="Z145" s="771"/>
      <c r="AA145" s="771"/>
      <c r="AB145" s="771"/>
      <c r="AC145" s="771"/>
      <c r="AD145" s="771"/>
      <c r="AE145" s="771"/>
      <c r="AF145" s="771"/>
      <c r="AG145" s="771"/>
      <c r="AH145" s="771"/>
      <c r="AI145" s="771"/>
      <c r="AJ145" s="771"/>
      <c r="AK145" s="771"/>
      <c r="AL145" s="771"/>
      <c r="AM145" s="771"/>
      <c r="AN145" s="771"/>
      <c r="AO145" s="771"/>
      <c r="AP145" s="771"/>
      <c r="AQ145" s="771"/>
      <c r="AR145" s="771"/>
      <c r="AS145" s="771"/>
      <c r="AT145" s="771"/>
      <c r="AU145" s="771"/>
    </row>
    <row r="146" spans="1:47" s="1135" customFormat="1" outlineLevel="1" x14ac:dyDescent="0.2">
      <c r="A146" s="17"/>
      <c r="B146" s="75"/>
      <c r="C146" s="1989" t="s">
        <v>1414</v>
      </c>
      <c r="D146" s="1989" t="s">
        <v>5252</v>
      </c>
      <c r="E146" s="1989">
        <v>1.1000000000000001</v>
      </c>
      <c r="F146" s="38">
        <f t="shared" si="1"/>
        <v>89.453364000000008</v>
      </c>
      <c r="G146" s="459"/>
      <c r="H146" s="8"/>
      <c r="I146" s="8"/>
      <c r="J146" s="8"/>
      <c r="K146" s="8"/>
      <c r="L146" s="8"/>
      <c r="M146" s="8"/>
      <c r="N146" s="8"/>
      <c r="O146" s="8"/>
      <c r="P146" s="8"/>
      <c r="Q146" s="8"/>
      <c r="R146" s="8"/>
      <c r="S146" s="8"/>
      <c r="T146" s="8"/>
      <c r="U146" s="8"/>
      <c r="V146" s="8"/>
      <c r="W146" s="8"/>
      <c r="X146" s="771"/>
      <c r="Y146" s="771"/>
      <c r="Z146" s="771"/>
      <c r="AA146" s="771"/>
      <c r="AB146" s="771"/>
      <c r="AC146" s="771"/>
      <c r="AD146" s="771"/>
      <c r="AE146" s="771"/>
      <c r="AF146" s="771"/>
      <c r="AG146" s="771"/>
      <c r="AH146" s="771"/>
      <c r="AI146" s="771"/>
      <c r="AJ146" s="771"/>
      <c r="AK146" s="771"/>
      <c r="AL146" s="771"/>
      <c r="AM146" s="771"/>
      <c r="AN146" s="771"/>
      <c r="AO146" s="771"/>
      <c r="AP146" s="771"/>
      <c r="AQ146" s="771"/>
      <c r="AR146" s="771"/>
      <c r="AS146" s="771"/>
      <c r="AT146" s="771"/>
      <c r="AU146" s="771"/>
    </row>
    <row r="147" spans="1:47" s="1135" customFormat="1" outlineLevel="1" x14ac:dyDescent="0.2">
      <c r="A147" s="17"/>
      <c r="B147" s="75"/>
      <c r="C147" s="1989" t="s">
        <v>1415</v>
      </c>
      <c r="D147" s="1989" t="s">
        <v>133</v>
      </c>
      <c r="E147" s="1989">
        <v>1.1000000000000001</v>
      </c>
      <c r="F147" s="38">
        <f t="shared" si="1"/>
        <v>89.453364000000008</v>
      </c>
      <c r="G147" s="459"/>
      <c r="H147" s="8"/>
      <c r="I147" s="8"/>
      <c r="J147" s="8"/>
      <c r="K147" s="8"/>
      <c r="L147" s="8"/>
      <c r="M147" s="8"/>
      <c r="N147" s="8"/>
      <c r="O147" s="8"/>
      <c r="P147" s="8"/>
      <c r="Q147" s="8"/>
      <c r="R147" s="8"/>
      <c r="S147" s="8"/>
      <c r="T147" s="8"/>
      <c r="U147" s="8"/>
      <c r="V147" s="8"/>
      <c r="W147" s="8"/>
      <c r="X147" s="771"/>
      <c r="Y147" s="771"/>
      <c r="Z147" s="771"/>
      <c r="AA147" s="771"/>
      <c r="AB147" s="771"/>
      <c r="AC147" s="771"/>
      <c r="AD147" s="771"/>
      <c r="AE147" s="771"/>
      <c r="AF147" s="771"/>
      <c r="AG147" s="771"/>
      <c r="AH147" s="771"/>
      <c r="AI147" s="771"/>
      <c r="AJ147" s="771"/>
      <c r="AK147" s="771"/>
      <c r="AL147" s="771"/>
      <c r="AM147" s="771"/>
      <c r="AN147" s="771"/>
      <c r="AO147" s="771"/>
      <c r="AP147" s="771"/>
      <c r="AQ147" s="771"/>
      <c r="AR147" s="771"/>
      <c r="AS147" s="771"/>
      <c r="AT147" s="771"/>
      <c r="AU147" s="771"/>
    </row>
    <row r="148" spans="1:47" s="1135" customFormat="1" outlineLevel="1" x14ac:dyDescent="0.2">
      <c r="A148" s="17"/>
      <c r="B148" s="75"/>
      <c r="C148" s="1989" t="s">
        <v>3529</v>
      </c>
      <c r="D148" s="1989" t="s">
        <v>7320</v>
      </c>
      <c r="E148" s="1989">
        <v>6.6</v>
      </c>
      <c r="F148" s="38">
        <f t="shared" si="1"/>
        <v>536.72018400000002</v>
      </c>
      <c r="G148" s="459"/>
      <c r="H148" s="8"/>
      <c r="I148" s="8"/>
      <c r="J148" s="8"/>
      <c r="K148" s="8"/>
      <c r="L148" s="8"/>
      <c r="M148" s="8"/>
      <c r="N148" s="8"/>
      <c r="O148" s="8"/>
      <c r="P148" s="8"/>
      <c r="Q148" s="8"/>
      <c r="R148" s="8"/>
      <c r="S148" s="8"/>
      <c r="T148" s="8"/>
      <c r="U148" s="8"/>
      <c r="V148" s="8"/>
      <c r="W148" s="8"/>
      <c r="X148" s="771"/>
      <c r="Y148" s="771"/>
      <c r="Z148" s="771"/>
      <c r="AA148" s="771"/>
      <c r="AB148" s="771"/>
      <c r="AC148" s="771"/>
      <c r="AD148" s="771"/>
      <c r="AE148" s="771"/>
      <c r="AF148" s="771"/>
      <c r="AG148" s="771"/>
      <c r="AH148" s="771"/>
      <c r="AI148" s="771"/>
      <c r="AJ148" s="771"/>
      <c r="AK148" s="771"/>
      <c r="AL148" s="771"/>
      <c r="AM148" s="771"/>
      <c r="AN148" s="771"/>
      <c r="AO148" s="771"/>
      <c r="AP148" s="771"/>
      <c r="AQ148" s="771"/>
      <c r="AR148" s="771"/>
      <c r="AS148" s="771"/>
      <c r="AT148" s="771"/>
      <c r="AU148" s="771"/>
    </row>
    <row r="149" spans="1:47" s="1135" customFormat="1" outlineLevel="1" x14ac:dyDescent="0.2">
      <c r="A149" s="17"/>
      <c r="B149" s="75"/>
      <c r="C149" s="1989" t="s">
        <v>3530</v>
      </c>
      <c r="D149" s="1989" t="s">
        <v>7321</v>
      </c>
      <c r="E149" s="1989">
        <v>6.6</v>
      </c>
      <c r="F149" s="38">
        <f t="shared" si="1"/>
        <v>536.72018400000002</v>
      </c>
      <c r="G149" s="459"/>
      <c r="H149" s="8"/>
      <c r="I149" s="8"/>
      <c r="J149" s="8"/>
      <c r="K149" s="8"/>
      <c r="L149" s="8"/>
      <c r="M149" s="8"/>
      <c r="N149" s="8"/>
      <c r="O149" s="8"/>
      <c r="P149" s="8"/>
      <c r="Q149" s="8"/>
      <c r="R149" s="8"/>
      <c r="S149" s="8"/>
      <c r="T149" s="8"/>
      <c r="U149" s="8"/>
      <c r="V149" s="8"/>
      <c r="W149" s="8"/>
      <c r="X149" s="771"/>
      <c r="Y149" s="771"/>
      <c r="Z149" s="771"/>
      <c r="AA149" s="771"/>
      <c r="AB149" s="771"/>
      <c r="AC149" s="771"/>
      <c r="AD149" s="771"/>
      <c r="AE149" s="771"/>
      <c r="AF149" s="771"/>
      <c r="AG149" s="771"/>
      <c r="AH149" s="771"/>
      <c r="AI149" s="771"/>
      <c r="AJ149" s="771"/>
      <c r="AK149" s="771"/>
      <c r="AL149" s="771"/>
      <c r="AM149" s="771"/>
      <c r="AN149" s="771"/>
      <c r="AO149" s="771"/>
      <c r="AP149" s="771"/>
      <c r="AQ149" s="771"/>
      <c r="AR149" s="771"/>
      <c r="AS149" s="771"/>
      <c r="AT149" s="771"/>
      <c r="AU149" s="771"/>
    </row>
    <row r="150" spans="1:47" s="1135" customFormat="1" outlineLevel="1" x14ac:dyDescent="0.2">
      <c r="A150" s="17"/>
      <c r="B150" s="75"/>
      <c r="C150" s="1989" t="s">
        <v>3531</v>
      </c>
      <c r="D150" s="1989" t="s">
        <v>7322</v>
      </c>
      <c r="E150" s="1989">
        <v>5.29</v>
      </c>
      <c r="F150" s="38">
        <f t="shared" si="1"/>
        <v>430.18935960000005</v>
      </c>
      <c r="G150" s="459"/>
      <c r="H150" s="8"/>
      <c r="I150" s="8"/>
      <c r="J150" s="8"/>
      <c r="K150" s="8"/>
      <c r="L150" s="8"/>
      <c r="M150" s="8"/>
      <c r="N150" s="8"/>
      <c r="O150" s="8"/>
      <c r="P150" s="8"/>
      <c r="Q150" s="8"/>
      <c r="R150" s="8"/>
      <c r="S150" s="8"/>
      <c r="T150" s="8"/>
      <c r="U150" s="8"/>
      <c r="V150" s="8"/>
      <c r="W150" s="8"/>
      <c r="X150" s="771"/>
      <c r="Y150" s="771"/>
      <c r="Z150" s="771"/>
      <c r="AA150" s="771"/>
      <c r="AB150" s="771"/>
      <c r="AC150" s="771"/>
      <c r="AD150" s="771"/>
      <c r="AE150" s="771"/>
      <c r="AF150" s="771"/>
      <c r="AG150" s="771"/>
      <c r="AH150" s="771"/>
      <c r="AI150" s="771"/>
      <c r="AJ150" s="771"/>
      <c r="AK150" s="771"/>
      <c r="AL150" s="771"/>
      <c r="AM150" s="771"/>
      <c r="AN150" s="771"/>
      <c r="AO150" s="771"/>
      <c r="AP150" s="771"/>
      <c r="AQ150" s="771"/>
      <c r="AR150" s="771"/>
      <c r="AS150" s="771"/>
      <c r="AT150" s="771"/>
      <c r="AU150" s="771"/>
    </row>
    <row r="151" spans="1:47" s="1135" customFormat="1" outlineLevel="1" x14ac:dyDescent="0.2">
      <c r="A151" s="17"/>
      <c r="B151" s="75"/>
      <c r="C151" s="1989" t="s">
        <v>3532</v>
      </c>
      <c r="D151" s="1989" t="s">
        <v>7323</v>
      </c>
      <c r="E151" s="1989">
        <v>5.29</v>
      </c>
      <c r="F151" s="38">
        <f t="shared" si="1"/>
        <v>430.18935960000005</v>
      </c>
      <c r="G151" s="459"/>
      <c r="H151" s="8"/>
      <c r="I151" s="8"/>
      <c r="J151" s="8"/>
      <c r="K151" s="8"/>
      <c r="L151" s="8"/>
      <c r="M151" s="8"/>
      <c r="N151" s="8"/>
      <c r="O151" s="8"/>
      <c r="P151" s="8"/>
      <c r="Q151" s="8"/>
      <c r="R151" s="8"/>
      <c r="S151" s="8"/>
      <c r="T151" s="8"/>
      <c r="U151" s="8"/>
      <c r="V151" s="8"/>
      <c r="W151" s="8"/>
      <c r="X151" s="771"/>
      <c r="Y151" s="771"/>
      <c r="Z151" s="771"/>
      <c r="AA151" s="771"/>
      <c r="AB151" s="771"/>
      <c r="AC151" s="771"/>
      <c r="AD151" s="771"/>
      <c r="AE151" s="771"/>
      <c r="AF151" s="771"/>
      <c r="AG151" s="771"/>
      <c r="AH151" s="771"/>
      <c r="AI151" s="771"/>
      <c r="AJ151" s="771"/>
      <c r="AK151" s="771"/>
      <c r="AL151" s="771"/>
      <c r="AM151" s="771"/>
      <c r="AN151" s="771"/>
      <c r="AO151" s="771"/>
      <c r="AP151" s="771"/>
      <c r="AQ151" s="771"/>
      <c r="AR151" s="771"/>
      <c r="AS151" s="771"/>
      <c r="AT151" s="771"/>
      <c r="AU151" s="771"/>
    </row>
    <row r="152" spans="1:47" s="1135" customFormat="1" outlineLevel="1" x14ac:dyDescent="0.2">
      <c r="A152" s="17"/>
      <c r="B152" s="75"/>
      <c r="C152" s="1989" t="s">
        <v>127</v>
      </c>
      <c r="D152" s="1989" t="s">
        <v>923</v>
      </c>
      <c r="E152" s="1989">
        <v>0.12</v>
      </c>
      <c r="F152" s="38">
        <f t="shared" si="1"/>
        <v>9.7585487999999998</v>
      </c>
      <c r="G152" s="459"/>
      <c r="H152" s="8"/>
      <c r="I152" s="8"/>
      <c r="J152" s="8"/>
      <c r="K152" s="8"/>
      <c r="L152" s="8"/>
      <c r="M152" s="8"/>
      <c r="N152" s="8"/>
      <c r="O152" s="8"/>
      <c r="P152" s="8"/>
      <c r="Q152" s="8"/>
      <c r="R152" s="8"/>
      <c r="S152" s="8"/>
      <c r="T152" s="8"/>
      <c r="U152" s="8"/>
      <c r="V152" s="8"/>
      <c r="W152" s="8"/>
      <c r="X152" s="771"/>
      <c r="Y152" s="771"/>
      <c r="Z152" s="771"/>
      <c r="AA152" s="771"/>
      <c r="AB152" s="771"/>
      <c r="AC152" s="771"/>
      <c r="AD152" s="771"/>
      <c r="AE152" s="771"/>
      <c r="AF152" s="771"/>
      <c r="AG152" s="771"/>
      <c r="AH152" s="771"/>
      <c r="AI152" s="771"/>
      <c r="AJ152" s="771"/>
      <c r="AK152" s="771"/>
      <c r="AL152" s="771"/>
      <c r="AM152" s="771"/>
      <c r="AN152" s="771"/>
      <c r="AO152" s="771"/>
      <c r="AP152" s="771"/>
      <c r="AQ152" s="771"/>
      <c r="AR152" s="771"/>
      <c r="AS152" s="771"/>
      <c r="AT152" s="771"/>
      <c r="AU152" s="771"/>
    </row>
    <row r="153" spans="1:47" s="1135" customFormat="1" outlineLevel="1" x14ac:dyDescent="0.2">
      <c r="A153" s="17"/>
      <c r="B153" s="75"/>
      <c r="C153" s="1989" t="s">
        <v>1214</v>
      </c>
      <c r="D153" s="1989" t="s">
        <v>925</v>
      </c>
      <c r="E153" s="1989">
        <v>2.83</v>
      </c>
      <c r="F153" s="38">
        <f t="shared" si="1"/>
        <v>230.13910920000001</v>
      </c>
      <c r="G153" s="459"/>
      <c r="H153" s="8"/>
      <c r="I153" s="8"/>
      <c r="J153" s="8"/>
      <c r="K153" s="8"/>
      <c r="L153" s="8"/>
      <c r="M153" s="8"/>
      <c r="N153" s="8"/>
      <c r="O153" s="8"/>
      <c r="P153" s="8"/>
      <c r="Q153" s="8"/>
      <c r="R153" s="8"/>
      <c r="S153" s="8"/>
      <c r="T153" s="8"/>
      <c r="U153" s="8"/>
      <c r="V153" s="8"/>
      <c r="W153" s="8"/>
      <c r="X153" s="771"/>
      <c r="Y153" s="771"/>
      <c r="Z153" s="771"/>
      <c r="AA153" s="771"/>
      <c r="AB153" s="771"/>
      <c r="AC153" s="771"/>
      <c r="AD153" s="771"/>
      <c r="AE153" s="771"/>
      <c r="AF153" s="771"/>
      <c r="AG153" s="771"/>
      <c r="AH153" s="771"/>
      <c r="AI153" s="771"/>
      <c r="AJ153" s="771"/>
      <c r="AK153" s="771"/>
      <c r="AL153" s="771"/>
      <c r="AM153" s="771"/>
      <c r="AN153" s="771"/>
      <c r="AO153" s="771"/>
      <c r="AP153" s="771"/>
      <c r="AQ153" s="771"/>
      <c r="AR153" s="771"/>
      <c r="AS153" s="771"/>
      <c r="AT153" s="771"/>
      <c r="AU153" s="771"/>
    </row>
    <row r="154" spans="1:47" s="1135" customFormat="1" outlineLevel="1" x14ac:dyDescent="0.2">
      <c r="A154" s="17"/>
      <c r="B154" s="75"/>
      <c r="C154" s="1989" t="s">
        <v>2451</v>
      </c>
      <c r="D154" s="1989" t="s">
        <v>7324</v>
      </c>
      <c r="E154" s="1989">
        <v>0</v>
      </c>
      <c r="F154" s="38">
        <f t="shared" si="1"/>
        <v>0</v>
      </c>
      <c r="G154" s="459"/>
      <c r="H154" s="8"/>
      <c r="I154" s="8"/>
      <c r="J154" s="8"/>
      <c r="K154" s="8"/>
      <c r="L154" s="8"/>
      <c r="M154" s="8"/>
      <c r="N154" s="8"/>
      <c r="O154" s="8"/>
      <c r="P154" s="8"/>
      <c r="Q154" s="8"/>
      <c r="R154" s="8"/>
      <c r="S154" s="8"/>
      <c r="T154" s="8"/>
      <c r="U154" s="8"/>
      <c r="V154" s="8"/>
      <c r="W154" s="8"/>
      <c r="X154" s="771"/>
      <c r="Y154" s="771"/>
      <c r="Z154" s="771"/>
      <c r="AA154" s="771"/>
      <c r="AB154" s="771"/>
      <c r="AC154" s="771"/>
      <c r="AD154" s="771"/>
      <c r="AE154" s="771"/>
      <c r="AF154" s="771"/>
      <c r="AG154" s="771"/>
      <c r="AH154" s="771"/>
      <c r="AI154" s="771"/>
      <c r="AJ154" s="771"/>
      <c r="AK154" s="771"/>
      <c r="AL154" s="771"/>
      <c r="AM154" s="771"/>
      <c r="AN154" s="771"/>
      <c r="AO154" s="771"/>
      <c r="AP154" s="771"/>
      <c r="AQ154" s="771"/>
      <c r="AR154" s="771"/>
      <c r="AS154" s="771"/>
      <c r="AT154" s="771"/>
      <c r="AU154" s="771"/>
    </row>
    <row r="155" spans="1:47" s="1135" customFormat="1" outlineLevel="1" x14ac:dyDescent="0.2">
      <c r="A155" s="17"/>
      <c r="B155" s="75"/>
      <c r="C155" s="1989" t="s">
        <v>2452</v>
      </c>
      <c r="D155" s="1989" t="s">
        <v>5253</v>
      </c>
      <c r="E155" s="1989">
        <v>12.8</v>
      </c>
      <c r="F155" s="38">
        <f t="shared" si="1"/>
        <v>1040.9118720000001</v>
      </c>
      <c r="G155" s="459"/>
      <c r="H155" s="8"/>
      <c r="I155" s="8"/>
      <c r="J155" s="8"/>
      <c r="K155" s="8"/>
      <c r="L155" s="8"/>
      <c r="M155" s="8"/>
      <c r="N155" s="8"/>
      <c r="O155" s="8"/>
      <c r="P155" s="8"/>
      <c r="Q155" s="8"/>
      <c r="R155" s="8"/>
      <c r="S155" s="8"/>
      <c r="T155" s="8"/>
      <c r="U155" s="8"/>
      <c r="V155" s="8"/>
      <c r="W155" s="8"/>
      <c r="X155" s="771"/>
      <c r="Y155" s="771"/>
      <c r="Z155" s="771"/>
      <c r="AA155" s="771"/>
      <c r="AB155" s="771"/>
      <c r="AC155" s="771"/>
      <c r="AD155" s="771"/>
      <c r="AE155" s="771"/>
      <c r="AF155" s="771"/>
      <c r="AG155" s="771"/>
      <c r="AH155" s="771"/>
      <c r="AI155" s="771"/>
      <c r="AJ155" s="771"/>
      <c r="AK155" s="771"/>
      <c r="AL155" s="771"/>
      <c r="AM155" s="771"/>
      <c r="AN155" s="771"/>
      <c r="AO155" s="771"/>
      <c r="AP155" s="771"/>
      <c r="AQ155" s="771"/>
      <c r="AR155" s="771"/>
      <c r="AS155" s="771"/>
      <c r="AT155" s="771"/>
      <c r="AU155" s="771"/>
    </row>
    <row r="156" spans="1:47" s="1135" customFormat="1" outlineLevel="1" x14ac:dyDescent="0.2">
      <c r="A156" s="17"/>
      <c r="B156" s="75"/>
      <c r="C156" s="1989" t="s">
        <v>3533</v>
      </c>
      <c r="D156" s="1989" t="s">
        <v>7325</v>
      </c>
      <c r="E156" s="1989">
        <v>5.13</v>
      </c>
      <c r="F156" s="38">
        <f t="shared" si="1"/>
        <v>417.17796120000003</v>
      </c>
      <c r="G156" s="459"/>
      <c r="H156" s="8"/>
      <c r="I156" s="8"/>
      <c r="J156" s="8"/>
      <c r="K156" s="8"/>
      <c r="L156" s="8"/>
      <c r="M156" s="8"/>
      <c r="N156" s="8"/>
      <c r="O156" s="8"/>
      <c r="P156" s="8"/>
      <c r="Q156" s="8"/>
      <c r="R156" s="8"/>
      <c r="S156" s="8"/>
      <c r="T156" s="8"/>
      <c r="U156" s="8"/>
      <c r="V156" s="8"/>
      <c r="W156" s="8"/>
      <c r="X156" s="771"/>
      <c r="Y156" s="771"/>
      <c r="Z156" s="771"/>
      <c r="AA156" s="771"/>
      <c r="AB156" s="771"/>
      <c r="AC156" s="771"/>
      <c r="AD156" s="771"/>
      <c r="AE156" s="771"/>
      <c r="AF156" s="771"/>
      <c r="AG156" s="771"/>
      <c r="AH156" s="771"/>
      <c r="AI156" s="771"/>
      <c r="AJ156" s="771"/>
      <c r="AK156" s="771"/>
      <c r="AL156" s="771"/>
      <c r="AM156" s="771"/>
      <c r="AN156" s="771"/>
      <c r="AO156" s="771"/>
      <c r="AP156" s="771"/>
      <c r="AQ156" s="771"/>
      <c r="AR156" s="771"/>
      <c r="AS156" s="771"/>
      <c r="AT156" s="771"/>
      <c r="AU156" s="771"/>
    </row>
    <row r="157" spans="1:47" s="1135" customFormat="1" outlineLevel="1" x14ac:dyDescent="0.2">
      <c r="A157" s="17"/>
      <c r="B157" s="75"/>
      <c r="C157" s="1989" t="s">
        <v>3534</v>
      </c>
      <c r="D157" s="1989" t="s">
        <v>7326</v>
      </c>
      <c r="E157" s="1989">
        <v>5.13</v>
      </c>
      <c r="F157" s="38">
        <f t="shared" si="1"/>
        <v>417.17796120000003</v>
      </c>
      <c r="G157" s="459"/>
      <c r="H157" s="8"/>
      <c r="I157" s="8"/>
      <c r="J157" s="8"/>
      <c r="K157" s="8"/>
      <c r="L157" s="8"/>
      <c r="M157" s="8"/>
      <c r="N157" s="8"/>
      <c r="O157" s="8"/>
      <c r="P157" s="8"/>
      <c r="Q157" s="8"/>
      <c r="R157" s="8"/>
      <c r="S157" s="8"/>
      <c r="T157" s="8"/>
      <c r="U157" s="8"/>
      <c r="V157" s="8"/>
      <c r="W157" s="8"/>
      <c r="X157" s="771"/>
      <c r="Y157" s="771"/>
      <c r="Z157" s="771"/>
      <c r="AA157" s="771"/>
      <c r="AB157" s="771"/>
      <c r="AC157" s="771"/>
      <c r="AD157" s="771"/>
      <c r="AE157" s="771"/>
      <c r="AF157" s="771"/>
      <c r="AG157" s="771"/>
      <c r="AH157" s="771"/>
      <c r="AI157" s="771"/>
      <c r="AJ157" s="771"/>
      <c r="AK157" s="771"/>
      <c r="AL157" s="771"/>
      <c r="AM157" s="771"/>
      <c r="AN157" s="771"/>
      <c r="AO157" s="771"/>
      <c r="AP157" s="771"/>
      <c r="AQ157" s="771"/>
      <c r="AR157" s="771"/>
      <c r="AS157" s="771"/>
      <c r="AT157" s="771"/>
      <c r="AU157" s="771"/>
    </row>
    <row r="158" spans="1:47" s="1135" customFormat="1" outlineLevel="1" x14ac:dyDescent="0.2">
      <c r="A158" s="17"/>
      <c r="B158" s="75"/>
      <c r="C158" s="1989" t="s">
        <v>129</v>
      </c>
      <c r="D158" s="1989" t="s">
        <v>7327</v>
      </c>
      <c r="E158" s="1989">
        <v>2.4300000000000002</v>
      </c>
      <c r="F158" s="38">
        <f t="shared" si="1"/>
        <v>197.61061320000002</v>
      </c>
      <c r="G158" s="459"/>
      <c r="H158" s="8"/>
      <c r="I158" s="8"/>
      <c r="J158" s="8"/>
      <c r="K158" s="8"/>
      <c r="L158" s="8"/>
      <c r="M158" s="8"/>
      <c r="N158" s="8"/>
      <c r="O158" s="8"/>
      <c r="P158" s="8"/>
      <c r="Q158" s="8"/>
      <c r="R158" s="8"/>
      <c r="S158" s="8"/>
      <c r="T158" s="8"/>
      <c r="U158" s="8"/>
      <c r="V158" s="8"/>
      <c r="W158" s="8"/>
      <c r="X158" s="771"/>
      <c r="Y158" s="771"/>
      <c r="Z158" s="771"/>
      <c r="AA158" s="771"/>
      <c r="AB158" s="771"/>
      <c r="AC158" s="771"/>
      <c r="AD158" s="771"/>
      <c r="AE158" s="771"/>
      <c r="AF158" s="771"/>
      <c r="AG158" s="771"/>
      <c r="AH158" s="771"/>
      <c r="AI158" s="771"/>
      <c r="AJ158" s="771"/>
      <c r="AK158" s="771"/>
      <c r="AL158" s="771"/>
      <c r="AM158" s="771"/>
      <c r="AN158" s="771"/>
      <c r="AO158" s="771"/>
      <c r="AP158" s="771"/>
      <c r="AQ158" s="771"/>
      <c r="AR158" s="771"/>
      <c r="AS158" s="771"/>
      <c r="AT158" s="771"/>
      <c r="AU158" s="771"/>
    </row>
    <row r="159" spans="1:47" s="1135" customFormat="1" outlineLevel="1" x14ac:dyDescent="0.2">
      <c r="A159" s="17"/>
      <c r="B159" s="75"/>
      <c r="C159" s="1989" t="s">
        <v>3535</v>
      </c>
      <c r="D159" s="1989" t="s">
        <v>7328</v>
      </c>
      <c r="E159" s="1989">
        <v>7.46</v>
      </c>
      <c r="F159" s="38">
        <f t="shared" ref="F159:F222" si="2">E159*$G$4*$J$4</f>
        <v>606.65645040000004</v>
      </c>
      <c r="G159" s="459"/>
      <c r="H159" s="8"/>
      <c r="I159" s="8"/>
      <c r="J159" s="8"/>
      <c r="K159" s="8"/>
      <c r="L159" s="8"/>
      <c r="M159" s="8"/>
      <c r="N159" s="8"/>
      <c r="O159" s="8"/>
      <c r="P159" s="8"/>
      <c r="Q159" s="8"/>
      <c r="R159" s="8"/>
      <c r="S159" s="8"/>
      <c r="T159" s="8"/>
      <c r="U159" s="8"/>
      <c r="V159" s="8"/>
      <c r="W159" s="8"/>
      <c r="X159" s="771"/>
      <c r="Y159" s="771"/>
      <c r="Z159" s="771"/>
      <c r="AA159" s="771"/>
      <c r="AB159" s="771"/>
      <c r="AC159" s="771"/>
      <c r="AD159" s="771"/>
      <c r="AE159" s="771"/>
      <c r="AF159" s="771"/>
      <c r="AG159" s="771"/>
      <c r="AH159" s="771"/>
      <c r="AI159" s="771"/>
      <c r="AJ159" s="771"/>
      <c r="AK159" s="771"/>
      <c r="AL159" s="771"/>
      <c r="AM159" s="771"/>
      <c r="AN159" s="771"/>
      <c r="AO159" s="771"/>
      <c r="AP159" s="771"/>
      <c r="AQ159" s="771"/>
      <c r="AR159" s="771"/>
      <c r="AS159" s="771"/>
      <c r="AT159" s="771"/>
      <c r="AU159" s="771"/>
    </row>
    <row r="160" spans="1:47" s="1135" customFormat="1" outlineLevel="1" x14ac:dyDescent="0.2">
      <c r="A160" s="17"/>
      <c r="B160" s="75"/>
      <c r="C160" s="1989" t="s">
        <v>299</v>
      </c>
      <c r="D160" s="1989" t="s">
        <v>1638</v>
      </c>
      <c r="E160" s="1989">
        <v>0.11</v>
      </c>
      <c r="F160" s="38">
        <f t="shared" si="2"/>
        <v>8.9453364000000004</v>
      </c>
      <c r="G160" s="459"/>
      <c r="H160" s="8"/>
      <c r="I160" s="8"/>
      <c r="J160" s="8"/>
      <c r="K160" s="8"/>
      <c r="L160" s="8"/>
      <c r="M160" s="8"/>
      <c r="N160" s="8"/>
      <c r="O160" s="8"/>
      <c r="P160" s="8"/>
      <c r="Q160" s="8"/>
      <c r="R160" s="8"/>
      <c r="S160" s="8"/>
      <c r="T160" s="8"/>
      <c r="U160" s="8"/>
      <c r="V160" s="8"/>
      <c r="W160" s="8"/>
      <c r="X160" s="771"/>
      <c r="Y160" s="771"/>
      <c r="Z160" s="771"/>
      <c r="AA160" s="771"/>
      <c r="AB160" s="771"/>
      <c r="AC160" s="771"/>
      <c r="AD160" s="771"/>
      <c r="AE160" s="771"/>
      <c r="AF160" s="771"/>
      <c r="AG160" s="771"/>
      <c r="AH160" s="771"/>
      <c r="AI160" s="771"/>
      <c r="AJ160" s="771"/>
      <c r="AK160" s="771"/>
      <c r="AL160" s="771"/>
      <c r="AM160" s="771"/>
      <c r="AN160" s="771"/>
      <c r="AO160" s="771"/>
      <c r="AP160" s="771"/>
      <c r="AQ160" s="771"/>
      <c r="AR160" s="771"/>
      <c r="AS160" s="771"/>
      <c r="AT160" s="771"/>
      <c r="AU160" s="771"/>
    </row>
    <row r="161" spans="1:47" s="1135" customFormat="1" outlineLevel="1" x14ac:dyDescent="0.2">
      <c r="A161" s="17"/>
      <c r="B161" s="75"/>
      <c r="C161" s="1989" t="s">
        <v>3536</v>
      </c>
      <c r="D161" s="1989" t="s">
        <v>7329</v>
      </c>
      <c r="E161" s="1989">
        <v>7.46</v>
      </c>
      <c r="F161" s="38">
        <f t="shared" si="2"/>
        <v>606.65645040000004</v>
      </c>
      <c r="G161" s="459"/>
      <c r="H161" s="8"/>
      <c r="I161" s="8"/>
      <c r="J161" s="8"/>
      <c r="K161" s="8"/>
      <c r="L161" s="8"/>
      <c r="M161" s="8"/>
      <c r="N161" s="8"/>
      <c r="O161" s="8"/>
      <c r="P161" s="8"/>
      <c r="Q161" s="8"/>
      <c r="R161" s="8"/>
      <c r="S161" s="8"/>
      <c r="T161" s="8"/>
      <c r="U161" s="8"/>
      <c r="V161" s="8"/>
      <c r="W161" s="8"/>
      <c r="X161" s="771"/>
      <c r="Y161" s="771"/>
      <c r="Z161" s="771"/>
      <c r="AA161" s="771"/>
      <c r="AB161" s="771"/>
      <c r="AC161" s="771"/>
      <c r="AD161" s="771"/>
      <c r="AE161" s="771"/>
      <c r="AF161" s="771"/>
      <c r="AG161" s="771"/>
      <c r="AH161" s="771"/>
      <c r="AI161" s="771"/>
      <c r="AJ161" s="771"/>
      <c r="AK161" s="771"/>
      <c r="AL161" s="771"/>
      <c r="AM161" s="771"/>
      <c r="AN161" s="771"/>
      <c r="AO161" s="771"/>
      <c r="AP161" s="771"/>
      <c r="AQ161" s="771"/>
      <c r="AR161" s="771"/>
      <c r="AS161" s="771"/>
      <c r="AT161" s="771"/>
      <c r="AU161" s="771"/>
    </row>
    <row r="162" spans="1:47" s="1135" customFormat="1" outlineLevel="1" x14ac:dyDescent="0.2">
      <c r="A162" s="17"/>
      <c r="B162" s="75"/>
      <c r="C162" s="1989" t="s">
        <v>744</v>
      </c>
      <c r="D162" s="1989" t="s">
        <v>7330</v>
      </c>
      <c r="E162" s="1989">
        <v>0.14000000000000001</v>
      </c>
      <c r="F162" s="38">
        <f t="shared" si="2"/>
        <v>11.384973600000002</v>
      </c>
      <c r="G162" s="459"/>
      <c r="H162" s="8"/>
      <c r="I162" s="8"/>
      <c r="J162" s="8"/>
      <c r="K162" s="8"/>
      <c r="L162" s="8"/>
      <c r="M162" s="8"/>
      <c r="N162" s="8"/>
      <c r="O162" s="8"/>
      <c r="P162" s="8"/>
      <c r="Q162" s="8"/>
      <c r="R162" s="8"/>
      <c r="S162" s="8"/>
      <c r="T162" s="8"/>
      <c r="U162" s="8"/>
      <c r="V162" s="8"/>
      <c r="W162" s="8"/>
      <c r="X162" s="771"/>
      <c r="Y162" s="771"/>
      <c r="Z162" s="771"/>
      <c r="AA162" s="771"/>
      <c r="AB162" s="771"/>
      <c r="AC162" s="771"/>
      <c r="AD162" s="771"/>
      <c r="AE162" s="771"/>
      <c r="AF162" s="771"/>
      <c r="AG162" s="771"/>
      <c r="AH162" s="771"/>
      <c r="AI162" s="771"/>
      <c r="AJ162" s="771"/>
      <c r="AK162" s="771"/>
      <c r="AL162" s="771"/>
      <c r="AM162" s="771"/>
      <c r="AN162" s="771"/>
      <c r="AO162" s="771"/>
      <c r="AP162" s="771"/>
      <c r="AQ162" s="771"/>
      <c r="AR162" s="771"/>
      <c r="AS162" s="771"/>
      <c r="AT162" s="771"/>
      <c r="AU162" s="771"/>
    </row>
    <row r="163" spans="1:47" s="1135" customFormat="1" outlineLevel="1" x14ac:dyDescent="0.2">
      <c r="A163" s="17"/>
      <c r="B163" s="75"/>
      <c r="C163" s="1989" t="s">
        <v>1314</v>
      </c>
      <c r="D163" s="1989" t="s">
        <v>5254</v>
      </c>
      <c r="E163" s="1989">
        <v>16.53</v>
      </c>
      <c r="F163" s="38">
        <f t="shared" si="2"/>
        <v>1344.2400972000003</v>
      </c>
      <c r="G163" s="459"/>
      <c r="H163" s="8"/>
      <c r="I163" s="8"/>
      <c r="J163" s="8"/>
      <c r="K163" s="8"/>
      <c r="L163" s="8"/>
      <c r="M163" s="8"/>
      <c r="N163" s="8"/>
      <c r="O163" s="8"/>
      <c r="P163" s="8"/>
      <c r="Q163" s="8"/>
      <c r="R163" s="8"/>
      <c r="S163" s="8"/>
      <c r="T163" s="8"/>
      <c r="U163" s="8"/>
      <c r="V163" s="8"/>
      <c r="W163" s="8"/>
      <c r="X163" s="771"/>
      <c r="Y163" s="771"/>
      <c r="Z163" s="771"/>
      <c r="AA163" s="771"/>
      <c r="AB163" s="771"/>
      <c r="AC163" s="771"/>
      <c r="AD163" s="771"/>
      <c r="AE163" s="771"/>
      <c r="AF163" s="771"/>
      <c r="AG163" s="771"/>
      <c r="AH163" s="771"/>
      <c r="AI163" s="771"/>
      <c r="AJ163" s="771"/>
      <c r="AK163" s="771"/>
      <c r="AL163" s="771"/>
      <c r="AM163" s="771"/>
      <c r="AN163" s="771"/>
      <c r="AO163" s="771"/>
      <c r="AP163" s="771"/>
      <c r="AQ163" s="771"/>
      <c r="AR163" s="771"/>
      <c r="AS163" s="771"/>
      <c r="AT163" s="771"/>
      <c r="AU163" s="771"/>
    </row>
    <row r="164" spans="1:47" s="1135" customFormat="1" outlineLevel="1" x14ac:dyDescent="0.2">
      <c r="A164" s="17"/>
      <c r="B164" s="75"/>
      <c r="C164" s="1989" t="s">
        <v>1626</v>
      </c>
      <c r="D164" s="1989" t="s">
        <v>5255</v>
      </c>
      <c r="E164" s="1989">
        <v>14.36</v>
      </c>
      <c r="F164" s="38">
        <f t="shared" si="2"/>
        <v>1167.7730064</v>
      </c>
      <c r="G164" s="459"/>
      <c r="H164" s="8"/>
      <c r="I164" s="8"/>
      <c r="J164" s="8"/>
      <c r="K164" s="8"/>
      <c r="L164" s="8"/>
      <c r="M164" s="8"/>
      <c r="N164" s="8"/>
      <c r="O164" s="8"/>
      <c r="P164" s="8"/>
      <c r="Q164" s="8"/>
      <c r="R164" s="8"/>
      <c r="S164" s="8"/>
      <c r="T164" s="8"/>
      <c r="U164" s="8"/>
      <c r="V164" s="8"/>
      <c r="W164" s="8"/>
      <c r="X164" s="771"/>
      <c r="Y164" s="771"/>
      <c r="Z164" s="771"/>
      <c r="AA164" s="771"/>
      <c r="AB164" s="771"/>
      <c r="AC164" s="771"/>
      <c r="AD164" s="771"/>
      <c r="AE164" s="771"/>
      <c r="AF164" s="771"/>
      <c r="AG164" s="771"/>
      <c r="AH164" s="771"/>
      <c r="AI164" s="771"/>
      <c r="AJ164" s="771"/>
      <c r="AK164" s="771"/>
      <c r="AL164" s="771"/>
      <c r="AM164" s="771"/>
      <c r="AN164" s="771"/>
      <c r="AO164" s="771"/>
      <c r="AP164" s="771"/>
      <c r="AQ164" s="771"/>
      <c r="AR164" s="771"/>
      <c r="AS164" s="771"/>
      <c r="AT164" s="771"/>
      <c r="AU164" s="771"/>
    </row>
    <row r="165" spans="1:47" s="1135" customFormat="1" outlineLevel="1" x14ac:dyDescent="0.2">
      <c r="A165" s="17"/>
      <c r="B165" s="75"/>
      <c r="C165" s="1989" t="s">
        <v>3811</v>
      </c>
      <c r="D165" s="1989" t="s">
        <v>3812</v>
      </c>
      <c r="E165" s="1989">
        <v>20.89</v>
      </c>
      <c r="F165" s="38">
        <f t="shared" si="2"/>
        <v>1698.8007036000001</v>
      </c>
      <c r="G165" s="459"/>
      <c r="H165" s="8"/>
      <c r="I165" s="8"/>
      <c r="J165" s="8"/>
      <c r="K165" s="8"/>
      <c r="L165" s="8"/>
      <c r="M165" s="8"/>
      <c r="N165" s="8"/>
      <c r="O165" s="8"/>
      <c r="P165" s="8"/>
      <c r="Q165" s="8"/>
      <c r="R165" s="8"/>
      <c r="S165" s="8"/>
      <c r="T165" s="8"/>
      <c r="U165" s="8"/>
      <c r="V165" s="8"/>
      <c r="W165" s="8"/>
      <c r="X165" s="771"/>
      <c r="Y165" s="771"/>
      <c r="Z165" s="771"/>
      <c r="AA165" s="771"/>
      <c r="AB165" s="771"/>
      <c r="AC165" s="771"/>
      <c r="AD165" s="771"/>
      <c r="AE165" s="771"/>
      <c r="AF165" s="771"/>
      <c r="AG165" s="771"/>
      <c r="AH165" s="771"/>
      <c r="AI165" s="771"/>
      <c r="AJ165" s="771"/>
      <c r="AK165" s="771"/>
      <c r="AL165" s="771"/>
      <c r="AM165" s="771"/>
      <c r="AN165" s="771"/>
      <c r="AO165" s="771"/>
      <c r="AP165" s="771"/>
      <c r="AQ165" s="771"/>
      <c r="AR165" s="771"/>
      <c r="AS165" s="771"/>
      <c r="AT165" s="771"/>
      <c r="AU165" s="771"/>
    </row>
    <row r="166" spans="1:47" s="1135" customFormat="1" outlineLevel="1" x14ac:dyDescent="0.2">
      <c r="A166" s="17"/>
      <c r="B166" s="75"/>
      <c r="C166" s="1989" t="s">
        <v>131</v>
      </c>
      <c r="D166" s="1989" t="s">
        <v>5256</v>
      </c>
      <c r="E166" s="1989">
        <v>20.98</v>
      </c>
      <c r="F166" s="38">
        <f t="shared" si="2"/>
        <v>1706.1196152</v>
      </c>
      <c r="G166" s="459"/>
      <c r="H166" s="8"/>
      <c r="I166" s="8"/>
      <c r="J166" s="8"/>
      <c r="K166" s="8"/>
      <c r="L166" s="8"/>
      <c r="M166" s="8"/>
      <c r="N166" s="8"/>
      <c r="O166" s="8"/>
      <c r="P166" s="8"/>
      <c r="Q166" s="8"/>
      <c r="R166" s="8"/>
      <c r="S166" s="8"/>
      <c r="T166" s="8"/>
      <c r="U166" s="8"/>
      <c r="V166" s="8"/>
      <c r="W166" s="8"/>
      <c r="X166" s="771"/>
      <c r="Y166" s="771"/>
      <c r="Z166" s="771"/>
      <c r="AA166" s="771"/>
      <c r="AB166" s="771"/>
      <c r="AC166" s="771"/>
      <c r="AD166" s="771"/>
      <c r="AE166" s="771"/>
      <c r="AF166" s="771"/>
      <c r="AG166" s="771"/>
      <c r="AH166" s="771"/>
      <c r="AI166" s="771"/>
      <c r="AJ166" s="771"/>
      <c r="AK166" s="771"/>
      <c r="AL166" s="771"/>
      <c r="AM166" s="771"/>
      <c r="AN166" s="771"/>
      <c r="AO166" s="771"/>
      <c r="AP166" s="771"/>
      <c r="AQ166" s="771"/>
      <c r="AR166" s="771"/>
      <c r="AS166" s="771"/>
      <c r="AT166" s="771"/>
      <c r="AU166" s="771"/>
    </row>
    <row r="167" spans="1:47" s="1135" customFormat="1" outlineLevel="1" x14ac:dyDescent="0.2">
      <c r="A167" s="17"/>
      <c r="B167" s="75"/>
      <c r="C167" s="1989" t="s">
        <v>753</v>
      </c>
      <c r="D167" s="1989" t="s">
        <v>5257</v>
      </c>
      <c r="E167" s="1989">
        <v>25.11</v>
      </c>
      <c r="F167" s="38">
        <f t="shared" si="2"/>
        <v>2041.9763364</v>
      </c>
      <c r="G167" s="459"/>
      <c r="H167" s="8"/>
      <c r="I167" s="8"/>
      <c r="J167" s="8"/>
      <c r="K167" s="8"/>
      <c r="L167" s="8"/>
      <c r="M167" s="8"/>
      <c r="N167" s="8"/>
      <c r="O167" s="8"/>
      <c r="P167" s="8"/>
      <c r="Q167" s="8"/>
      <c r="R167" s="8"/>
      <c r="S167" s="8"/>
      <c r="T167" s="8"/>
      <c r="U167" s="8"/>
      <c r="V167" s="8"/>
      <c r="W167" s="8"/>
      <c r="X167" s="771"/>
      <c r="Y167" s="771"/>
      <c r="Z167" s="771"/>
      <c r="AA167" s="771"/>
      <c r="AB167" s="771"/>
      <c r="AC167" s="771"/>
      <c r="AD167" s="771"/>
      <c r="AE167" s="771"/>
      <c r="AF167" s="771"/>
      <c r="AG167" s="771"/>
      <c r="AH167" s="771"/>
      <c r="AI167" s="771"/>
      <c r="AJ167" s="771"/>
      <c r="AK167" s="771"/>
      <c r="AL167" s="771"/>
      <c r="AM167" s="771"/>
      <c r="AN167" s="771"/>
      <c r="AO167" s="771"/>
      <c r="AP167" s="771"/>
      <c r="AQ167" s="771"/>
      <c r="AR167" s="771"/>
      <c r="AS167" s="771"/>
      <c r="AT167" s="771"/>
      <c r="AU167" s="771"/>
    </row>
    <row r="168" spans="1:47" s="1135" customFormat="1" outlineLevel="1" x14ac:dyDescent="0.2">
      <c r="A168" s="17"/>
      <c r="B168" s="75"/>
      <c r="C168" s="1989" t="s">
        <v>3813</v>
      </c>
      <c r="D168" s="1989" t="s">
        <v>5258</v>
      </c>
      <c r="E168" s="1989">
        <v>9.4</v>
      </c>
      <c r="F168" s="38">
        <f t="shared" si="2"/>
        <v>764.41965600000003</v>
      </c>
      <c r="G168" s="459"/>
      <c r="H168" s="8"/>
      <c r="I168" s="8"/>
      <c r="J168" s="8"/>
      <c r="K168" s="8"/>
      <c r="L168" s="8"/>
      <c r="M168" s="8"/>
      <c r="N168" s="8"/>
      <c r="O168" s="8"/>
      <c r="P168" s="8"/>
      <c r="Q168" s="8"/>
      <c r="R168" s="8"/>
      <c r="S168" s="8"/>
      <c r="T168" s="8"/>
      <c r="U168" s="8"/>
      <c r="V168" s="8"/>
      <c r="W168" s="8"/>
      <c r="X168" s="771"/>
      <c r="Y168" s="771"/>
      <c r="Z168" s="771"/>
      <c r="AA168" s="771"/>
      <c r="AB168" s="771"/>
      <c r="AC168" s="771"/>
      <c r="AD168" s="771"/>
      <c r="AE168" s="771"/>
      <c r="AF168" s="771"/>
      <c r="AG168" s="771"/>
      <c r="AH168" s="771"/>
      <c r="AI168" s="771"/>
      <c r="AJ168" s="771"/>
      <c r="AK168" s="771"/>
      <c r="AL168" s="771"/>
      <c r="AM168" s="771"/>
      <c r="AN168" s="771"/>
      <c r="AO168" s="771"/>
      <c r="AP168" s="771"/>
      <c r="AQ168" s="771"/>
      <c r="AR168" s="771"/>
      <c r="AS168" s="771"/>
      <c r="AT168" s="771"/>
      <c r="AU168" s="771"/>
    </row>
    <row r="169" spans="1:47" s="1135" customFormat="1" outlineLevel="1" x14ac:dyDescent="0.2">
      <c r="A169" s="17"/>
      <c r="B169" s="75"/>
      <c r="C169" s="1989" t="s">
        <v>3815</v>
      </c>
      <c r="D169" s="1989" t="s">
        <v>3816</v>
      </c>
      <c r="E169" s="1989">
        <v>9.4</v>
      </c>
      <c r="F169" s="38">
        <f t="shared" si="2"/>
        <v>764.41965600000003</v>
      </c>
      <c r="G169" s="459"/>
      <c r="H169" s="8"/>
      <c r="I169" s="8"/>
      <c r="J169" s="8"/>
      <c r="K169" s="8"/>
      <c r="L169" s="8"/>
      <c r="M169" s="8"/>
      <c r="N169" s="8"/>
      <c r="O169" s="8"/>
      <c r="P169" s="8"/>
      <c r="Q169" s="8"/>
      <c r="R169" s="8"/>
      <c r="S169" s="8"/>
      <c r="T169" s="8"/>
      <c r="U169" s="8"/>
      <c r="V169" s="8"/>
      <c r="W169" s="8"/>
      <c r="X169" s="771"/>
      <c r="Y169" s="771"/>
      <c r="Z169" s="771"/>
      <c r="AA169" s="771"/>
      <c r="AB169" s="771"/>
      <c r="AC169" s="771"/>
      <c r="AD169" s="771"/>
      <c r="AE169" s="771"/>
      <c r="AF169" s="771"/>
      <c r="AG169" s="771"/>
      <c r="AH169" s="771"/>
      <c r="AI169" s="771"/>
      <c r="AJ169" s="771"/>
      <c r="AK169" s="771"/>
      <c r="AL169" s="771"/>
      <c r="AM169" s="771"/>
      <c r="AN169" s="771"/>
      <c r="AO169" s="771"/>
      <c r="AP169" s="771"/>
      <c r="AQ169" s="771"/>
      <c r="AR169" s="771"/>
      <c r="AS169" s="771"/>
      <c r="AT169" s="771"/>
      <c r="AU169" s="771"/>
    </row>
    <row r="170" spans="1:47" s="1135" customFormat="1" outlineLevel="1" x14ac:dyDescent="0.2">
      <c r="A170" s="17"/>
      <c r="B170" s="75"/>
      <c r="C170" s="1989" t="s">
        <v>1627</v>
      </c>
      <c r="D170" s="1989" t="s">
        <v>5259</v>
      </c>
      <c r="E170" s="1989">
        <v>12.96</v>
      </c>
      <c r="F170" s="38">
        <f t="shared" si="2"/>
        <v>1053.9232704000001</v>
      </c>
      <c r="G170" s="459"/>
      <c r="H170" s="8"/>
      <c r="I170" s="8"/>
      <c r="J170" s="8"/>
      <c r="K170" s="8"/>
      <c r="L170" s="8"/>
      <c r="M170" s="8"/>
      <c r="N170" s="8"/>
      <c r="O170" s="8"/>
      <c r="P170" s="8"/>
      <c r="Q170" s="8"/>
      <c r="R170" s="8"/>
      <c r="S170" s="8"/>
      <c r="T170" s="8"/>
      <c r="U170" s="8"/>
      <c r="V170" s="8"/>
      <c r="W170" s="8"/>
      <c r="X170" s="771"/>
      <c r="Y170" s="771"/>
      <c r="Z170" s="771"/>
      <c r="AA170" s="771"/>
      <c r="AB170" s="771"/>
      <c r="AC170" s="771"/>
      <c r="AD170" s="771"/>
      <c r="AE170" s="771"/>
      <c r="AF170" s="771"/>
      <c r="AG170" s="771"/>
      <c r="AH170" s="771"/>
      <c r="AI170" s="771"/>
      <c r="AJ170" s="771"/>
      <c r="AK170" s="771"/>
      <c r="AL170" s="771"/>
      <c r="AM170" s="771"/>
      <c r="AN170" s="771"/>
      <c r="AO170" s="771"/>
      <c r="AP170" s="771"/>
      <c r="AQ170" s="771"/>
      <c r="AR170" s="771"/>
      <c r="AS170" s="771"/>
      <c r="AT170" s="771"/>
      <c r="AU170" s="771"/>
    </row>
    <row r="171" spans="1:47" s="1135" customFormat="1" outlineLevel="1" x14ac:dyDescent="0.2">
      <c r="A171" s="17"/>
      <c r="B171" s="75"/>
      <c r="C171" s="1989" t="s">
        <v>938</v>
      </c>
      <c r="D171" s="1989" t="s">
        <v>7331</v>
      </c>
      <c r="E171" s="1989">
        <v>12.57</v>
      </c>
      <c r="F171" s="38">
        <f t="shared" si="2"/>
        <v>1022.2079868000001</v>
      </c>
      <c r="G171" s="459"/>
      <c r="H171" s="8"/>
      <c r="I171" s="8"/>
      <c r="J171" s="8"/>
      <c r="K171" s="8"/>
      <c r="L171" s="8"/>
      <c r="M171" s="8"/>
      <c r="N171" s="8"/>
      <c r="O171" s="8"/>
      <c r="P171" s="8"/>
      <c r="Q171" s="8"/>
      <c r="R171" s="8"/>
      <c r="S171" s="8"/>
      <c r="T171" s="8"/>
      <c r="U171" s="8"/>
      <c r="V171" s="8"/>
      <c r="W171" s="8"/>
      <c r="X171" s="771"/>
      <c r="Y171" s="771"/>
      <c r="Z171" s="771"/>
      <c r="AA171" s="771"/>
      <c r="AB171" s="771"/>
      <c r="AC171" s="771"/>
      <c r="AD171" s="771"/>
      <c r="AE171" s="771"/>
      <c r="AF171" s="771"/>
      <c r="AG171" s="771"/>
      <c r="AH171" s="771"/>
      <c r="AI171" s="771"/>
      <c r="AJ171" s="771"/>
      <c r="AK171" s="771"/>
      <c r="AL171" s="771"/>
      <c r="AM171" s="771"/>
      <c r="AN171" s="771"/>
      <c r="AO171" s="771"/>
      <c r="AP171" s="771"/>
      <c r="AQ171" s="771"/>
      <c r="AR171" s="771"/>
      <c r="AS171" s="771"/>
      <c r="AT171" s="771"/>
      <c r="AU171" s="771"/>
    </row>
    <row r="172" spans="1:47" s="1135" customFormat="1" outlineLevel="1" x14ac:dyDescent="0.2">
      <c r="A172" s="17"/>
      <c r="B172" s="75"/>
      <c r="C172" s="1989" t="s">
        <v>939</v>
      </c>
      <c r="D172" s="1989" t="s">
        <v>3182</v>
      </c>
      <c r="E172" s="1989">
        <v>12.05</v>
      </c>
      <c r="F172" s="38">
        <f t="shared" si="2"/>
        <v>979.92094200000008</v>
      </c>
      <c r="G172" s="459"/>
      <c r="H172" s="8"/>
      <c r="I172" s="8"/>
      <c r="J172" s="8"/>
      <c r="K172" s="8"/>
      <c r="L172" s="8"/>
      <c r="M172" s="8"/>
      <c r="N172" s="8"/>
      <c r="O172" s="8"/>
      <c r="P172" s="8"/>
      <c r="Q172" s="8"/>
      <c r="R172" s="8"/>
      <c r="S172" s="8"/>
      <c r="T172" s="8"/>
      <c r="U172" s="8"/>
      <c r="V172" s="8"/>
      <c r="W172" s="8"/>
      <c r="X172" s="771"/>
      <c r="Y172" s="771"/>
      <c r="Z172" s="771"/>
      <c r="AA172" s="771"/>
      <c r="AB172" s="771"/>
      <c r="AC172" s="771"/>
      <c r="AD172" s="771"/>
      <c r="AE172" s="771"/>
      <c r="AF172" s="771"/>
      <c r="AG172" s="771"/>
      <c r="AH172" s="771"/>
      <c r="AI172" s="771"/>
      <c r="AJ172" s="771"/>
      <c r="AK172" s="771"/>
      <c r="AL172" s="771"/>
      <c r="AM172" s="771"/>
      <c r="AN172" s="771"/>
      <c r="AO172" s="771"/>
      <c r="AP172" s="771"/>
      <c r="AQ172" s="771"/>
      <c r="AR172" s="771"/>
      <c r="AS172" s="771"/>
      <c r="AT172" s="771"/>
      <c r="AU172" s="771"/>
    </row>
    <row r="173" spans="1:47" s="1135" customFormat="1" outlineLevel="1" x14ac:dyDescent="0.2">
      <c r="A173" s="17"/>
      <c r="B173" s="75"/>
      <c r="C173" s="1989" t="s">
        <v>2460</v>
      </c>
      <c r="D173" s="1989" t="s">
        <v>5260</v>
      </c>
      <c r="E173" s="1989">
        <v>11.55</v>
      </c>
      <c r="F173" s="38">
        <f t="shared" si="2"/>
        <v>939.2603220000002</v>
      </c>
      <c r="G173" s="459"/>
      <c r="H173" s="8"/>
      <c r="I173" s="8"/>
      <c r="J173" s="8"/>
      <c r="K173" s="8"/>
      <c r="L173" s="8"/>
      <c r="M173" s="8"/>
      <c r="N173" s="8"/>
      <c r="O173" s="8"/>
      <c r="P173" s="8"/>
      <c r="Q173" s="8"/>
      <c r="R173" s="8"/>
      <c r="S173" s="8"/>
      <c r="T173" s="8"/>
      <c r="U173" s="8"/>
      <c r="V173" s="8"/>
      <c r="W173" s="8"/>
      <c r="X173" s="771"/>
      <c r="Y173" s="771"/>
      <c r="Z173" s="771"/>
      <c r="AA173" s="771"/>
      <c r="AB173" s="771"/>
      <c r="AC173" s="771"/>
      <c r="AD173" s="771"/>
      <c r="AE173" s="771"/>
      <c r="AF173" s="771"/>
      <c r="AG173" s="771"/>
      <c r="AH173" s="771"/>
      <c r="AI173" s="771"/>
      <c r="AJ173" s="771"/>
      <c r="AK173" s="771"/>
      <c r="AL173" s="771"/>
      <c r="AM173" s="771"/>
      <c r="AN173" s="771"/>
      <c r="AO173" s="771"/>
      <c r="AP173" s="771"/>
      <c r="AQ173" s="771"/>
      <c r="AR173" s="771"/>
      <c r="AS173" s="771"/>
      <c r="AT173" s="771"/>
      <c r="AU173" s="771"/>
    </row>
    <row r="174" spans="1:47" s="1135" customFormat="1" outlineLevel="1" x14ac:dyDescent="0.2">
      <c r="A174" s="17"/>
      <c r="B174" s="75"/>
      <c r="C174" s="1989" t="s">
        <v>89</v>
      </c>
      <c r="D174" s="1989" t="s">
        <v>479</v>
      </c>
      <c r="E174" s="1989">
        <v>12.6</v>
      </c>
      <c r="F174" s="38">
        <f t="shared" si="2"/>
        <v>1024.647624</v>
      </c>
      <c r="G174" s="459"/>
      <c r="H174" s="8"/>
      <c r="I174" s="8"/>
      <c r="J174" s="8"/>
      <c r="K174" s="8"/>
      <c r="L174" s="8"/>
      <c r="M174" s="8"/>
      <c r="N174" s="8"/>
      <c r="O174" s="8"/>
      <c r="P174" s="8"/>
      <c r="Q174" s="8"/>
      <c r="R174" s="8"/>
      <c r="S174" s="8"/>
      <c r="T174" s="8"/>
      <c r="U174" s="8"/>
      <c r="V174" s="8"/>
      <c r="W174" s="8"/>
      <c r="X174" s="771"/>
      <c r="Y174" s="771"/>
      <c r="Z174" s="771"/>
      <c r="AA174" s="771"/>
      <c r="AB174" s="771"/>
      <c r="AC174" s="771"/>
      <c r="AD174" s="771"/>
      <c r="AE174" s="771"/>
      <c r="AF174" s="771"/>
      <c r="AG174" s="771"/>
      <c r="AH174" s="771"/>
      <c r="AI174" s="771"/>
      <c r="AJ174" s="771"/>
      <c r="AK174" s="771"/>
      <c r="AL174" s="771"/>
      <c r="AM174" s="771"/>
      <c r="AN174" s="771"/>
      <c r="AO174" s="771"/>
      <c r="AP174" s="771"/>
      <c r="AQ174" s="771"/>
      <c r="AR174" s="771"/>
      <c r="AS174" s="771"/>
      <c r="AT174" s="771"/>
      <c r="AU174" s="771"/>
    </row>
    <row r="175" spans="1:47" s="1135" customFormat="1" outlineLevel="1" x14ac:dyDescent="0.2">
      <c r="A175" s="17"/>
      <c r="B175" s="75"/>
      <c r="C175" s="1989" t="s">
        <v>88</v>
      </c>
      <c r="D175" s="1989" t="s">
        <v>5261</v>
      </c>
      <c r="E175" s="1989">
        <v>0.66</v>
      </c>
      <c r="F175" s="38">
        <f t="shared" si="2"/>
        <v>53.672018400000006</v>
      </c>
      <c r="G175" s="459"/>
      <c r="H175" s="8"/>
      <c r="I175" s="8"/>
      <c r="J175" s="8"/>
      <c r="K175" s="8"/>
      <c r="L175" s="8"/>
      <c r="M175" s="8"/>
      <c r="N175" s="8"/>
      <c r="O175" s="8"/>
      <c r="P175" s="8"/>
      <c r="Q175" s="8"/>
      <c r="R175" s="8"/>
      <c r="S175" s="8"/>
      <c r="T175" s="8"/>
      <c r="U175" s="8"/>
      <c r="V175" s="8"/>
      <c r="W175" s="8"/>
      <c r="X175" s="771"/>
      <c r="Y175" s="771"/>
      <c r="Z175" s="771"/>
      <c r="AA175" s="771"/>
      <c r="AB175" s="771"/>
      <c r="AC175" s="771"/>
      <c r="AD175" s="771"/>
      <c r="AE175" s="771"/>
      <c r="AF175" s="771"/>
      <c r="AG175" s="771"/>
      <c r="AH175" s="771"/>
      <c r="AI175" s="771"/>
      <c r="AJ175" s="771"/>
      <c r="AK175" s="771"/>
      <c r="AL175" s="771"/>
      <c r="AM175" s="771"/>
      <c r="AN175" s="771"/>
      <c r="AO175" s="771"/>
      <c r="AP175" s="771"/>
      <c r="AQ175" s="771"/>
      <c r="AR175" s="771"/>
      <c r="AS175" s="771"/>
      <c r="AT175" s="771"/>
      <c r="AU175" s="771"/>
    </row>
    <row r="176" spans="1:47" s="1135" customFormat="1" outlineLevel="1" x14ac:dyDescent="0.2">
      <c r="A176" s="17"/>
      <c r="B176" s="75"/>
      <c r="C176" s="1989" t="s">
        <v>87</v>
      </c>
      <c r="D176" s="1989" t="s">
        <v>480</v>
      </c>
      <c r="E176" s="1989">
        <v>0.66</v>
      </c>
      <c r="F176" s="38">
        <f t="shared" si="2"/>
        <v>53.672018400000006</v>
      </c>
      <c r="G176" s="459"/>
      <c r="H176" s="8"/>
      <c r="I176" s="8"/>
      <c r="J176" s="8"/>
      <c r="K176" s="8"/>
      <c r="L176" s="8"/>
      <c r="M176" s="8"/>
      <c r="N176" s="8"/>
      <c r="O176" s="8"/>
      <c r="P176" s="8"/>
      <c r="Q176" s="8"/>
      <c r="R176" s="8"/>
      <c r="S176" s="8"/>
      <c r="T176" s="8"/>
      <c r="U176" s="8"/>
      <c r="V176" s="8"/>
      <c r="W176" s="8"/>
      <c r="X176" s="771"/>
      <c r="Y176" s="771"/>
      <c r="Z176" s="771"/>
      <c r="AA176" s="771"/>
      <c r="AB176" s="771"/>
      <c r="AC176" s="771"/>
      <c r="AD176" s="771"/>
      <c r="AE176" s="771"/>
      <c r="AF176" s="771"/>
      <c r="AG176" s="771"/>
      <c r="AH176" s="771"/>
      <c r="AI176" s="771"/>
      <c r="AJ176" s="771"/>
      <c r="AK176" s="771"/>
      <c r="AL176" s="771"/>
      <c r="AM176" s="771"/>
      <c r="AN176" s="771"/>
      <c r="AO176" s="771"/>
      <c r="AP176" s="771"/>
      <c r="AQ176" s="771"/>
      <c r="AR176" s="771"/>
      <c r="AS176" s="771"/>
      <c r="AT176" s="771"/>
      <c r="AU176" s="771"/>
    </row>
    <row r="177" spans="1:47" s="1135" customFormat="1" outlineLevel="1" x14ac:dyDescent="0.2">
      <c r="A177" s="17"/>
      <c r="B177" s="75"/>
      <c r="C177" s="1989" t="s">
        <v>1623</v>
      </c>
      <c r="D177" s="1989" t="s">
        <v>481</v>
      </c>
      <c r="E177" s="1989">
        <v>1.05</v>
      </c>
      <c r="F177" s="38">
        <f t="shared" si="2"/>
        <v>85.387302000000005</v>
      </c>
      <c r="G177" s="459"/>
      <c r="H177" s="8"/>
      <c r="I177" s="8"/>
      <c r="J177" s="8"/>
      <c r="K177" s="8"/>
      <c r="L177" s="8"/>
      <c r="M177" s="8"/>
      <c r="N177" s="8"/>
      <c r="O177" s="8"/>
      <c r="P177" s="8"/>
      <c r="Q177" s="8"/>
      <c r="R177" s="8"/>
      <c r="S177" s="8"/>
      <c r="T177" s="8"/>
      <c r="U177" s="8"/>
      <c r="V177" s="8"/>
      <c r="W177" s="8"/>
      <c r="X177" s="771"/>
      <c r="Y177" s="771"/>
      <c r="Z177" s="771"/>
      <c r="AA177" s="771"/>
      <c r="AB177" s="771"/>
      <c r="AC177" s="771"/>
      <c r="AD177" s="771"/>
      <c r="AE177" s="771"/>
      <c r="AF177" s="771"/>
      <c r="AG177" s="771"/>
      <c r="AH177" s="771"/>
      <c r="AI177" s="771"/>
      <c r="AJ177" s="771"/>
      <c r="AK177" s="771"/>
      <c r="AL177" s="771"/>
      <c r="AM177" s="771"/>
      <c r="AN177" s="771"/>
      <c r="AO177" s="771"/>
      <c r="AP177" s="771"/>
      <c r="AQ177" s="771"/>
      <c r="AR177" s="771"/>
      <c r="AS177" s="771"/>
      <c r="AT177" s="771"/>
      <c r="AU177" s="771"/>
    </row>
    <row r="178" spans="1:47" s="1135" customFormat="1" outlineLevel="1" x14ac:dyDescent="0.2">
      <c r="A178" s="17"/>
      <c r="B178" s="75"/>
      <c r="C178" s="1989" t="s">
        <v>2189</v>
      </c>
      <c r="D178" s="1989" t="s">
        <v>1221</v>
      </c>
      <c r="E178" s="1989">
        <v>1.05</v>
      </c>
      <c r="F178" s="38">
        <f t="shared" si="2"/>
        <v>85.387302000000005</v>
      </c>
      <c r="G178" s="459"/>
      <c r="H178" s="8"/>
      <c r="I178" s="8"/>
      <c r="J178" s="8"/>
      <c r="K178" s="8"/>
      <c r="L178" s="8"/>
      <c r="M178" s="8"/>
      <c r="N178" s="8"/>
      <c r="O178" s="8"/>
      <c r="P178" s="8"/>
      <c r="Q178" s="8"/>
      <c r="R178" s="8"/>
      <c r="S178" s="8"/>
      <c r="T178" s="8"/>
      <c r="U178" s="8"/>
      <c r="V178" s="8"/>
      <c r="W178" s="8"/>
      <c r="X178" s="771"/>
      <c r="Y178" s="771"/>
      <c r="Z178" s="771"/>
      <c r="AA178" s="771"/>
      <c r="AB178" s="771"/>
      <c r="AC178" s="771"/>
      <c r="AD178" s="771"/>
      <c r="AE178" s="771"/>
      <c r="AF178" s="771"/>
      <c r="AG178" s="771"/>
      <c r="AH178" s="771"/>
      <c r="AI178" s="771"/>
      <c r="AJ178" s="771"/>
      <c r="AK178" s="771"/>
      <c r="AL178" s="771"/>
      <c r="AM178" s="771"/>
      <c r="AN178" s="771"/>
      <c r="AO178" s="771"/>
      <c r="AP178" s="771"/>
      <c r="AQ178" s="771"/>
      <c r="AR178" s="771"/>
      <c r="AS178" s="771"/>
      <c r="AT178" s="771"/>
      <c r="AU178" s="771"/>
    </row>
    <row r="179" spans="1:47" s="1135" customFormat="1" outlineLevel="1" x14ac:dyDescent="0.2">
      <c r="A179" s="17"/>
      <c r="B179" s="75"/>
      <c r="C179" s="1989" t="s">
        <v>1624</v>
      </c>
      <c r="D179" s="1989" t="s">
        <v>5262</v>
      </c>
      <c r="E179" s="1989">
        <v>1.94</v>
      </c>
      <c r="F179" s="38">
        <f t="shared" si="2"/>
        <v>157.76320559999999</v>
      </c>
      <c r="G179" s="459"/>
      <c r="H179" s="8"/>
      <c r="I179" s="8"/>
      <c r="J179" s="8"/>
      <c r="K179" s="8"/>
      <c r="L179" s="8"/>
      <c r="M179" s="8"/>
      <c r="N179" s="8"/>
      <c r="O179" s="8"/>
      <c r="P179" s="8"/>
      <c r="Q179" s="8"/>
      <c r="R179" s="8"/>
      <c r="S179" s="8"/>
      <c r="T179" s="8"/>
      <c r="U179" s="8"/>
      <c r="V179" s="8"/>
      <c r="W179" s="8"/>
      <c r="X179" s="771"/>
      <c r="Y179" s="771"/>
      <c r="Z179" s="771"/>
      <c r="AA179" s="771"/>
      <c r="AB179" s="771"/>
      <c r="AC179" s="771"/>
      <c r="AD179" s="771"/>
      <c r="AE179" s="771"/>
      <c r="AF179" s="771"/>
      <c r="AG179" s="771"/>
      <c r="AH179" s="771"/>
      <c r="AI179" s="771"/>
      <c r="AJ179" s="771"/>
      <c r="AK179" s="771"/>
      <c r="AL179" s="771"/>
      <c r="AM179" s="771"/>
      <c r="AN179" s="771"/>
      <c r="AO179" s="771"/>
      <c r="AP179" s="771"/>
      <c r="AQ179" s="771"/>
      <c r="AR179" s="771"/>
      <c r="AS179" s="771"/>
      <c r="AT179" s="771"/>
      <c r="AU179" s="771"/>
    </row>
    <row r="180" spans="1:47" s="1135" customFormat="1" outlineLevel="1" x14ac:dyDescent="0.2">
      <c r="A180" s="17"/>
      <c r="B180" s="75"/>
      <c r="C180" s="1989" t="s">
        <v>473</v>
      </c>
      <c r="D180" s="1989" t="s">
        <v>3183</v>
      </c>
      <c r="E180" s="1989">
        <v>11.93</v>
      </c>
      <c r="F180" s="38">
        <f t="shared" si="2"/>
        <v>970.1623932</v>
      </c>
      <c r="G180" s="459"/>
      <c r="H180" s="8"/>
      <c r="I180" s="8"/>
      <c r="J180" s="8"/>
      <c r="K180" s="8"/>
      <c r="L180" s="8"/>
      <c r="M180" s="8"/>
      <c r="N180" s="8"/>
      <c r="O180" s="8"/>
      <c r="P180" s="8"/>
      <c r="Q180" s="8"/>
      <c r="R180" s="8"/>
      <c r="S180" s="8"/>
      <c r="T180" s="8"/>
      <c r="U180" s="8"/>
      <c r="V180" s="8"/>
      <c r="W180" s="8"/>
      <c r="X180" s="771"/>
      <c r="Y180" s="771"/>
      <c r="Z180" s="771"/>
      <c r="AA180" s="771"/>
      <c r="AB180" s="771"/>
      <c r="AC180" s="771"/>
      <c r="AD180" s="771"/>
      <c r="AE180" s="771"/>
      <c r="AF180" s="771"/>
      <c r="AG180" s="771"/>
      <c r="AH180" s="771"/>
      <c r="AI180" s="771"/>
      <c r="AJ180" s="771"/>
      <c r="AK180" s="771"/>
      <c r="AL180" s="771"/>
      <c r="AM180" s="771"/>
      <c r="AN180" s="771"/>
      <c r="AO180" s="771"/>
      <c r="AP180" s="771"/>
      <c r="AQ180" s="771"/>
      <c r="AR180" s="771"/>
      <c r="AS180" s="771"/>
      <c r="AT180" s="771"/>
      <c r="AU180" s="771"/>
    </row>
    <row r="181" spans="1:47" s="1135" customFormat="1" outlineLevel="1" x14ac:dyDescent="0.2">
      <c r="A181" s="17"/>
      <c r="B181" s="75"/>
      <c r="C181" s="1989" t="s">
        <v>940</v>
      </c>
      <c r="D181" s="1989" t="s">
        <v>1577</v>
      </c>
      <c r="E181" s="1989">
        <v>4.05</v>
      </c>
      <c r="F181" s="38">
        <f t="shared" si="2"/>
        <v>329.351022</v>
      </c>
      <c r="G181" s="459"/>
      <c r="H181" s="8"/>
      <c r="I181" s="8"/>
      <c r="J181" s="8"/>
      <c r="K181" s="8"/>
      <c r="L181" s="8"/>
      <c r="M181" s="8"/>
      <c r="N181" s="8"/>
      <c r="O181" s="8"/>
      <c r="P181" s="8"/>
      <c r="Q181" s="8"/>
      <c r="R181" s="8"/>
      <c r="S181" s="8"/>
      <c r="T181" s="8"/>
      <c r="U181" s="8"/>
      <c r="V181" s="8"/>
      <c r="W181" s="8"/>
      <c r="X181" s="771"/>
      <c r="Y181" s="771"/>
      <c r="Z181" s="771"/>
      <c r="AA181" s="771"/>
      <c r="AB181" s="771"/>
      <c r="AC181" s="771"/>
      <c r="AD181" s="771"/>
      <c r="AE181" s="771"/>
      <c r="AF181" s="771"/>
      <c r="AG181" s="771"/>
      <c r="AH181" s="771"/>
      <c r="AI181" s="771"/>
      <c r="AJ181" s="771"/>
      <c r="AK181" s="771"/>
      <c r="AL181" s="771"/>
      <c r="AM181" s="771"/>
      <c r="AN181" s="771"/>
      <c r="AO181" s="771"/>
      <c r="AP181" s="771"/>
      <c r="AQ181" s="771"/>
      <c r="AR181" s="771"/>
      <c r="AS181" s="771"/>
      <c r="AT181" s="771"/>
      <c r="AU181" s="771"/>
    </row>
    <row r="182" spans="1:47" s="1135" customFormat="1" outlineLevel="1" x14ac:dyDescent="0.2">
      <c r="A182" s="17"/>
      <c r="B182" s="75"/>
      <c r="C182" s="1989" t="s">
        <v>941</v>
      </c>
      <c r="D182" s="1989" t="s">
        <v>1578</v>
      </c>
      <c r="E182" s="1989">
        <v>4.05</v>
      </c>
      <c r="F182" s="38">
        <f t="shared" si="2"/>
        <v>329.351022</v>
      </c>
      <c r="G182" s="459"/>
      <c r="H182" s="8"/>
      <c r="I182" s="8"/>
      <c r="J182" s="8"/>
      <c r="K182" s="8"/>
      <c r="L182" s="8"/>
      <c r="M182" s="8"/>
      <c r="N182" s="8"/>
      <c r="O182" s="8"/>
      <c r="P182" s="8"/>
      <c r="Q182" s="8"/>
      <c r="R182" s="8"/>
      <c r="S182" s="8"/>
      <c r="T182" s="8"/>
      <c r="U182" s="8"/>
      <c r="V182" s="8"/>
      <c r="W182" s="8"/>
      <c r="X182" s="771"/>
      <c r="Y182" s="771"/>
      <c r="Z182" s="771"/>
      <c r="AA182" s="771"/>
      <c r="AB182" s="771"/>
      <c r="AC182" s="771"/>
      <c r="AD182" s="771"/>
      <c r="AE182" s="771"/>
      <c r="AF182" s="771"/>
      <c r="AG182" s="771"/>
      <c r="AH182" s="771"/>
      <c r="AI182" s="771"/>
      <c r="AJ182" s="771"/>
      <c r="AK182" s="771"/>
      <c r="AL182" s="771"/>
      <c r="AM182" s="771"/>
      <c r="AN182" s="771"/>
      <c r="AO182" s="771"/>
      <c r="AP182" s="771"/>
      <c r="AQ182" s="771"/>
      <c r="AR182" s="771"/>
      <c r="AS182" s="771"/>
      <c r="AT182" s="771"/>
      <c r="AU182" s="771"/>
    </row>
    <row r="183" spans="1:47" s="1135" customFormat="1" outlineLevel="1" x14ac:dyDescent="0.2">
      <c r="A183" s="17"/>
      <c r="B183" s="75"/>
      <c r="C183" s="1989" t="s">
        <v>2187</v>
      </c>
      <c r="D183" s="1989" t="s">
        <v>1580</v>
      </c>
      <c r="E183" s="1989">
        <v>0.83</v>
      </c>
      <c r="F183" s="38">
        <f t="shared" si="2"/>
        <v>67.496629200000001</v>
      </c>
      <c r="G183" s="459"/>
      <c r="H183" s="8"/>
      <c r="I183" s="8"/>
      <c r="J183" s="8"/>
      <c r="K183" s="8"/>
      <c r="L183" s="8"/>
      <c r="M183" s="8"/>
      <c r="N183" s="8"/>
      <c r="O183" s="8"/>
      <c r="P183" s="8"/>
      <c r="Q183" s="8"/>
      <c r="R183" s="8"/>
      <c r="S183" s="8"/>
      <c r="T183" s="8"/>
      <c r="U183" s="8"/>
      <c r="V183" s="8"/>
      <c r="W183" s="8"/>
      <c r="X183" s="771"/>
      <c r="Y183" s="771"/>
      <c r="Z183" s="771"/>
      <c r="AA183" s="771"/>
      <c r="AB183" s="771"/>
      <c r="AC183" s="771"/>
      <c r="AD183" s="771"/>
      <c r="AE183" s="771"/>
      <c r="AF183" s="771"/>
      <c r="AG183" s="771"/>
      <c r="AH183" s="771"/>
      <c r="AI183" s="771"/>
      <c r="AJ183" s="771"/>
      <c r="AK183" s="771"/>
      <c r="AL183" s="771"/>
      <c r="AM183" s="771"/>
      <c r="AN183" s="771"/>
      <c r="AO183" s="771"/>
      <c r="AP183" s="771"/>
      <c r="AQ183" s="771"/>
      <c r="AR183" s="771"/>
      <c r="AS183" s="771"/>
      <c r="AT183" s="771"/>
      <c r="AU183" s="771"/>
    </row>
    <row r="184" spans="1:47" s="1135" customFormat="1" outlineLevel="1" x14ac:dyDescent="0.2">
      <c r="A184" s="17"/>
      <c r="B184" s="75"/>
      <c r="C184" s="1989" t="s">
        <v>706</v>
      </c>
      <c r="D184" s="1989" t="s">
        <v>1581</v>
      </c>
      <c r="E184" s="1989">
        <v>0.83</v>
      </c>
      <c r="F184" s="38">
        <f t="shared" si="2"/>
        <v>67.496629200000001</v>
      </c>
      <c r="G184" s="459"/>
      <c r="H184" s="8"/>
      <c r="I184" s="8"/>
      <c r="J184" s="8"/>
      <c r="K184" s="8"/>
      <c r="L184" s="8"/>
      <c r="M184" s="8"/>
      <c r="N184" s="8"/>
      <c r="O184" s="8"/>
      <c r="P184" s="8"/>
      <c r="Q184" s="8"/>
      <c r="R184" s="8"/>
      <c r="S184" s="8"/>
      <c r="T184" s="8"/>
      <c r="U184" s="8"/>
      <c r="V184" s="8"/>
      <c r="W184" s="8"/>
      <c r="X184" s="771"/>
      <c r="Y184" s="771"/>
      <c r="Z184" s="771"/>
      <c r="AA184" s="771"/>
      <c r="AB184" s="771"/>
      <c r="AC184" s="771"/>
      <c r="AD184" s="771"/>
      <c r="AE184" s="771"/>
      <c r="AF184" s="771"/>
      <c r="AG184" s="771"/>
      <c r="AH184" s="771"/>
      <c r="AI184" s="771"/>
      <c r="AJ184" s="771"/>
      <c r="AK184" s="771"/>
      <c r="AL184" s="771"/>
      <c r="AM184" s="771"/>
      <c r="AN184" s="771"/>
      <c r="AO184" s="771"/>
      <c r="AP184" s="771"/>
      <c r="AQ184" s="771"/>
      <c r="AR184" s="771"/>
      <c r="AS184" s="771"/>
      <c r="AT184" s="771"/>
      <c r="AU184" s="771"/>
    </row>
    <row r="185" spans="1:47" s="1135" customFormat="1" outlineLevel="1" x14ac:dyDescent="0.2">
      <c r="A185" s="17"/>
      <c r="B185" s="75"/>
      <c r="C185" s="1989" t="s">
        <v>1634</v>
      </c>
      <c r="D185" s="1989" t="s">
        <v>5263</v>
      </c>
      <c r="E185" s="1989">
        <v>0.86</v>
      </c>
      <c r="F185" s="38">
        <f t="shared" si="2"/>
        <v>69.936266400000008</v>
      </c>
      <c r="G185" s="459"/>
      <c r="H185" s="8"/>
      <c r="I185" s="8"/>
      <c r="J185" s="8"/>
      <c r="K185" s="8"/>
      <c r="L185" s="8"/>
      <c r="M185" s="8"/>
      <c r="N185" s="8"/>
      <c r="O185" s="8"/>
      <c r="P185" s="8"/>
      <c r="Q185" s="8"/>
      <c r="R185" s="8"/>
      <c r="S185" s="8"/>
      <c r="T185" s="8"/>
      <c r="U185" s="8"/>
      <c r="V185" s="8"/>
      <c r="W185" s="8"/>
      <c r="X185" s="771"/>
      <c r="Y185" s="771"/>
      <c r="Z185" s="771"/>
      <c r="AA185" s="771"/>
      <c r="AB185" s="771"/>
      <c r="AC185" s="771"/>
      <c r="AD185" s="771"/>
      <c r="AE185" s="771"/>
      <c r="AF185" s="771"/>
      <c r="AG185" s="771"/>
      <c r="AH185" s="771"/>
      <c r="AI185" s="771"/>
      <c r="AJ185" s="771"/>
      <c r="AK185" s="771"/>
      <c r="AL185" s="771"/>
      <c r="AM185" s="771"/>
      <c r="AN185" s="771"/>
      <c r="AO185" s="771"/>
      <c r="AP185" s="771"/>
      <c r="AQ185" s="771"/>
      <c r="AR185" s="771"/>
      <c r="AS185" s="771"/>
      <c r="AT185" s="771"/>
      <c r="AU185" s="771"/>
    </row>
    <row r="186" spans="1:47" s="1135" customFormat="1" outlineLevel="1" x14ac:dyDescent="0.2">
      <c r="A186" s="17"/>
      <c r="B186" s="75"/>
      <c r="C186" s="1989" t="s">
        <v>1636</v>
      </c>
      <c r="D186" s="1989" t="s">
        <v>3817</v>
      </c>
      <c r="E186" s="1989">
        <v>0.86</v>
      </c>
      <c r="F186" s="38">
        <f t="shared" si="2"/>
        <v>69.936266400000008</v>
      </c>
      <c r="G186" s="459"/>
      <c r="H186" s="8"/>
      <c r="I186" s="8"/>
      <c r="J186" s="8"/>
      <c r="K186" s="8"/>
      <c r="L186" s="8"/>
      <c r="M186" s="8"/>
      <c r="N186" s="8"/>
      <c r="O186" s="8"/>
      <c r="P186" s="8"/>
      <c r="Q186" s="8"/>
      <c r="R186" s="8"/>
      <c r="S186" s="8"/>
      <c r="T186" s="8"/>
      <c r="U186" s="8"/>
      <c r="V186" s="8"/>
      <c r="W186" s="8"/>
      <c r="X186" s="771"/>
      <c r="Y186" s="771"/>
      <c r="Z186" s="771"/>
      <c r="AA186" s="771"/>
      <c r="AB186" s="771"/>
      <c r="AC186" s="771"/>
      <c r="AD186" s="771"/>
      <c r="AE186" s="771"/>
      <c r="AF186" s="771"/>
      <c r="AG186" s="771"/>
      <c r="AH186" s="771"/>
      <c r="AI186" s="771"/>
      <c r="AJ186" s="771"/>
      <c r="AK186" s="771"/>
      <c r="AL186" s="771"/>
      <c r="AM186" s="771"/>
      <c r="AN186" s="771"/>
      <c r="AO186" s="771"/>
      <c r="AP186" s="771"/>
      <c r="AQ186" s="771"/>
      <c r="AR186" s="771"/>
      <c r="AS186" s="771"/>
      <c r="AT186" s="771"/>
      <c r="AU186" s="771"/>
    </row>
    <row r="187" spans="1:47" s="1135" customFormat="1" outlineLevel="1" x14ac:dyDescent="0.2">
      <c r="A187" s="17"/>
      <c r="B187" s="75"/>
      <c r="C187" s="1989" t="s">
        <v>768</v>
      </c>
      <c r="D187" s="1989" t="s">
        <v>769</v>
      </c>
      <c r="E187" s="1989">
        <v>15.84</v>
      </c>
      <c r="F187" s="38">
        <f t="shared" si="2"/>
        <v>1288.1284416000001</v>
      </c>
      <c r="G187" s="459"/>
      <c r="H187" s="8"/>
      <c r="I187" s="8"/>
      <c r="J187" s="8"/>
      <c r="K187" s="8"/>
      <c r="L187" s="8"/>
      <c r="M187" s="8"/>
      <c r="N187" s="8"/>
      <c r="O187" s="8"/>
      <c r="P187" s="8"/>
      <c r="Q187" s="8"/>
      <c r="R187" s="8"/>
      <c r="S187" s="8"/>
      <c r="T187" s="8"/>
      <c r="U187" s="8"/>
      <c r="V187" s="8"/>
      <c r="W187" s="8"/>
      <c r="X187" s="771"/>
      <c r="Y187" s="771"/>
      <c r="Z187" s="771"/>
      <c r="AA187" s="771"/>
      <c r="AB187" s="771"/>
      <c r="AC187" s="771"/>
      <c r="AD187" s="771"/>
      <c r="AE187" s="771"/>
      <c r="AF187" s="771"/>
      <c r="AG187" s="771"/>
      <c r="AH187" s="771"/>
      <c r="AI187" s="771"/>
      <c r="AJ187" s="771"/>
      <c r="AK187" s="771"/>
      <c r="AL187" s="771"/>
      <c r="AM187" s="771"/>
      <c r="AN187" s="771"/>
      <c r="AO187" s="771"/>
      <c r="AP187" s="771"/>
      <c r="AQ187" s="771"/>
      <c r="AR187" s="771"/>
      <c r="AS187" s="771"/>
      <c r="AT187" s="771"/>
      <c r="AU187" s="771"/>
    </row>
    <row r="188" spans="1:47" s="1135" customFormat="1" outlineLevel="1" x14ac:dyDescent="0.2">
      <c r="A188" s="17"/>
      <c r="B188" s="75"/>
      <c r="C188" s="1989" t="s">
        <v>536</v>
      </c>
      <c r="D188" s="1989" t="s">
        <v>7332</v>
      </c>
      <c r="E188" s="1989">
        <v>15.98</v>
      </c>
      <c r="F188" s="38">
        <f t="shared" si="2"/>
        <v>1299.5134152000001</v>
      </c>
      <c r="G188" s="459"/>
      <c r="H188" s="8"/>
      <c r="I188" s="8"/>
      <c r="J188" s="8"/>
      <c r="K188" s="8"/>
      <c r="L188" s="8"/>
      <c r="M188" s="8"/>
      <c r="N188" s="8"/>
      <c r="O188" s="8"/>
      <c r="P188" s="8"/>
      <c r="Q188" s="8"/>
      <c r="R188" s="8"/>
      <c r="S188" s="8"/>
      <c r="T188" s="8"/>
      <c r="U188" s="8"/>
      <c r="V188" s="8"/>
      <c r="W188" s="8"/>
      <c r="X188" s="771"/>
      <c r="Y188" s="771"/>
      <c r="Z188" s="771"/>
      <c r="AA188" s="771"/>
      <c r="AB188" s="771"/>
      <c r="AC188" s="771"/>
      <c r="AD188" s="771"/>
      <c r="AE188" s="771"/>
      <c r="AF188" s="771"/>
      <c r="AG188" s="771"/>
      <c r="AH188" s="771"/>
      <c r="AI188" s="771"/>
      <c r="AJ188" s="771"/>
      <c r="AK188" s="771"/>
      <c r="AL188" s="771"/>
      <c r="AM188" s="771"/>
      <c r="AN188" s="771"/>
      <c r="AO188" s="771"/>
      <c r="AP188" s="771"/>
      <c r="AQ188" s="771"/>
      <c r="AR188" s="771"/>
      <c r="AS188" s="771"/>
      <c r="AT188" s="771"/>
      <c r="AU188" s="771"/>
    </row>
    <row r="189" spans="1:47" s="1135" customFormat="1" outlineLevel="1" x14ac:dyDescent="0.2">
      <c r="A189" s="17"/>
      <c r="B189" s="75"/>
      <c r="C189" s="1989" t="s">
        <v>774</v>
      </c>
      <c r="D189" s="1989" t="s">
        <v>7333</v>
      </c>
      <c r="E189" s="1989">
        <v>23.19</v>
      </c>
      <c r="F189" s="38">
        <f t="shared" si="2"/>
        <v>1885.8395556</v>
      </c>
      <c r="G189" s="459"/>
      <c r="H189" s="8"/>
      <c r="I189" s="8"/>
      <c r="J189" s="8"/>
      <c r="K189" s="8"/>
      <c r="L189" s="8"/>
      <c r="M189" s="8"/>
      <c r="N189" s="8"/>
      <c r="O189" s="8"/>
      <c r="P189" s="8"/>
      <c r="Q189" s="8"/>
      <c r="R189" s="8"/>
      <c r="S189" s="8"/>
      <c r="T189" s="8"/>
      <c r="U189" s="8"/>
      <c r="V189" s="8"/>
      <c r="W189" s="8"/>
      <c r="X189" s="771"/>
      <c r="Y189" s="771"/>
      <c r="Z189" s="771"/>
      <c r="AA189" s="771"/>
      <c r="AB189" s="771"/>
      <c r="AC189" s="771"/>
      <c r="AD189" s="771"/>
      <c r="AE189" s="771"/>
      <c r="AF189" s="771"/>
      <c r="AG189" s="771"/>
      <c r="AH189" s="771"/>
      <c r="AI189" s="771"/>
      <c r="AJ189" s="771"/>
      <c r="AK189" s="771"/>
      <c r="AL189" s="771"/>
      <c r="AM189" s="771"/>
      <c r="AN189" s="771"/>
      <c r="AO189" s="771"/>
      <c r="AP189" s="771"/>
      <c r="AQ189" s="771"/>
      <c r="AR189" s="771"/>
      <c r="AS189" s="771"/>
      <c r="AT189" s="771"/>
      <c r="AU189" s="771"/>
    </row>
    <row r="190" spans="1:47" s="1135" customFormat="1" outlineLevel="1" x14ac:dyDescent="0.2">
      <c r="A190" s="17"/>
      <c r="B190" s="75"/>
      <c r="C190" s="1989" t="s">
        <v>2475</v>
      </c>
      <c r="D190" s="1989" t="s">
        <v>7334</v>
      </c>
      <c r="E190" s="1989">
        <v>22.94</v>
      </c>
      <c r="F190" s="38">
        <f t="shared" si="2"/>
        <v>1865.5092456000002</v>
      </c>
      <c r="G190" s="459"/>
      <c r="H190" s="8"/>
      <c r="I190" s="8"/>
      <c r="J190" s="8"/>
      <c r="K190" s="8"/>
      <c r="L190" s="8"/>
      <c r="M190" s="8"/>
      <c r="N190" s="8"/>
      <c r="O190" s="8"/>
      <c r="P190" s="8"/>
      <c r="Q190" s="8"/>
      <c r="R190" s="8"/>
      <c r="S190" s="8"/>
      <c r="T190" s="8"/>
      <c r="U190" s="8"/>
      <c r="V190" s="8"/>
      <c r="W190" s="8"/>
      <c r="X190" s="771"/>
      <c r="Y190" s="771"/>
      <c r="Z190" s="771"/>
      <c r="AA190" s="771"/>
      <c r="AB190" s="771"/>
      <c r="AC190" s="771"/>
      <c r="AD190" s="771"/>
      <c r="AE190" s="771"/>
      <c r="AF190" s="771"/>
      <c r="AG190" s="771"/>
      <c r="AH190" s="771"/>
      <c r="AI190" s="771"/>
      <c r="AJ190" s="771"/>
      <c r="AK190" s="771"/>
      <c r="AL190" s="771"/>
      <c r="AM190" s="771"/>
      <c r="AN190" s="771"/>
      <c r="AO190" s="771"/>
      <c r="AP190" s="771"/>
      <c r="AQ190" s="771"/>
      <c r="AR190" s="771"/>
      <c r="AS190" s="771"/>
      <c r="AT190" s="771"/>
      <c r="AU190" s="771"/>
    </row>
    <row r="191" spans="1:47" s="1135" customFormat="1" outlineLevel="1" x14ac:dyDescent="0.2">
      <c r="A191" s="17"/>
      <c r="B191" s="75"/>
      <c r="C191" s="1989" t="s">
        <v>645</v>
      </c>
      <c r="D191" s="1989" t="s">
        <v>7335</v>
      </c>
      <c r="E191" s="1989">
        <v>26.77</v>
      </c>
      <c r="F191" s="38">
        <f t="shared" si="2"/>
        <v>2176.9695947999999</v>
      </c>
      <c r="G191" s="459"/>
      <c r="H191" s="8"/>
      <c r="I191" s="8"/>
      <c r="J191" s="8"/>
      <c r="K191" s="8"/>
      <c r="L191" s="8"/>
      <c r="M191" s="8"/>
      <c r="N191" s="8"/>
      <c r="O191" s="8"/>
      <c r="P191" s="8"/>
      <c r="Q191" s="8"/>
      <c r="R191" s="8"/>
      <c r="S191" s="8"/>
      <c r="T191" s="8"/>
      <c r="U191" s="8"/>
      <c r="V191" s="8"/>
      <c r="W191" s="8"/>
      <c r="X191" s="771"/>
      <c r="Y191" s="771"/>
      <c r="Z191" s="771"/>
      <c r="AA191" s="771"/>
      <c r="AB191" s="771"/>
      <c r="AC191" s="771"/>
      <c r="AD191" s="771"/>
      <c r="AE191" s="771"/>
      <c r="AF191" s="771"/>
      <c r="AG191" s="771"/>
      <c r="AH191" s="771"/>
      <c r="AI191" s="771"/>
      <c r="AJ191" s="771"/>
      <c r="AK191" s="771"/>
      <c r="AL191" s="771"/>
      <c r="AM191" s="771"/>
      <c r="AN191" s="771"/>
      <c r="AO191" s="771"/>
      <c r="AP191" s="771"/>
      <c r="AQ191" s="771"/>
      <c r="AR191" s="771"/>
      <c r="AS191" s="771"/>
      <c r="AT191" s="771"/>
      <c r="AU191" s="771"/>
    </row>
    <row r="192" spans="1:47" s="1135" customFormat="1" outlineLevel="1" x14ac:dyDescent="0.2">
      <c r="A192" s="17"/>
      <c r="B192" s="75"/>
      <c r="C192" s="1989" t="s">
        <v>2188</v>
      </c>
      <c r="D192" s="1989" t="s">
        <v>5264</v>
      </c>
      <c r="E192" s="1989">
        <v>0.08</v>
      </c>
      <c r="F192" s="38">
        <f t="shared" si="2"/>
        <v>6.5056992000000005</v>
      </c>
      <c r="G192" s="459"/>
      <c r="H192" s="8"/>
      <c r="I192" s="8"/>
      <c r="J192" s="8"/>
      <c r="K192" s="8"/>
      <c r="L192" s="8"/>
      <c r="M192" s="8"/>
      <c r="N192" s="8"/>
      <c r="O192" s="8"/>
      <c r="P192" s="8"/>
      <c r="Q192" s="8"/>
      <c r="R192" s="8"/>
      <c r="S192" s="8"/>
      <c r="T192" s="8"/>
      <c r="U192" s="8"/>
      <c r="V192" s="8"/>
      <c r="W192" s="8"/>
      <c r="X192" s="771"/>
      <c r="Y192" s="771"/>
      <c r="Z192" s="771"/>
      <c r="AA192" s="771"/>
      <c r="AB192" s="771"/>
      <c r="AC192" s="771"/>
      <c r="AD192" s="771"/>
      <c r="AE192" s="771"/>
      <c r="AF192" s="771"/>
      <c r="AG192" s="771"/>
      <c r="AH192" s="771"/>
      <c r="AI192" s="771"/>
      <c r="AJ192" s="771"/>
      <c r="AK192" s="771"/>
      <c r="AL192" s="771"/>
      <c r="AM192" s="771"/>
      <c r="AN192" s="771"/>
      <c r="AO192" s="771"/>
      <c r="AP192" s="771"/>
      <c r="AQ192" s="771"/>
      <c r="AR192" s="771"/>
      <c r="AS192" s="771"/>
      <c r="AT192" s="771"/>
      <c r="AU192" s="771"/>
    </row>
    <row r="193" spans="1:47" s="1135" customFormat="1" outlineLevel="1" x14ac:dyDescent="0.2">
      <c r="A193" s="17"/>
      <c r="B193" s="75"/>
      <c r="C193" s="1989" t="s">
        <v>2182</v>
      </c>
      <c r="D193" s="1989" t="s">
        <v>2125</v>
      </c>
      <c r="E193" s="1989">
        <v>2.0099999999999998</v>
      </c>
      <c r="F193" s="38">
        <f t="shared" si="2"/>
        <v>163.45569239999998</v>
      </c>
      <c r="G193" s="459"/>
      <c r="H193" s="8"/>
      <c r="I193" s="8"/>
      <c r="J193" s="8"/>
      <c r="K193" s="8"/>
      <c r="L193" s="8"/>
      <c r="M193" s="8"/>
      <c r="N193" s="8"/>
      <c r="O193" s="8"/>
      <c r="P193" s="8"/>
      <c r="Q193" s="8"/>
      <c r="R193" s="8"/>
      <c r="S193" s="8"/>
      <c r="T193" s="8"/>
      <c r="U193" s="8"/>
      <c r="V193" s="8"/>
      <c r="W193" s="8"/>
      <c r="X193" s="771"/>
      <c r="Y193" s="771"/>
      <c r="Z193" s="771"/>
      <c r="AA193" s="771"/>
      <c r="AB193" s="771"/>
      <c r="AC193" s="771"/>
      <c r="AD193" s="771"/>
      <c r="AE193" s="771"/>
      <c r="AF193" s="771"/>
      <c r="AG193" s="771"/>
      <c r="AH193" s="771"/>
      <c r="AI193" s="771"/>
      <c r="AJ193" s="771"/>
      <c r="AK193" s="771"/>
      <c r="AL193" s="771"/>
      <c r="AM193" s="771"/>
      <c r="AN193" s="771"/>
      <c r="AO193" s="771"/>
      <c r="AP193" s="771"/>
      <c r="AQ193" s="771"/>
      <c r="AR193" s="771"/>
      <c r="AS193" s="771"/>
      <c r="AT193" s="771"/>
      <c r="AU193" s="771"/>
    </row>
    <row r="194" spans="1:47" s="1135" customFormat="1" outlineLevel="1" x14ac:dyDescent="0.2">
      <c r="A194" s="17"/>
      <c r="B194" s="75"/>
      <c r="C194" s="1989" t="s">
        <v>1304</v>
      </c>
      <c r="D194" s="1989" t="s">
        <v>5265</v>
      </c>
      <c r="E194" s="1989">
        <v>5.43</v>
      </c>
      <c r="F194" s="38">
        <f t="shared" si="2"/>
        <v>441.57433319999996</v>
      </c>
      <c r="G194" s="459"/>
      <c r="H194" s="8"/>
      <c r="I194" s="8"/>
      <c r="J194" s="8"/>
      <c r="K194" s="8"/>
      <c r="L194" s="8"/>
      <c r="M194" s="8"/>
      <c r="N194" s="8"/>
      <c r="O194" s="8"/>
      <c r="P194" s="8"/>
      <c r="Q194" s="8"/>
      <c r="R194" s="8"/>
      <c r="S194" s="8"/>
      <c r="T194" s="8"/>
      <c r="U194" s="8"/>
      <c r="V194" s="8"/>
      <c r="W194" s="8"/>
      <c r="X194" s="771"/>
      <c r="Y194" s="771"/>
      <c r="Z194" s="771"/>
      <c r="AA194" s="771"/>
      <c r="AB194" s="771"/>
      <c r="AC194" s="771"/>
      <c r="AD194" s="771"/>
      <c r="AE194" s="771"/>
      <c r="AF194" s="771"/>
      <c r="AG194" s="771"/>
      <c r="AH194" s="771"/>
      <c r="AI194" s="771"/>
      <c r="AJ194" s="771"/>
      <c r="AK194" s="771"/>
      <c r="AL194" s="771"/>
      <c r="AM194" s="771"/>
      <c r="AN194" s="771"/>
      <c r="AO194" s="771"/>
      <c r="AP194" s="771"/>
      <c r="AQ194" s="771"/>
      <c r="AR194" s="771"/>
      <c r="AS194" s="771"/>
      <c r="AT194" s="771"/>
      <c r="AU194" s="771"/>
    </row>
    <row r="195" spans="1:47" s="1135" customFormat="1" outlineLevel="1" x14ac:dyDescent="0.2">
      <c r="A195" s="17"/>
      <c r="B195" s="75"/>
      <c r="C195" s="1989" t="s">
        <v>1421</v>
      </c>
      <c r="D195" s="1989" t="s">
        <v>5266</v>
      </c>
      <c r="E195" s="1989">
        <v>5.43</v>
      </c>
      <c r="F195" s="38">
        <f t="shared" si="2"/>
        <v>441.57433319999996</v>
      </c>
      <c r="G195" s="459"/>
      <c r="H195" s="8"/>
      <c r="I195" s="8"/>
      <c r="J195" s="8"/>
      <c r="K195" s="8"/>
      <c r="L195" s="8"/>
      <c r="M195" s="8"/>
      <c r="N195" s="8"/>
      <c r="O195" s="8"/>
      <c r="P195" s="8"/>
      <c r="Q195" s="8"/>
      <c r="R195" s="8"/>
      <c r="S195" s="8"/>
      <c r="T195" s="8"/>
      <c r="U195" s="8"/>
      <c r="V195" s="8"/>
      <c r="W195" s="8"/>
      <c r="X195" s="771"/>
      <c r="Y195" s="771"/>
      <c r="Z195" s="771"/>
      <c r="AA195" s="771"/>
      <c r="AB195" s="771"/>
      <c r="AC195" s="771"/>
      <c r="AD195" s="771"/>
      <c r="AE195" s="771"/>
      <c r="AF195" s="771"/>
      <c r="AG195" s="771"/>
      <c r="AH195" s="771"/>
      <c r="AI195" s="771"/>
      <c r="AJ195" s="771"/>
      <c r="AK195" s="771"/>
      <c r="AL195" s="771"/>
      <c r="AM195" s="771"/>
      <c r="AN195" s="771"/>
      <c r="AO195" s="771"/>
      <c r="AP195" s="771"/>
      <c r="AQ195" s="771"/>
      <c r="AR195" s="771"/>
      <c r="AS195" s="771"/>
      <c r="AT195" s="771"/>
      <c r="AU195" s="771"/>
    </row>
    <row r="196" spans="1:47" s="1135" customFormat="1" outlineLevel="1" x14ac:dyDescent="0.2">
      <c r="A196" s="17"/>
      <c r="B196" s="75"/>
      <c r="C196" s="1989" t="s">
        <v>85</v>
      </c>
      <c r="D196" s="1989" t="s">
        <v>5267</v>
      </c>
      <c r="E196" s="1989">
        <v>6.88</v>
      </c>
      <c r="F196" s="38">
        <f t="shared" si="2"/>
        <v>559.49013120000006</v>
      </c>
      <c r="G196" s="459"/>
      <c r="H196" s="8"/>
      <c r="I196" s="8"/>
      <c r="J196" s="8"/>
      <c r="K196" s="8"/>
      <c r="L196" s="8"/>
      <c r="M196" s="8"/>
      <c r="N196" s="8"/>
      <c r="O196" s="8"/>
      <c r="P196" s="8"/>
      <c r="Q196" s="8"/>
      <c r="R196" s="8"/>
      <c r="S196" s="8"/>
      <c r="T196" s="8"/>
      <c r="U196" s="8"/>
      <c r="V196" s="8"/>
      <c r="W196" s="8"/>
      <c r="X196" s="771"/>
      <c r="Y196" s="771"/>
      <c r="Z196" s="771"/>
      <c r="AA196" s="771"/>
      <c r="AB196" s="771"/>
      <c r="AC196" s="771"/>
      <c r="AD196" s="771"/>
      <c r="AE196" s="771"/>
      <c r="AF196" s="771"/>
      <c r="AG196" s="771"/>
      <c r="AH196" s="771"/>
      <c r="AI196" s="771"/>
      <c r="AJ196" s="771"/>
      <c r="AK196" s="771"/>
      <c r="AL196" s="771"/>
      <c r="AM196" s="771"/>
      <c r="AN196" s="771"/>
      <c r="AO196" s="771"/>
      <c r="AP196" s="771"/>
      <c r="AQ196" s="771"/>
      <c r="AR196" s="771"/>
      <c r="AS196" s="771"/>
      <c r="AT196" s="771"/>
      <c r="AU196" s="771"/>
    </row>
    <row r="197" spans="1:47" s="1135" customFormat="1" outlineLevel="1" x14ac:dyDescent="0.2">
      <c r="A197" s="17"/>
      <c r="B197" s="75"/>
      <c r="C197" s="1989" t="s">
        <v>86</v>
      </c>
      <c r="D197" s="1989" t="s">
        <v>5268</v>
      </c>
      <c r="E197" s="1989">
        <v>6.88</v>
      </c>
      <c r="F197" s="38">
        <f t="shared" si="2"/>
        <v>559.49013120000006</v>
      </c>
      <c r="G197" s="459"/>
      <c r="H197" s="8"/>
      <c r="I197" s="8"/>
      <c r="J197" s="8"/>
      <c r="K197" s="8"/>
      <c r="L197" s="8"/>
      <c r="M197" s="8"/>
      <c r="N197" s="8"/>
      <c r="O197" s="8"/>
      <c r="P197" s="8"/>
      <c r="Q197" s="8"/>
      <c r="R197" s="8"/>
      <c r="S197" s="8"/>
      <c r="T197" s="8"/>
      <c r="U197" s="8"/>
      <c r="V197" s="8"/>
      <c r="W197" s="8"/>
      <c r="X197" s="771"/>
      <c r="Y197" s="771"/>
      <c r="Z197" s="771"/>
      <c r="AA197" s="771"/>
      <c r="AB197" s="771"/>
      <c r="AC197" s="771"/>
      <c r="AD197" s="771"/>
      <c r="AE197" s="771"/>
      <c r="AF197" s="771"/>
      <c r="AG197" s="771"/>
      <c r="AH197" s="771"/>
      <c r="AI197" s="771"/>
      <c r="AJ197" s="771"/>
      <c r="AK197" s="771"/>
      <c r="AL197" s="771"/>
      <c r="AM197" s="771"/>
      <c r="AN197" s="771"/>
      <c r="AO197" s="771"/>
      <c r="AP197" s="771"/>
      <c r="AQ197" s="771"/>
      <c r="AR197" s="771"/>
      <c r="AS197" s="771"/>
      <c r="AT197" s="771"/>
      <c r="AU197" s="771"/>
    </row>
    <row r="198" spans="1:47" s="1135" customFormat="1" outlineLevel="1" x14ac:dyDescent="0.2">
      <c r="A198" s="17"/>
      <c r="B198" s="75"/>
      <c r="C198" s="1989" t="s">
        <v>3537</v>
      </c>
      <c r="D198" s="1989" t="s">
        <v>7336</v>
      </c>
      <c r="E198" s="1989">
        <v>6.42</v>
      </c>
      <c r="F198" s="38">
        <f t="shared" si="2"/>
        <v>522.08236080000006</v>
      </c>
      <c r="G198" s="459"/>
      <c r="H198" s="8"/>
      <c r="I198" s="8"/>
      <c r="J198" s="8"/>
      <c r="K198" s="8"/>
      <c r="L198" s="8"/>
      <c r="M198" s="8"/>
      <c r="N198" s="8"/>
      <c r="O198" s="8"/>
      <c r="P198" s="8"/>
      <c r="Q198" s="8"/>
      <c r="R198" s="8"/>
      <c r="S198" s="8"/>
      <c r="T198" s="8"/>
      <c r="U198" s="8"/>
      <c r="V198" s="8"/>
      <c r="W198" s="8"/>
      <c r="X198" s="771"/>
      <c r="Y198" s="771"/>
      <c r="Z198" s="771"/>
      <c r="AA198" s="771"/>
      <c r="AB198" s="771"/>
      <c r="AC198" s="771"/>
      <c r="AD198" s="771"/>
      <c r="AE198" s="771"/>
      <c r="AF198" s="771"/>
      <c r="AG198" s="771"/>
      <c r="AH198" s="771"/>
      <c r="AI198" s="771"/>
      <c r="AJ198" s="771"/>
      <c r="AK198" s="771"/>
      <c r="AL198" s="771"/>
      <c r="AM198" s="771"/>
      <c r="AN198" s="771"/>
      <c r="AO198" s="771"/>
      <c r="AP198" s="771"/>
      <c r="AQ198" s="771"/>
      <c r="AR198" s="771"/>
      <c r="AS198" s="771"/>
      <c r="AT198" s="771"/>
      <c r="AU198" s="771"/>
    </row>
    <row r="199" spans="1:47" s="1135" customFormat="1" outlineLevel="1" x14ac:dyDescent="0.2">
      <c r="A199" s="17"/>
      <c r="B199" s="75"/>
      <c r="C199" s="1989" t="s">
        <v>649</v>
      </c>
      <c r="D199" s="1989" t="s">
        <v>5269</v>
      </c>
      <c r="E199" s="1989">
        <v>7.4</v>
      </c>
      <c r="F199" s="38">
        <f t="shared" si="2"/>
        <v>601.77717600000005</v>
      </c>
      <c r="G199" s="459"/>
      <c r="H199" s="8"/>
      <c r="I199" s="8"/>
      <c r="J199" s="8"/>
      <c r="K199" s="8"/>
      <c r="L199" s="8"/>
      <c r="M199" s="8"/>
      <c r="N199" s="8"/>
      <c r="O199" s="8"/>
      <c r="P199" s="8"/>
      <c r="Q199" s="8"/>
      <c r="R199" s="8"/>
      <c r="S199" s="8"/>
      <c r="T199" s="8"/>
      <c r="U199" s="8"/>
      <c r="V199" s="8"/>
      <c r="W199" s="8"/>
      <c r="X199" s="771"/>
      <c r="Y199" s="771"/>
      <c r="Z199" s="771"/>
      <c r="AA199" s="771"/>
      <c r="AB199" s="771"/>
      <c r="AC199" s="771"/>
      <c r="AD199" s="771"/>
      <c r="AE199" s="771"/>
      <c r="AF199" s="771"/>
      <c r="AG199" s="771"/>
      <c r="AH199" s="771"/>
      <c r="AI199" s="771"/>
      <c r="AJ199" s="771"/>
      <c r="AK199" s="771"/>
      <c r="AL199" s="771"/>
      <c r="AM199" s="771"/>
      <c r="AN199" s="771"/>
      <c r="AO199" s="771"/>
      <c r="AP199" s="771"/>
      <c r="AQ199" s="771"/>
      <c r="AR199" s="771"/>
      <c r="AS199" s="771"/>
      <c r="AT199" s="771"/>
      <c r="AU199" s="771"/>
    </row>
    <row r="200" spans="1:47" s="1135" customFormat="1" outlineLevel="1" x14ac:dyDescent="0.2">
      <c r="A200" s="17"/>
      <c r="B200" s="75"/>
      <c r="C200" s="1989" t="s">
        <v>650</v>
      </c>
      <c r="D200" s="1989" t="s">
        <v>1827</v>
      </c>
      <c r="E200" s="1989">
        <v>7.4</v>
      </c>
      <c r="F200" s="38">
        <f t="shared" si="2"/>
        <v>601.77717600000005</v>
      </c>
      <c r="G200" s="459"/>
      <c r="H200" s="8"/>
      <c r="I200" s="8"/>
      <c r="J200" s="8"/>
      <c r="K200" s="8"/>
      <c r="L200" s="8"/>
      <c r="M200" s="8"/>
      <c r="N200" s="8"/>
      <c r="O200" s="8"/>
      <c r="P200" s="8"/>
      <c r="Q200" s="8"/>
      <c r="R200" s="8"/>
      <c r="S200" s="8"/>
      <c r="T200" s="8"/>
      <c r="U200" s="8"/>
      <c r="V200" s="8"/>
      <c r="W200" s="8"/>
      <c r="X200" s="771"/>
      <c r="Y200" s="771"/>
      <c r="Z200" s="771"/>
      <c r="AA200" s="771"/>
      <c r="AB200" s="771"/>
      <c r="AC200" s="771"/>
      <c r="AD200" s="771"/>
      <c r="AE200" s="771"/>
      <c r="AF200" s="771"/>
      <c r="AG200" s="771"/>
      <c r="AH200" s="771"/>
      <c r="AI200" s="771"/>
      <c r="AJ200" s="771"/>
      <c r="AK200" s="771"/>
      <c r="AL200" s="771"/>
      <c r="AM200" s="771"/>
      <c r="AN200" s="771"/>
      <c r="AO200" s="771"/>
      <c r="AP200" s="771"/>
      <c r="AQ200" s="771"/>
      <c r="AR200" s="771"/>
      <c r="AS200" s="771"/>
      <c r="AT200" s="771"/>
      <c r="AU200" s="771"/>
    </row>
    <row r="201" spans="1:47" s="1135" customFormat="1" outlineLevel="1" x14ac:dyDescent="0.2">
      <c r="A201" s="17"/>
      <c r="B201" s="75"/>
      <c r="C201" s="1989" t="s">
        <v>3538</v>
      </c>
      <c r="D201" s="1989" t="s">
        <v>7337</v>
      </c>
      <c r="E201" s="1989">
        <v>6.67</v>
      </c>
      <c r="F201" s="38">
        <f t="shared" si="2"/>
        <v>542.4126708</v>
      </c>
      <c r="G201" s="459"/>
      <c r="H201" s="8"/>
      <c r="I201" s="8"/>
      <c r="J201" s="8"/>
      <c r="K201" s="8"/>
      <c r="L201" s="8"/>
      <c r="M201" s="8"/>
      <c r="N201" s="8"/>
      <c r="O201" s="8"/>
      <c r="P201" s="8"/>
      <c r="Q201" s="8"/>
      <c r="R201" s="8"/>
      <c r="S201" s="8"/>
      <c r="T201" s="8"/>
      <c r="U201" s="8"/>
      <c r="V201" s="8"/>
      <c r="W201" s="8"/>
      <c r="X201" s="771"/>
      <c r="Y201" s="771"/>
      <c r="Z201" s="771"/>
      <c r="AA201" s="771"/>
      <c r="AB201" s="771"/>
      <c r="AC201" s="771"/>
      <c r="AD201" s="771"/>
      <c r="AE201" s="771"/>
      <c r="AF201" s="771"/>
      <c r="AG201" s="771"/>
      <c r="AH201" s="771"/>
      <c r="AI201" s="771"/>
      <c r="AJ201" s="771"/>
      <c r="AK201" s="771"/>
      <c r="AL201" s="771"/>
      <c r="AM201" s="771"/>
      <c r="AN201" s="771"/>
      <c r="AO201" s="771"/>
      <c r="AP201" s="771"/>
      <c r="AQ201" s="771"/>
      <c r="AR201" s="771"/>
      <c r="AS201" s="771"/>
      <c r="AT201" s="771"/>
      <c r="AU201" s="771"/>
    </row>
    <row r="202" spans="1:47" s="1135" customFormat="1" outlineLevel="1" x14ac:dyDescent="0.2">
      <c r="A202" s="17"/>
      <c r="B202" s="75"/>
      <c r="C202" s="1989" t="s">
        <v>1039</v>
      </c>
      <c r="D202" s="1989" t="s">
        <v>5270</v>
      </c>
      <c r="E202" s="1989">
        <v>8.5299999999999994</v>
      </c>
      <c r="F202" s="38">
        <f t="shared" si="2"/>
        <v>693.67017720000001</v>
      </c>
      <c r="G202" s="459"/>
      <c r="H202" s="8"/>
      <c r="I202" s="8"/>
      <c r="J202" s="8"/>
      <c r="K202" s="8"/>
      <c r="L202" s="8"/>
      <c r="M202" s="8"/>
      <c r="N202" s="8"/>
      <c r="O202" s="8"/>
      <c r="P202" s="8"/>
      <c r="Q202" s="8"/>
      <c r="R202" s="8"/>
      <c r="S202" s="8"/>
      <c r="T202" s="8"/>
      <c r="U202" s="8"/>
      <c r="V202" s="8"/>
      <c r="W202" s="8"/>
      <c r="X202" s="771"/>
      <c r="Y202" s="771"/>
      <c r="Z202" s="771"/>
      <c r="AA202" s="771"/>
      <c r="AB202" s="771"/>
      <c r="AC202" s="771"/>
      <c r="AD202" s="771"/>
      <c r="AE202" s="771"/>
      <c r="AF202" s="771"/>
      <c r="AG202" s="771"/>
      <c r="AH202" s="771"/>
      <c r="AI202" s="771"/>
      <c r="AJ202" s="771"/>
      <c r="AK202" s="771"/>
      <c r="AL202" s="771"/>
      <c r="AM202" s="771"/>
      <c r="AN202" s="771"/>
      <c r="AO202" s="771"/>
      <c r="AP202" s="771"/>
      <c r="AQ202" s="771"/>
      <c r="AR202" s="771"/>
      <c r="AS202" s="771"/>
      <c r="AT202" s="771"/>
      <c r="AU202" s="771"/>
    </row>
    <row r="203" spans="1:47" s="1135" customFormat="1" outlineLevel="1" x14ac:dyDescent="0.2">
      <c r="A203" s="17"/>
      <c r="B203" s="75"/>
      <c r="C203" s="1989" t="s">
        <v>1040</v>
      </c>
      <c r="D203" s="1989" t="s">
        <v>5271</v>
      </c>
      <c r="E203" s="1989">
        <v>8.5299999999999994</v>
      </c>
      <c r="F203" s="38">
        <f t="shared" si="2"/>
        <v>693.67017720000001</v>
      </c>
      <c r="G203" s="459"/>
      <c r="H203" s="8"/>
      <c r="I203" s="8"/>
      <c r="J203" s="8"/>
      <c r="K203" s="8"/>
      <c r="L203" s="8"/>
      <c r="M203" s="8"/>
      <c r="N203" s="8"/>
      <c r="O203" s="8"/>
      <c r="P203" s="8"/>
      <c r="Q203" s="8"/>
      <c r="R203" s="8"/>
      <c r="S203" s="8"/>
      <c r="T203" s="8"/>
      <c r="U203" s="8"/>
      <c r="V203" s="8"/>
      <c r="W203" s="8"/>
      <c r="X203" s="771"/>
      <c r="Y203" s="771"/>
      <c r="Z203" s="771"/>
      <c r="AA203" s="771"/>
      <c r="AB203" s="771"/>
      <c r="AC203" s="771"/>
      <c r="AD203" s="771"/>
      <c r="AE203" s="771"/>
      <c r="AF203" s="771"/>
      <c r="AG203" s="771"/>
      <c r="AH203" s="771"/>
      <c r="AI203" s="771"/>
      <c r="AJ203" s="771"/>
      <c r="AK203" s="771"/>
      <c r="AL203" s="771"/>
      <c r="AM203" s="771"/>
      <c r="AN203" s="771"/>
      <c r="AO203" s="771"/>
      <c r="AP203" s="771"/>
      <c r="AQ203" s="771"/>
      <c r="AR203" s="771"/>
      <c r="AS203" s="771"/>
      <c r="AT203" s="771"/>
      <c r="AU203" s="771"/>
    </row>
    <row r="204" spans="1:47" s="1135" customFormat="1" outlineLevel="1" x14ac:dyDescent="0.2">
      <c r="A204" s="17"/>
      <c r="B204" s="75"/>
      <c r="C204" s="1989" t="s">
        <v>1144</v>
      </c>
      <c r="D204" s="1989" t="s">
        <v>5272</v>
      </c>
      <c r="E204" s="1989">
        <v>8.2200000000000006</v>
      </c>
      <c r="F204" s="38">
        <f t="shared" si="2"/>
        <v>668.46059280000009</v>
      </c>
      <c r="G204" s="459"/>
      <c r="H204" s="8"/>
      <c r="I204" s="8"/>
      <c r="J204" s="8"/>
      <c r="K204" s="8"/>
      <c r="L204" s="8"/>
      <c r="M204" s="8"/>
      <c r="N204" s="8"/>
      <c r="O204" s="8"/>
      <c r="P204" s="8"/>
      <c r="Q204" s="8"/>
      <c r="R204" s="8"/>
      <c r="S204" s="8"/>
      <c r="T204" s="8"/>
      <c r="U204" s="8"/>
      <c r="V204" s="8"/>
      <c r="W204" s="8"/>
      <c r="X204" s="771"/>
      <c r="Y204" s="771"/>
      <c r="Z204" s="771"/>
      <c r="AA204" s="771"/>
      <c r="AB204" s="771"/>
      <c r="AC204" s="771"/>
      <c r="AD204" s="771"/>
      <c r="AE204" s="771"/>
      <c r="AF204" s="771"/>
      <c r="AG204" s="771"/>
      <c r="AH204" s="771"/>
      <c r="AI204" s="771"/>
      <c r="AJ204" s="771"/>
      <c r="AK204" s="771"/>
      <c r="AL204" s="771"/>
      <c r="AM204" s="771"/>
      <c r="AN204" s="771"/>
      <c r="AO204" s="771"/>
      <c r="AP204" s="771"/>
      <c r="AQ204" s="771"/>
      <c r="AR204" s="771"/>
      <c r="AS204" s="771"/>
      <c r="AT204" s="771"/>
      <c r="AU204" s="771"/>
    </row>
    <row r="205" spans="1:47" s="1135" customFormat="1" outlineLevel="1" x14ac:dyDescent="0.2">
      <c r="A205" s="17"/>
      <c r="B205" s="75"/>
      <c r="C205" s="1989" t="s">
        <v>1145</v>
      </c>
      <c r="D205" s="1989" t="s">
        <v>5273</v>
      </c>
      <c r="E205" s="1989">
        <v>8.2200000000000006</v>
      </c>
      <c r="F205" s="38">
        <f t="shared" si="2"/>
        <v>668.46059280000009</v>
      </c>
      <c r="G205" s="459"/>
      <c r="H205" s="8"/>
      <c r="I205" s="8"/>
      <c r="J205" s="8"/>
      <c r="K205" s="8"/>
      <c r="L205" s="8"/>
      <c r="M205" s="8"/>
      <c r="N205" s="8"/>
      <c r="O205" s="8"/>
      <c r="P205" s="8"/>
      <c r="Q205" s="8"/>
      <c r="R205" s="8"/>
      <c r="S205" s="8"/>
      <c r="T205" s="8"/>
      <c r="U205" s="8"/>
      <c r="V205" s="8"/>
      <c r="W205" s="8"/>
      <c r="X205" s="771"/>
      <c r="Y205" s="771"/>
      <c r="Z205" s="771"/>
      <c r="AA205" s="771"/>
      <c r="AB205" s="771"/>
      <c r="AC205" s="771"/>
      <c r="AD205" s="771"/>
      <c r="AE205" s="771"/>
      <c r="AF205" s="771"/>
      <c r="AG205" s="771"/>
      <c r="AH205" s="771"/>
      <c r="AI205" s="771"/>
      <c r="AJ205" s="771"/>
      <c r="AK205" s="771"/>
      <c r="AL205" s="771"/>
      <c r="AM205" s="771"/>
      <c r="AN205" s="771"/>
      <c r="AO205" s="771"/>
      <c r="AP205" s="771"/>
      <c r="AQ205" s="771"/>
      <c r="AR205" s="771"/>
      <c r="AS205" s="771"/>
      <c r="AT205" s="771"/>
      <c r="AU205" s="771"/>
    </row>
    <row r="206" spans="1:47" s="1135" customFormat="1" outlineLevel="1" x14ac:dyDescent="0.2">
      <c r="A206" s="17"/>
      <c r="B206" s="75"/>
      <c r="C206" s="1989" t="s">
        <v>3539</v>
      </c>
      <c r="D206" s="1989" t="s">
        <v>7338</v>
      </c>
      <c r="E206" s="1989">
        <v>6.74</v>
      </c>
      <c r="F206" s="38">
        <f t="shared" si="2"/>
        <v>548.10515759999998</v>
      </c>
      <c r="G206" s="459"/>
      <c r="H206" s="8"/>
      <c r="I206" s="8"/>
      <c r="J206" s="8"/>
      <c r="K206" s="8"/>
      <c r="L206" s="8"/>
      <c r="M206" s="8"/>
      <c r="N206" s="8"/>
      <c r="O206" s="8"/>
      <c r="P206" s="8"/>
      <c r="Q206" s="8"/>
      <c r="R206" s="8"/>
      <c r="S206" s="8"/>
      <c r="T206" s="8"/>
      <c r="U206" s="8"/>
      <c r="V206" s="8"/>
      <c r="W206" s="8"/>
      <c r="X206" s="771"/>
      <c r="Y206" s="771"/>
      <c r="Z206" s="771"/>
      <c r="AA206" s="771"/>
      <c r="AB206" s="771"/>
      <c r="AC206" s="771"/>
      <c r="AD206" s="771"/>
      <c r="AE206" s="771"/>
      <c r="AF206" s="771"/>
      <c r="AG206" s="771"/>
      <c r="AH206" s="771"/>
      <c r="AI206" s="771"/>
      <c r="AJ206" s="771"/>
      <c r="AK206" s="771"/>
      <c r="AL206" s="771"/>
      <c r="AM206" s="771"/>
      <c r="AN206" s="771"/>
      <c r="AO206" s="771"/>
      <c r="AP206" s="771"/>
      <c r="AQ206" s="771"/>
      <c r="AR206" s="771"/>
      <c r="AS206" s="771"/>
      <c r="AT206" s="771"/>
      <c r="AU206" s="771"/>
    </row>
    <row r="207" spans="1:47" s="1135" customFormat="1" outlineLevel="1" x14ac:dyDescent="0.2">
      <c r="A207" s="17"/>
      <c r="B207" s="75"/>
      <c r="C207" s="1989" t="s">
        <v>3540</v>
      </c>
      <c r="D207" s="1989" t="s">
        <v>7339</v>
      </c>
      <c r="E207" s="1989">
        <v>6.74</v>
      </c>
      <c r="F207" s="38">
        <f t="shared" si="2"/>
        <v>548.10515759999998</v>
      </c>
      <c r="G207" s="459"/>
      <c r="H207" s="8"/>
      <c r="I207" s="8"/>
      <c r="J207" s="8"/>
      <c r="K207" s="8"/>
      <c r="L207" s="8"/>
      <c r="M207" s="8"/>
      <c r="N207" s="8"/>
      <c r="O207" s="8"/>
      <c r="P207" s="8"/>
      <c r="Q207" s="8"/>
      <c r="R207" s="8"/>
      <c r="S207" s="8"/>
      <c r="T207" s="8"/>
      <c r="U207" s="8"/>
      <c r="V207" s="8"/>
      <c r="W207" s="8"/>
      <c r="X207" s="771"/>
      <c r="Y207" s="771"/>
      <c r="Z207" s="771"/>
      <c r="AA207" s="771"/>
      <c r="AB207" s="771"/>
      <c r="AC207" s="771"/>
      <c r="AD207" s="771"/>
      <c r="AE207" s="771"/>
      <c r="AF207" s="771"/>
      <c r="AG207" s="771"/>
      <c r="AH207" s="771"/>
      <c r="AI207" s="771"/>
      <c r="AJ207" s="771"/>
      <c r="AK207" s="771"/>
      <c r="AL207" s="771"/>
      <c r="AM207" s="771"/>
      <c r="AN207" s="771"/>
      <c r="AO207" s="771"/>
      <c r="AP207" s="771"/>
      <c r="AQ207" s="771"/>
      <c r="AR207" s="771"/>
      <c r="AS207" s="771"/>
      <c r="AT207" s="771"/>
      <c r="AU207" s="771"/>
    </row>
    <row r="208" spans="1:47" s="1135" customFormat="1" outlineLevel="1" x14ac:dyDescent="0.2">
      <c r="A208" s="17"/>
      <c r="B208" s="75"/>
      <c r="C208" s="1989" t="s">
        <v>653</v>
      </c>
      <c r="D208" s="1989" t="s">
        <v>5274</v>
      </c>
      <c r="E208" s="1989">
        <v>10.18</v>
      </c>
      <c r="F208" s="38">
        <f t="shared" si="2"/>
        <v>827.85022319999996</v>
      </c>
      <c r="G208" s="459"/>
      <c r="H208" s="8"/>
      <c r="I208" s="8"/>
      <c r="J208" s="8"/>
      <c r="K208" s="8"/>
      <c r="L208" s="8"/>
      <c r="M208" s="8"/>
      <c r="N208" s="8"/>
      <c r="O208" s="8"/>
      <c r="P208" s="8"/>
      <c r="Q208" s="8"/>
      <c r="R208" s="8"/>
      <c r="S208" s="8"/>
      <c r="T208" s="8"/>
      <c r="U208" s="8"/>
      <c r="V208" s="8"/>
      <c r="W208" s="8"/>
      <c r="X208" s="771"/>
      <c r="Y208" s="771"/>
      <c r="Z208" s="771"/>
      <c r="AA208" s="771"/>
      <c r="AB208" s="771"/>
      <c r="AC208" s="771"/>
      <c r="AD208" s="771"/>
      <c r="AE208" s="771"/>
      <c r="AF208" s="771"/>
      <c r="AG208" s="771"/>
      <c r="AH208" s="771"/>
      <c r="AI208" s="771"/>
      <c r="AJ208" s="771"/>
      <c r="AK208" s="771"/>
      <c r="AL208" s="771"/>
      <c r="AM208" s="771"/>
      <c r="AN208" s="771"/>
      <c r="AO208" s="771"/>
      <c r="AP208" s="771"/>
      <c r="AQ208" s="771"/>
      <c r="AR208" s="771"/>
      <c r="AS208" s="771"/>
      <c r="AT208" s="771"/>
      <c r="AU208" s="771"/>
    </row>
    <row r="209" spans="1:47" s="1135" customFormat="1" outlineLevel="1" x14ac:dyDescent="0.2">
      <c r="A209" s="17"/>
      <c r="B209" s="75"/>
      <c r="C209" s="1989" t="s">
        <v>654</v>
      </c>
      <c r="D209" s="1989" t="s">
        <v>1828</v>
      </c>
      <c r="E209" s="1989">
        <v>10.18</v>
      </c>
      <c r="F209" s="38">
        <f t="shared" si="2"/>
        <v>827.85022319999996</v>
      </c>
      <c r="G209" s="459"/>
      <c r="H209" s="8"/>
      <c r="I209" s="8"/>
      <c r="J209" s="8"/>
      <c r="K209" s="8"/>
      <c r="L209" s="8"/>
      <c r="M209" s="8"/>
      <c r="N209" s="8"/>
      <c r="O209" s="8"/>
      <c r="P209" s="8"/>
      <c r="Q209" s="8"/>
      <c r="R209" s="8"/>
      <c r="S209" s="8"/>
      <c r="T209" s="8"/>
      <c r="U209" s="8"/>
      <c r="V209" s="8"/>
      <c r="W209" s="8"/>
      <c r="X209" s="771"/>
      <c r="Y209" s="771"/>
      <c r="Z209" s="771"/>
      <c r="AA209" s="771"/>
      <c r="AB209" s="771"/>
      <c r="AC209" s="771"/>
      <c r="AD209" s="771"/>
      <c r="AE209" s="771"/>
      <c r="AF209" s="771"/>
      <c r="AG209" s="771"/>
      <c r="AH209" s="771"/>
      <c r="AI209" s="771"/>
      <c r="AJ209" s="771"/>
      <c r="AK209" s="771"/>
      <c r="AL209" s="771"/>
      <c r="AM209" s="771"/>
      <c r="AN209" s="771"/>
      <c r="AO209" s="771"/>
      <c r="AP209" s="771"/>
      <c r="AQ209" s="771"/>
      <c r="AR209" s="771"/>
      <c r="AS209" s="771"/>
      <c r="AT209" s="771"/>
      <c r="AU209" s="771"/>
    </row>
    <row r="210" spans="1:47" s="1135" customFormat="1" outlineLevel="1" x14ac:dyDescent="0.2">
      <c r="A210" s="17"/>
      <c r="B210" s="75"/>
      <c r="C210" s="1989" t="s">
        <v>1041</v>
      </c>
      <c r="D210" s="1989" t="s">
        <v>1829</v>
      </c>
      <c r="E210" s="1989">
        <v>25.83</v>
      </c>
      <c r="F210" s="38">
        <f t="shared" si="2"/>
        <v>2100.5276291999999</v>
      </c>
      <c r="G210" s="459"/>
      <c r="H210" s="8"/>
      <c r="I210" s="8"/>
      <c r="J210" s="8"/>
      <c r="K210" s="8"/>
      <c r="L210" s="8"/>
      <c r="M210" s="8"/>
      <c r="N210" s="8"/>
      <c r="O210" s="8"/>
      <c r="P210" s="8"/>
      <c r="Q210" s="8"/>
      <c r="R210" s="8"/>
      <c r="S210" s="8"/>
      <c r="T210" s="8"/>
      <c r="U210" s="8"/>
      <c r="V210" s="8"/>
      <c r="W210" s="8"/>
      <c r="X210" s="771"/>
      <c r="Y210" s="771"/>
      <c r="Z210" s="771"/>
      <c r="AA210" s="771"/>
      <c r="AB210" s="771"/>
      <c r="AC210" s="771"/>
      <c r="AD210" s="771"/>
      <c r="AE210" s="771"/>
      <c r="AF210" s="771"/>
      <c r="AG210" s="771"/>
      <c r="AH210" s="771"/>
      <c r="AI210" s="771"/>
      <c r="AJ210" s="771"/>
      <c r="AK210" s="771"/>
      <c r="AL210" s="771"/>
      <c r="AM210" s="771"/>
      <c r="AN210" s="771"/>
      <c r="AO210" s="771"/>
      <c r="AP210" s="771"/>
      <c r="AQ210" s="771"/>
      <c r="AR210" s="771"/>
      <c r="AS210" s="771"/>
      <c r="AT210" s="771"/>
      <c r="AU210" s="771"/>
    </row>
    <row r="211" spans="1:47" s="1135" customFormat="1" outlineLevel="1" x14ac:dyDescent="0.2">
      <c r="A211" s="17"/>
      <c r="B211" s="75"/>
      <c r="C211" s="1989" t="s">
        <v>284</v>
      </c>
      <c r="D211" s="1989" t="s">
        <v>5275</v>
      </c>
      <c r="E211" s="1989">
        <v>6.88</v>
      </c>
      <c r="F211" s="38">
        <f t="shared" si="2"/>
        <v>559.49013120000006</v>
      </c>
      <c r="G211" s="459"/>
      <c r="H211" s="8"/>
      <c r="I211" s="8"/>
      <c r="J211" s="8"/>
      <c r="K211" s="8"/>
      <c r="L211" s="8"/>
      <c r="M211" s="8"/>
      <c r="N211" s="8"/>
      <c r="O211" s="8"/>
      <c r="P211" s="8"/>
      <c r="Q211" s="8"/>
      <c r="R211" s="8"/>
      <c r="S211" s="8"/>
      <c r="T211" s="8"/>
      <c r="U211" s="8"/>
      <c r="V211" s="8"/>
      <c r="W211" s="8"/>
      <c r="X211" s="771"/>
      <c r="Y211" s="771"/>
      <c r="Z211" s="771"/>
      <c r="AA211" s="771"/>
      <c r="AB211" s="771"/>
      <c r="AC211" s="771"/>
      <c r="AD211" s="771"/>
      <c r="AE211" s="771"/>
      <c r="AF211" s="771"/>
      <c r="AG211" s="771"/>
      <c r="AH211" s="771"/>
      <c r="AI211" s="771"/>
      <c r="AJ211" s="771"/>
      <c r="AK211" s="771"/>
      <c r="AL211" s="771"/>
      <c r="AM211" s="771"/>
      <c r="AN211" s="771"/>
      <c r="AO211" s="771"/>
      <c r="AP211" s="771"/>
      <c r="AQ211" s="771"/>
      <c r="AR211" s="771"/>
      <c r="AS211" s="771"/>
      <c r="AT211" s="771"/>
      <c r="AU211" s="771"/>
    </row>
    <row r="212" spans="1:47" s="1135" customFormat="1" outlineLevel="1" x14ac:dyDescent="0.2">
      <c r="A212" s="17"/>
      <c r="B212" s="75"/>
      <c r="C212" s="1989" t="s">
        <v>2135</v>
      </c>
      <c r="D212" s="1989" t="s">
        <v>5276</v>
      </c>
      <c r="E212" s="1989">
        <v>6.88</v>
      </c>
      <c r="F212" s="38">
        <f t="shared" si="2"/>
        <v>559.49013120000006</v>
      </c>
      <c r="G212" s="459"/>
      <c r="H212" s="8"/>
      <c r="I212" s="8"/>
      <c r="J212" s="8"/>
      <c r="K212" s="8"/>
      <c r="L212" s="8"/>
      <c r="M212" s="8"/>
      <c r="N212" s="8"/>
      <c r="O212" s="8"/>
      <c r="P212" s="8"/>
      <c r="Q212" s="8"/>
      <c r="R212" s="8"/>
      <c r="S212" s="8"/>
      <c r="T212" s="8"/>
      <c r="U212" s="8"/>
      <c r="V212" s="8"/>
      <c r="W212" s="8"/>
      <c r="X212" s="771"/>
      <c r="Y212" s="771"/>
      <c r="Z212" s="771"/>
      <c r="AA212" s="771"/>
      <c r="AB212" s="771"/>
      <c r="AC212" s="771"/>
      <c r="AD212" s="771"/>
      <c r="AE212" s="771"/>
      <c r="AF212" s="771"/>
      <c r="AG212" s="771"/>
      <c r="AH212" s="771"/>
      <c r="AI212" s="771"/>
      <c r="AJ212" s="771"/>
      <c r="AK212" s="771"/>
      <c r="AL212" s="771"/>
      <c r="AM212" s="771"/>
      <c r="AN212" s="771"/>
      <c r="AO212" s="771"/>
      <c r="AP212" s="771"/>
      <c r="AQ212" s="771"/>
      <c r="AR212" s="771"/>
      <c r="AS212" s="771"/>
      <c r="AT212" s="771"/>
      <c r="AU212" s="771"/>
    </row>
    <row r="213" spans="1:47" s="1135" customFormat="1" outlineLevel="1" x14ac:dyDescent="0.2">
      <c r="A213" s="17"/>
      <c r="B213" s="75"/>
      <c r="C213" s="1989" t="s">
        <v>9</v>
      </c>
      <c r="D213" s="1989" t="s">
        <v>7340</v>
      </c>
      <c r="E213" s="1989">
        <v>1.18</v>
      </c>
      <c r="F213" s="38">
        <f t="shared" si="2"/>
        <v>95.959063200000003</v>
      </c>
      <c r="G213" s="459"/>
      <c r="H213" s="8"/>
      <c r="I213" s="8"/>
      <c r="J213" s="8"/>
      <c r="K213" s="8"/>
      <c r="L213" s="8"/>
      <c r="M213" s="8"/>
      <c r="N213" s="8"/>
      <c r="O213" s="8"/>
      <c r="P213" s="8"/>
      <c r="Q213" s="8"/>
      <c r="R213" s="8"/>
      <c r="S213" s="8"/>
      <c r="T213" s="8"/>
      <c r="U213" s="8"/>
      <c r="V213" s="8"/>
      <c r="W213" s="8"/>
      <c r="X213" s="771"/>
      <c r="Y213" s="771"/>
      <c r="Z213" s="771"/>
      <c r="AA213" s="771"/>
      <c r="AB213" s="771"/>
      <c r="AC213" s="771"/>
      <c r="AD213" s="771"/>
      <c r="AE213" s="771"/>
      <c r="AF213" s="771"/>
      <c r="AG213" s="771"/>
      <c r="AH213" s="771"/>
      <c r="AI213" s="771"/>
      <c r="AJ213" s="771"/>
      <c r="AK213" s="771"/>
      <c r="AL213" s="771"/>
      <c r="AM213" s="771"/>
      <c r="AN213" s="771"/>
      <c r="AO213" s="771"/>
      <c r="AP213" s="771"/>
      <c r="AQ213" s="771"/>
      <c r="AR213" s="771"/>
      <c r="AS213" s="771"/>
      <c r="AT213" s="771"/>
      <c r="AU213" s="771"/>
    </row>
    <row r="214" spans="1:47" s="1135" customFormat="1" outlineLevel="1" x14ac:dyDescent="0.2">
      <c r="A214" s="17"/>
      <c r="B214" s="75"/>
      <c r="C214" s="1989" t="s">
        <v>11</v>
      </c>
      <c r="D214" s="1989" t="s">
        <v>7341</v>
      </c>
      <c r="E214" s="1989">
        <v>1.18</v>
      </c>
      <c r="F214" s="38">
        <f t="shared" si="2"/>
        <v>95.959063200000003</v>
      </c>
      <c r="G214" s="459"/>
      <c r="H214" s="8"/>
      <c r="I214" s="8"/>
      <c r="J214" s="8"/>
      <c r="K214" s="8"/>
      <c r="L214" s="8"/>
      <c r="M214" s="8"/>
      <c r="N214" s="8"/>
      <c r="O214" s="8"/>
      <c r="P214" s="8"/>
      <c r="Q214" s="8"/>
      <c r="R214" s="8"/>
      <c r="S214" s="8"/>
      <c r="T214" s="8"/>
      <c r="U214" s="8"/>
      <c r="V214" s="8"/>
      <c r="W214" s="8"/>
      <c r="X214" s="771"/>
      <c r="Y214" s="771"/>
      <c r="Z214" s="771"/>
      <c r="AA214" s="771"/>
      <c r="AB214" s="771"/>
      <c r="AC214" s="771"/>
      <c r="AD214" s="771"/>
      <c r="AE214" s="771"/>
      <c r="AF214" s="771"/>
      <c r="AG214" s="771"/>
      <c r="AH214" s="771"/>
      <c r="AI214" s="771"/>
      <c r="AJ214" s="771"/>
      <c r="AK214" s="771"/>
      <c r="AL214" s="771"/>
      <c r="AM214" s="771"/>
      <c r="AN214" s="771"/>
      <c r="AO214" s="771"/>
      <c r="AP214" s="771"/>
      <c r="AQ214" s="771"/>
      <c r="AR214" s="771"/>
      <c r="AS214" s="771"/>
      <c r="AT214" s="771"/>
      <c r="AU214" s="771"/>
    </row>
    <row r="215" spans="1:47" s="1135" customFormat="1" outlineLevel="1" x14ac:dyDescent="0.2">
      <c r="A215" s="17"/>
      <c r="B215" s="75"/>
      <c r="C215" s="1989" t="s">
        <v>13</v>
      </c>
      <c r="D215" s="1989" t="s">
        <v>7342</v>
      </c>
      <c r="E215" s="1989">
        <v>1.95</v>
      </c>
      <c r="F215" s="38">
        <f t="shared" si="2"/>
        <v>158.57641799999999</v>
      </c>
      <c r="G215" s="459"/>
      <c r="H215" s="8"/>
      <c r="I215" s="8"/>
      <c r="J215" s="8"/>
      <c r="K215" s="8"/>
      <c r="L215" s="8"/>
      <c r="M215" s="8"/>
      <c r="N215" s="8"/>
      <c r="O215" s="8"/>
      <c r="P215" s="8"/>
      <c r="Q215" s="8"/>
      <c r="R215" s="8"/>
      <c r="S215" s="8"/>
      <c r="T215" s="8"/>
      <c r="U215" s="8"/>
      <c r="V215" s="8"/>
      <c r="W215" s="8"/>
      <c r="X215" s="771"/>
      <c r="Y215" s="771"/>
      <c r="Z215" s="771"/>
      <c r="AA215" s="771"/>
      <c r="AB215" s="771"/>
      <c r="AC215" s="771"/>
      <c r="AD215" s="771"/>
      <c r="AE215" s="771"/>
      <c r="AF215" s="771"/>
      <c r="AG215" s="771"/>
      <c r="AH215" s="771"/>
      <c r="AI215" s="771"/>
      <c r="AJ215" s="771"/>
      <c r="AK215" s="771"/>
      <c r="AL215" s="771"/>
      <c r="AM215" s="771"/>
      <c r="AN215" s="771"/>
      <c r="AO215" s="771"/>
      <c r="AP215" s="771"/>
      <c r="AQ215" s="771"/>
      <c r="AR215" s="771"/>
      <c r="AS215" s="771"/>
      <c r="AT215" s="771"/>
      <c r="AU215" s="771"/>
    </row>
    <row r="216" spans="1:47" s="1135" customFormat="1" outlineLevel="1" x14ac:dyDescent="0.2">
      <c r="A216" s="17"/>
      <c r="B216" s="75"/>
      <c r="C216" s="1989" t="s">
        <v>15</v>
      </c>
      <c r="D216" s="1989" t="s">
        <v>7343</v>
      </c>
      <c r="E216" s="1989">
        <v>1.95</v>
      </c>
      <c r="F216" s="38">
        <f t="shared" si="2"/>
        <v>158.57641799999999</v>
      </c>
      <c r="G216" s="459"/>
      <c r="H216" s="8"/>
      <c r="I216" s="8"/>
      <c r="J216" s="8"/>
      <c r="K216" s="8"/>
      <c r="L216" s="8"/>
      <c r="M216" s="8"/>
      <c r="N216" s="8"/>
      <c r="O216" s="8"/>
      <c r="P216" s="8"/>
      <c r="Q216" s="8"/>
      <c r="R216" s="8"/>
      <c r="S216" s="8"/>
      <c r="T216" s="8"/>
      <c r="U216" s="8"/>
      <c r="V216" s="8"/>
      <c r="W216" s="8"/>
      <c r="X216" s="771"/>
      <c r="Y216" s="771"/>
      <c r="Z216" s="771"/>
      <c r="AA216" s="771"/>
      <c r="AB216" s="771"/>
      <c r="AC216" s="771"/>
      <c r="AD216" s="771"/>
      <c r="AE216" s="771"/>
      <c r="AF216" s="771"/>
      <c r="AG216" s="771"/>
      <c r="AH216" s="771"/>
      <c r="AI216" s="771"/>
      <c r="AJ216" s="771"/>
      <c r="AK216" s="771"/>
      <c r="AL216" s="771"/>
      <c r="AM216" s="771"/>
      <c r="AN216" s="771"/>
      <c r="AO216" s="771"/>
      <c r="AP216" s="771"/>
      <c r="AQ216" s="771"/>
      <c r="AR216" s="771"/>
      <c r="AS216" s="771"/>
      <c r="AT216" s="771"/>
      <c r="AU216" s="771"/>
    </row>
    <row r="217" spans="1:47" s="1135" customFormat="1" outlineLevel="1" x14ac:dyDescent="0.2">
      <c r="A217" s="17"/>
      <c r="B217" s="75"/>
      <c r="C217" s="1989" t="s">
        <v>2070</v>
      </c>
      <c r="D217" s="1989" t="s">
        <v>7344</v>
      </c>
      <c r="E217" s="1989">
        <v>38.4</v>
      </c>
      <c r="F217" s="38">
        <f t="shared" si="2"/>
        <v>3122.7356159999999</v>
      </c>
      <c r="G217" s="459"/>
      <c r="H217" s="8"/>
      <c r="I217" s="8"/>
      <c r="J217" s="8"/>
      <c r="K217" s="8"/>
      <c r="L217" s="8"/>
      <c r="M217" s="8"/>
      <c r="N217" s="8"/>
      <c r="O217" s="8"/>
      <c r="P217" s="8"/>
      <c r="Q217" s="8"/>
      <c r="R217" s="8"/>
      <c r="S217" s="8"/>
      <c r="T217" s="8"/>
      <c r="U217" s="8"/>
      <c r="V217" s="8"/>
      <c r="W217" s="8"/>
      <c r="X217" s="771"/>
      <c r="Y217" s="771"/>
      <c r="Z217" s="771"/>
      <c r="AA217" s="771"/>
      <c r="AB217" s="771"/>
      <c r="AC217" s="771"/>
      <c r="AD217" s="771"/>
      <c r="AE217" s="771"/>
      <c r="AF217" s="771"/>
      <c r="AG217" s="771"/>
      <c r="AH217" s="771"/>
      <c r="AI217" s="771"/>
      <c r="AJ217" s="771"/>
      <c r="AK217" s="771"/>
      <c r="AL217" s="771"/>
      <c r="AM217" s="771"/>
      <c r="AN217" s="771"/>
      <c r="AO217" s="771"/>
      <c r="AP217" s="771"/>
      <c r="AQ217" s="771"/>
      <c r="AR217" s="771"/>
      <c r="AS217" s="771"/>
      <c r="AT217" s="771"/>
      <c r="AU217" s="771"/>
    </row>
    <row r="218" spans="1:47" s="1135" customFormat="1" outlineLevel="1" x14ac:dyDescent="0.2">
      <c r="A218" s="17"/>
      <c r="B218" s="75"/>
      <c r="C218" s="1989" t="s">
        <v>2071</v>
      </c>
      <c r="D218" s="1989" t="s">
        <v>5277</v>
      </c>
      <c r="E218" s="1989">
        <v>9.18</v>
      </c>
      <c r="F218" s="38">
        <f t="shared" si="2"/>
        <v>746.52898320000008</v>
      </c>
      <c r="G218" s="459"/>
      <c r="H218" s="8"/>
      <c r="I218" s="8"/>
      <c r="J218" s="8"/>
      <c r="K218" s="8"/>
      <c r="L218" s="8"/>
      <c r="M218" s="8"/>
      <c r="N218" s="8"/>
      <c r="O218" s="8"/>
      <c r="P218" s="8"/>
      <c r="Q218" s="8"/>
      <c r="R218" s="8"/>
      <c r="S218" s="8"/>
      <c r="T218" s="8"/>
      <c r="U218" s="8"/>
      <c r="V218" s="8"/>
      <c r="W218" s="8"/>
      <c r="X218" s="771"/>
      <c r="Y218" s="771"/>
      <c r="Z218" s="771"/>
      <c r="AA218" s="771"/>
      <c r="AB218" s="771"/>
      <c r="AC218" s="771"/>
      <c r="AD218" s="771"/>
      <c r="AE218" s="771"/>
      <c r="AF218" s="771"/>
      <c r="AG218" s="771"/>
      <c r="AH218" s="771"/>
      <c r="AI218" s="771"/>
      <c r="AJ218" s="771"/>
      <c r="AK218" s="771"/>
      <c r="AL218" s="771"/>
      <c r="AM218" s="771"/>
      <c r="AN218" s="771"/>
      <c r="AO218" s="771"/>
      <c r="AP218" s="771"/>
      <c r="AQ218" s="771"/>
      <c r="AR218" s="771"/>
      <c r="AS218" s="771"/>
      <c r="AT218" s="771"/>
      <c r="AU218" s="771"/>
    </row>
    <row r="219" spans="1:47" s="1135" customFormat="1" outlineLevel="1" x14ac:dyDescent="0.2">
      <c r="A219" s="17"/>
      <c r="B219" s="75"/>
      <c r="C219" s="1989" t="s">
        <v>3184</v>
      </c>
      <c r="D219" s="1989" t="s">
        <v>3185</v>
      </c>
      <c r="E219" s="1989">
        <v>4.59</v>
      </c>
      <c r="F219" s="38">
        <f t="shared" si="2"/>
        <v>373.26449160000004</v>
      </c>
      <c r="G219" s="459"/>
      <c r="H219" s="8"/>
      <c r="I219" s="8"/>
      <c r="J219" s="8"/>
      <c r="K219" s="8"/>
      <c r="L219" s="8"/>
      <c r="M219" s="8"/>
      <c r="N219" s="8"/>
      <c r="O219" s="8"/>
      <c r="P219" s="8"/>
      <c r="Q219" s="8"/>
      <c r="R219" s="8"/>
      <c r="S219" s="8"/>
      <c r="T219" s="8"/>
      <c r="U219" s="8"/>
      <c r="V219" s="8"/>
      <c r="W219" s="8"/>
      <c r="X219" s="771"/>
      <c r="Y219" s="771"/>
      <c r="Z219" s="771"/>
      <c r="AA219" s="771"/>
      <c r="AB219" s="771"/>
      <c r="AC219" s="771"/>
      <c r="AD219" s="771"/>
      <c r="AE219" s="771"/>
      <c r="AF219" s="771"/>
      <c r="AG219" s="771"/>
      <c r="AH219" s="771"/>
      <c r="AI219" s="771"/>
      <c r="AJ219" s="771"/>
      <c r="AK219" s="771"/>
      <c r="AL219" s="771"/>
      <c r="AM219" s="771"/>
      <c r="AN219" s="771"/>
      <c r="AO219" s="771"/>
      <c r="AP219" s="771"/>
      <c r="AQ219" s="771"/>
      <c r="AR219" s="771"/>
      <c r="AS219" s="771"/>
      <c r="AT219" s="771"/>
      <c r="AU219" s="771"/>
    </row>
    <row r="220" spans="1:47" s="1135" customFormat="1" outlineLevel="1" x14ac:dyDescent="0.2">
      <c r="A220" s="17"/>
      <c r="B220" s="75"/>
      <c r="C220" s="1989" t="s">
        <v>3818</v>
      </c>
      <c r="D220" s="1989" t="s">
        <v>3819</v>
      </c>
      <c r="E220" s="1989">
        <v>4.3499999999999996</v>
      </c>
      <c r="F220" s="38">
        <f t="shared" si="2"/>
        <v>353.74739399999999</v>
      </c>
      <c r="G220" s="459"/>
      <c r="H220" s="8"/>
      <c r="I220" s="8"/>
      <c r="J220" s="8"/>
      <c r="K220" s="8"/>
      <c r="L220" s="8"/>
      <c r="M220" s="8"/>
      <c r="N220" s="8"/>
      <c r="O220" s="8"/>
      <c r="P220" s="8"/>
      <c r="Q220" s="8"/>
      <c r="R220" s="8"/>
      <c r="S220" s="8"/>
      <c r="T220" s="8"/>
      <c r="U220" s="8"/>
      <c r="V220" s="8"/>
      <c r="W220" s="8"/>
      <c r="X220" s="771"/>
      <c r="Y220" s="771"/>
      <c r="Z220" s="771"/>
      <c r="AA220" s="771"/>
      <c r="AB220" s="771"/>
      <c r="AC220" s="771"/>
      <c r="AD220" s="771"/>
      <c r="AE220" s="771"/>
      <c r="AF220" s="771"/>
      <c r="AG220" s="771"/>
      <c r="AH220" s="771"/>
      <c r="AI220" s="771"/>
      <c r="AJ220" s="771"/>
      <c r="AK220" s="771"/>
      <c r="AL220" s="771"/>
      <c r="AM220" s="771"/>
      <c r="AN220" s="771"/>
      <c r="AO220" s="771"/>
      <c r="AP220" s="771"/>
      <c r="AQ220" s="771"/>
      <c r="AR220" s="771"/>
      <c r="AS220" s="771"/>
      <c r="AT220" s="771"/>
      <c r="AU220" s="771"/>
    </row>
    <row r="221" spans="1:47" s="1135" customFormat="1" outlineLevel="1" x14ac:dyDescent="0.2">
      <c r="A221" s="17"/>
      <c r="B221" s="75"/>
      <c r="C221" s="1989" t="s">
        <v>78</v>
      </c>
      <c r="D221" s="1989" t="s">
        <v>5278</v>
      </c>
      <c r="E221" s="1989">
        <v>6.94</v>
      </c>
      <c r="F221" s="38">
        <f t="shared" si="2"/>
        <v>564.36940560000005</v>
      </c>
      <c r="G221" s="459"/>
      <c r="H221" s="8"/>
      <c r="I221" s="8"/>
      <c r="J221" s="8"/>
      <c r="K221" s="8"/>
      <c r="L221" s="8"/>
      <c r="M221" s="8"/>
      <c r="N221" s="8"/>
      <c r="O221" s="8"/>
      <c r="P221" s="8"/>
      <c r="Q221" s="8"/>
      <c r="R221" s="8"/>
      <c r="S221" s="8"/>
      <c r="T221" s="8"/>
      <c r="U221" s="8"/>
      <c r="V221" s="8"/>
      <c r="W221" s="8"/>
      <c r="X221" s="771"/>
      <c r="Y221" s="771"/>
      <c r="Z221" s="771"/>
      <c r="AA221" s="771"/>
      <c r="AB221" s="771"/>
      <c r="AC221" s="771"/>
      <c r="AD221" s="771"/>
      <c r="AE221" s="771"/>
      <c r="AF221" s="771"/>
      <c r="AG221" s="771"/>
      <c r="AH221" s="771"/>
      <c r="AI221" s="771"/>
      <c r="AJ221" s="771"/>
      <c r="AK221" s="771"/>
      <c r="AL221" s="771"/>
      <c r="AM221" s="771"/>
      <c r="AN221" s="771"/>
      <c r="AO221" s="771"/>
      <c r="AP221" s="771"/>
      <c r="AQ221" s="771"/>
      <c r="AR221" s="771"/>
      <c r="AS221" s="771"/>
      <c r="AT221" s="771"/>
      <c r="AU221" s="771"/>
    </row>
    <row r="222" spans="1:47" s="1135" customFormat="1" outlineLevel="1" x14ac:dyDescent="0.2">
      <c r="A222" s="17"/>
      <c r="B222" s="75"/>
      <c r="C222" s="1989" t="s">
        <v>77</v>
      </c>
      <c r="D222" s="1989" t="s">
        <v>5279</v>
      </c>
      <c r="E222" s="1989">
        <v>6.94</v>
      </c>
      <c r="F222" s="38">
        <f t="shared" si="2"/>
        <v>564.36940560000005</v>
      </c>
      <c r="G222" s="459"/>
      <c r="H222" s="8"/>
      <c r="I222" s="8"/>
      <c r="J222" s="8"/>
      <c r="K222" s="8"/>
      <c r="L222" s="8"/>
      <c r="M222" s="8"/>
      <c r="N222" s="8"/>
      <c r="O222" s="8"/>
      <c r="P222" s="8"/>
      <c r="Q222" s="8"/>
      <c r="R222" s="8"/>
      <c r="S222" s="8"/>
      <c r="T222" s="8"/>
      <c r="U222" s="8"/>
      <c r="V222" s="8"/>
      <c r="W222" s="8"/>
      <c r="X222" s="771"/>
      <c r="Y222" s="771"/>
      <c r="Z222" s="771"/>
      <c r="AA222" s="771"/>
      <c r="AB222" s="771"/>
      <c r="AC222" s="771"/>
      <c r="AD222" s="771"/>
      <c r="AE222" s="771"/>
      <c r="AF222" s="771"/>
      <c r="AG222" s="771"/>
      <c r="AH222" s="771"/>
      <c r="AI222" s="771"/>
      <c r="AJ222" s="771"/>
      <c r="AK222" s="771"/>
      <c r="AL222" s="771"/>
      <c r="AM222" s="771"/>
      <c r="AN222" s="771"/>
      <c r="AO222" s="771"/>
      <c r="AP222" s="771"/>
      <c r="AQ222" s="771"/>
      <c r="AR222" s="771"/>
      <c r="AS222" s="771"/>
      <c r="AT222" s="771"/>
      <c r="AU222" s="771"/>
    </row>
    <row r="223" spans="1:47" s="1135" customFormat="1" outlineLevel="1" x14ac:dyDescent="0.2">
      <c r="A223" s="17"/>
      <c r="B223" s="75"/>
      <c r="C223" s="1989" t="s">
        <v>81</v>
      </c>
      <c r="D223" s="1989" t="s">
        <v>5280</v>
      </c>
      <c r="E223" s="1989">
        <v>6.88</v>
      </c>
      <c r="F223" s="38">
        <f t="shared" ref="F223:F286" si="3">E223*$G$4*$J$4</f>
        <v>559.49013120000006</v>
      </c>
      <c r="G223" s="459"/>
      <c r="H223" s="8"/>
      <c r="I223" s="8"/>
      <c r="J223" s="8"/>
      <c r="K223" s="8"/>
      <c r="L223" s="8"/>
      <c r="M223" s="8"/>
      <c r="N223" s="8"/>
      <c r="O223" s="8"/>
      <c r="P223" s="8"/>
      <c r="Q223" s="8"/>
      <c r="R223" s="8"/>
      <c r="S223" s="8"/>
      <c r="T223" s="8"/>
      <c r="U223" s="8"/>
      <c r="V223" s="8"/>
      <c r="W223" s="8"/>
      <c r="X223" s="771"/>
      <c r="Y223" s="771"/>
      <c r="Z223" s="771"/>
      <c r="AA223" s="771"/>
      <c r="AB223" s="771"/>
      <c r="AC223" s="771"/>
      <c r="AD223" s="771"/>
      <c r="AE223" s="771"/>
      <c r="AF223" s="771"/>
      <c r="AG223" s="771"/>
      <c r="AH223" s="771"/>
      <c r="AI223" s="771"/>
      <c r="AJ223" s="771"/>
      <c r="AK223" s="771"/>
      <c r="AL223" s="771"/>
      <c r="AM223" s="771"/>
      <c r="AN223" s="771"/>
      <c r="AO223" s="771"/>
      <c r="AP223" s="771"/>
      <c r="AQ223" s="771"/>
      <c r="AR223" s="771"/>
      <c r="AS223" s="771"/>
      <c r="AT223" s="771"/>
      <c r="AU223" s="771"/>
    </row>
    <row r="224" spans="1:47" s="1135" customFormat="1" outlineLevel="1" x14ac:dyDescent="0.2">
      <c r="A224" s="17"/>
      <c r="B224" s="75"/>
      <c r="C224" s="1989" t="s">
        <v>82</v>
      </c>
      <c r="D224" s="1989" t="s">
        <v>5281</v>
      </c>
      <c r="E224" s="1989">
        <v>6.88</v>
      </c>
      <c r="F224" s="38">
        <f t="shared" si="3"/>
        <v>559.49013120000006</v>
      </c>
      <c r="G224" s="459"/>
      <c r="H224" s="8"/>
      <c r="I224" s="8"/>
      <c r="J224" s="8"/>
      <c r="K224" s="8"/>
      <c r="L224" s="8"/>
      <c r="M224" s="8"/>
      <c r="N224" s="8"/>
      <c r="O224" s="8"/>
      <c r="P224" s="8"/>
      <c r="Q224" s="8"/>
      <c r="R224" s="8"/>
      <c r="S224" s="8"/>
      <c r="T224" s="8"/>
      <c r="U224" s="8"/>
      <c r="V224" s="8"/>
      <c r="W224" s="8"/>
      <c r="X224" s="771"/>
      <c r="Y224" s="771"/>
      <c r="Z224" s="771"/>
      <c r="AA224" s="771"/>
      <c r="AB224" s="771"/>
      <c r="AC224" s="771"/>
      <c r="AD224" s="771"/>
      <c r="AE224" s="771"/>
      <c r="AF224" s="771"/>
      <c r="AG224" s="771"/>
      <c r="AH224" s="771"/>
      <c r="AI224" s="771"/>
      <c r="AJ224" s="771"/>
      <c r="AK224" s="771"/>
      <c r="AL224" s="771"/>
      <c r="AM224" s="771"/>
      <c r="AN224" s="771"/>
      <c r="AO224" s="771"/>
      <c r="AP224" s="771"/>
      <c r="AQ224" s="771"/>
      <c r="AR224" s="771"/>
      <c r="AS224" s="771"/>
      <c r="AT224" s="771"/>
      <c r="AU224" s="771"/>
    </row>
    <row r="225" spans="1:47" s="1135" customFormat="1" outlineLevel="1" x14ac:dyDescent="0.2">
      <c r="A225" s="17"/>
      <c r="B225" s="75"/>
      <c r="C225" s="1989" t="s">
        <v>6665</v>
      </c>
      <c r="D225" s="1989" t="s">
        <v>5282</v>
      </c>
      <c r="E225" s="1989">
        <v>0</v>
      </c>
      <c r="F225" s="38">
        <f t="shared" si="3"/>
        <v>0</v>
      </c>
      <c r="G225" s="459"/>
      <c r="H225" s="8"/>
      <c r="I225" s="8"/>
      <c r="J225" s="8"/>
      <c r="K225" s="8"/>
      <c r="L225" s="8"/>
      <c r="M225" s="8"/>
      <c r="N225" s="8"/>
      <c r="O225" s="8"/>
      <c r="P225" s="8"/>
      <c r="Q225" s="8"/>
      <c r="R225" s="8"/>
      <c r="S225" s="8"/>
      <c r="T225" s="8"/>
      <c r="U225" s="8"/>
      <c r="V225" s="8"/>
      <c r="W225" s="8"/>
      <c r="X225" s="771"/>
      <c r="Y225" s="771"/>
      <c r="Z225" s="771"/>
      <c r="AA225" s="771"/>
      <c r="AB225" s="771"/>
      <c r="AC225" s="771"/>
      <c r="AD225" s="771"/>
      <c r="AE225" s="771"/>
      <c r="AF225" s="771"/>
      <c r="AG225" s="771"/>
      <c r="AH225" s="771"/>
      <c r="AI225" s="771"/>
      <c r="AJ225" s="771"/>
      <c r="AK225" s="771"/>
      <c r="AL225" s="771"/>
      <c r="AM225" s="771"/>
      <c r="AN225" s="771"/>
      <c r="AO225" s="771"/>
      <c r="AP225" s="771"/>
      <c r="AQ225" s="771"/>
      <c r="AR225" s="771"/>
      <c r="AS225" s="771"/>
      <c r="AT225" s="771"/>
      <c r="AU225" s="771"/>
    </row>
    <row r="226" spans="1:47" s="1135" customFormat="1" outlineLevel="1" x14ac:dyDescent="0.2">
      <c r="A226" s="17"/>
      <c r="B226" s="75"/>
      <c r="C226" s="1989" t="s">
        <v>6666</v>
      </c>
      <c r="D226" s="1989" t="s">
        <v>5283</v>
      </c>
      <c r="E226" s="1989">
        <v>0</v>
      </c>
      <c r="F226" s="38">
        <f t="shared" si="3"/>
        <v>0</v>
      </c>
      <c r="G226" s="459"/>
      <c r="H226" s="8"/>
      <c r="I226" s="8"/>
      <c r="J226" s="8"/>
      <c r="K226" s="8"/>
      <c r="L226" s="8"/>
      <c r="M226" s="8"/>
      <c r="N226" s="8"/>
      <c r="O226" s="8"/>
      <c r="P226" s="8"/>
      <c r="Q226" s="8"/>
      <c r="R226" s="8"/>
      <c r="S226" s="8"/>
      <c r="T226" s="8"/>
      <c r="U226" s="8"/>
      <c r="V226" s="8"/>
      <c r="W226" s="8"/>
      <c r="X226" s="771"/>
      <c r="Y226" s="771"/>
      <c r="Z226" s="771"/>
      <c r="AA226" s="771"/>
      <c r="AB226" s="771"/>
      <c r="AC226" s="771"/>
      <c r="AD226" s="771"/>
      <c r="AE226" s="771"/>
      <c r="AF226" s="771"/>
      <c r="AG226" s="771"/>
      <c r="AH226" s="771"/>
      <c r="AI226" s="771"/>
      <c r="AJ226" s="771"/>
      <c r="AK226" s="771"/>
      <c r="AL226" s="771"/>
      <c r="AM226" s="771"/>
      <c r="AN226" s="771"/>
      <c r="AO226" s="771"/>
      <c r="AP226" s="771"/>
      <c r="AQ226" s="771"/>
      <c r="AR226" s="771"/>
      <c r="AS226" s="771"/>
      <c r="AT226" s="771"/>
      <c r="AU226" s="771"/>
    </row>
    <row r="227" spans="1:47" s="1135" customFormat="1" outlineLevel="1" x14ac:dyDescent="0.2">
      <c r="A227" s="17"/>
      <c r="B227" s="75"/>
      <c r="C227" s="1989" t="s">
        <v>6667</v>
      </c>
      <c r="D227" s="1989" t="s">
        <v>5284</v>
      </c>
      <c r="E227" s="1989">
        <v>0.83</v>
      </c>
      <c r="F227" s="38">
        <f t="shared" si="3"/>
        <v>67.496629200000001</v>
      </c>
      <c r="G227" s="459"/>
      <c r="H227" s="8"/>
      <c r="I227" s="8"/>
      <c r="J227" s="8"/>
      <c r="K227" s="8"/>
      <c r="L227" s="8"/>
      <c r="M227" s="8"/>
      <c r="N227" s="8"/>
      <c r="O227" s="8"/>
      <c r="P227" s="8"/>
      <c r="Q227" s="8"/>
      <c r="R227" s="8"/>
      <c r="S227" s="8"/>
      <c r="T227" s="8"/>
      <c r="U227" s="8"/>
      <c r="V227" s="8"/>
      <c r="W227" s="8"/>
      <c r="X227" s="771"/>
      <c r="Y227" s="771"/>
      <c r="Z227" s="771"/>
      <c r="AA227" s="771"/>
      <c r="AB227" s="771"/>
      <c r="AC227" s="771"/>
      <c r="AD227" s="771"/>
      <c r="AE227" s="771"/>
      <c r="AF227" s="771"/>
      <c r="AG227" s="771"/>
      <c r="AH227" s="771"/>
      <c r="AI227" s="771"/>
      <c r="AJ227" s="771"/>
      <c r="AK227" s="771"/>
      <c r="AL227" s="771"/>
      <c r="AM227" s="771"/>
      <c r="AN227" s="771"/>
      <c r="AO227" s="771"/>
      <c r="AP227" s="771"/>
      <c r="AQ227" s="771"/>
      <c r="AR227" s="771"/>
      <c r="AS227" s="771"/>
      <c r="AT227" s="771"/>
      <c r="AU227" s="771"/>
    </row>
    <row r="228" spans="1:47" s="1135" customFormat="1" outlineLevel="1" x14ac:dyDescent="0.2">
      <c r="A228" s="17"/>
      <c r="B228" s="75"/>
      <c r="C228" s="1989" t="s">
        <v>6668</v>
      </c>
      <c r="D228" s="1989" t="s">
        <v>5285</v>
      </c>
      <c r="E228" s="1989">
        <v>0.83</v>
      </c>
      <c r="F228" s="38">
        <f t="shared" si="3"/>
        <v>67.496629200000001</v>
      </c>
      <c r="G228" s="459"/>
      <c r="H228" s="8"/>
      <c r="I228" s="8"/>
      <c r="J228" s="8"/>
      <c r="K228" s="8"/>
      <c r="L228" s="8"/>
      <c r="M228" s="8"/>
      <c r="N228" s="8"/>
      <c r="O228" s="8"/>
      <c r="P228" s="8"/>
      <c r="Q228" s="8"/>
      <c r="R228" s="8"/>
      <c r="S228" s="8"/>
      <c r="T228" s="8"/>
      <c r="U228" s="8"/>
      <c r="V228" s="8"/>
      <c r="W228" s="8"/>
      <c r="X228" s="771"/>
      <c r="Y228" s="771"/>
      <c r="Z228" s="771"/>
      <c r="AA228" s="771"/>
      <c r="AB228" s="771"/>
      <c r="AC228" s="771"/>
      <c r="AD228" s="771"/>
      <c r="AE228" s="771"/>
      <c r="AF228" s="771"/>
      <c r="AG228" s="771"/>
      <c r="AH228" s="771"/>
      <c r="AI228" s="771"/>
      <c r="AJ228" s="771"/>
      <c r="AK228" s="771"/>
      <c r="AL228" s="771"/>
      <c r="AM228" s="771"/>
      <c r="AN228" s="771"/>
      <c r="AO228" s="771"/>
      <c r="AP228" s="771"/>
      <c r="AQ228" s="771"/>
      <c r="AR228" s="771"/>
      <c r="AS228" s="771"/>
      <c r="AT228" s="771"/>
      <c r="AU228" s="771"/>
    </row>
    <row r="229" spans="1:47" s="1135" customFormat="1" outlineLevel="1" x14ac:dyDescent="0.2">
      <c r="A229" s="17"/>
      <c r="B229" s="75"/>
      <c r="C229" s="1989" t="s">
        <v>27</v>
      </c>
      <c r="D229" s="1989" t="s">
        <v>5286</v>
      </c>
      <c r="E229" s="1989">
        <v>26.02</v>
      </c>
      <c r="F229" s="38">
        <f t="shared" si="3"/>
        <v>2115.9786647999999</v>
      </c>
      <c r="G229" s="459"/>
      <c r="H229" s="8"/>
      <c r="I229" s="8"/>
      <c r="J229" s="8"/>
      <c r="K229" s="8"/>
      <c r="L229" s="8"/>
      <c r="M229" s="8"/>
      <c r="N229" s="8"/>
      <c r="O229" s="8"/>
      <c r="P229" s="8"/>
      <c r="Q229" s="8"/>
      <c r="R229" s="8"/>
      <c r="S229" s="8"/>
      <c r="T229" s="8"/>
      <c r="U229" s="8"/>
      <c r="V229" s="8"/>
      <c r="W229" s="8"/>
      <c r="X229" s="771"/>
      <c r="Y229" s="771"/>
      <c r="Z229" s="771"/>
      <c r="AA229" s="771"/>
      <c r="AB229" s="771"/>
      <c r="AC229" s="771"/>
      <c r="AD229" s="771"/>
      <c r="AE229" s="771"/>
      <c r="AF229" s="771"/>
      <c r="AG229" s="771"/>
      <c r="AH229" s="771"/>
      <c r="AI229" s="771"/>
      <c r="AJ229" s="771"/>
      <c r="AK229" s="771"/>
      <c r="AL229" s="771"/>
      <c r="AM229" s="771"/>
      <c r="AN229" s="771"/>
      <c r="AO229" s="771"/>
      <c r="AP229" s="771"/>
      <c r="AQ229" s="771"/>
      <c r="AR229" s="771"/>
      <c r="AS229" s="771"/>
      <c r="AT229" s="771"/>
      <c r="AU229" s="771"/>
    </row>
    <row r="230" spans="1:47" s="1135" customFormat="1" outlineLevel="1" x14ac:dyDescent="0.2">
      <c r="A230" s="17"/>
      <c r="B230" s="75"/>
      <c r="C230" s="1989" t="s">
        <v>2072</v>
      </c>
      <c r="D230" s="1989" t="s">
        <v>5287</v>
      </c>
      <c r="E230" s="1989">
        <v>13.76</v>
      </c>
      <c r="F230" s="38">
        <f t="shared" si="3"/>
        <v>1118.9802624000001</v>
      </c>
      <c r="G230" s="459"/>
      <c r="H230" s="8"/>
      <c r="I230" s="8"/>
      <c r="J230" s="8"/>
      <c r="K230" s="8"/>
      <c r="L230" s="8"/>
      <c r="M230" s="8"/>
      <c r="N230" s="8"/>
      <c r="O230" s="8"/>
      <c r="P230" s="8"/>
      <c r="Q230" s="8"/>
      <c r="R230" s="8"/>
      <c r="S230" s="8"/>
      <c r="T230" s="8"/>
      <c r="U230" s="8"/>
      <c r="V230" s="8"/>
      <c r="W230" s="8"/>
      <c r="X230" s="771"/>
      <c r="Y230" s="771"/>
      <c r="Z230" s="771"/>
      <c r="AA230" s="771"/>
      <c r="AB230" s="771"/>
      <c r="AC230" s="771"/>
      <c r="AD230" s="771"/>
      <c r="AE230" s="771"/>
      <c r="AF230" s="771"/>
      <c r="AG230" s="771"/>
      <c r="AH230" s="771"/>
      <c r="AI230" s="771"/>
      <c r="AJ230" s="771"/>
      <c r="AK230" s="771"/>
      <c r="AL230" s="771"/>
      <c r="AM230" s="771"/>
      <c r="AN230" s="771"/>
      <c r="AO230" s="771"/>
      <c r="AP230" s="771"/>
      <c r="AQ230" s="771"/>
      <c r="AR230" s="771"/>
      <c r="AS230" s="771"/>
      <c r="AT230" s="771"/>
      <c r="AU230" s="771"/>
    </row>
    <row r="231" spans="1:47" s="1135" customFormat="1" outlineLevel="1" x14ac:dyDescent="0.2">
      <c r="A231" s="17"/>
      <c r="B231" s="75"/>
      <c r="C231" s="1989" t="s">
        <v>2073</v>
      </c>
      <c r="D231" s="1989" t="s">
        <v>5288</v>
      </c>
      <c r="E231" s="1989">
        <v>13.76</v>
      </c>
      <c r="F231" s="38">
        <f t="shared" si="3"/>
        <v>1118.9802624000001</v>
      </c>
      <c r="G231" s="459"/>
      <c r="H231" s="8"/>
      <c r="I231" s="8"/>
      <c r="J231" s="8"/>
      <c r="K231" s="8"/>
      <c r="L231" s="8"/>
      <c r="M231" s="8"/>
      <c r="N231" s="8"/>
      <c r="O231" s="8"/>
      <c r="P231" s="8"/>
      <c r="Q231" s="8"/>
      <c r="R231" s="8"/>
      <c r="S231" s="8"/>
      <c r="T231" s="8"/>
      <c r="U231" s="8"/>
      <c r="V231" s="8"/>
      <c r="W231" s="8"/>
      <c r="X231" s="771"/>
      <c r="Y231" s="771"/>
      <c r="Z231" s="771"/>
      <c r="AA231" s="771"/>
      <c r="AB231" s="771"/>
      <c r="AC231" s="771"/>
      <c r="AD231" s="771"/>
      <c r="AE231" s="771"/>
      <c r="AF231" s="771"/>
      <c r="AG231" s="771"/>
      <c r="AH231" s="771"/>
      <c r="AI231" s="771"/>
      <c r="AJ231" s="771"/>
      <c r="AK231" s="771"/>
      <c r="AL231" s="771"/>
      <c r="AM231" s="771"/>
      <c r="AN231" s="771"/>
      <c r="AO231" s="771"/>
      <c r="AP231" s="771"/>
      <c r="AQ231" s="771"/>
      <c r="AR231" s="771"/>
      <c r="AS231" s="771"/>
      <c r="AT231" s="771"/>
      <c r="AU231" s="771"/>
    </row>
    <row r="232" spans="1:47" s="1135" customFormat="1" outlineLevel="1" x14ac:dyDescent="0.2">
      <c r="A232" s="17"/>
      <c r="B232" s="75"/>
      <c r="C232" s="1989" t="s">
        <v>2075</v>
      </c>
      <c r="D232" s="1989" t="s">
        <v>2881</v>
      </c>
      <c r="E232" s="1989">
        <v>24.61</v>
      </c>
      <c r="F232" s="38">
        <f t="shared" si="3"/>
        <v>2001.3157163999999</v>
      </c>
      <c r="G232" s="459"/>
      <c r="H232" s="8"/>
      <c r="I232" s="8"/>
      <c r="J232" s="8"/>
      <c r="K232" s="8"/>
      <c r="L232" s="8"/>
      <c r="M232" s="8"/>
      <c r="N232" s="8"/>
      <c r="O232" s="8"/>
      <c r="P232" s="8"/>
      <c r="Q232" s="8"/>
      <c r="R232" s="8"/>
      <c r="S232" s="8"/>
      <c r="T232" s="8"/>
      <c r="U232" s="8"/>
      <c r="V232" s="8"/>
      <c r="W232" s="8"/>
      <c r="X232" s="771"/>
      <c r="Y232" s="771"/>
      <c r="Z232" s="771"/>
      <c r="AA232" s="771"/>
      <c r="AB232" s="771"/>
      <c r="AC232" s="771"/>
      <c r="AD232" s="771"/>
      <c r="AE232" s="771"/>
      <c r="AF232" s="771"/>
      <c r="AG232" s="771"/>
      <c r="AH232" s="771"/>
      <c r="AI232" s="771"/>
      <c r="AJ232" s="771"/>
      <c r="AK232" s="771"/>
      <c r="AL232" s="771"/>
      <c r="AM232" s="771"/>
      <c r="AN232" s="771"/>
      <c r="AO232" s="771"/>
      <c r="AP232" s="771"/>
      <c r="AQ232" s="771"/>
      <c r="AR232" s="771"/>
      <c r="AS232" s="771"/>
      <c r="AT232" s="771"/>
      <c r="AU232" s="771"/>
    </row>
    <row r="233" spans="1:47" s="1135" customFormat="1" outlineLevel="1" x14ac:dyDescent="0.2">
      <c r="A233" s="17"/>
      <c r="B233" s="75"/>
      <c r="C233" s="1989" t="s">
        <v>691</v>
      </c>
      <c r="D233" s="1989" t="s">
        <v>7345</v>
      </c>
      <c r="E233" s="1989">
        <v>1.07</v>
      </c>
      <c r="F233" s="38">
        <f t="shared" si="3"/>
        <v>87.013726800000015</v>
      </c>
      <c r="G233" s="459"/>
      <c r="H233" s="8"/>
      <c r="I233" s="8"/>
      <c r="J233" s="8"/>
      <c r="K233" s="8"/>
      <c r="L233" s="8"/>
      <c r="M233" s="8"/>
      <c r="N233" s="8"/>
      <c r="O233" s="8"/>
      <c r="P233" s="8"/>
      <c r="Q233" s="8"/>
      <c r="R233" s="8"/>
      <c r="S233" s="8"/>
      <c r="T233" s="8"/>
      <c r="U233" s="8"/>
      <c r="V233" s="8"/>
      <c r="W233" s="8"/>
      <c r="X233" s="771"/>
      <c r="Y233" s="771"/>
      <c r="Z233" s="771"/>
      <c r="AA233" s="771"/>
      <c r="AB233" s="771"/>
      <c r="AC233" s="771"/>
      <c r="AD233" s="771"/>
      <c r="AE233" s="771"/>
      <c r="AF233" s="771"/>
      <c r="AG233" s="771"/>
      <c r="AH233" s="771"/>
      <c r="AI233" s="771"/>
      <c r="AJ233" s="771"/>
      <c r="AK233" s="771"/>
      <c r="AL233" s="771"/>
      <c r="AM233" s="771"/>
      <c r="AN233" s="771"/>
      <c r="AO233" s="771"/>
      <c r="AP233" s="771"/>
      <c r="AQ233" s="771"/>
      <c r="AR233" s="771"/>
      <c r="AS233" s="771"/>
      <c r="AT233" s="771"/>
      <c r="AU233" s="771"/>
    </row>
    <row r="234" spans="1:47" s="1135" customFormat="1" outlineLevel="1" x14ac:dyDescent="0.2">
      <c r="A234" s="17"/>
      <c r="B234" s="75"/>
      <c r="C234" s="1989" t="s">
        <v>302</v>
      </c>
      <c r="D234" s="1989" t="s">
        <v>5289</v>
      </c>
      <c r="E234" s="1989">
        <v>5.39</v>
      </c>
      <c r="F234" s="38">
        <f t="shared" si="3"/>
        <v>438.32148359999997</v>
      </c>
      <c r="G234" s="459"/>
      <c r="H234" s="8"/>
      <c r="I234" s="8"/>
      <c r="J234" s="8"/>
      <c r="K234" s="8"/>
      <c r="L234" s="8"/>
      <c r="M234" s="8"/>
      <c r="N234" s="8"/>
      <c r="O234" s="8"/>
      <c r="P234" s="8"/>
      <c r="Q234" s="8"/>
      <c r="R234" s="8"/>
      <c r="S234" s="8"/>
      <c r="T234" s="8"/>
      <c r="U234" s="8"/>
      <c r="V234" s="8"/>
      <c r="W234" s="8"/>
      <c r="X234" s="771"/>
      <c r="Y234" s="771"/>
      <c r="Z234" s="771"/>
      <c r="AA234" s="771"/>
      <c r="AB234" s="771"/>
      <c r="AC234" s="771"/>
      <c r="AD234" s="771"/>
      <c r="AE234" s="771"/>
      <c r="AF234" s="771"/>
      <c r="AG234" s="771"/>
      <c r="AH234" s="771"/>
      <c r="AI234" s="771"/>
      <c r="AJ234" s="771"/>
      <c r="AK234" s="771"/>
      <c r="AL234" s="771"/>
      <c r="AM234" s="771"/>
      <c r="AN234" s="771"/>
      <c r="AO234" s="771"/>
      <c r="AP234" s="771"/>
      <c r="AQ234" s="771"/>
      <c r="AR234" s="771"/>
      <c r="AS234" s="771"/>
      <c r="AT234" s="771"/>
      <c r="AU234" s="771"/>
    </row>
    <row r="235" spans="1:47" s="1135" customFormat="1" outlineLevel="1" x14ac:dyDescent="0.2">
      <c r="A235" s="17"/>
      <c r="B235" s="75"/>
      <c r="C235" s="1989" t="s">
        <v>74</v>
      </c>
      <c r="D235" s="1989" t="s">
        <v>5290</v>
      </c>
      <c r="E235" s="1989">
        <v>5.39</v>
      </c>
      <c r="F235" s="38">
        <f t="shared" si="3"/>
        <v>438.32148359999997</v>
      </c>
      <c r="G235" s="459"/>
      <c r="H235" s="8"/>
      <c r="I235" s="8"/>
      <c r="J235" s="8"/>
      <c r="K235" s="8"/>
      <c r="L235" s="8"/>
      <c r="M235" s="8"/>
      <c r="N235" s="8"/>
      <c r="O235" s="8"/>
      <c r="P235" s="8"/>
      <c r="Q235" s="8"/>
      <c r="R235" s="8"/>
      <c r="S235" s="8"/>
      <c r="T235" s="8"/>
      <c r="U235" s="8"/>
      <c r="V235" s="8"/>
      <c r="W235" s="8"/>
      <c r="X235" s="771"/>
      <c r="Y235" s="771"/>
      <c r="Z235" s="771"/>
      <c r="AA235" s="771"/>
      <c r="AB235" s="771"/>
      <c r="AC235" s="771"/>
      <c r="AD235" s="771"/>
      <c r="AE235" s="771"/>
      <c r="AF235" s="771"/>
      <c r="AG235" s="771"/>
      <c r="AH235" s="771"/>
      <c r="AI235" s="771"/>
      <c r="AJ235" s="771"/>
      <c r="AK235" s="771"/>
      <c r="AL235" s="771"/>
      <c r="AM235" s="771"/>
      <c r="AN235" s="771"/>
      <c r="AO235" s="771"/>
      <c r="AP235" s="771"/>
      <c r="AQ235" s="771"/>
      <c r="AR235" s="771"/>
      <c r="AS235" s="771"/>
      <c r="AT235" s="771"/>
      <c r="AU235" s="771"/>
    </row>
    <row r="236" spans="1:47" s="1135" customFormat="1" outlineLevel="1" x14ac:dyDescent="0.2">
      <c r="A236" s="17"/>
      <c r="B236" s="75"/>
      <c r="C236" s="1989" t="s">
        <v>2074</v>
      </c>
      <c r="D236" s="1989" t="s">
        <v>7346</v>
      </c>
      <c r="E236" s="1989">
        <v>21.74</v>
      </c>
      <c r="F236" s="38">
        <f t="shared" si="3"/>
        <v>1767.9237576</v>
      </c>
      <c r="G236" s="459"/>
      <c r="H236" s="8"/>
      <c r="I236" s="8"/>
      <c r="J236" s="8"/>
      <c r="K236" s="8"/>
      <c r="L236" s="8"/>
      <c r="M236" s="8"/>
      <c r="N236" s="8"/>
      <c r="O236" s="8"/>
      <c r="P236" s="8"/>
      <c r="Q236" s="8"/>
      <c r="R236" s="8"/>
      <c r="S236" s="8"/>
      <c r="T236" s="8"/>
      <c r="U236" s="8"/>
      <c r="V236" s="8"/>
      <c r="W236" s="8"/>
      <c r="X236" s="771"/>
      <c r="Y236" s="771"/>
      <c r="Z236" s="771"/>
      <c r="AA236" s="771"/>
      <c r="AB236" s="771"/>
      <c r="AC236" s="771"/>
      <c r="AD236" s="771"/>
      <c r="AE236" s="771"/>
      <c r="AF236" s="771"/>
      <c r="AG236" s="771"/>
      <c r="AH236" s="771"/>
      <c r="AI236" s="771"/>
      <c r="AJ236" s="771"/>
      <c r="AK236" s="771"/>
      <c r="AL236" s="771"/>
      <c r="AM236" s="771"/>
      <c r="AN236" s="771"/>
      <c r="AO236" s="771"/>
      <c r="AP236" s="771"/>
      <c r="AQ236" s="771"/>
      <c r="AR236" s="771"/>
      <c r="AS236" s="771"/>
      <c r="AT236" s="771"/>
      <c r="AU236" s="771"/>
    </row>
    <row r="237" spans="1:47" s="1135" customFormat="1" outlineLevel="1" x14ac:dyDescent="0.2">
      <c r="A237" s="17"/>
      <c r="B237" s="75"/>
      <c r="C237" s="1989" t="s">
        <v>1662</v>
      </c>
      <c r="D237" s="1989" t="s">
        <v>7347</v>
      </c>
      <c r="E237" s="1989">
        <v>3.73</v>
      </c>
      <c r="F237" s="38">
        <f t="shared" si="3"/>
        <v>303.32822520000002</v>
      </c>
      <c r="G237" s="459"/>
      <c r="H237" s="8"/>
      <c r="I237" s="8"/>
      <c r="J237" s="8"/>
      <c r="K237" s="8"/>
      <c r="L237" s="8"/>
      <c r="M237" s="8"/>
      <c r="N237" s="8"/>
      <c r="O237" s="8"/>
      <c r="P237" s="8"/>
      <c r="Q237" s="8"/>
      <c r="R237" s="8"/>
      <c r="S237" s="8"/>
      <c r="T237" s="8"/>
      <c r="U237" s="8"/>
      <c r="V237" s="8"/>
      <c r="W237" s="8"/>
      <c r="X237" s="771"/>
      <c r="Y237" s="771"/>
      <c r="Z237" s="771"/>
      <c r="AA237" s="771"/>
      <c r="AB237" s="771"/>
      <c r="AC237" s="771"/>
      <c r="AD237" s="771"/>
      <c r="AE237" s="771"/>
      <c r="AF237" s="771"/>
      <c r="AG237" s="771"/>
      <c r="AH237" s="771"/>
      <c r="AI237" s="771"/>
      <c r="AJ237" s="771"/>
      <c r="AK237" s="771"/>
      <c r="AL237" s="771"/>
      <c r="AM237" s="771"/>
      <c r="AN237" s="771"/>
      <c r="AO237" s="771"/>
      <c r="AP237" s="771"/>
      <c r="AQ237" s="771"/>
      <c r="AR237" s="771"/>
      <c r="AS237" s="771"/>
      <c r="AT237" s="771"/>
      <c r="AU237" s="771"/>
    </row>
    <row r="238" spans="1:47" s="1135" customFormat="1" outlineLevel="1" x14ac:dyDescent="0.2">
      <c r="A238" s="17"/>
      <c r="B238" s="75"/>
      <c r="C238" s="1989" t="s">
        <v>690</v>
      </c>
      <c r="D238" s="1989" t="s">
        <v>5291</v>
      </c>
      <c r="E238" s="1989">
        <v>5.76</v>
      </c>
      <c r="F238" s="38">
        <f t="shared" si="3"/>
        <v>468.41034240000005</v>
      </c>
      <c r="G238" s="459"/>
      <c r="H238" s="8"/>
      <c r="I238" s="8"/>
      <c r="J238" s="8"/>
      <c r="K238" s="8"/>
      <c r="L238" s="8"/>
      <c r="M238" s="8"/>
      <c r="N238" s="8"/>
      <c r="O238" s="8"/>
      <c r="P238" s="8"/>
      <c r="Q238" s="8"/>
      <c r="R238" s="8"/>
      <c r="S238" s="8"/>
      <c r="T238" s="8"/>
      <c r="U238" s="8"/>
      <c r="V238" s="8"/>
      <c r="W238" s="8"/>
      <c r="X238" s="771"/>
      <c r="Y238" s="771"/>
      <c r="Z238" s="771"/>
      <c r="AA238" s="771"/>
      <c r="AB238" s="771"/>
      <c r="AC238" s="771"/>
      <c r="AD238" s="771"/>
      <c r="AE238" s="771"/>
      <c r="AF238" s="771"/>
      <c r="AG238" s="771"/>
      <c r="AH238" s="771"/>
      <c r="AI238" s="771"/>
      <c r="AJ238" s="771"/>
      <c r="AK238" s="771"/>
      <c r="AL238" s="771"/>
      <c r="AM238" s="771"/>
      <c r="AN238" s="771"/>
      <c r="AO238" s="771"/>
      <c r="AP238" s="771"/>
      <c r="AQ238" s="771"/>
      <c r="AR238" s="771"/>
      <c r="AS238" s="771"/>
      <c r="AT238" s="771"/>
      <c r="AU238" s="771"/>
    </row>
    <row r="239" spans="1:47" s="1135" customFormat="1" outlineLevel="1" x14ac:dyDescent="0.2">
      <c r="A239" s="17"/>
      <c r="B239" s="75"/>
      <c r="C239" s="1989" t="s">
        <v>1204</v>
      </c>
      <c r="D239" s="1989" t="s">
        <v>5292</v>
      </c>
      <c r="E239" s="1989">
        <v>2.1800000000000002</v>
      </c>
      <c r="F239" s="38">
        <f t="shared" si="3"/>
        <v>177.28030320000002</v>
      </c>
      <c r="G239" s="459"/>
      <c r="H239" s="8"/>
      <c r="I239" s="8"/>
      <c r="J239" s="8"/>
      <c r="K239" s="8"/>
      <c r="L239" s="8"/>
      <c r="M239" s="8"/>
      <c r="N239" s="8"/>
      <c r="O239" s="8"/>
      <c r="P239" s="8"/>
      <c r="Q239" s="8"/>
      <c r="R239" s="8"/>
      <c r="S239" s="8"/>
      <c r="T239" s="8"/>
      <c r="U239" s="8"/>
      <c r="V239" s="8"/>
      <c r="W239" s="8"/>
      <c r="X239" s="771"/>
      <c r="Y239" s="771"/>
      <c r="Z239" s="771"/>
      <c r="AA239" s="771"/>
      <c r="AB239" s="771"/>
      <c r="AC239" s="771"/>
      <c r="AD239" s="771"/>
      <c r="AE239" s="771"/>
      <c r="AF239" s="771"/>
      <c r="AG239" s="771"/>
      <c r="AH239" s="771"/>
      <c r="AI239" s="771"/>
      <c r="AJ239" s="771"/>
      <c r="AK239" s="771"/>
      <c r="AL239" s="771"/>
      <c r="AM239" s="771"/>
      <c r="AN239" s="771"/>
      <c r="AO239" s="771"/>
      <c r="AP239" s="771"/>
      <c r="AQ239" s="771"/>
      <c r="AR239" s="771"/>
      <c r="AS239" s="771"/>
      <c r="AT239" s="771"/>
      <c r="AU239" s="771"/>
    </row>
    <row r="240" spans="1:47" s="1135" customFormat="1" outlineLevel="1" x14ac:dyDescent="0.2">
      <c r="A240" s="17"/>
      <c r="B240" s="75"/>
      <c r="C240" s="1989" t="s">
        <v>1205</v>
      </c>
      <c r="D240" s="1989" t="s">
        <v>5293</v>
      </c>
      <c r="E240" s="1989">
        <v>2.1800000000000002</v>
      </c>
      <c r="F240" s="38">
        <f t="shared" si="3"/>
        <v>177.28030320000002</v>
      </c>
      <c r="G240" s="459"/>
      <c r="H240" s="8"/>
      <c r="I240" s="8"/>
      <c r="J240" s="8"/>
      <c r="K240" s="8"/>
      <c r="L240" s="8"/>
      <c r="M240" s="8"/>
      <c r="N240" s="8"/>
      <c r="O240" s="8"/>
      <c r="P240" s="8"/>
      <c r="Q240" s="8"/>
      <c r="R240" s="8"/>
      <c r="S240" s="8"/>
      <c r="T240" s="8"/>
      <c r="U240" s="8"/>
      <c r="V240" s="8"/>
      <c r="W240" s="8"/>
      <c r="X240" s="771"/>
      <c r="Y240" s="771"/>
      <c r="Z240" s="771"/>
      <c r="AA240" s="771"/>
      <c r="AB240" s="771"/>
      <c r="AC240" s="771"/>
      <c r="AD240" s="771"/>
      <c r="AE240" s="771"/>
      <c r="AF240" s="771"/>
      <c r="AG240" s="771"/>
      <c r="AH240" s="771"/>
      <c r="AI240" s="771"/>
      <c r="AJ240" s="771"/>
      <c r="AK240" s="771"/>
      <c r="AL240" s="771"/>
      <c r="AM240" s="771"/>
      <c r="AN240" s="771"/>
      <c r="AO240" s="771"/>
      <c r="AP240" s="771"/>
      <c r="AQ240" s="771"/>
      <c r="AR240" s="771"/>
      <c r="AS240" s="771"/>
      <c r="AT240" s="771"/>
      <c r="AU240" s="771"/>
    </row>
    <row r="241" spans="1:47" s="1135" customFormat="1" outlineLevel="1" x14ac:dyDescent="0.2">
      <c r="A241" s="17"/>
      <c r="B241" s="75"/>
      <c r="C241" s="1989" t="s">
        <v>100</v>
      </c>
      <c r="D241" s="1989" t="s">
        <v>5295</v>
      </c>
      <c r="E241" s="1989">
        <v>19.18</v>
      </c>
      <c r="F241" s="38">
        <f t="shared" si="3"/>
        <v>1559.7413832</v>
      </c>
      <c r="G241" s="459"/>
      <c r="H241" s="8"/>
      <c r="I241" s="8"/>
      <c r="J241" s="8"/>
      <c r="K241" s="8"/>
      <c r="L241" s="8"/>
      <c r="M241" s="8"/>
      <c r="N241" s="8"/>
      <c r="O241" s="8"/>
      <c r="P241" s="8"/>
      <c r="Q241" s="8"/>
      <c r="R241" s="8"/>
      <c r="S241" s="8"/>
      <c r="T241" s="8"/>
      <c r="U241" s="8"/>
      <c r="V241" s="8"/>
      <c r="W241" s="8"/>
      <c r="X241" s="771"/>
      <c r="Y241" s="771"/>
      <c r="Z241" s="771"/>
      <c r="AA241" s="771"/>
      <c r="AB241" s="771"/>
      <c r="AC241" s="771"/>
      <c r="AD241" s="771"/>
      <c r="AE241" s="771"/>
      <c r="AF241" s="771"/>
      <c r="AG241" s="771"/>
      <c r="AH241" s="771"/>
      <c r="AI241" s="771"/>
      <c r="AJ241" s="771"/>
      <c r="AK241" s="771"/>
      <c r="AL241" s="771"/>
      <c r="AM241" s="771"/>
      <c r="AN241" s="771"/>
      <c r="AO241" s="771"/>
      <c r="AP241" s="771"/>
      <c r="AQ241" s="771"/>
      <c r="AR241" s="771"/>
      <c r="AS241" s="771"/>
      <c r="AT241" s="771"/>
      <c r="AU241" s="771"/>
    </row>
    <row r="242" spans="1:47" s="1135" customFormat="1" outlineLevel="1" x14ac:dyDescent="0.2">
      <c r="A242" s="17"/>
      <c r="B242" s="75"/>
      <c r="C242" s="1989" t="s">
        <v>1950</v>
      </c>
      <c r="D242" s="1989" t="s">
        <v>5296</v>
      </c>
      <c r="E242" s="1989">
        <v>19.32</v>
      </c>
      <c r="F242" s="38">
        <f t="shared" si="3"/>
        <v>1571.1263568000002</v>
      </c>
      <c r="G242" s="459"/>
      <c r="H242" s="8"/>
      <c r="I242" s="8"/>
      <c r="J242" s="8"/>
      <c r="K242" s="8"/>
      <c r="L242" s="8"/>
      <c r="M242" s="8"/>
      <c r="N242" s="8"/>
      <c r="O242" s="8"/>
      <c r="P242" s="8"/>
      <c r="Q242" s="8"/>
      <c r="R242" s="8"/>
      <c r="S242" s="8"/>
      <c r="T242" s="8"/>
      <c r="U242" s="8"/>
      <c r="V242" s="8"/>
      <c r="W242" s="8"/>
      <c r="X242" s="771"/>
      <c r="Y242" s="771"/>
      <c r="Z242" s="771"/>
      <c r="AA242" s="771"/>
      <c r="AB242" s="771"/>
      <c r="AC242" s="771"/>
      <c r="AD242" s="771"/>
      <c r="AE242" s="771"/>
      <c r="AF242" s="771"/>
      <c r="AG242" s="771"/>
      <c r="AH242" s="771"/>
      <c r="AI242" s="771"/>
      <c r="AJ242" s="771"/>
      <c r="AK242" s="771"/>
      <c r="AL242" s="771"/>
      <c r="AM242" s="771"/>
      <c r="AN242" s="771"/>
      <c r="AO242" s="771"/>
      <c r="AP242" s="771"/>
      <c r="AQ242" s="771"/>
      <c r="AR242" s="771"/>
      <c r="AS242" s="771"/>
      <c r="AT242" s="771"/>
      <c r="AU242" s="771"/>
    </row>
    <row r="243" spans="1:47" s="1135" customFormat="1" outlineLevel="1" x14ac:dyDescent="0.2">
      <c r="A243" s="17"/>
      <c r="B243" s="75"/>
      <c r="C243" s="1989" t="s">
        <v>1951</v>
      </c>
      <c r="D243" s="1989" t="s">
        <v>7348</v>
      </c>
      <c r="E243" s="1989">
        <v>1.94</v>
      </c>
      <c r="F243" s="38">
        <f t="shared" si="3"/>
        <v>157.76320559999999</v>
      </c>
      <c r="G243" s="459"/>
      <c r="H243" s="8"/>
      <c r="I243" s="8"/>
      <c r="J243" s="8"/>
      <c r="K243" s="8"/>
      <c r="L243" s="8"/>
      <c r="M243" s="8"/>
      <c r="N243" s="8"/>
      <c r="O243" s="8"/>
      <c r="P243" s="8"/>
      <c r="Q243" s="8"/>
      <c r="R243" s="8"/>
      <c r="S243" s="8"/>
      <c r="T243" s="8"/>
      <c r="U243" s="8"/>
      <c r="V243" s="8"/>
      <c r="W243" s="8"/>
      <c r="X243" s="771"/>
      <c r="Y243" s="771"/>
      <c r="Z243" s="771"/>
      <c r="AA243" s="771"/>
      <c r="AB243" s="771"/>
      <c r="AC243" s="771"/>
      <c r="AD243" s="771"/>
      <c r="AE243" s="771"/>
      <c r="AF243" s="771"/>
      <c r="AG243" s="771"/>
      <c r="AH243" s="771"/>
      <c r="AI243" s="771"/>
      <c r="AJ243" s="771"/>
      <c r="AK243" s="771"/>
      <c r="AL243" s="771"/>
      <c r="AM243" s="771"/>
      <c r="AN243" s="771"/>
      <c r="AO243" s="771"/>
      <c r="AP243" s="771"/>
      <c r="AQ243" s="771"/>
      <c r="AR243" s="771"/>
      <c r="AS243" s="771"/>
      <c r="AT243" s="771"/>
      <c r="AU243" s="771"/>
    </row>
    <row r="244" spans="1:47" s="1135" customFormat="1" outlineLevel="1" x14ac:dyDescent="0.2">
      <c r="A244" s="17"/>
      <c r="B244" s="75"/>
      <c r="C244" s="1989" t="s">
        <v>1660</v>
      </c>
      <c r="D244" s="1989" t="s">
        <v>7349</v>
      </c>
      <c r="E244" s="1989">
        <v>2.97</v>
      </c>
      <c r="F244" s="38">
        <f t="shared" si="3"/>
        <v>241.52408280000003</v>
      </c>
      <c r="G244" s="459"/>
      <c r="H244" s="8"/>
      <c r="I244" s="8"/>
      <c r="J244" s="8"/>
      <c r="K244" s="8"/>
      <c r="L244" s="8"/>
      <c r="M244" s="8"/>
      <c r="N244" s="8"/>
      <c r="O244" s="8"/>
      <c r="P244" s="8"/>
      <c r="Q244" s="8"/>
      <c r="R244" s="8"/>
      <c r="S244" s="8"/>
      <c r="T244" s="8"/>
      <c r="U244" s="8"/>
      <c r="V244" s="8"/>
      <c r="W244" s="8"/>
      <c r="X244" s="771"/>
      <c r="Y244" s="771"/>
      <c r="Z244" s="771"/>
      <c r="AA244" s="771"/>
      <c r="AB244" s="771"/>
      <c r="AC244" s="771"/>
      <c r="AD244" s="771"/>
      <c r="AE244" s="771"/>
      <c r="AF244" s="771"/>
      <c r="AG244" s="771"/>
      <c r="AH244" s="771"/>
      <c r="AI244" s="771"/>
      <c r="AJ244" s="771"/>
      <c r="AK244" s="771"/>
      <c r="AL244" s="771"/>
      <c r="AM244" s="771"/>
      <c r="AN244" s="771"/>
      <c r="AO244" s="771"/>
      <c r="AP244" s="771"/>
      <c r="AQ244" s="771"/>
      <c r="AR244" s="771"/>
      <c r="AS244" s="771"/>
      <c r="AT244" s="771"/>
      <c r="AU244" s="771"/>
    </row>
    <row r="245" spans="1:47" s="1135" customFormat="1" outlineLevel="1" x14ac:dyDescent="0.2">
      <c r="A245" s="17"/>
      <c r="B245" s="75"/>
      <c r="C245" s="1989" t="s">
        <v>1753</v>
      </c>
      <c r="D245" s="1989" t="s">
        <v>685</v>
      </c>
      <c r="E245" s="1989">
        <v>6.48</v>
      </c>
      <c r="F245" s="38">
        <f t="shared" si="3"/>
        <v>526.96163520000005</v>
      </c>
      <c r="G245" s="459"/>
      <c r="H245" s="8"/>
      <c r="I245" s="8"/>
      <c r="J245" s="8"/>
      <c r="K245" s="8"/>
      <c r="L245" s="8"/>
      <c r="M245" s="8"/>
      <c r="N245" s="8"/>
      <c r="O245" s="8"/>
      <c r="P245" s="8"/>
      <c r="Q245" s="8"/>
      <c r="R245" s="8"/>
      <c r="S245" s="8"/>
      <c r="T245" s="8"/>
      <c r="U245" s="8"/>
      <c r="V245" s="8"/>
      <c r="W245" s="8"/>
      <c r="X245" s="771"/>
      <c r="Y245" s="771"/>
      <c r="Z245" s="771"/>
      <c r="AA245" s="771"/>
      <c r="AB245" s="771"/>
      <c r="AC245" s="771"/>
      <c r="AD245" s="771"/>
      <c r="AE245" s="771"/>
      <c r="AF245" s="771"/>
      <c r="AG245" s="771"/>
      <c r="AH245" s="771"/>
      <c r="AI245" s="771"/>
      <c r="AJ245" s="771"/>
      <c r="AK245" s="771"/>
      <c r="AL245" s="771"/>
      <c r="AM245" s="771"/>
      <c r="AN245" s="771"/>
      <c r="AO245" s="771"/>
      <c r="AP245" s="771"/>
      <c r="AQ245" s="771"/>
      <c r="AR245" s="771"/>
      <c r="AS245" s="771"/>
      <c r="AT245" s="771"/>
      <c r="AU245" s="771"/>
    </row>
    <row r="246" spans="1:47" s="1135" customFormat="1" outlineLevel="1" x14ac:dyDescent="0.2">
      <c r="A246" s="17"/>
      <c r="B246" s="75"/>
      <c r="C246" s="1989" t="s">
        <v>1754</v>
      </c>
      <c r="D246" s="1989" t="s">
        <v>7350</v>
      </c>
      <c r="E246" s="1989">
        <v>2.97</v>
      </c>
      <c r="F246" s="38">
        <f t="shared" si="3"/>
        <v>241.52408280000003</v>
      </c>
      <c r="G246" s="459"/>
      <c r="H246" s="8"/>
      <c r="I246" s="8"/>
      <c r="J246" s="8"/>
      <c r="K246" s="8"/>
      <c r="L246" s="8"/>
      <c r="M246" s="8"/>
      <c r="N246" s="8"/>
      <c r="O246" s="8"/>
      <c r="P246" s="8"/>
      <c r="Q246" s="8"/>
      <c r="R246" s="8"/>
      <c r="S246" s="8"/>
      <c r="T246" s="8"/>
      <c r="U246" s="8"/>
      <c r="V246" s="8"/>
      <c r="W246" s="8"/>
      <c r="X246" s="771"/>
      <c r="Y246" s="771"/>
      <c r="Z246" s="771"/>
      <c r="AA246" s="771"/>
      <c r="AB246" s="771"/>
      <c r="AC246" s="771"/>
      <c r="AD246" s="771"/>
      <c r="AE246" s="771"/>
      <c r="AF246" s="771"/>
      <c r="AG246" s="771"/>
      <c r="AH246" s="771"/>
      <c r="AI246" s="771"/>
      <c r="AJ246" s="771"/>
      <c r="AK246" s="771"/>
      <c r="AL246" s="771"/>
      <c r="AM246" s="771"/>
      <c r="AN246" s="771"/>
      <c r="AO246" s="771"/>
      <c r="AP246" s="771"/>
      <c r="AQ246" s="771"/>
      <c r="AR246" s="771"/>
      <c r="AS246" s="771"/>
      <c r="AT246" s="771"/>
      <c r="AU246" s="771"/>
    </row>
    <row r="247" spans="1:47" s="1135" customFormat="1" outlineLevel="1" x14ac:dyDescent="0.2">
      <c r="A247" s="17"/>
      <c r="B247" s="75"/>
      <c r="C247" s="1989" t="s">
        <v>1661</v>
      </c>
      <c r="D247" s="1989" t="s">
        <v>7351</v>
      </c>
      <c r="E247" s="1989">
        <v>0.11</v>
      </c>
      <c r="F247" s="38">
        <f t="shared" si="3"/>
        <v>8.9453364000000004</v>
      </c>
      <c r="G247" s="459"/>
      <c r="H247" s="8"/>
      <c r="I247" s="8"/>
      <c r="J247" s="8"/>
      <c r="K247" s="8"/>
      <c r="L247" s="8"/>
      <c r="M247" s="8"/>
      <c r="N247" s="8"/>
      <c r="O247" s="8"/>
      <c r="P247" s="8"/>
      <c r="Q247" s="8"/>
      <c r="R247" s="8"/>
      <c r="S247" s="8"/>
      <c r="T247" s="8"/>
      <c r="U247" s="8"/>
      <c r="V247" s="8"/>
      <c r="W247" s="8"/>
      <c r="X247" s="771"/>
      <c r="Y247" s="771"/>
      <c r="Z247" s="771"/>
      <c r="AA247" s="771"/>
      <c r="AB247" s="771"/>
      <c r="AC247" s="771"/>
      <c r="AD247" s="771"/>
      <c r="AE247" s="771"/>
      <c r="AF247" s="771"/>
      <c r="AG247" s="771"/>
      <c r="AH247" s="771"/>
      <c r="AI247" s="771"/>
      <c r="AJ247" s="771"/>
      <c r="AK247" s="771"/>
      <c r="AL247" s="771"/>
      <c r="AM247" s="771"/>
      <c r="AN247" s="771"/>
      <c r="AO247" s="771"/>
      <c r="AP247" s="771"/>
      <c r="AQ247" s="771"/>
      <c r="AR247" s="771"/>
      <c r="AS247" s="771"/>
      <c r="AT247" s="771"/>
      <c r="AU247" s="771"/>
    </row>
    <row r="248" spans="1:47" s="1135" customFormat="1" outlineLevel="1" x14ac:dyDescent="0.2">
      <c r="A248" s="17"/>
      <c r="B248" s="75"/>
      <c r="C248" s="1989" t="s">
        <v>4500</v>
      </c>
      <c r="D248" s="1989" t="s">
        <v>5297</v>
      </c>
      <c r="E248" s="1989">
        <v>22.83</v>
      </c>
      <c r="F248" s="38">
        <f t="shared" si="3"/>
        <v>1856.5639091999999</v>
      </c>
      <c r="G248" s="459"/>
      <c r="H248" s="8"/>
      <c r="I248" s="8"/>
      <c r="J248" s="8"/>
      <c r="K248" s="8"/>
      <c r="L248" s="8"/>
      <c r="M248" s="8"/>
      <c r="N248" s="8"/>
      <c r="O248" s="8"/>
      <c r="P248" s="8"/>
      <c r="Q248" s="8"/>
      <c r="R248" s="8"/>
      <c r="S248" s="8"/>
      <c r="T248" s="8"/>
      <c r="U248" s="8"/>
      <c r="V248" s="8"/>
      <c r="W248" s="8"/>
      <c r="X248" s="771"/>
      <c r="Y248" s="771"/>
      <c r="Z248" s="771"/>
      <c r="AA248" s="771"/>
      <c r="AB248" s="771"/>
      <c r="AC248" s="771"/>
      <c r="AD248" s="771"/>
      <c r="AE248" s="771"/>
      <c r="AF248" s="771"/>
      <c r="AG248" s="771"/>
      <c r="AH248" s="771"/>
      <c r="AI248" s="771"/>
      <c r="AJ248" s="771"/>
      <c r="AK248" s="771"/>
      <c r="AL248" s="771"/>
      <c r="AM248" s="771"/>
      <c r="AN248" s="771"/>
      <c r="AO248" s="771"/>
      <c r="AP248" s="771"/>
      <c r="AQ248" s="771"/>
      <c r="AR248" s="771"/>
      <c r="AS248" s="771"/>
      <c r="AT248" s="771"/>
      <c r="AU248" s="771"/>
    </row>
    <row r="249" spans="1:47" s="1135" customFormat="1" outlineLevel="1" x14ac:dyDescent="0.2">
      <c r="A249" s="17"/>
      <c r="B249" s="75"/>
      <c r="C249" s="1989" t="s">
        <v>4501</v>
      </c>
      <c r="D249" s="1989" t="s">
        <v>4502</v>
      </c>
      <c r="E249" s="1989">
        <v>23.59</v>
      </c>
      <c r="F249" s="38">
        <f t="shared" si="3"/>
        <v>1918.3680516000002</v>
      </c>
      <c r="G249" s="459"/>
      <c r="H249" s="8"/>
      <c r="I249" s="8"/>
      <c r="J249" s="8"/>
      <c r="K249" s="8"/>
      <c r="L249" s="8"/>
      <c r="M249" s="8"/>
      <c r="N249" s="8"/>
      <c r="O249" s="8"/>
      <c r="P249" s="8"/>
      <c r="Q249" s="8"/>
      <c r="R249" s="8"/>
      <c r="S249" s="8"/>
      <c r="T249" s="8"/>
      <c r="U249" s="8"/>
      <c r="V249" s="8"/>
      <c r="W249" s="8"/>
      <c r="X249" s="771"/>
      <c r="Y249" s="771"/>
      <c r="Z249" s="771"/>
      <c r="AA249" s="771"/>
      <c r="AB249" s="771"/>
      <c r="AC249" s="771"/>
      <c r="AD249" s="771"/>
      <c r="AE249" s="771"/>
      <c r="AF249" s="771"/>
      <c r="AG249" s="771"/>
      <c r="AH249" s="771"/>
      <c r="AI249" s="771"/>
      <c r="AJ249" s="771"/>
      <c r="AK249" s="771"/>
      <c r="AL249" s="771"/>
      <c r="AM249" s="771"/>
      <c r="AN249" s="771"/>
      <c r="AO249" s="771"/>
      <c r="AP249" s="771"/>
      <c r="AQ249" s="771"/>
      <c r="AR249" s="771"/>
      <c r="AS249" s="771"/>
      <c r="AT249" s="771"/>
      <c r="AU249" s="771"/>
    </row>
    <row r="250" spans="1:47" s="1135" customFormat="1" outlineLevel="1" x14ac:dyDescent="0.2">
      <c r="A250" s="17"/>
      <c r="B250" s="75"/>
      <c r="C250" s="1989" t="s">
        <v>55</v>
      </c>
      <c r="D250" s="1989" t="s">
        <v>7352</v>
      </c>
      <c r="E250" s="1989">
        <v>50.81</v>
      </c>
      <c r="F250" s="38">
        <f t="shared" si="3"/>
        <v>4131.9322044</v>
      </c>
      <c r="G250" s="459"/>
      <c r="H250" s="8"/>
      <c r="I250" s="8"/>
      <c r="J250" s="8"/>
      <c r="K250" s="8"/>
      <c r="L250" s="8"/>
      <c r="M250" s="8"/>
      <c r="N250" s="8"/>
      <c r="O250" s="8"/>
      <c r="P250" s="8"/>
      <c r="Q250" s="8"/>
      <c r="R250" s="8"/>
      <c r="S250" s="8"/>
      <c r="T250" s="8"/>
      <c r="U250" s="8"/>
      <c r="V250" s="8"/>
      <c r="W250" s="8"/>
      <c r="X250" s="771"/>
      <c r="Y250" s="771"/>
      <c r="Z250" s="771"/>
      <c r="AA250" s="771"/>
      <c r="AB250" s="771"/>
      <c r="AC250" s="771"/>
      <c r="AD250" s="771"/>
      <c r="AE250" s="771"/>
      <c r="AF250" s="771"/>
      <c r="AG250" s="771"/>
      <c r="AH250" s="771"/>
      <c r="AI250" s="771"/>
      <c r="AJ250" s="771"/>
      <c r="AK250" s="771"/>
      <c r="AL250" s="771"/>
      <c r="AM250" s="771"/>
      <c r="AN250" s="771"/>
      <c r="AO250" s="771"/>
      <c r="AP250" s="771"/>
      <c r="AQ250" s="771"/>
      <c r="AR250" s="771"/>
      <c r="AS250" s="771"/>
      <c r="AT250" s="771"/>
      <c r="AU250" s="771"/>
    </row>
    <row r="251" spans="1:47" s="1135" customFormat="1" outlineLevel="1" x14ac:dyDescent="0.2">
      <c r="A251" s="17"/>
      <c r="B251" s="75"/>
      <c r="C251" s="1989" t="s">
        <v>57</v>
      </c>
      <c r="D251" s="1989" t="s">
        <v>7353</v>
      </c>
      <c r="E251" s="1989">
        <v>37.770000000000003</v>
      </c>
      <c r="F251" s="38">
        <f t="shared" si="3"/>
        <v>3071.5032348000004</v>
      </c>
      <c r="G251" s="459"/>
      <c r="H251" s="8"/>
      <c r="I251" s="8"/>
      <c r="J251" s="8"/>
      <c r="K251" s="8"/>
      <c r="L251" s="8"/>
      <c r="M251" s="8"/>
      <c r="N251" s="8"/>
      <c r="O251" s="8"/>
      <c r="P251" s="8"/>
      <c r="Q251" s="8"/>
      <c r="R251" s="8"/>
      <c r="S251" s="8"/>
      <c r="T251" s="8"/>
      <c r="U251" s="8"/>
      <c r="V251" s="8"/>
      <c r="W251" s="8"/>
      <c r="X251" s="771"/>
      <c r="Y251" s="771"/>
      <c r="Z251" s="771"/>
      <c r="AA251" s="771"/>
      <c r="AB251" s="771"/>
      <c r="AC251" s="771"/>
      <c r="AD251" s="771"/>
      <c r="AE251" s="771"/>
      <c r="AF251" s="771"/>
      <c r="AG251" s="771"/>
      <c r="AH251" s="771"/>
      <c r="AI251" s="771"/>
      <c r="AJ251" s="771"/>
      <c r="AK251" s="771"/>
      <c r="AL251" s="771"/>
      <c r="AM251" s="771"/>
      <c r="AN251" s="771"/>
      <c r="AO251" s="771"/>
      <c r="AP251" s="771"/>
      <c r="AQ251" s="771"/>
      <c r="AR251" s="771"/>
      <c r="AS251" s="771"/>
      <c r="AT251" s="771"/>
      <c r="AU251" s="771"/>
    </row>
    <row r="252" spans="1:47" s="1135" customFormat="1" outlineLevel="1" x14ac:dyDescent="0.2">
      <c r="A252" s="17"/>
      <c r="B252" s="75"/>
      <c r="C252" s="1989" t="s">
        <v>6669</v>
      </c>
      <c r="D252" s="1989" t="s">
        <v>7354</v>
      </c>
      <c r="E252" s="1989">
        <v>9.19</v>
      </c>
      <c r="F252" s="38">
        <f t="shared" si="3"/>
        <v>747.34219559999997</v>
      </c>
      <c r="G252" s="459"/>
      <c r="H252" s="8"/>
      <c r="I252" s="8"/>
      <c r="J252" s="8"/>
      <c r="K252" s="8"/>
      <c r="L252" s="8"/>
      <c r="M252" s="8"/>
      <c r="N252" s="8"/>
      <c r="O252" s="8"/>
      <c r="P252" s="8"/>
      <c r="Q252" s="8"/>
      <c r="R252" s="8"/>
      <c r="S252" s="8"/>
      <c r="T252" s="8"/>
      <c r="U252" s="8"/>
      <c r="V252" s="8"/>
      <c r="W252" s="8"/>
      <c r="X252" s="771"/>
      <c r="Y252" s="771"/>
      <c r="Z252" s="771"/>
      <c r="AA252" s="771"/>
      <c r="AB252" s="771"/>
      <c r="AC252" s="771"/>
      <c r="AD252" s="771"/>
      <c r="AE252" s="771"/>
      <c r="AF252" s="771"/>
      <c r="AG252" s="771"/>
      <c r="AH252" s="771"/>
      <c r="AI252" s="771"/>
      <c r="AJ252" s="771"/>
      <c r="AK252" s="771"/>
      <c r="AL252" s="771"/>
      <c r="AM252" s="771"/>
      <c r="AN252" s="771"/>
      <c r="AO252" s="771"/>
      <c r="AP252" s="771"/>
      <c r="AQ252" s="771"/>
      <c r="AR252" s="771"/>
      <c r="AS252" s="771"/>
      <c r="AT252" s="771"/>
      <c r="AU252" s="771"/>
    </row>
    <row r="253" spans="1:47" s="1135" customFormat="1" outlineLevel="1" x14ac:dyDescent="0.2">
      <c r="A253" s="17"/>
      <c r="B253" s="75"/>
      <c r="C253" s="1989" t="s">
        <v>6670</v>
      </c>
      <c r="D253" s="1989" t="s">
        <v>7355</v>
      </c>
      <c r="E253" s="1989">
        <v>9.19</v>
      </c>
      <c r="F253" s="38">
        <f t="shared" si="3"/>
        <v>747.34219559999997</v>
      </c>
      <c r="G253" s="459"/>
      <c r="H253" s="8"/>
      <c r="I253" s="8"/>
      <c r="J253" s="8"/>
      <c r="K253" s="8"/>
      <c r="L253" s="8"/>
      <c r="M253" s="8"/>
      <c r="N253" s="8"/>
      <c r="O253" s="8"/>
      <c r="P253" s="8"/>
      <c r="Q253" s="8"/>
      <c r="R253" s="8"/>
      <c r="S253" s="8"/>
      <c r="T253" s="8"/>
      <c r="U253" s="8"/>
      <c r="V253" s="8"/>
      <c r="W253" s="8"/>
      <c r="X253" s="771"/>
      <c r="Y253" s="771"/>
      <c r="Z253" s="771"/>
      <c r="AA253" s="771"/>
      <c r="AB253" s="771"/>
      <c r="AC253" s="771"/>
      <c r="AD253" s="771"/>
      <c r="AE253" s="771"/>
      <c r="AF253" s="771"/>
      <c r="AG253" s="771"/>
      <c r="AH253" s="771"/>
      <c r="AI253" s="771"/>
      <c r="AJ253" s="771"/>
      <c r="AK253" s="771"/>
      <c r="AL253" s="771"/>
      <c r="AM253" s="771"/>
      <c r="AN253" s="771"/>
      <c r="AO253" s="771"/>
      <c r="AP253" s="771"/>
      <c r="AQ253" s="771"/>
      <c r="AR253" s="771"/>
      <c r="AS253" s="771"/>
      <c r="AT253" s="771"/>
      <c r="AU253" s="771"/>
    </row>
    <row r="254" spans="1:47" s="1135" customFormat="1" outlineLevel="1" x14ac:dyDescent="0.2">
      <c r="A254" s="17"/>
      <c r="B254" s="75"/>
      <c r="C254" s="1989" t="s">
        <v>6671</v>
      </c>
      <c r="D254" s="1989" t="s">
        <v>7356</v>
      </c>
      <c r="E254" s="1989">
        <v>8.91</v>
      </c>
      <c r="F254" s="38">
        <f t="shared" si="3"/>
        <v>724.57224840000003</v>
      </c>
      <c r="G254" s="459"/>
      <c r="H254" s="8"/>
      <c r="I254" s="8"/>
      <c r="J254" s="8"/>
      <c r="K254" s="8"/>
      <c r="L254" s="8"/>
      <c r="M254" s="8"/>
      <c r="N254" s="8"/>
      <c r="O254" s="8"/>
      <c r="P254" s="8"/>
      <c r="Q254" s="8"/>
      <c r="R254" s="8"/>
      <c r="S254" s="8"/>
      <c r="T254" s="8"/>
      <c r="U254" s="8"/>
      <c r="V254" s="8"/>
      <c r="W254" s="8"/>
      <c r="X254" s="771"/>
      <c r="Y254" s="771"/>
      <c r="Z254" s="771"/>
      <c r="AA254" s="771"/>
      <c r="AB254" s="771"/>
      <c r="AC254" s="771"/>
      <c r="AD254" s="771"/>
      <c r="AE254" s="771"/>
      <c r="AF254" s="771"/>
      <c r="AG254" s="771"/>
      <c r="AH254" s="771"/>
      <c r="AI254" s="771"/>
      <c r="AJ254" s="771"/>
      <c r="AK254" s="771"/>
      <c r="AL254" s="771"/>
      <c r="AM254" s="771"/>
      <c r="AN254" s="771"/>
      <c r="AO254" s="771"/>
      <c r="AP254" s="771"/>
      <c r="AQ254" s="771"/>
      <c r="AR254" s="771"/>
      <c r="AS254" s="771"/>
      <c r="AT254" s="771"/>
      <c r="AU254" s="771"/>
    </row>
    <row r="255" spans="1:47" s="1135" customFormat="1" outlineLevel="1" x14ac:dyDescent="0.2">
      <c r="A255" s="17"/>
      <c r="B255" s="75"/>
      <c r="C255" s="1989" t="s">
        <v>6672</v>
      </c>
      <c r="D255" s="1989" t="s">
        <v>7357</v>
      </c>
      <c r="E255" s="1989">
        <v>8.91</v>
      </c>
      <c r="F255" s="38">
        <f t="shared" si="3"/>
        <v>724.57224840000003</v>
      </c>
      <c r="G255" s="459"/>
      <c r="H255" s="8"/>
      <c r="I255" s="8"/>
      <c r="J255" s="8"/>
      <c r="K255" s="8"/>
      <c r="L255" s="8"/>
      <c r="M255" s="8"/>
      <c r="N255" s="8"/>
      <c r="O255" s="8"/>
      <c r="P255" s="8"/>
      <c r="Q255" s="8"/>
      <c r="R255" s="8"/>
      <c r="S255" s="8"/>
      <c r="T255" s="8"/>
      <c r="U255" s="8"/>
      <c r="V255" s="8"/>
      <c r="W255" s="8"/>
      <c r="X255" s="771"/>
      <c r="Y255" s="771"/>
      <c r="Z255" s="771"/>
      <c r="AA255" s="771"/>
      <c r="AB255" s="771"/>
      <c r="AC255" s="771"/>
      <c r="AD255" s="771"/>
      <c r="AE255" s="771"/>
      <c r="AF255" s="771"/>
      <c r="AG255" s="771"/>
      <c r="AH255" s="771"/>
      <c r="AI255" s="771"/>
      <c r="AJ255" s="771"/>
      <c r="AK255" s="771"/>
      <c r="AL255" s="771"/>
      <c r="AM255" s="771"/>
      <c r="AN255" s="771"/>
      <c r="AO255" s="771"/>
      <c r="AP255" s="771"/>
      <c r="AQ255" s="771"/>
      <c r="AR255" s="771"/>
      <c r="AS255" s="771"/>
      <c r="AT255" s="771"/>
      <c r="AU255" s="771"/>
    </row>
    <row r="256" spans="1:47" s="1135" customFormat="1" outlineLevel="1" x14ac:dyDescent="0.2">
      <c r="A256" s="17"/>
      <c r="B256" s="75"/>
      <c r="C256" s="1989" t="s">
        <v>3820</v>
      </c>
      <c r="D256" s="1989" t="s">
        <v>7358</v>
      </c>
      <c r="E256" s="1989">
        <v>9.25</v>
      </c>
      <c r="F256" s="38">
        <f t="shared" si="3"/>
        <v>752.22147000000007</v>
      </c>
      <c r="G256" s="459"/>
      <c r="H256" s="8"/>
      <c r="I256" s="8"/>
      <c r="J256" s="8"/>
      <c r="K256" s="8"/>
      <c r="L256" s="8"/>
      <c r="M256" s="8"/>
      <c r="N256" s="8"/>
      <c r="O256" s="8"/>
      <c r="P256" s="8"/>
      <c r="Q256" s="8"/>
      <c r="R256" s="8"/>
      <c r="S256" s="8"/>
      <c r="T256" s="8"/>
      <c r="U256" s="8"/>
      <c r="V256" s="8"/>
      <c r="W256" s="8"/>
      <c r="X256" s="771"/>
      <c r="Y256" s="771"/>
      <c r="Z256" s="771"/>
      <c r="AA256" s="771"/>
      <c r="AB256" s="771"/>
      <c r="AC256" s="771"/>
      <c r="AD256" s="771"/>
      <c r="AE256" s="771"/>
      <c r="AF256" s="771"/>
      <c r="AG256" s="771"/>
      <c r="AH256" s="771"/>
      <c r="AI256" s="771"/>
      <c r="AJ256" s="771"/>
      <c r="AK256" s="771"/>
      <c r="AL256" s="771"/>
      <c r="AM256" s="771"/>
      <c r="AN256" s="771"/>
      <c r="AO256" s="771"/>
      <c r="AP256" s="771"/>
      <c r="AQ256" s="771"/>
      <c r="AR256" s="771"/>
      <c r="AS256" s="771"/>
      <c r="AT256" s="771"/>
      <c r="AU256" s="771"/>
    </row>
    <row r="257" spans="1:47" s="1135" customFormat="1" outlineLevel="1" x14ac:dyDescent="0.2">
      <c r="A257" s="17"/>
      <c r="B257" s="75"/>
      <c r="C257" s="1989" t="s">
        <v>3821</v>
      </c>
      <c r="D257" s="1989" t="s">
        <v>7359</v>
      </c>
      <c r="E257" s="1989">
        <v>9.25</v>
      </c>
      <c r="F257" s="38">
        <f t="shared" si="3"/>
        <v>752.22147000000007</v>
      </c>
      <c r="G257" s="459"/>
      <c r="H257" s="8"/>
      <c r="I257" s="8"/>
      <c r="J257" s="8"/>
      <c r="K257" s="8"/>
      <c r="L257" s="8"/>
      <c r="M257" s="8"/>
      <c r="N257" s="8"/>
      <c r="O257" s="8"/>
      <c r="P257" s="8"/>
      <c r="Q257" s="8"/>
      <c r="R257" s="8"/>
      <c r="S257" s="8"/>
      <c r="T257" s="8"/>
      <c r="U257" s="8"/>
      <c r="V257" s="8"/>
      <c r="W257" s="8"/>
      <c r="X257" s="771"/>
      <c r="Y257" s="771"/>
      <c r="Z257" s="771"/>
      <c r="AA257" s="771"/>
      <c r="AB257" s="771"/>
      <c r="AC257" s="771"/>
      <c r="AD257" s="771"/>
      <c r="AE257" s="771"/>
      <c r="AF257" s="771"/>
      <c r="AG257" s="771"/>
      <c r="AH257" s="771"/>
      <c r="AI257" s="771"/>
      <c r="AJ257" s="771"/>
      <c r="AK257" s="771"/>
      <c r="AL257" s="771"/>
      <c r="AM257" s="771"/>
      <c r="AN257" s="771"/>
      <c r="AO257" s="771"/>
      <c r="AP257" s="771"/>
      <c r="AQ257" s="771"/>
      <c r="AR257" s="771"/>
      <c r="AS257" s="771"/>
      <c r="AT257" s="771"/>
      <c r="AU257" s="771"/>
    </row>
    <row r="258" spans="1:47" s="1135" customFormat="1" outlineLevel="1" x14ac:dyDescent="0.2">
      <c r="A258" s="17"/>
      <c r="B258" s="75"/>
      <c r="C258" s="1989" t="s">
        <v>2509</v>
      </c>
      <c r="D258" s="1989" t="s">
        <v>5298</v>
      </c>
      <c r="E258" s="1989">
        <v>0</v>
      </c>
      <c r="F258" s="38">
        <f t="shared" si="3"/>
        <v>0</v>
      </c>
      <c r="G258" s="459"/>
      <c r="H258" s="8"/>
      <c r="I258" s="8"/>
      <c r="J258" s="8"/>
      <c r="K258" s="8"/>
      <c r="L258" s="8"/>
      <c r="M258" s="8"/>
      <c r="N258" s="8"/>
      <c r="O258" s="8"/>
      <c r="P258" s="8"/>
      <c r="Q258" s="8"/>
      <c r="R258" s="8"/>
      <c r="S258" s="8"/>
      <c r="T258" s="8"/>
      <c r="U258" s="8"/>
      <c r="V258" s="8"/>
      <c r="W258" s="8"/>
      <c r="X258" s="771"/>
      <c r="Y258" s="771"/>
      <c r="Z258" s="771"/>
      <c r="AA258" s="771"/>
      <c r="AB258" s="771"/>
      <c r="AC258" s="771"/>
      <c r="AD258" s="771"/>
      <c r="AE258" s="771"/>
      <c r="AF258" s="771"/>
      <c r="AG258" s="771"/>
      <c r="AH258" s="771"/>
      <c r="AI258" s="771"/>
      <c r="AJ258" s="771"/>
      <c r="AK258" s="771"/>
      <c r="AL258" s="771"/>
      <c r="AM258" s="771"/>
      <c r="AN258" s="771"/>
      <c r="AO258" s="771"/>
      <c r="AP258" s="771"/>
      <c r="AQ258" s="771"/>
      <c r="AR258" s="771"/>
      <c r="AS258" s="771"/>
      <c r="AT258" s="771"/>
      <c r="AU258" s="771"/>
    </row>
    <row r="259" spans="1:47" s="1135" customFormat="1" outlineLevel="1" x14ac:dyDescent="0.2">
      <c r="A259" s="17"/>
      <c r="B259" s="75"/>
      <c r="C259" s="1989" t="s">
        <v>2510</v>
      </c>
      <c r="D259" s="1989" t="s">
        <v>5299</v>
      </c>
      <c r="E259" s="1989">
        <v>0</v>
      </c>
      <c r="F259" s="38">
        <f t="shared" si="3"/>
        <v>0</v>
      </c>
      <c r="G259" s="459"/>
      <c r="H259" s="8"/>
      <c r="I259" s="8"/>
      <c r="J259" s="8"/>
      <c r="K259" s="8"/>
      <c r="L259" s="8"/>
      <c r="M259" s="8"/>
      <c r="N259" s="8"/>
      <c r="O259" s="8"/>
      <c r="P259" s="8"/>
      <c r="Q259" s="8"/>
      <c r="R259" s="8"/>
      <c r="S259" s="8"/>
      <c r="T259" s="8"/>
      <c r="U259" s="8"/>
      <c r="V259" s="8"/>
      <c r="W259" s="8"/>
      <c r="X259" s="771"/>
      <c r="Y259" s="771"/>
      <c r="Z259" s="771"/>
      <c r="AA259" s="771"/>
      <c r="AB259" s="771"/>
      <c r="AC259" s="771"/>
      <c r="AD259" s="771"/>
      <c r="AE259" s="771"/>
      <c r="AF259" s="771"/>
      <c r="AG259" s="771"/>
      <c r="AH259" s="771"/>
      <c r="AI259" s="771"/>
      <c r="AJ259" s="771"/>
      <c r="AK259" s="771"/>
      <c r="AL259" s="771"/>
      <c r="AM259" s="771"/>
      <c r="AN259" s="771"/>
      <c r="AO259" s="771"/>
      <c r="AP259" s="771"/>
      <c r="AQ259" s="771"/>
      <c r="AR259" s="771"/>
      <c r="AS259" s="771"/>
      <c r="AT259" s="771"/>
      <c r="AU259" s="771"/>
    </row>
    <row r="260" spans="1:47" s="1135" customFormat="1" outlineLevel="1" x14ac:dyDescent="0.2">
      <c r="A260" s="17"/>
      <c r="B260" s="75"/>
      <c r="C260" s="1989" t="s">
        <v>572</v>
      </c>
      <c r="D260" s="1989" t="s">
        <v>5300</v>
      </c>
      <c r="E260" s="1989">
        <v>0.99</v>
      </c>
      <c r="F260" s="38">
        <f t="shared" si="3"/>
        <v>80.508027600000005</v>
      </c>
      <c r="G260" s="459"/>
      <c r="H260" s="8"/>
      <c r="I260" s="8"/>
      <c r="J260" s="8"/>
      <c r="K260" s="8"/>
      <c r="L260" s="8"/>
      <c r="M260" s="8"/>
      <c r="N260" s="8"/>
      <c r="O260" s="8"/>
      <c r="P260" s="8"/>
      <c r="Q260" s="8"/>
      <c r="R260" s="8"/>
      <c r="S260" s="8"/>
      <c r="T260" s="8"/>
      <c r="U260" s="8"/>
      <c r="V260" s="8"/>
      <c r="W260" s="8"/>
      <c r="X260" s="771"/>
      <c r="Y260" s="771"/>
      <c r="Z260" s="771"/>
      <c r="AA260" s="771"/>
      <c r="AB260" s="771"/>
      <c r="AC260" s="771"/>
      <c r="AD260" s="771"/>
      <c r="AE260" s="771"/>
      <c r="AF260" s="771"/>
      <c r="AG260" s="771"/>
      <c r="AH260" s="771"/>
      <c r="AI260" s="771"/>
      <c r="AJ260" s="771"/>
      <c r="AK260" s="771"/>
      <c r="AL260" s="771"/>
      <c r="AM260" s="771"/>
      <c r="AN260" s="771"/>
      <c r="AO260" s="771"/>
      <c r="AP260" s="771"/>
      <c r="AQ260" s="771"/>
      <c r="AR260" s="771"/>
      <c r="AS260" s="771"/>
      <c r="AT260" s="771"/>
      <c r="AU260" s="771"/>
    </row>
    <row r="261" spans="1:47" s="1135" customFormat="1" outlineLevel="1" x14ac:dyDescent="0.2">
      <c r="A261" s="17"/>
      <c r="B261" s="75"/>
      <c r="C261" s="1989" t="s">
        <v>573</v>
      </c>
      <c r="D261" s="1989" t="s">
        <v>5301</v>
      </c>
      <c r="E261" s="1989">
        <v>1.07</v>
      </c>
      <c r="F261" s="38">
        <f t="shared" si="3"/>
        <v>87.013726800000015</v>
      </c>
      <c r="G261" s="459"/>
      <c r="H261" s="8"/>
      <c r="I261" s="8"/>
      <c r="J261" s="8"/>
      <c r="K261" s="8"/>
      <c r="L261" s="8"/>
      <c r="M261" s="8"/>
      <c r="N261" s="8"/>
      <c r="O261" s="8"/>
      <c r="P261" s="8"/>
      <c r="Q261" s="8"/>
      <c r="R261" s="8"/>
      <c r="S261" s="8"/>
      <c r="T261" s="8"/>
      <c r="U261" s="8"/>
      <c r="V261" s="8"/>
      <c r="W261" s="8"/>
      <c r="X261" s="771"/>
      <c r="Y261" s="771"/>
      <c r="Z261" s="771"/>
      <c r="AA261" s="771"/>
      <c r="AB261" s="771"/>
      <c r="AC261" s="771"/>
      <c r="AD261" s="771"/>
      <c r="AE261" s="771"/>
      <c r="AF261" s="771"/>
      <c r="AG261" s="771"/>
      <c r="AH261" s="771"/>
      <c r="AI261" s="771"/>
      <c r="AJ261" s="771"/>
      <c r="AK261" s="771"/>
      <c r="AL261" s="771"/>
      <c r="AM261" s="771"/>
      <c r="AN261" s="771"/>
      <c r="AO261" s="771"/>
      <c r="AP261" s="771"/>
      <c r="AQ261" s="771"/>
      <c r="AR261" s="771"/>
      <c r="AS261" s="771"/>
      <c r="AT261" s="771"/>
      <c r="AU261" s="771"/>
    </row>
    <row r="262" spans="1:47" s="1135" customFormat="1" outlineLevel="1" x14ac:dyDescent="0.2">
      <c r="A262" s="17"/>
      <c r="B262" s="75"/>
      <c r="C262" s="1989" t="s">
        <v>3822</v>
      </c>
      <c r="D262" s="1989" t="s">
        <v>7360</v>
      </c>
      <c r="E262" s="1989">
        <v>0</v>
      </c>
      <c r="F262" s="38">
        <f t="shared" si="3"/>
        <v>0</v>
      </c>
      <c r="G262" s="459"/>
      <c r="H262" s="8"/>
      <c r="I262" s="8"/>
      <c r="J262" s="8"/>
      <c r="K262" s="8"/>
      <c r="L262" s="8"/>
      <c r="M262" s="8"/>
      <c r="N262" s="8"/>
      <c r="O262" s="8"/>
      <c r="P262" s="8"/>
      <c r="Q262" s="8"/>
      <c r="R262" s="8"/>
      <c r="S262" s="8"/>
      <c r="T262" s="8"/>
      <c r="U262" s="8"/>
      <c r="V262" s="8"/>
      <c r="W262" s="8"/>
      <c r="X262" s="771"/>
      <c r="Y262" s="771"/>
      <c r="Z262" s="771"/>
      <c r="AA262" s="771"/>
      <c r="AB262" s="771"/>
      <c r="AC262" s="771"/>
      <c r="AD262" s="771"/>
      <c r="AE262" s="771"/>
      <c r="AF262" s="771"/>
      <c r="AG262" s="771"/>
      <c r="AH262" s="771"/>
      <c r="AI262" s="771"/>
      <c r="AJ262" s="771"/>
      <c r="AK262" s="771"/>
      <c r="AL262" s="771"/>
      <c r="AM262" s="771"/>
      <c r="AN262" s="771"/>
      <c r="AO262" s="771"/>
      <c r="AP262" s="771"/>
      <c r="AQ262" s="771"/>
      <c r="AR262" s="771"/>
      <c r="AS262" s="771"/>
      <c r="AT262" s="771"/>
      <c r="AU262" s="771"/>
    </row>
    <row r="263" spans="1:47" s="1135" customFormat="1" outlineLevel="1" x14ac:dyDescent="0.2">
      <c r="A263" s="17"/>
      <c r="B263" s="75"/>
      <c r="C263" s="1989" t="s">
        <v>2525</v>
      </c>
      <c r="D263" s="1989" t="s">
        <v>3186</v>
      </c>
      <c r="E263" s="1989">
        <v>24.33</v>
      </c>
      <c r="F263" s="38">
        <f t="shared" si="3"/>
        <v>1978.5457692</v>
      </c>
      <c r="G263" s="459"/>
      <c r="H263" s="8"/>
      <c r="I263" s="8"/>
      <c r="J263" s="8"/>
      <c r="K263" s="8"/>
      <c r="L263" s="8"/>
      <c r="M263" s="8"/>
      <c r="N263" s="8"/>
      <c r="O263" s="8"/>
      <c r="P263" s="8"/>
      <c r="Q263" s="8"/>
      <c r="R263" s="8"/>
      <c r="S263" s="8"/>
      <c r="T263" s="8"/>
      <c r="U263" s="8"/>
      <c r="V263" s="8"/>
      <c r="W263" s="8"/>
      <c r="X263" s="771"/>
      <c r="Y263" s="771"/>
      <c r="Z263" s="771"/>
      <c r="AA263" s="771"/>
      <c r="AB263" s="771"/>
      <c r="AC263" s="771"/>
      <c r="AD263" s="771"/>
      <c r="AE263" s="771"/>
      <c r="AF263" s="771"/>
      <c r="AG263" s="771"/>
      <c r="AH263" s="771"/>
      <c r="AI263" s="771"/>
      <c r="AJ263" s="771"/>
      <c r="AK263" s="771"/>
      <c r="AL263" s="771"/>
      <c r="AM263" s="771"/>
      <c r="AN263" s="771"/>
      <c r="AO263" s="771"/>
      <c r="AP263" s="771"/>
      <c r="AQ263" s="771"/>
      <c r="AR263" s="771"/>
      <c r="AS263" s="771"/>
      <c r="AT263" s="771"/>
      <c r="AU263" s="771"/>
    </row>
    <row r="264" spans="1:47" s="1135" customFormat="1" outlineLevel="1" x14ac:dyDescent="0.2">
      <c r="A264" s="17"/>
      <c r="B264" s="75"/>
      <c r="C264" s="1989" t="s">
        <v>4503</v>
      </c>
      <c r="D264" s="1989" t="s">
        <v>4504</v>
      </c>
      <c r="E264" s="1989">
        <v>0.39</v>
      </c>
      <c r="F264" s="38">
        <f t="shared" si="3"/>
        <v>31.715283599999999</v>
      </c>
      <c r="G264" s="459"/>
      <c r="H264" s="8"/>
      <c r="I264" s="8"/>
      <c r="J264" s="8"/>
      <c r="K264" s="8"/>
      <c r="L264" s="8"/>
      <c r="M264" s="8"/>
      <c r="N264" s="8"/>
      <c r="O264" s="8"/>
      <c r="P264" s="8"/>
      <c r="Q264" s="8"/>
      <c r="R264" s="8"/>
      <c r="S264" s="8"/>
      <c r="T264" s="8"/>
      <c r="U264" s="8"/>
      <c r="V264" s="8"/>
      <c r="W264" s="8"/>
      <c r="X264" s="771"/>
      <c r="Y264" s="771"/>
      <c r="Z264" s="771"/>
      <c r="AA264" s="771"/>
      <c r="AB264" s="771"/>
      <c r="AC264" s="771"/>
      <c r="AD264" s="771"/>
      <c r="AE264" s="771"/>
      <c r="AF264" s="771"/>
      <c r="AG264" s="771"/>
      <c r="AH264" s="771"/>
      <c r="AI264" s="771"/>
      <c r="AJ264" s="771"/>
      <c r="AK264" s="771"/>
      <c r="AL264" s="771"/>
      <c r="AM264" s="771"/>
      <c r="AN264" s="771"/>
      <c r="AO264" s="771"/>
      <c r="AP264" s="771"/>
      <c r="AQ264" s="771"/>
      <c r="AR264" s="771"/>
      <c r="AS264" s="771"/>
      <c r="AT264" s="771"/>
      <c r="AU264" s="771"/>
    </row>
    <row r="265" spans="1:47" s="1135" customFormat="1" outlineLevel="1" x14ac:dyDescent="0.2">
      <c r="A265" s="17"/>
      <c r="B265" s="75"/>
      <c r="C265" s="1989" t="s">
        <v>4505</v>
      </c>
      <c r="D265" s="1989" t="s">
        <v>5302</v>
      </c>
      <c r="E265" s="1989">
        <v>7.21</v>
      </c>
      <c r="F265" s="38">
        <f t="shared" si="3"/>
        <v>586.32614039999999</v>
      </c>
      <c r="G265" s="459"/>
      <c r="H265" s="8"/>
      <c r="I265" s="8"/>
      <c r="J265" s="8"/>
      <c r="K265" s="8"/>
      <c r="L265" s="8"/>
      <c r="M265" s="8"/>
      <c r="N265" s="8"/>
      <c r="O265" s="8"/>
      <c r="P265" s="8"/>
      <c r="Q265" s="8"/>
      <c r="R265" s="8"/>
      <c r="S265" s="8"/>
      <c r="T265" s="8"/>
      <c r="U265" s="8"/>
      <c r="V265" s="8"/>
      <c r="W265" s="8"/>
      <c r="X265" s="771"/>
      <c r="Y265" s="771"/>
      <c r="Z265" s="771"/>
      <c r="AA265" s="771"/>
      <c r="AB265" s="771"/>
      <c r="AC265" s="771"/>
      <c r="AD265" s="771"/>
      <c r="AE265" s="771"/>
      <c r="AF265" s="771"/>
      <c r="AG265" s="771"/>
      <c r="AH265" s="771"/>
      <c r="AI265" s="771"/>
      <c r="AJ265" s="771"/>
      <c r="AK265" s="771"/>
      <c r="AL265" s="771"/>
      <c r="AM265" s="771"/>
      <c r="AN265" s="771"/>
      <c r="AO265" s="771"/>
      <c r="AP265" s="771"/>
      <c r="AQ265" s="771"/>
      <c r="AR265" s="771"/>
      <c r="AS265" s="771"/>
      <c r="AT265" s="771"/>
      <c r="AU265" s="771"/>
    </row>
    <row r="266" spans="1:47" s="1135" customFormat="1" outlineLevel="1" x14ac:dyDescent="0.2">
      <c r="A266" s="17"/>
      <c r="B266" s="75"/>
      <c r="C266" s="1989" t="s">
        <v>4506</v>
      </c>
      <c r="D266" s="1989" t="s">
        <v>4507</v>
      </c>
      <c r="E266" s="1989">
        <v>7.21</v>
      </c>
      <c r="F266" s="38">
        <f t="shared" si="3"/>
        <v>586.32614039999999</v>
      </c>
      <c r="G266" s="459"/>
      <c r="H266" s="8"/>
      <c r="I266" s="8"/>
      <c r="J266" s="8"/>
      <c r="K266" s="8"/>
      <c r="L266" s="8"/>
      <c r="M266" s="8"/>
      <c r="N266" s="8"/>
      <c r="O266" s="8"/>
      <c r="P266" s="8"/>
      <c r="Q266" s="8"/>
      <c r="R266" s="8"/>
      <c r="S266" s="8"/>
      <c r="T266" s="8"/>
      <c r="U266" s="8"/>
      <c r="V266" s="8"/>
      <c r="W266" s="8"/>
      <c r="X266" s="771"/>
      <c r="Y266" s="771"/>
      <c r="Z266" s="771"/>
      <c r="AA266" s="771"/>
      <c r="AB266" s="771"/>
      <c r="AC266" s="771"/>
      <c r="AD266" s="771"/>
      <c r="AE266" s="771"/>
      <c r="AF266" s="771"/>
      <c r="AG266" s="771"/>
      <c r="AH266" s="771"/>
      <c r="AI266" s="771"/>
      <c r="AJ266" s="771"/>
      <c r="AK266" s="771"/>
      <c r="AL266" s="771"/>
      <c r="AM266" s="771"/>
      <c r="AN266" s="771"/>
      <c r="AO266" s="771"/>
      <c r="AP266" s="771"/>
      <c r="AQ266" s="771"/>
      <c r="AR266" s="771"/>
      <c r="AS266" s="771"/>
      <c r="AT266" s="771"/>
      <c r="AU266" s="771"/>
    </row>
    <row r="267" spans="1:47" s="1135" customFormat="1" outlineLevel="1" x14ac:dyDescent="0.2">
      <c r="A267" s="17"/>
      <c r="B267" s="75"/>
      <c r="C267" s="1989" t="s">
        <v>4508</v>
      </c>
      <c r="D267" s="1989" t="s">
        <v>5303</v>
      </c>
      <c r="E267" s="1989">
        <v>7.21</v>
      </c>
      <c r="F267" s="38">
        <f t="shared" si="3"/>
        <v>586.32614039999999</v>
      </c>
      <c r="G267" s="459"/>
      <c r="H267" s="8"/>
      <c r="I267" s="8"/>
      <c r="J267" s="8"/>
      <c r="K267" s="8"/>
      <c r="L267" s="8"/>
      <c r="M267" s="8"/>
      <c r="N267" s="8"/>
      <c r="O267" s="8"/>
      <c r="P267" s="8"/>
      <c r="Q267" s="8"/>
      <c r="R267" s="8"/>
      <c r="S267" s="8"/>
      <c r="T267" s="8"/>
      <c r="U267" s="8"/>
      <c r="V267" s="8"/>
      <c r="W267" s="8"/>
      <c r="X267" s="771"/>
      <c r="Y267" s="771"/>
      <c r="Z267" s="771"/>
      <c r="AA267" s="771"/>
      <c r="AB267" s="771"/>
      <c r="AC267" s="771"/>
      <c r="AD267" s="771"/>
      <c r="AE267" s="771"/>
      <c r="AF267" s="771"/>
      <c r="AG267" s="771"/>
      <c r="AH267" s="771"/>
      <c r="AI267" s="771"/>
      <c r="AJ267" s="771"/>
      <c r="AK267" s="771"/>
      <c r="AL267" s="771"/>
      <c r="AM267" s="771"/>
      <c r="AN267" s="771"/>
      <c r="AO267" s="771"/>
      <c r="AP267" s="771"/>
      <c r="AQ267" s="771"/>
      <c r="AR267" s="771"/>
      <c r="AS267" s="771"/>
      <c r="AT267" s="771"/>
      <c r="AU267" s="771"/>
    </row>
    <row r="268" spans="1:47" s="1135" customFormat="1" outlineLevel="1" x14ac:dyDescent="0.2">
      <c r="A268" s="17"/>
      <c r="B268" s="75"/>
      <c r="C268" s="1989" t="s">
        <v>4509</v>
      </c>
      <c r="D268" s="1989" t="s">
        <v>4510</v>
      </c>
      <c r="E268" s="1989">
        <v>7.21</v>
      </c>
      <c r="F268" s="38">
        <f t="shared" si="3"/>
        <v>586.32614039999999</v>
      </c>
      <c r="G268" s="459"/>
      <c r="H268" s="8"/>
      <c r="I268" s="8"/>
      <c r="J268" s="8"/>
      <c r="K268" s="8"/>
      <c r="L268" s="8"/>
      <c r="M268" s="8"/>
      <c r="N268" s="8"/>
      <c r="O268" s="8"/>
      <c r="P268" s="8"/>
      <c r="Q268" s="8"/>
      <c r="R268" s="8"/>
      <c r="S268" s="8"/>
      <c r="T268" s="8"/>
      <c r="U268" s="8"/>
      <c r="V268" s="8"/>
      <c r="W268" s="8"/>
      <c r="X268" s="771"/>
      <c r="Y268" s="771"/>
      <c r="Z268" s="771"/>
      <c r="AA268" s="771"/>
      <c r="AB268" s="771"/>
      <c r="AC268" s="771"/>
      <c r="AD268" s="771"/>
      <c r="AE268" s="771"/>
      <c r="AF268" s="771"/>
      <c r="AG268" s="771"/>
      <c r="AH268" s="771"/>
      <c r="AI268" s="771"/>
      <c r="AJ268" s="771"/>
      <c r="AK268" s="771"/>
      <c r="AL268" s="771"/>
      <c r="AM268" s="771"/>
      <c r="AN268" s="771"/>
      <c r="AO268" s="771"/>
      <c r="AP268" s="771"/>
      <c r="AQ268" s="771"/>
      <c r="AR268" s="771"/>
      <c r="AS268" s="771"/>
      <c r="AT268" s="771"/>
      <c r="AU268" s="771"/>
    </row>
    <row r="269" spans="1:47" s="1135" customFormat="1" outlineLevel="1" x14ac:dyDescent="0.2">
      <c r="A269" s="17"/>
      <c r="B269" s="75"/>
      <c r="C269" s="1989" t="s">
        <v>3823</v>
      </c>
      <c r="D269" s="1989" t="s">
        <v>3824</v>
      </c>
      <c r="E269" s="1989">
        <v>19.510000000000002</v>
      </c>
      <c r="F269" s="38">
        <f t="shared" si="3"/>
        <v>1586.5773924000002</v>
      </c>
      <c r="G269" s="459"/>
      <c r="H269" s="8"/>
      <c r="I269" s="8"/>
      <c r="J269" s="8"/>
      <c r="K269" s="8"/>
      <c r="L269" s="8"/>
      <c r="M269" s="8"/>
      <c r="N269" s="8"/>
      <c r="O269" s="8"/>
      <c r="P269" s="8"/>
      <c r="Q269" s="8"/>
      <c r="R269" s="8"/>
      <c r="S269" s="8"/>
      <c r="T269" s="8"/>
      <c r="U269" s="8"/>
      <c r="V269" s="8"/>
      <c r="W269" s="8"/>
      <c r="X269" s="771"/>
      <c r="Y269" s="771"/>
      <c r="Z269" s="771"/>
      <c r="AA269" s="771"/>
      <c r="AB269" s="771"/>
      <c r="AC269" s="771"/>
      <c r="AD269" s="771"/>
      <c r="AE269" s="771"/>
      <c r="AF269" s="771"/>
      <c r="AG269" s="771"/>
      <c r="AH269" s="771"/>
      <c r="AI269" s="771"/>
      <c r="AJ269" s="771"/>
      <c r="AK269" s="771"/>
      <c r="AL269" s="771"/>
      <c r="AM269" s="771"/>
      <c r="AN269" s="771"/>
      <c r="AO269" s="771"/>
      <c r="AP269" s="771"/>
      <c r="AQ269" s="771"/>
      <c r="AR269" s="771"/>
      <c r="AS269" s="771"/>
      <c r="AT269" s="771"/>
      <c r="AU269" s="771"/>
    </row>
    <row r="270" spans="1:47" s="1135" customFormat="1" outlineLevel="1" x14ac:dyDescent="0.2">
      <c r="A270" s="17"/>
      <c r="B270" s="75"/>
      <c r="C270" s="1989" t="s">
        <v>4511</v>
      </c>
      <c r="D270" s="1989" t="s">
        <v>5304</v>
      </c>
      <c r="E270" s="1989">
        <v>0.54</v>
      </c>
      <c r="F270" s="38">
        <f t="shared" si="3"/>
        <v>43.913469600000006</v>
      </c>
      <c r="G270" s="459"/>
      <c r="H270" s="8"/>
      <c r="I270" s="8"/>
      <c r="J270" s="8"/>
      <c r="K270" s="8"/>
      <c r="L270" s="8"/>
      <c r="M270" s="8"/>
      <c r="N270" s="8"/>
      <c r="O270" s="8"/>
      <c r="P270" s="8"/>
      <c r="Q270" s="8"/>
      <c r="R270" s="8"/>
      <c r="S270" s="8"/>
      <c r="T270" s="8"/>
      <c r="U270" s="8"/>
      <c r="V270" s="8"/>
      <c r="W270" s="8"/>
      <c r="X270" s="771"/>
      <c r="Y270" s="771"/>
      <c r="Z270" s="771"/>
      <c r="AA270" s="771"/>
      <c r="AB270" s="771"/>
      <c r="AC270" s="771"/>
      <c r="AD270" s="771"/>
      <c r="AE270" s="771"/>
      <c r="AF270" s="771"/>
      <c r="AG270" s="771"/>
      <c r="AH270" s="771"/>
      <c r="AI270" s="771"/>
      <c r="AJ270" s="771"/>
      <c r="AK270" s="771"/>
      <c r="AL270" s="771"/>
      <c r="AM270" s="771"/>
      <c r="AN270" s="771"/>
      <c r="AO270" s="771"/>
      <c r="AP270" s="771"/>
      <c r="AQ270" s="771"/>
      <c r="AR270" s="771"/>
      <c r="AS270" s="771"/>
      <c r="AT270" s="771"/>
      <c r="AU270" s="771"/>
    </row>
    <row r="271" spans="1:47" s="1135" customFormat="1" outlineLevel="1" x14ac:dyDescent="0.2">
      <c r="A271" s="17"/>
      <c r="B271" s="75"/>
      <c r="C271" s="1989" t="s">
        <v>6673</v>
      </c>
      <c r="D271" s="1989" t="s">
        <v>7361</v>
      </c>
      <c r="E271" s="1989">
        <v>0</v>
      </c>
      <c r="F271" s="38">
        <f t="shared" si="3"/>
        <v>0</v>
      </c>
      <c r="G271" s="459"/>
      <c r="H271" s="8"/>
      <c r="I271" s="8"/>
      <c r="J271" s="8"/>
      <c r="K271" s="8"/>
      <c r="L271" s="8"/>
      <c r="M271" s="8"/>
      <c r="N271" s="8"/>
      <c r="O271" s="8"/>
      <c r="P271" s="8"/>
      <c r="Q271" s="8"/>
      <c r="R271" s="8"/>
      <c r="S271" s="8"/>
      <c r="T271" s="8"/>
      <c r="U271" s="8"/>
      <c r="V271" s="8"/>
      <c r="W271" s="8"/>
      <c r="X271" s="771"/>
      <c r="Y271" s="771"/>
      <c r="Z271" s="771"/>
      <c r="AA271" s="771"/>
      <c r="AB271" s="771"/>
      <c r="AC271" s="771"/>
      <c r="AD271" s="771"/>
      <c r="AE271" s="771"/>
      <c r="AF271" s="771"/>
      <c r="AG271" s="771"/>
      <c r="AH271" s="771"/>
      <c r="AI271" s="771"/>
      <c r="AJ271" s="771"/>
      <c r="AK271" s="771"/>
      <c r="AL271" s="771"/>
      <c r="AM271" s="771"/>
      <c r="AN271" s="771"/>
      <c r="AO271" s="771"/>
      <c r="AP271" s="771"/>
      <c r="AQ271" s="771"/>
      <c r="AR271" s="771"/>
      <c r="AS271" s="771"/>
      <c r="AT271" s="771"/>
      <c r="AU271" s="771"/>
    </row>
    <row r="272" spans="1:47" s="1135" customFormat="1" outlineLevel="1" x14ac:dyDescent="0.2">
      <c r="A272" s="17"/>
      <c r="B272" s="75"/>
      <c r="C272" s="1989" t="s">
        <v>4512</v>
      </c>
      <c r="D272" s="1989" t="s">
        <v>5305</v>
      </c>
      <c r="E272" s="1989">
        <v>7.21</v>
      </c>
      <c r="F272" s="38">
        <f t="shared" si="3"/>
        <v>586.32614039999999</v>
      </c>
      <c r="G272" s="459"/>
      <c r="H272" s="8"/>
      <c r="I272" s="8"/>
      <c r="J272" s="8"/>
      <c r="K272" s="8"/>
      <c r="L272" s="8"/>
      <c r="M272" s="8"/>
      <c r="N272" s="8"/>
      <c r="O272" s="8"/>
      <c r="P272" s="8"/>
      <c r="Q272" s="8"/>
      <c r="R272" s="8"/>
      <c r="S272" s="8"/>
      <c r="T272" s="8"/>
      <c r="U272" s="8"/>
      <c r="V272" s="8"/>
      <c r="W272" s="8"/>
      <c r="X272" s="771"/>
      <c r="Y272" s="771"/>
      <c r="Z272" s="771"/>
      <c r="AA272" s="771"/>
      <c r="AB272" s="771"/>
      <c r="AC272" s="771"/>
      <c r="AD272" s="771"/>
      <c r="AE272" s="771"/>
      <c r="AF272" s="771"/>
      <c r="AG272" s="771"/>
      <c r="AH272" s="771"/>
      <c r="AI272" s="771"/>
      <c r="AJ272" s="771"/>
      <c r="AK272" s="771"/>
      <c r="AL272" s="771"/>
      <c r="AM272" s="771"/>
      <c r="AN272" s="771"/>
      <c r="AO272" s="771"/>
      <c r="AP272" s="771"/>
      <c r="AQ272" s="771"/>
      <c r="AR272" s="771"/>
      <c r="AS272" s="771"/>
      <c r="AT272" s="771"/>
      <c r="AU272" s="771"/>
    </row>
    <row r="273" spans="1:47" s="1135" customFormat="1" outlineLevel="1" x14ac:dyDescent="0.2">
      <c r="A273" s="17"/>
      <c r="B273" s="75"/>
      <c r="C273" s="1989" t="s">
        <v>4513</v>
      </c>
      <c r="D273" s="1989" t="s">
        <v>4514</v>
      </c>
      <c r="E273" s="1989">
        <v>7.21</v>
      </c>
      <c r="F273" s="38">
        <f t="shared" si="3"/>
        <v>586.32614039999999</v>
      </c>
      <c r="G273" s="459"/>
      <c r="H273" s="8"/>
      <c r="I273" s="8"/>
      <c r="J273" s="8"/>
      <c r="K273" s="8"/>
      <c r="L273" s="8"/>
      <c r="M273" s="8"/>
      <c r="N273" s="8"/>
      <c r="O273" s="8"/>
      <c r="P273" s="8"/>
      <c r="Q273" s="8"/>
      <c r="R273" s="8"/>
      <c r="S273" s="8"/>
      <c r="T273" s="8"/>
      <c r="U273" s="8"/>
      <c r="V273" s="8"/>
      <c r="W273" s="8"/>
      <c r="X273" s="771"/>
      <c r="Y273" s="771"/>
      <c r="Z273" s="771"/>
      <c r="AA273" s="771"/>
      <c r="AB273" s="771"/>
      <c r="AC273" s="771"/>
      <c r="AD273" s="771"/>
      <c r="AE273" s="771"/>
      <c r="AF273" s="771"/>
      <c r="AG273" s="771"/>
      <c r="AH273" s="771"/>
      <c r="AI273" s="771"/>
      <c r="AJ273" s="771"/>
      <c r="AK273" s="771"/>
      <c r="AL273" s="771"/>
      <c r="AM273" s="771"/>
      <c r="AN273" s="771"/>
      <c r="AO273" s="771"/>
      <c r="AP273" s="771"/>
      <c r="AQ273" s="771"/>
      <c r="AR273" s="771"/>
      <c r="AS273" s="771"/>
      <c r="AT273" s="771"/>
      <c r="AU273" s="771"/>
    </row>
    <row r="274" spans="1:47" s="1135" customFormat="1" outlineLevel="1" x14ac:dyDescent="0.2">
      <c r="A274" s="17"/>
      <c r="B274" s="75"/>
      <c r="C274" s="1989" t="s">
        <v>4515</v>
      </c>
      <c r="D274" s="1989" t="s">
        <v>5306</v>
      </c>
      <c r="E274" s="1989">
        <v>7.26</v>
      </c>
      <c r="F274" s="38">
        <f t="shared" si="3"/>
        <v>590.39220239999997</v>
      </c>
      <c r="G274" s="459"/>
      <c r="H274" s="8"/>
      <c r="I274" s="8"/>
      <c r="J274" s="8"/>
      <c r="K274" s="8"/>
      <c r="L274" s="8"/>
      <c r="M274" s="8"/>
      <c r="N274" s="8"/>
      <c r="O274" s="8"/>
      <c r="P274" s="8"/>
      <c r="Q274" s="8"/>
      <c r="R274" s="8"/>
      <c r="S274" s="8"/>
      <c r="T274" s="8"/>
      <c r="U274" s="8"/>
      <c r="V274" s="8"/>
      <c r="W274" s="8"/>
      <c r="X274" s="771"/>
      <c r="Y274" s="771"/>
      <c r="Z274" s="771"/>
      <c r="AA274" s="771"/>
      <c r="AB274" s="771"/>
      <c r="AC274" s="771"/>
      <c r="AD274" s="771"/>
      <c r="AE274" s="771"/>
      <c r="AF274" s="771"/>
      <c r="AG274" s="771"/>
      <c r="AH274" s="771"/>
      <c r="AI274" s="771"/>
      <c r="AJ274" s="771"/>
      <c r="AK274" s="771"/>
      <c r="AL274" s="771"/>
      <c r="AM274" s="771"/>
      <c r="AN274" s="771"/>
      <c r="AO274" s="771"/>
      <c r="AP274" s="771"/>
      <c r="AQ274" s="771"/>
      <c r="AR274" s="771"/>
      <c r="AS274" s="771"/>
      <c r="AT274" s="771"/>
      <c r="AU274" s="771"/>
    </row>
    <row r="275" spans="1:47" s="1135" customFormat="1" outlineLevel="1" x14ac:dyDescent="0.2">
      <c r="A275" s="17"/>
      <c r="B275" s="75"/>
      <c r="C275" s="1989" t="s">
        <v>4516</v>
      </c>
      <c r="D275" s="1989" t="s">
        <v>4517</v>
      </c>
      <c r="E275" s="1989">
        <v>7.26</v>
      </c>
      <c r="F275" s="38">
        <f t="shared" si="3"/>
        <v>590.39220239999997</v>
      </c>
      <c r="G275" s="459"/>
      <c r="H275" s="8"/>
      <c r="I275" s="8"/>
      <c r="J275" s="8"/>
      <c r="K275" s="8"/>
      <c r="L275" s="8"/>
      <c r="M275" s="8"/>
      <c r="N275" s="8"/>
      <c r="O275" s="8"/>
      <c r="P275" s="8"/>
      <c r="Q275" s="8"/>
      <c r="R275" s="8"/>
      <c r="S275" s="8"/>
      <c r="T275" s="8"/>
      <c r="U275" s="8"/>
      <c r="V275" s="8"/>
      <c r="W275" s="8"/>
      <c r="X275" s="771"/>
      <c r="Y275" s="771"/>
      <c r="Z275" s="771"/>
      <c r="AA275" s="771"/>
      <c r="AB275" s="771"/>
      <c r="AC275" s="771"/>
      <c r="AD275" s="771"/>
      <c r="AE275" s="771"/>
      <c r="AF275" s="771"/>
      <c r="AG275" s="771"/>
      <c r="AH275" s="771"/>
      <c r="AI275" s="771"/>
      <c r="AJ275" s="771"/>
      <c r="AK275" s="771"/>
      <c r="AL275" s="771"/>
      <c r="AM275" s="771"/>
      <c r="AN275" s="771"/>
      <c r="AO275" s="771"/>
      <c r="AP275" s="771"/>
      <c r="AQ275" s="771"/>
      <c r="AR275" s="771"/>
      <c r="AS275" s="771"/>
      <c r="AT275" s="771"/>
      <c r="AU275" s="771"/>
    </row>
    <row r="276" spans="1:47" s="1135" customFormat="1" outlineLevel="1" x14ac:dyDescent="0.2">
      <c r="A276" s="17"/>
      <c r="B276" s="75"/>
      <c r="C276" s="1989" t="s">
        <v>4518</v>
      </c>
      <c r="D276" s="1989" t="s">
        <v>5307</v>
      </c>
      <c r="E276" s="1989">
        <v>5.18</v>
      </c>
      <c r="F276" s="38">
        <f t="shared" si="3"/>
        <v>421.24402319999996</v>
      </c>
      <c r="G276" s="459"/>
      <c r="H276" s="8"/>
      <c r="I276" s="8"/>
      <c r="J276" s="8"/>
      <c r="K276" s="8"/>
      <c r="L276" s="8"/>
      <c r="M276" s="8"/>
      <c r="N276" s="8"/>
      <c r="O276" s="8"/>
      <c r="P276" s="8"/>
      <c r="Q276" s="8"/>
      <c r="R276" s="8"/>
      <c r="S276" s="8"/>
      <c r="T276" s="8"/>
      <c r="U276" s="8"/>
      <c r="V276" s="8"/>
      <c r="W276" s="8"/>
      <c r="X276" s="771"/>
      <c r="Y276" s="771"/>
      <c r="Z276" s="771"/>
      <c r="AA276" s="771"/>
      <c r="AB276" s="771"/>
      <c r="AC276" s="771"/>
      <c r="AD276" s="771"/>
      <c r="AE276" s="771"/>
      <c r="AF276" s="771"/>
      <c r="AG276" s="771"/>
      <c r="AH276" s="771"/>
      <c r="AI276" s="771"/>
      <c r="AJ276" s="771"/>
      <c r="AK276" s="771"/>
      <c r="AL276" s="771"/>
      <c r="AM276" s="771"/>
      <c r="AN276" s="771"/>
      <c r="AO276" s="771"/>
      <c r="AP276" s="771"/>
      <c r="AQ276" s="771"/>
      <c r="AR276" s="771"/>
      <c r="AS276" s="771"/>
      <c r="AT276" s="771"/>
      <c r="AU276" s="771"/>
    </row>
    <row r="277" spans="1:47" s="1135" customFormat="1" outlineLevel="1" x14ac:dyDescent="0.2">
      <c r="A277" s="17"/>
      <c r="B277" s="75"/>
      <c r="C277" s="1989" t="s">
        <v>4519</v>
      </c>
      <c r="D277" s="1989" t="s">
        <v>4520</v>
      </c>
      <c r="E277" s="1989">
        <v>5.18</v>
      </c>
      <c r="F277" s="38">
        <f t="shared" si="3"/>
        <v>421.24402319999996</v>
      </c>
      <c r="G277" s="459"/>
      <c r="H277" s="8"/>
      <c r="I277" s="8"/>
      <c r="J277" s="8"/>
      <c r="K277" s="8"/>
      <c r="L277" s="8"/>
      <c r="M277" s="8"/>
      <c r="N277" s="8"/>
      <c r="O277" s="8"/>
      <c r="P277" s="8"/>
      <c r="Q277" s="8"/>
      <c r="R277" s="8"/>
      <c r="S277" s="8"/>
      <c r="T277" s="8"/>
      <c r="U277" s="8"/>
      <c r="V277" s="8"/>
      <c r="W277" s="8"/>
      <c r="X277" s="771"/>
      <c r="Y277" s="771"/>
      <c r="Z277" s="771"/>
      <c r="AA277" s="771"/>
      <c r="AB277" s="771"/>
      <c r="AC277" s="771"/>
      <c r="AD277" s="771"/>
      <c r="AE277" s="771"/>
      <c r="AF277" s="771"/>
      <c r="AG277" s="771"/>
      <c r="AH277" s="771"/>
      <c r="AI277" s="771"/>
      <c r="AJ277" s="771"/>
      <c r="AK277" s="771"/>
      <c r="AL277" s="771"/>
      <c r="AM277" s="771"/>
      <c r="AN277" s="771"/>
      <c r="AO277" s="771"/>
      <c r="AP277" s="771"/>
      <c r="AQ277" s="771"/>
      <c r="AR277" s="771"/>
      <c r="AS277" s="771"/>
      <c r="AT277" s="771"/>
      <c r="AU277" s="771"/>
    </row>
    <row r="278" spans="1:47" s="1135" customFormat="1" outlineLevel="1" x14ac:dyDescent="0.2">
      <c r="A278" s="17"/>
      <c r="B278" s="75"/>
      <c r="C278" s="1989" t="s">
        <v>4521</v>
      </c>
      <c r="D278" s="1989" t="s">
        <v>5308</v>
      </c>
      <c r="E278" s="1989">
        <v>5.22</v>
      </c>
      <c r="F278" s="38">
        <f t="shared" si="3"/>
        <v>424.49687280000001</v>
      </c>
      <c r="G278" s="459"/>
      <c r="H278" s="8"/>
      <c r="I278" s="8"/>
      <c r="J278" s="8"/>
      <c r="K278" s="8"/>
      <c r="L278" s="8"/>
      <c r="M278" s="8"/>
      <c r="N278" s="8"/>
      <c r="O278" s="8"/>
      <c r="P278" s="8"/>
      <c r="Q278" s="8"/>
      <c r="R278" s="8"/>
      <c r="S278" s="8"/>
      <c r="T278" s="8"/>
      <c r="U278" s="8"/>
      <c r="V278" s="8"/>
      <c r="W278" s="8"/>
      <c r="X278" s="771"/>
      <c r="Y278" s="771"/>
      <c r="Z278" s="771"/>
      <c r="AA278" s="771"/>
      <c r="AB278" s="771"/>
      <c r="AC278" s="771"/>
      <c r="AD278" s="771"/>
      <c r="AE278" s="771"/>
      <c r="AF278" s="771"/>
      <c r="AG278" s="771"/>
      <c r="AH278" s="771"/>
      <c r="AI278" s="771"/>
      <c r="AJ278" s="771"/>
      <c r="AK278" s="771"/>
      <c r="AL278" s="771"/>
      <c r="AM278" s="771"/>
      <c r="AN278" s="771"/>
      <c r="AO278" s="771"/>
      <c r="AP278" s="771"/>
      <c r="AQ278" s="771"/>
      <c r="AR278" s="771"/>
      <c r="AS278" s="771"/>
      <c r="AT278" s="771"/>
      <c r="AU278" s="771"/>
    </row>
    <row r="279" spans="1:47" s="1135" customFormat="1" outlineLevel="1" x14ac:dyDescent="0.2">
      <c r="A279" s="17"/>
      <c r="B279" s="75"/>
      <c r="C279" s="1989" t="s">
        <v>4522</v>
      </c>
      <c r="D279" s="1989" t="s">
        <v>4523</v>
      </c>
      <c r="E279" s="1989">
        <v>5.22</v>
      </c>
      <c r="F279" s="38">
        <f t="shared" si="3"/>
        <v>424.49687280000001</v>
      </c>
      <c r="G279" s="459"/>
      <c r="H279" s="8"/>
      <c r="I279" s="8"/>
      <c r="J279" s="8"/>
      <c r="K279" s="8"/>
      <c r="L279" s="8"/>
      <c r="M279" s="8"/>
      <c r="N279" s="8"/>
      <c r="O279" s="8"/>
      <c r="P279" s="8"/>
      <c r="Q279" s="8"/>
      <c r="R279" s="8"/>
      <c r="S279" s="8"/>
      <c r="T279" s="8"/>
      <c r="U279" s="8"/>
      <c r="V279" s="8"/>
      <c r="W279" s="8"/>
      <c r="X279" s="771"/>
      <c r="Y279" s="771"/>
      <c r="Z279" s="771"/>
      <c r="AA279" s="771"/>
      <c r="AB279" s="771"/>
      <c r="AC279" s="771"/>
      <c r="AD279" s="771"/>
      <c r="AE279" s="771"/>
      <c r="AF279" s="771"/>
      <c r="AG279" s="771"/>
      <c r="AH279" s="771"/>
      <c r="AI279" s="771"/>
      <c r="AJ279" s="771"/>
      <c r="AK279" s="771"/>
      <c r="AL279" s="771"/>
      <c r="AM279" s="771"/>
      <c r="AN279" s="771"/>
      <c r="AO279" s="771"/>
      <c r="AP279" s="771"/>
      <c r="AQ279" s="771"/>
      <c r="AR279" s="771"/>
      <c r="AS279" s="771"/>
      <c r="AT279" s="771"/>
      <c r="AU279" s="771"/>
    </row>
    <row r="280" spans="1:47" s="1135" customFormat="1" outlineLevel="1" x14ac:dyDescent="0.2">
      <c r="A280" s="17"/>
      <c r="B280" s="75"/>
      <c r="C280" s="1989" t="s">
        <v>3825</v>
      </c>
      <c r="D280" s="1989" t="s">
        <v>3826</v>
      </c>
      <c r="E280" s="1989">
        <v>19.649999999999999</v>
      </c>
      <c r="F280" s="38">
        <f t="shared" si="3"/>
        <v>1597.962366</v>
      </c>
      <c r="G280" s="459"/>
      <c r="H280" s="8"/>
      <c r="I280" s="8"/>
      <c r="J280" s="8"/>
      <c r="K280" s="8"/>
      <c r="L280" s="8"/>
      <c r="M280" s="8"/>
      <c r="N280" s="8"/>
      <c r="O280" s="8"/>
      <c r="P280" s="8"/>
      <c r="Q280" s="8"/>
      <c r="R280" s="8"/>
      <c r="S280" s="8"/>
      <c r="T280" s="8"/>
      <c r="U280" s="8"/>
      <c r="V280" s="8"/>
      <c r="W280" s="8"/>
      <c r="X280" s="771"/>
      <c r="Y280" s="771"/>
      <c r="Z280" s="771"/>
      <c r="AA280" s="771"/>
      <c r="AB280" s="771"/>
      <c r="AC280" s="771"/>
      <c r="AD280" s="771"/>
      <c r="AE280" s="771"/>
      <c r="AF280" s="771"/>
      <c r="AG280" s="771"/>
      <c r="AH280" s="771"/>
      <c r="AI280" s="771"/>
      <c r="AJ280" s="771"/>
      <c r="AK280" s="771"/>
      <c r="AL280" s="771"/>
      <c r="AM280" s="771"/>
      <c r="AN280" s="771"/>
      <c r="AO280" s="771"/>
      <c r="AP280" s="771"/>
      <c r="AQ280" s="771"/>
      <c r="AR280" s="771"/>
      <c r="AS280" s="771"/>
      <c r="AT280" s="771"/>
      <c r="AU280" s="771"/>
    </row>
    <row r="281" spans="1:47" s="1135" customFormat="1" outlineLevel="1" x14ac:dyDescent="0.2">
      <c r="A281" s="17"/>
      <c r="B281" s="75"/>
      <c r="C281" s="1989" t="s">
        <v>4524</v>
      </c>
      <c r="D281" s="1989" t="s">
        <v>5309</v>
      </c>
      <c r="E281" s="1989">
        <v>7.75</v>
      </c>
      <c r="F281" s="38">
        <f t="shared" si="3"/>
        <v>630.23960999999997</v>
      </c>
      <c r="G281" s="459"/>
      <c r="H281" s="8"/>
      <c r="I281" s="8"/>
      <c r="J281" s="8"/>
      <c r="K281" s="8"/>
      <c r="L281" s="8"/>
      <c r="M281" s="8"/>
      <c r="N281" s="8"/>
      <c r="O281" s="8"/>
      <c r="P281" s="8"/>
      <c r="Q281" s="8"/>
      <c r="R281" s="8"/>
      <c r="S281" s="8"/>
      <c r="T281" s="8"/>
      <c r="U281" s="8"/>
      <c r="V281" s="8"/>
      <c r="W281" s="8"/>
      <c r="X281" s="771"/>
      <c r="Y281" s="771"/>
      <c r="Z281" s="771"/>
      <c r="AA281" s="771"/>
      <c r="AB281" s="771"/>
      <c r="AC281" s="771"/>
      <c r="AD281" s="771"/>
      <c r="AE281" s="771"/>
      <c r="AF281" s="771"/>
      <c r="AG281" s="771"/>
      <c r="AH281" s="771"/>
      <c r="AI281" s="771"/>
      <c r="AJ281" s="771"/>
      <c r="AK281" s="771"/>
      <c r="AL281" s="771"/>
      <c r="AM281" s="771"/>
      <c r="AN281" s="771"/>
      <c r="AO281" s="771"/>
      <c r="AP281" s="771"/>
      <c r="AQ281" s="771"/>
      <c r="AR281" s="771"/>
      <c r="AS281" s="771"/>
      <c r="AT281" s="771"/>
      <c r="AU281" s="771"/>
    </row>
    <row r="282" spans="1:47" s="1135" customFormat="1" outlineLevel="1" x14ac:dyDescent="0.2">
      <c r="A282" s="17"/>
      <c r="B282" s="75"/>
      <c r="C282" s="1989" t="s">
        <v>4525</v>
      </c>
      <c r="D282" s="1989" t="s">
        <v>4526</v>
      </c>
      <c r="E282" s="1989">
        <v>7.75</v>
      </c>
      <c r="F282" s="38">
        <f t="shared" si="3"/>
        <v>630.23960999999997</v>
      </c>
      <c r="G282" s="459"/>
      <c r="H282" s="8"/>
      <c r="I282" s="8"/>
      <c r="J282" s="8"/>
      <c r="K282" s="8"/>
      <c r="L282" s="8"/>
      <c r="M282" s="8"/>
      <c r="N282" s="8"/>
      <c r="O282" s="8"/>
      <c r="P282" s="8"/>
      <c r="Q282" s="8"/>
      <c r="R282" s="8"/>
      <c r="S282" s="8"/>
      <c r="T282" s="8"/>
      <c r="U282" s="8"/>
      <c r="V282" s="8"/>
      <c r="W282" s="8"/>
      <c r="X282" s="771"/>
      <c r="Y282" s="771"/>
      <c r="Z282" s="771"/>
      <c r="AA282" s="771"/>
      <c r="AB282" s="771"/>
      <c r="AC282" s="771"/>
      <c r="AD282" s="771"/>
      <c r="AE282" s="771"/>
      <c r="AF282" s="771"/>
      <c r="AG282" s="771"/>
      <c r="AH282" s="771"/>
      <c r="AI282" s="771"/>
      <c r="AJ282" s="771"/>
      <c r="AK282" s="771"/>
      <c r="AL282" s="771"/>
      <c r="AM282" s="771"/>
      <c r="AN282" s="771"/>
      <c r="AO282" s="771"/>
      <c r="AP282" s="771"/>
      <c r="AQ282" s="771"/>
      <c r="AR282" s="771"/>
      <c r="AS282" s="771"/>
      <c r="AT282" s="771"/>
      <c r="AU282" s="771"/>
    </row>
    <row r="283" spans="1:47" s="1135" customFormat="1" outlineLevel="1" x14ac:dyDescent="0.2">
      <c r="A283" s="17"/>
      <c r="B283" s="75"/>
      <c r="C283" s="1989" t="s">
        <v>2593</v>
      </c>
      <c r="D283" s="1989" t="s">
        <v>3187</v>
      </c>
      <c r="E283" s="1989">
        <v>12.57</v>
      </c>
      <c r="F283" s="38">
        <f t="shared" si="3"/>
        <v>1022.2079868000001</v>
      </c>
      <c r="G283" s="459"/>
      <c r="H283" s="8"/>
      <c r="I283" s="8"/>
      <c r="J283" s="8"/>
      <c r="K283" s="8"/>
      <c r="L283" s="8"/>
      <c r="M283" s="8"/>
      <c r="N283" s="8"/>
      <c r="O283" s="8"/>
      <c r="P283" s="8"/>
      <c r="Q283" s="8"/>
      <c r="R283" s="8"/>
      <c r="S283" s="8"/>
      <c r="T283" s="8"/>
      <c r="U283" s="8"/>
      <c r="V283" s="8"/>
      <c r="W283" s="8"/>
      <c r="X283" s="771"/>
      <c r="Y283" s="771"/>
      <c r="Z283" s="771"/>
      <c r="AA283" s="771"/>
      <c r="AB283" s="771"/>
      <c r="AC283" s="771"/>
      <c r="AD283" s="771"/>
      <c r="AE283" s="771"/>
      <c r="AF283" s="771"/>
      <c r="AG283" s="771"/>
      <c r="AH283" s="771"/>
      <c r="AI283" s="771"/>
      <c r="AJ283" s="771"/>
      <c r="AK283" s="771"/>
      <c r="AL283" s="771"/>
      <c r="AM283" s="771"/>
      <c r="AN283" s="771"/>
      <c r="AO283" s="771"/>
      <c r="AP283" s="771"/>
      <c r="AQ283" s="771"/>
      <c r="AR283" s="771"/>
      <c r="AS283" s="771"/>
      <c r="AT283" s="771"/>
      <c r="AU283" s="771"/>
    </row>
    <row r="284" spans="1:47" s="1135" customFormat="1" outlineLevel="1" x14ac:dyDescent="0.2">
      <c r="A284" s="17"/>
      <c r="B284" s="75"/>
      <c r="C284" s="1989" t="s">
        <v>3188</v>
      </c>
      <c r="D284" s="1989" t="s">
        <v>5310</v>
      </c>
      <c r="E284" s="1989">
        <v>23.33</v>
      </c>
      <c r="F284" s="38">
        <f t="shared" si="3"/>
        <v>1897.2245292</v>
      </c>
      <c r="G284" s="459"/>
      <c r="H284" s="8"/>
      <c r="I284" s="8"/>
      <c r="J284" s="8"/>
      <c r="K284" s="8"/>
      <c r="L284" s="8"/>
      <c r="M284" s="8"/>
      <c r="N284" s="8"/>
      <c r="O284" s="8"/>
      <c r="P284" s="8"/>
      <c r="Q284" s="8"/>
      <c r="R284" s="8"/>
      <c r="S284" s="8"/>
      <c r="T284" s="8"/>
      <c r="U284" s="8"/>
      <c r="V284" s="8"/>
      <c r="W284" s="8"/>
      <c r="X284" s="771"/>
      <c r="Y284" s="771"/>
      <c r="Z284" s="771"/>
      <c r="AA284" s="771"/>
      <c r="AB284" s="771"/>
      <c r="AC284" s="771"/>
      <c r="AD284" s="771"/>
      <c r="AE284" s="771"/>
      <c r="AF284" s="771"/>
      <c r="AG284" s="771"/>
      <c r="AH284" s="771"/>
      <c r="AI284" s="771"/>
      <c r="AJ284" s="771"/>
      <c r="AK284" s="771"/>
      <c r="AL284" s="771"/>
      <c r="AM284" s="771"/>
      <c r="AN284" s="771"/>
      <c r="AO284" s="771"/>
      <c r="AP284" s="771"/>
      <c r="AQ284" s="771"/>
      <c r="AR284" s="771"/>
      <c r="AS284" s="771"/>
      <c r="AT284" s="771"/>
      <c r="AU284" s="771"/>
    </row>
    <row r="285" spans="1:47" s="1135" customFormat="1" outlineLevel="1" x14ac:dyDescent="0.2">
      <c r="A285" s="17"/>
      <c r="B285" s="75"/>
      <c r="C285" s="1989" t="s">
        <v>3189</v>
      </c>
      <c r="D285" s="1989" t="s">
        <v>3190</v>
      </c>
      <c r="E285" s="1989">
        <v>3.81</v>
      </c>
      <c r="F285" s="38">
        <f t="shared" si="3"/>
        <v>309.8339244</v>
      </c>
      <c r="G285" s="459"/>
      <c r="H285" s="8"/>
      <c r="I285" s="8"/>
      <c r="J285" s="8"/>
      <c r="K285" s="8"/>
      <c r="L285" s="8"/>
      <c r="M285" s="8"/>
      <c r="N285" s="8"/>
      <c r="O285" s="8"/>
      <c r="P285" s="8"/>
      <c r="Q285" s="8"/>
      <c r="R285" s="8"/>
      <c r="S285" s="8"/>
      <c r="T285" s="8"/>
      <c r="U285" s="8"/>
      <c r="V285" s="8"/>
      <c r="W285" s="8"/>
      <c r="X285" s="771"/>
      <c r="Y285" s="771"/>
      <c r="Z285" s="771"/>
      <c r="AA285" s="771"/>
      <c r="AB285" s="771"/>
      <c r="AC285" s="771"/>
      <c r="AD285" s="771"/>
      <c r="AE285" s="771"/>
      <c r="AF285" s="771"/>
      <c r="AG285" s="771"/>
      <c r="AH285" s="771"/>
      <c r="AI285" s="771"/>
      <c r="AJ285" s="771"/>
      <c r="AK285" s="771"/>
      <c r="AL285" s="771"/>
      <c r="AM285" s="771"/>
      <c r="AN285" s="771"/>
      <c r="AO285" s="771"/>
      <c r="AP285" s="771"/>
      <c r="AQ285" s="771"/>
      <c r="AR285" s="771"/>
      <c r="AS285" s="771"/>
      <c r="AT285" s="771"/>
      <c r="AU285" s="771"/>
    </row>
    <row r="286" spans="1:47" s="1135" customFormat="1" outlineLevel="1" x14ac:dyDescent="0.2">
      <c r="A286" s="17"/>
      <c r="B286" s="75"/>
      <c r="C286" s="1989" t="s">
        <v>3191</v>
      </c>
      <c r="D286" s="1989" t="s">
        <v>5311</v>
      </c>
      <c r="E286" s="1989">
        <v>3.81</v>
      </c>
      <c r="F286" s="38">
        <f t="shared" si="3"/>
        <v>309.8339244</v>
      </c>
      <c r="G286" s="459"/>
      <c r="H286" s="8"/>
      <c r="I286" s="8"/>
      <c r="J286" s="8"/>
      <c r="K286" s="8"/>
      <c r="L286" s="8"/>
      <c r="M286" s="8"/>
      <c r="N286" s="8"/>
      <c r="O286" s="8"/>
      <c r="P286" s="8"/>
      <c r="Q286" s="8"/>
      <c r="R286" s="8"/>
      <c r="S286" s="8"/>
      <c r="T286" s="8"/>
      <c r="U286" s="8"/>
      <c r="V286" s="8"/>
      <c r="W286" s="8"/>
      <c r="X286" s="771"/>
      <c r="Y286" s="771"/>
      <c r="Z286" s="771"/>
      <c r="AA286" s="771"/>
      <c r="AB286" s="771"/>
      <c r="AC286" s="771"/>
      <c r="AD286" s="771"/>
      <c r="AE286" s="771"/>
      <c r="AF286" s="771"/>
      <c r="AG286" s="771"/>
      <c r="AH286" s="771"/>
      <c r="AI286" s="771"/>
      <c r="AJ286" s="771"/>
      <c r="AK286" s="771"/>
      <c r="AL286" s="771"/>
      <c r="AM286" s="771"/>
      <c r="AN286" s="771"/>
      <c r="AO286" s="771"/>
      <c r="AP286" s="771"/>
      <c r="AQ286" s="771"/>
      <c r="AR286" s="771"/>
      <c r="AS286" s="771"/>
      <c r="AT286" s="771"/>
      <c r="AU286" s="771"/>
    </row>
    <row r="287" spans="1:47" s="1135" customFormat="1" outlineLevel="1" x14ac:dyDescent="0.2">
      <c r="A287" s="17"/>
      <c r="B287" s="75"/>
      <c r="C287" s="1989" t="s">
        <v>3193</v>
      </c>
      <c r="D287" s="1989" t="s">
        <v>3194</v>
      </c>
      <c r="E287" s="1989">
        <v>2.63</v>
      </c>
      <c r="F287" s="38">
        <f t="shared" ref="F287:F350" si="4">E287*$G$4*$J$4</f>
        <v>213.8748612</v>
      </c>
      <c r="G287" s="459"/>
      <c r="H287" s="8"/>
      <c r="I287" s="8"/>
      <c r="J287" s="8"/>
      <c r="K287" s="8"/>
      <c r="L287" s="8"/>
      <c r="M287" s="8"/>
      <c r="N287" s="8"/>
      <c r="O287" s="8"/>
      <c r="P287" s="8"/>
      <c r="Q287" s="8"/>
      <c r="R287" s="8"/>
      <c r="S287" s="8"/>
      <c r="T287" s="8"/>
      <c r="U287" s="8"/>
      <c r="V287" s="8"/>
      <c r="W287" s="8"/>
      <c r="X287" s="771"/>
      <c r="Y287" s="771"/>
      <c r="Z287" s="771"/>
      <c r="AA287" s="771"/>
      <c r="AB287" s="771"/>
      <c r="AC287" s="771"/>
      <c r="AD287" s="771"/>
      <c r="AE287" s="771"/>
      <c r="AF287" s="771"/>
      <c r="AG287" s="771"/>
      <c r="AH287" s="771"/>
      <c r="AI287" s="771"/>
      <c r="AJ287" s="771"/>
      <c r="AK287" s="771"/>
      <c r="AL287" s="771"/>
      <c r="AM287" s="771"/>
      <c r="AN287" s="771"/>
      <c r="AO287" s="771"/>
      <c r="AP287" s="771"/>
      <c r="AQ287" s="771"/>
      <c r="AR287" s="771"/>
      <c r="AS287" s="771"/>
      <c r="AT287" s="771"/>
      <c r="AU287" s="771"/>
    </row>
    <row r="288" spans="1:47" s="1135" customFormat="1" outlineLevel="1" x14ac:dyDescent="0.2">
      <c r="A288" s="17"/>
      <c r="B288" s="75"/>
      <c r="C288" s="1989" t="s">
        <v>3195</v>
      </c>
      <c r="D288" s="1989" t="s">
        <v>5312</v>
      </c>
      <c r="E288" s="1989">
        <v>2.63</v>
      </c>
      <c r="F288" s="38">
        <f t="shared" si="4"/>
        <v>213.8748612</v>
      </c>
      <c r="G288" s="459"/>
      <c r="H288" s="8"/>
      <c r="I288" s="8"/>
      <c r="J288" s="8"/>
      <c r="K288" s="8"/>
      <c r="L288" s="8"/>
      <c r="M288" s="8"/>
      <c r="N288" s="8"/>
      <c r="O288" s="8"/>
      <c r="P288" s="8"/>
      <c r="Q288" s="8"/>
      <c r="R288" s="8"/>
      <c r="S288" s="8"/>
      <c r="T288" s="8"/>
      <c r="U288" s="8"/>
      <c r="V288" s="8"/>
      <c r="W288" s="8"/>
      <c r="X288" s="771"/>
      <c r="Y288" s="771"/>
      <c r="Z288" s="771"/>
      <c r="AA288" s="771"/>
      <c r="AB288" s="771"/>
      <c r="AC288" s="771"/>
      <c r="AD288" s="771"/>
      <c r="AE288" s="771"/>
      <c r="AF288" s="771"/>
      <c r="AG288" s="771"/>
      <c r="AH288" s="771"/>
      <c r="AI288" s="771"/>
      <c r="AJ288" s="771"/>
      <c r="AK288" s="771"/>
      <c r="AL288" s="771"/>
      <c r="AM288" s="771"/>
      <c r="AN288" s="771"/>
      <c r="AO288" s="771"/>
      <c r="AP288" s="771"/>
      <c r="AQ288" s="771"/>
      <c r="AR288" s="771"/>
      <c r="AS288" s="771"/>
      <c r="AT288" s="771"/>
      <c r="AU288" s="771"/>
    </row>
    <row r="289" spans="1:47" s="1135" customFormat="1" outlineLevel="1" x14ac:dyDescent="0.2">
      <c r="A289" s="17"/>
      <c r="B289" s="75"/>
      <c r="C289" s="1989" t="s">
        <v>4527</v>
      </c>
      <c r="D289" s="1989" t="s">
        <v>5313</v>
      </c>
      <c r="E289" s="1989">
        <v>8.61</v>
      </c>
      <c r="F289" s="38">
        <f t="shared" si="4"/>
        <v>700.17587639999999</v>
      </c>
      <c r="G289" s="459"/>
      <c r="H289" s="8"/>
      <c r="I289" s="8"/>
      <c r="J289" s="8"/>
      <c r="K289" s="8"/>
      <c r="L289" s="8"/>
      <c r="M289" s="8"/>
      <c r="N289" s="8"/>
      <c r="O289" s="8"/>
      <c r="P289" s="8"/>
      <c r="Q289" s="8"/>
      <c r="R289" s="8"/>
      <c r="S289" s="8"/>
      <c r="T289" s="8"/>
      <c r="U289" s="8"/>
      <c r="V289" s="8"/>
      <c r="W289" s="8"/>
      <c r="X289" s="771"/>
      <c r="Y289" s="771"/>
      <c r="Z289" s="771"/>
      <c r="AA289" s="771"/>
      <c r="AB289" s="771"/>
      <c r="AC289" s="771"/>
      <c r="AD289" s="771"/>
      <c r="AE289" s="771"/>
      <c r="AF289" s="771"/>
      <c r="AG289" s="771"/>
      <c r="AH289" s="771"/>
      <c r="AI289" s="771"/>
      <c r="AJ289" s="771"/>
      <c r="AK289" s="771"/>
      <c r="AL289" s="771"/>
      <c r="AM289" s="771"/>
      <c r="AN289" s="771"/>
      <c r="AO289" s="771"/>
      <c r="AP289" s="771"/>
      <c r="AQ289" s="771"/>
      <c r="AR289" s="771"/>
      <c r="AS289" s="771"/>
      <c r="AT289" s="771"/>
      <c r="AU289" s="771"/>
    </row>
    <row r="290" spans="1:47" s="1135" customFormat="1" outlineLevel="1" x14ac:dyDescent="0.2">
      <c r="A290" s="17"/>
      <c r="B290" s="75"/>
      <c r="C290" s="1989" t="s">
        <v>4528</v>
      </c>
      <c r="D290" s="1989" t="s">
        <v>4529</v>
      </c>
      <c r="E290" s="1989">
        <v>8.61</v>
      </c>
      <c r="F290" s="38">
        <f t="shared" si="4"/>
        <v>700.17587639999999</v>
      </c>
      <c r="G290" s="459"/>
      <c r="H290" s="8"/>
      <c r="I290" s="8"/>
      <c r="J290" s="8"/>
      <c r="K290" s="8"/>
      <c r="L290" s="8"/>
      <c r="M290" s="8"/>
      <c r="N290" s="8"/>
      <c r="O290" s="8"/>
      <c r="P290" s="8"/>
      <c r="Q290" s="8"/>
      <c r="R290" s="8"/>
      <c r="S290" s="8"/>
      <c r="T290" s="8"/>
      <c r="U290" s="8"/>
      <c r="V290" s="8"/>
      <c r="W290" s="8"/>
      <c r="X290" s="771"/>
      <c r="Y290" s="771"/>
      <c r="Z290" s="771"/>
      <c r="AA290" s="771"/>
      <c r="AB290" s="771"/>
      <c r="AC290" s="771"/>
      <c r="AD290" s="771"/>
      <c r="AE290" s="771"/>
      <c r="AF290" s="771"/>
      <c r="AG290" s="771"/>
      <c r="AH290" s="771"/>
      <c r="AI290" s="771"/>
      <c r="AJ290" s="771"/>
      <c r="AK290" s="771"/>
      <c r="AL290" s="771"/>
      <c r="AM290" s="771"/>
      <c r="AN290" s="771"/>
      <c r="AO290" s="771"/>
      <c r="AP290" s="771"/>
      <c r="AQ290" s="771"/>
      <c r="AR290" s="771"/>
      <c r="AS290" s="771"/>
      <c r="AT290" s="771"/>
      <c r="AU290" s="771"/>
    </row>
    <row r="291" spans="1:47" s="1135" customFormat="1" outlineLevel="1" x14ac:dyDescent="0.2">
      <c r="A291" s="17"/>
      <c r="B291" s="75"/>
      <c r="C291" s="1989" t="s">
        <v>3803</v>
      </c>
      <c r="D291" s="1989" t="s">
        <v>3804</v>
      </c>
      <c r="E291" s="1989">
        <v>0</v>
      </c>
      <c r="F291" s="38">
        <f t="shared" si="4"/>
        <v>0</v>
      </c>
      <c r="G291" s="459"/>
      <c r="H291" s="8"/>
      <c r="I291" s="8"/>
      <c r="J291" s="8"/>
      <c r="K291" s="8"/>
      <c r="L291" s="8"/>
      <c r="M291" s="8"/>
      <c r="N291" s="8"/>
      <c r="O291" s="8"/>
      <c r="P291" s="8"/>
      <c r="Q291" s="8"/>
      <c r="R291" s="8"/>
      <c r="S291" s="8"/>
      <c r="T291" s="8"/>
      <c r="U291" s="8"/>
      <c r="V291" s="8"/>
      <c r="W291" s="8"/>
      <c r="X291" s="771"/>
      <c r="Y291" s="771"/>
      <c r="Z291" s="771"/>
      <c r="AA291" s="771"/>
      <c r="AB291" s="771"/>
      <c r="AC291" s="771"/>
      <c r="AD291" s="771"/>
      <c r="AE291" s="771"/>
      <c r="AF291" s="771"/>
      <c r="AG291" s="771"/>
      <c r="AH291" s="771"/>
      <c r="AI291" s="771"/>
      <c r="AJ291" s="771"/>
      <c r="AK291" s="771"/>
      <c r="AL291" s="771"/>
      <c r="AM291" s="771"/>
      <c r="AN291" s="771"/>
      <c r="AO291" s="771"/>
      <c r="AP291" s="771"/>
      <c r="AQ291" s="771"/>
      <c r="AR291" s="771"/>
      <c r="AS291" s="771"/>
      <c r="AT291" s="771"/>
      <c r="AU291" s="771"/>
    </row>
    <row r="292" spans="1:47" s="1135" customFormat="1" outlineLevel="1" x14ac:dyDescent="0.2">
      <c r="A292" s="17"/>
      <c r="B292" s="75"/>
      <c r="C292" s="1989" t="s">
        <v>3805</v>
      </c>
      <c r="D292" s="1989" t="s">
        <v>7362</v>
      </c>
      <c r="E292" s="1989">
        <v>0</v>
      </c>
      <c r="F292" s="38">
        <f t="shared" si="4"/>
        <v>0</v>
      </c>
      <c r="G292" s="459"/>
      <c r="H292" s="8"/>
      <c r="I292" s="8"/>
      <c r="J292" s="8"/>
      <c r="K292" s="8"/>
      <c r="L292" s="8"/>
      <c r="M292" s="8"/>
      <c r="N292" s="8"/>
      <c r="O292" s="8"/>
      <c r="P292" s="8"/>
      <c r="Q292" s="8"/>
      <c r="R292" s="8"/>
      <c r="S292" s="8"/>
      <c r="T292" s="8"/>
      <c r="U292" s="8"/>
      <c r="V292" s="8"/>
      <c r="W292" s="8"/>
      <c r="X292" s="771"/>
      <c r="Y292" s="771"/>
      <c r="Z292" s="771"/>
      <c r="AA292" s="771"/>
      <c r="AB292" s="771"/>
      <c r="AC292" s="771"/>
      <c r="AD292" s="771"/>
      <c r="AE292" s="771"/>
      <c r="AF292" s="771"/>
      <c r="AG292" s="771"/>
      <c r="AH292" s="771"/>
      <c r="AI292" s="771"/>
      <c r="AJ292" s="771"/>
      <c r="AK292" s="771"/>
      <c r="AL292" s="771"/>
      <c r="AM292" s="771"/>
      <c r="AN292" s="771"/>
      <c r="AO292" s="771"/>
      <c r="AP292" s="771"/>
      <c r="AQ292" s="771"/>
      <c r="AR292" s="771"/>
      <c r="AS292" s="771"/>
      <c r="AT292" s="771"/>
      <c r="AU292" s="771"/>
    </row>
    <row r="293" spans="1:47" s="1135" customFormat="1" outlineLevel="1" x14ac:dyDescent="0.2">
      <c r="A293" s="17"/>
      <c r="B293" s="75"/>
      <c r="C293" s="1989" t="s">
        <v>1060</v>
      </c>
      <c r="D293" s="1989" t="s">
        <v>7363</v>
      </c>
      <c r="E293" s="1989">
        <v>2.0699999999999998</v>
      </c>
      <c r="F293" s="38">
        <f t="shared" si="4"/>
        <v>168.33496679999999</v>
      </c>
      <c r="G293" s="459"/>
      <c r="H293" s="8"/>
      <c r="I293" s="8"/>
      <c r="J293" s="8"/>
      <c r="K293" s="8"/>
      <c r="L293" s="8"/>
      <c r="M293" s="8"/>
      <c r="N293" s="8"/>
      <c r="O293" s="8"/>
      <c r="P293" s="8"/>
      <c r="Q293" s="8"/>
      <c r="R293" s="8"/>
      <c r="S293" s="8"/>
      <c r="T293" s="8"/>
      <c r="U293" s="8"/>
      <c r="V293" s="8"/>
      <c r="W293" s="8"/>
      <c r="X293" s="771"/>
      <c r="Y293" s="771"/>
      <c r="Z293" s="771"/>
      <c r="AA293" s="771"/>
      <c r="AB293" s="771"/>
      <c r="AC293" s="771"/>
      <c r="AD293" s="771"/>
      <c r="AE293" s="771"/>
      <c r="AF293" s="771"/>
      <c r="AG293" s="771"/>
      <c r="AH293" s="771"/>
      <c r="AI293" s="771"/>
      <c r="AJ293" s="771"/>
      <c r="AK293" s="771"/>
      <c r="AL293" s="771"/>
      <c r="AM293" s="771"/>
      <c r="AN293" s="771"/>
      <c r="AO293" s="771"/>
      <c r="AP293" s="771"/>
      <c r="AQ293" s="771"/>
      <c r="AR293" s="771"/>
      <c r="AS293" s="771"/>
      <c r="AT293" s="771"/>
      <c r="AU293" s="771"/>
    </row>
    <row r="294" spans="1:47" s="1135" customFormat="1" outlineLevel="1" x14ac:dyDescent="0.2">
      <c r="A294" s="17"/>
      <c r="B294" s="75"/>
      <c r="C294" s="1989" t="s">
        <v>2410</v>
      </c>
      <c r="D294" s="1989" t="s">
        <v>7364</v>
      </c>
      <c r="E294" s="1989">
        <v>0</v>
      </c>
      <c r="F294" s="38">
        <f t="shared" si="4"/>
        <v>0</v>
      </c>
      <c r="G294" s="459"/>
      <c r="H294" s="8"/>
      <c r="I294" s="8"/>
      <c r="J294" s="8"/>
      <c r="K294" s="8"/>
      <c r="L294" s="8"/>
      <c r="M294" s="8"/>
      <c r="N294" s="8"/>
      <c r="O294" s="8"/>
      <c r="P294" s="8"/>
      <c r="Q294" s="8"/>
      <c r="R294" s="8"/>
      <c r="S294" s="8"/>
      <c r="T294" s="8"/>
      <c r="U294" s="8"/>
      <c r="V294" s="8"/>
      <c r="W294" s="8"/>
      <c r="X294" s="771"/>
      <c r="Y294" s="771"/>
      <c r="Z294" s="771"/>
      <c r="AA294" s="771"/>
      <c r="AB294" s="771"/>
      <c r="AC294" s="771"/>
      <c r="AD294" s="771"/>
      <c r="AE294" s="771"/>
      <c r="AF294" s="771"/>
      <c r="AG294" s="771"/>
      <c r="AH294" s="771"/>
      <c r="AI294" s="771"/>
      <c r="AJ294" s="771"/>
      <c r="AK294" s="771"/>
      <c r="AL294" s="771"/>
      <c r="AM294" s="771"/>
      <c r="AN294" s="771"/>
      <c r="AO294" s="771"/>
      <c r="AP294" s="771"/>
      <c r="AQ294" s="771"/>
      <c r="AR294" s="771"/>
      <c r="AS294" s="771"/>
      <c r="AT294" s="771"/>
      <c r="AU294" s="771"/>
    </row>
    <row r="295" spans="1:47" s="1135" customFormat="1" outlineLevel="1" x14ac:dyDescent="0.2">
      <c r="A295" s="17"/>
      <c r="B295" s="75"/>
      <c r="C295" s="1989" t="s">
        <v>1061</v>
      </c>
      <c r="D295" s="1989" t="s">
        <v>7365</v>
      </c>
      <c r="E295" s="1989">
        <v>6.76</v>
      </c>
      <c r="F295" s="38">
        <f t="shared" si="4"/>
        <v>549.73158240000009</v>
      </c>
      <c r="G295" s="459"/>
      <c r="H295" s="8"/>
      <c r="I295" s="8"/>
      <c r="J295" s="8"/>
      <c r="K295" s="8"/>
      <c r="L295" s="8"/>
      <c r="M295" s="8"/>
      <c r="N295" s="8"/>
      <c r="O295" s="8"/>
      <c r="P295" s="8"/>
      <c r="Q295" s="8"/>
      <c r="R295" s="8"/>
      <c r="S295" s="8"/>
      <c r="T295" s="8"/>
      <c r="U295" s="8"/>
      <c r="V295" s="8"/>
      <c r="W295" s="8"/>
      <c r="X295" s="771"/>
      <c r="Y295" s="771"/>
      <c r="Z295" s="771"/>
      <c r="AA295" s="771"/>
      <c r="AB295" s="771"/>
      <c r="AC295" s="771"/>
      <c r="AD295" s="771"/>
      <c r="AE295" s="771"/>
      <c r="AF295" s="771"/>
      <c r="AG295" s="771"/>
      <c r="AH295" s="771"/>
      <c r="AI295" s="771"/>
      <c r="AJ295" s="771"/>
      <c r="AK295" s="771"/>
      <c r="AL295" s="771"/>
      <c r="AM295" s="771"/>
      <c r="AN295" s="771"/>
      <c r="AO295" s="771"/>
      <c r="AP295" s="771"/>
      <c r="AQ295" s="771"/>
      <c r="AR295" s="771"/>
      <c r="AS295" s="771"/>
      <c r="AT295" s="771"/>
      <c r="AU295" s="771"/>
    </row>
    <row r="296" spans="1:47" s="1135" customFormat="1" outlineLevel="1" x14ac:dyDescent="0.2">
      <c r="A296" s="17"/>
      <c r="B296" s="75"/>
      <c r="C296" s="1989" t="s">
        <v>1062</v>
      </c>
      <c r="D296" s="1989" t="s">
        <v>7366</v>
      </c>
      <c r="E296" s="1989">
        <v>6.76</v>
      </c>
      <c r="F296" s="38">
        <f t="shared" si="4"/>
        <v>549.73158240000009</v>
      </c>
      <c r="G296" s="459"/>
      <c r="H296" s="8"/>
      <c r="I296" s="8"/>
      <c r="J296" s="8"/>
      <c r="K296" s="8"/>
      <c r="L296" s="8"/>
      <c r="M296" s="8"/>
      <c r="N296" s="8"/>
      <c r="O296" s="8"/>
      <c r="P296" s="8"/>
      <c r="Q296" s="8"/>
      <c r="R296" s="8"/>
      <c r="S296" s="8"/>
      <c r="T296" s="8"/>
      <c r="U296" s="8"/>
      <c r="V296" s="8"/>
      <c r="W296" s="8"/>
      <c r="X296" s="771"/>
      <c r="Y296" s="771"/>
      <c r="Z296" s="771"/>
      <c r="AA296" s="771"/>
      <c r="AB296" s="771"/>
      <c r="AC296" s="771"/>
      <c r="AD296" s="771"/>
      <c r="AE296" s="771"/>
      <c r="AF296" s="771"/>
      <c r="AG296" s="771"/>
      <c r="AH296" s="771"/>
      <c r="AI296" s="771"/>
      <c r="AJ296" s="771"/>
      <c r="AK296" s="771"/>
      <c r="AL296" s="771"/>
      <c r="AM296" s="771"/>
      <c r="AN296" s="771"/>
      <c r="AO296" s="771"/>
      <c r="AP296" s="771"/>
      <c r="AQ296" s="771"/>
      <c r="AR296" s="771"/>
      <c r="AS296" s="771"/>
      <c r="AT296" s="771"/>
      <c r="AU296" s="771"/>
    </row>
    <row r="297" spans="1:47" s="1135" customFormat="1" outlineLevel="1" x14ac:dyDescent="0.2">
      <c r="A297" s="17"/>
      <c r="B297" s="75"/>
      <c r="C297" s="1989" t="s">
        <v>2413</v>
      </c>
      <c r="D297" s="1989" t="s">
        <v>7367</v>
      </c>
      <c r="E297" s="1989">
        <v>0</v>
      </c>
      <c r="F297" s="38">
        <f t="shared" si="4"/>
        <v>0</v>
      </c>
      <c r="G297" s="459"/>
      <c r="H297" s="8"/>
      <c r="I297" s="8"/>
      <c r="J297" s="8"/>
      <c r="K297" s="8"/>
      <c r="L297" s="8"/>
      <c r="M297" s="8"/>
      <c r="N297" s="8"/>
      <c r="O297" s="8"/>
      <c r="P297" s="8"/>
      <c r="Q297" s="8"/>
      <c r="R297" s="8"/>
      <c r="S297" s="8"/>
      <c r="T297" s="8"/>
      <c r="U297" s="8"/>
      <c r="V297" s="8"/>
      <c r="W297" s="8"/>
      <c r="X297" s="771"/>
      <c r="Y297" s="771"/>
      <c r="Z297" s="771"/>
      <c r="AA297" s="771"/>
      <c r="AB297" s="771"/>
      <c r="AC297" s="771"/>
      <c r="AD297" s="771"/>
      <c r="AE297" s="771"/>
      <c r="AF297" s="771"/>
      <c r="AG297" s="771"/>
      <c r="AH297" s="771"/>
      <c r="AI297" s="771"/>
      <c r="AJ297" s="771"/>
      <c r="AK297" s="771"/>
      <c r="AL297" s="771"/>
      <c r="AM297" s="771"/>
      <c r="AN297" s="771"/>
      <c r="AO297" s="771"/>
      <c r="AP297" s="771"/>
      <c r="AQ297" s="771"/>
      <c r="AR297" s="771"/>
      <c r="AS297" s="771"/>
      <c r="AT297" s="771"/>
      <c r="AU297" s="771"/>
    </row>
    <row r="298" spans="1:47" s="1135" customFormat="1" outlineLevel="1" x14ac:dyDescent="0.2">
      <c r="A298" s="17"/>
      <c r="B298" s="75"/>
      <c r="C298" s="1989" t="s">
        <v>549</v>
      </c>
      <c r="D298" s="1989" t="s">
        <v>5314</v>
      </c>
      <c r="E298" s="1989">
        <v>0.54</v>
      </c>
      <c r="F298" s="38">
        <f t="shared" si="4"/>
        <v>43.913469600000006</v>
      </c>
      <c r="G298" s="459"/>
      <c r="H298" s="8"/>
      <c r="I298" s="8"/>
      <c r="J298" s="8"/>
      <c r="K298" s="8"/>
      <c r="L298" s="8"/>
      <c r="M298" s="8"/>
      <c r="N298" s="8"/>
      <c r="O298" s="8"/>
      <c r="P298" s="8"/>
      <c r="Q298" s="8"/>
      <c r="R298" s="8"/>
      <c r="S298" s="8"/>
      <c r="T298" s="8"/>
      <c r="U298" s="8"/>
      <c r="V298" s="8"/>
      <c r="W298" s="8"/>
      <c r="X298" s="771"/>
      <c r="Y298" s="771"/>
      <c r="Z298" s="771"/>
      <c r="AA298" s="771"/>
      <c r="AB298" s="771"/>
      <c r="AC298" s="771"/>
      <c r="AD298" s="771"/>
      <c r="AE298" s="771"/>
      <c r="AF298" s="771"/>
      <c r="AG298" s="771"/>
      <c r="AH298" s="771"/>
      <c r="AI298" s="771"/>
      <c r="AJ298" s="771"/>
      <c r="AK298" s="771"/>
      <c r="AL298" s="771"/>
      <c r="AM298" s="771"/>
      <c r="AN298" s="771"/>
      <c r="AO298" s="771"/>
      <c r="AP298" s="771"/>
      <c r="AQ298" s="771"/>
      <c r="AR298" s="771"/>
      <c r="AS298" s="771"/>
      <c r="AT298" s="771"/>
      <c r="AU298" s="771"/>
    </row>
    <row r="299" spans="1:47" s="1135" customFormat="1" outlineLevel="1" x14ac:dyDescent="0.2">
      <c r="A299" s="17"/>
      <c r="B299" s="75"/>
      <c r="C299" s="1989" t="s">
        <v>550</v>
      </c>
      <c r="D299" s="1989" t="s">
        <v>5315</v>
      </c>
      <c r="E299" s="1989">
        <v>0.54</v>
      </c>
      <c r="F299" s="38">
        <f t="shared" si="4"/>
        <v>43.913469600000006</v>
      </c>
      <c r="G299" s="459"/>
      <c r="H299" s="8"/>
      <c r="I299" s="8"/>
      <c r="J299" s="8"/>
      <c r="K299" s="8"/>
      <c r="L299" s="8"/>
      <c r="M299" s="8"/>
      <c r="N299" s="8"/>
      <c r="O299" s="8"/>
      <c r="P299" s="8"/>
      <c r="Q299" s="8"/>
      <c r="R299" s="8"/>
      <c r="S299" s="8"/>
      <c r="T299" s="8"/>
      <c r="U299" s="8"/>
      <c r="V299" s="8"/>
      <c r="W299" s="8"/>
      <c r="X299" s="771"/>
      <c r="Y299" s="771"/>
      <c r="Z299" s="771"/>
      <c r="AA299" s="771"/>
      <c r="AB299" s="771"/>
      <c r="AC299" s="771"/>
      <c r="AD299" s="771"/>
      <c r="AE299" s="771"/>
      <c r="AF299" s="771"/>
      <c r="AG299" s="771"/>
      <c r="AH299" s="771"/>
      <c r="AI299" s="771"/>
      <c r="AJ299" s="771"/>
      <c r="AK299" s="771"/>
      <c r="AL299" s="771"/>
      <c r="AM299" s="771"/>
      <c r="AN299" s="771"/>
      <c r="AO299" s="771"/>
      <c r="AP299" s="771"/>
      <c r="AQ299" s="771"/>
      <c r="AR299" s="771"/>
      <c r="AS299" s="771"/>
      <c r="AT299" s="771"/>
      <c r="AU299" s="771"/>
    </row>
    <row r="300" spans="1:47" s="1135" customFormat="1" outlineLevel="1" x14ac:dyDescent="0.2">
      <c r="A300" s="17"/>
      <c r="B300" s="75"/>
      <c r="C300" s="1989" t="s">
        <v>2034</v>
      </c>
      <c r="D300" s="1989" t="s">
        <v>5316</v>
      </c>
      <c r="E300" s="1989">
        <v>0.56999999999999995</v>
      </c>
      <c r="F300" s="38">
        <f t="shared" si="4"/>
        <v>46.353106799999999</v>
      </c>
      <c r="G300" s="459"/>
      <c r="H300" s="8"/>
      <c r="I300" s="8"/>
      <c r="J300" s="8"/>
      <c r="K300" s="8"/>
      <c r="L300" s="8"/>
      <c r="M300" s="8"/>
      <c r="N300" s="8"/>
      <c r="O300" s="8"/>
      <c r="P300" s="8"/>
      <c r="Q300" s="8"/>
      <c r="R300" s="8"/>
      <c r="S300" s="8"/>
      <c r="T300" s="8"/>
      <c r="U300" s="8"/>
      <c r="V300" s="8"/>
      <c r="W300" s="8"/>
      <c r="X300" s="771"/>
      <c r="Y300" s="771"/>
      <c r="Z300" s="771"/>
      <c r="AA300" s="771"/>
      <c r="AB300" s="771"/>
      <c r="AC300" s="771"/>
      <c r="AD300" s="771"/>
      <c r="AE300" s="771"/>
      <c r="AF300" s="771"/>
      <c r="AG300" s="771"/>
      <c r="AH300" s="771"/>
      <c r="AI300" s="771"/>
      <c r="AJ300" s="771"/>
      <c r="AK300" s="771"/>
      <c r="AL300" s="771"/>
      <c r="AM300" s="771"/>
      <c r="AN300" s="771"/>
      <c r="AO300" s="771"/>
      <c r="AP300" s="771"/>
      <c r="AQ300" s="771"/>
      <c r="AR300" s="771"/>
      <c r="AS300" s="771"/>
      <c r="AT300" s="771"/>
      <c r="AU300" s="771"/>
    </row>
    <row r="301" spans="1:47" s="1135" customFormat="1" outlineLevel="1" x14ac:dyDescent="0.2">
      <c r="A301" s="17"/>
      <c r="B301" s="75"/>
      <c r="C301" s="1989" t="s">
        <v>2035</v>
      </c>
      <c r="D301" s="1989" t="s">
        <v>2036</v>
      </c>
      <c r="E301" s="1989">
        <v>0.56999999999999995</v>
      </c>
      <c r="F301" s="38">
        <f t="shared" si="4"/>
        <v>46.353106799999999</v>
      </c>
      <c r="G301" s="459"/>
      <c r="H301" s="8"/>
      <c r="I301" s="8"/>
      <c r="J301" s="8"/>
      <c r="K301" s="8"/>
      <c r="L301" s="8"/>
      <c r="M301" s="8"/>
      <c r="N301" s="8"/>
      <c r="O301" s="8"/>
      <c r="P301" s="8"/>
      <c r="Q301" s="8"/>
      <c r="R301" s="8"/>
      <c r="S301" s="8"/>
      <c r="T301" s="8"/>
      <c r="U301" s="8"/>
      <c r="V301" s="8"/>
      <c r="W301" s="8"/>
      <c r="X301" s="771"/>
      <c r="Y301" s="771"/>
      <c r="Z301" s="771"/>
      <c r="AA301" s="771"/>
      <c r="AB301" s="771"/>
      <c r="AC301" s="771"/>
      <c r="AD301" s="771"/>
      <c r="AE301" s="771"/>
      <c r="AF301" s="771"/>
      <c r="AG301" s="771"/>
      <c r="AH301" s="771"/>
      <c r="AI301" s="771"/>
      <c r="AJ301" s="771"/>
      <c r="AK301" s="771"/>
      <c r="AL301" s="771"/>
      <c r="AM301" s="771"/>
      <c r="AN301" s="771"/>
      <c r="AO301" s="771"/>
      <c r="AP301" s="771"/>
      <c r="AQ301" s="771"/>
      <c r="AR301" s="771"/>
      <c r="AS301" s="771"/>
      <c r="AT301" s="771"/>
      <c r="AU301" s="771"/>
    </row>
    <row r="302" spans="1:47" s="1135" customFormat="1" outlineLevel="1" x14ac:dyDescent="0.2">
      <c r="A302" s="17"/>
      <c r="B302" s="75"/>
      <c r="C302" s="1989" t="s">
        <v>2418</v>
      </c>
      <c r="D302" s="1989" t="s">
        <v>7368</v>
      </c>
      <c r="E302" s="1989">
        <v>0</v>
      </c>
      <c r="F302" s="38">
        <f t="shared" si="4"/>
        <v>0</v>
      </c>
      <c r="G302" s="459"/>
      <c r="H302" s="8"/>
      <c r="I302" s="8"/>
      <c r="J302" s="8"/>
      <c r="K302" s="8"/>
      <c r="L302" s="8"/>
      <c r="M302" s="8"/>
      <c r="N302" s="8"/>
      <c r="O302" s="8"/>
      <c r="P302" s="8"/>
      <c r="Q302" s="8"/>
      <c r="R302" s="8"/>
      <c r="S302" s="8"/>
      <c r="T302" s="8"/>
      <c r="U302" s="8"/>
      <c r="V302" s="8"/>
      <c r="W302" s="8"/>
      <c r="X302" s="771"/>
      <c r="Y302" s="771"/>
      <c r="Z302" s="771"/>
      <c r="AA302" s="771"/>
      <c r="AB302" s="771"/>
      <c r="AC302" s="771"/>
      <c r="AD302" s="771"/>
      <c r="AE302" s="771"/>
      <c r="AF302" s="771"/>
      <c r="AG302" s="771"/>
      <c r="AH302" s="771"/>
      <c r="AI302" s="771"/>
      <c r="AJ302" s="771"/>
      <c r="AK302" s="771"/>
      <c r="AL302" s="771"/>
      <c r="AM302" s="771"/>
      <c r="AN302" s="771"/>
      <c r="AO302" s="771"/>
      <c r="AP302" s="771"/>
      <c r="AQ302" s="771"/>
      <c r="AR302" s="771"/>
      <c r="AS302" s="771"/>
      <c r="AT302" s="771"/>
      <c r="AU302" s="771"/>
    </row>
    <row r="303" spans="1:47" s="1135" customFormat="1" outlineLevel="1" x14ac:dyDescent="0.2">
      <c r="A303" s="17"/>
      <c r="B303" s="75"/>
      <c r="C303" s="1989" t="s">
        <v>2419</v>
      </c>
      <c r="D303" s="1989" t="s">
        <v>7369</v>
      </c>
      <c r="E303" s="1989">
        <v>0</v>
      </c>
      <c r="F303" s="38">
        <f t="shared" si="4"/>
        <v>0</v>
      </c>
      <c r="G303" s="459"/>
      <c r="H303" s="8"/>
      <c r="I303" s="8"/>
      <c r="J303" s="8"/>
      <c r="K303" s="8"/>
      <c r="L303" s="8"/>
      <c r="M303" s="8"/>
      <c r="N303" s="8"/>
      <c r="O303" s="8"/>
      <c r="P303" s="8"/>
      <c r="Q303" s="8"/>
      <c r="R303" s="8"/>
      <c r="S303" s="8"/>
      <c r="T303" s="8"/>
      <c r="U303" s="8"/>
      <c r="V303" s="8"/>
      <c r="W303" s="8"/>
      <c r="X303" s="771"/>
      <c r="Y303" s="771"/>
      <c r="Z303" s="771"/>
      <c r="AA303" s="771"/>
      <c r="AB303" s="771"/>
      <c r="AC303" s="771"/>
      <c r="AD303" s="771"/>
      <c r="AE303" s="771"/>
      <c r="AF303" s="771"/>
      <c r="AG303" s="771"/>
      <c r="AH303" s="771"/>
      <c r="AI303" s="771"/>
      <c r="AJ303" s="771"/>
      <c r="AK303" s="771"/>
      <c r="AL303" s="771"/>
      <c r="AM303" s="771"/>
      <c r="AN303" s="771"/>
      <c r="AO303" s="771"/>
      <c r="AP303" s="771"/>
      <c r="AQ303" s="771"/>
      <c r="AR303" s="771"/>
      <c r="AS303" s="771"/>
      <c r="AT303" s="771"/>
      <c r="AU303" s="771"/>
    </row>
    <row r="304" spans="1:47" s="1135" customFormat="1" outlineLevel="1" x14ac:dyDescent="0.2">
      <c r="A304" s="17"/>
      <c r="B304" s="75"/>
      <c r="C304" s="1989" t="s">
        <v>2421</v>
      </c>
      <c r="D304" s="1989" t="s">
        <v>7370</v>
      </c>
      <c r="E304" s="1989">
        <v>0</v>
      </c>
      <c r="F304" s="38">
        <f t="shared" si="4"/>
        <v>0</v>
      </c>
      <c r="G304" s="459"/>
      <c r="H304" s="8"/>
      <c r="I304" s="8"/>
      <c r="J304" s="8"/>
      <c r="K304" s="8"/>
      <c r="L304" s="8"/>
      <c r="M304" s="8"/>
      <c r="N304" s="8"/>
      <c r="O304" s="8"/>
      <c r="P304" s="8"/>
      <c r="Q304" s="8"/>
      <c r="R304" s="8"/>
      <c r="S304" s="8"/>
      <c r="T304" s="8"/>
      <c r="U304" s="8"/>
      <c r="V304" s="8"/>
      <c r="W304" s="8"/>
      <c r="X304" s="771"/>
      <c r="Y304" s="771"/>
      <c r="Z304" s="771"/>
      <c r="AA304" s="771"/>
      <c r="AB304" s="771"/>
      <c r="AC304" s="771"/>
      <c r="AD304" s="771"/>
      <c r="AE304" s="771"/>
      <c r="AF304" s="771"/>
      <c r="AG304" s="771"/>
      <c r="AH304" s="771"/>
      <c r="AI304" s="771"/>
      <c r="AJ304" s="771"/>
      <c r="AK304" s="771"/>
      <c r="AL304" s="771"/>
      <c r="AM304" s="771"/>
      <c r="AN304" s="771"/>
      <c r="AO304" s="771"/>
      <c r="AP304" s="771"/>
      <c r="AQ304" s="771"/>
      <c r="AR304" s="771"/>
      <c r="AS304" s="771"/>
      <c r="AT304" s="771"/>
      <c r="AU304" s="771"/>
    </row>
    <row r="305" spans="1:47" s="1135" customFormat="1" outlineLevel="1" x14ac:dyDescent="0.2">
      <c r="A305" s="17"/>
      <c r="B305" s="75"/>
      <c r="C305" s="1989" t="s">
        <v>2422</v>
      </c>
      <c r="D305" s="1989" t="s">
        <v>7371</v>
      </c>
      <c r="E305" s="1989">
        <v>0</v>
      </c>
      <c r="F305" s="38">
        <f t="shared" si="4"/>
        <v>0</v>
      </c>
      <c r="G305" s="459"/>
      <c r="H305" s="8"/>
      <c r="I305" s="8"/>
      <c r="J305" s="8"/>
      <c r="K305" s="8"/>
      <c r="L305" s="8"/>
      <c r="M305" s="8"/>
      <c r="N305" s="8"/>
      <c r="O305" s="8"/>
      <c r="P305" s="8"/>
      <c r="Q305" s="8"/>
      <c r="R305" s="8"/>
      <c r="S305" s="8"/>
      <c r="T305" s="8"/>
      <c r="U305" s="8"/>
      <c r="V305" s="8"/>
      <c r="W305" s="8"/>
      <c r="X305" s="771"/>
      <c r="Y305" s="771"/>
      <c r="Z305" s="771"/>
      <c r="AA305" s="771"/>
      <c r="AB305" s="771"/>
      <c r="AC305" s="771"/>
      <c r="AD305" s="771"/>
      <c r="AE305" s="771"/>
      <c r="AF305" s="771"/>
      <c r="AG305" s="771"/>
      <c r="AH305" s="771"/>
      <c r="AI305" s="771"/>
      <c r="AJ305" s="771"/>
      <c r="AK305" s="771"/>
      <c r="AL305" s="771"/>
      <c r="AM305" s="771"/>
      <c r="AN305" s="771"/>
      <c r="AO305" s="771"/>
      <c r="AP305" s="771"/>
      <c r="AQ305" s="771"/>
      <c r="AR305" s="771"/>
      <c r="AS305" s="771"/>
      <c r="AT305" s="771"/>
      <c r="AU305" s="771"/>
    </row>
    <row r="306" spans="1:47" s="1135" customFormat="1" outlineLevel="1" x14ac:dyDescent="0.2">
      <c r="A306" s="17"/>
      <c r="B306" s="75"/>
      <c r="C306" s="1989" t="s">
        <v>2423</v>
      </c>
      <c r="D306" s="1989" t="s">
        <v>7372</v>
      </c>
      <c r="E306" s="1989">
        <v>1.82</v>
      </c>
      <c r="F306" s="38">
        <f t="shared" si="4"/>
        <v>148.00465680000002</v>
      </c>
      <c r="G306" s="459"/>
      <c r="H306" s="8"/>
      <c r="I306" s="8"/>
      <c r="J306" s="8"/>
      <c r="K306" s="8"/>
      <c r="L306" s="8"/>
      <c r="M306" s="8"/>
      <c r="N306" s="8"/>
      <c r="O306" s="8"/>
      <c r="P306" s="8"/>
      <c r="Q306" s="8"/>
      <c r="R306" s="8"/>
      <c r="S306" s="8"/>
      <c r="T306" s="8"/>
      <c r="U306" s="8"/>
      <c r="V306" s="8"/>
      <c r="W306" s="8"/>
      <c r="X306" s="771"/>
      <c r="Y306" s="771"/>
      <c r="Z306" s="771"/>
      <c r="AA306" s="771"/>
      <c r="AB306" s="771"/>
      <c r="AC306" s="771"/>
      <c r="AD306" s="771"/>
      <c r="AE306" s="771"/>
      <c r="AF306" s="771"/>
      <c r="AG306" s="771"/>
      <c r="AH306" s="771"/>
      <c r="AI306" s="771"/>
      <c r="AJ306" s="771"/>
      <c r="AK306" s="771"/>
      <c r="AL306" s="771"/>
      <c r="AM306" s="771"/>
      <c r="AN306" s="771"/>
      <c r="AO306" s="771"/>
      <c r="AP306" s="771"/>
      <c r="AQ306" s="771"/>
      <c r="AR306" s="771"/>
      <c r="AS306" s="771"/>
      <c r="AT306" s="771"/>
      <c r="AU306" s="771"/>
    </row>
    <row r="307" spans="1:47" s="1135" customFormat="1" outlineLevel="1" x14ac:dyDescent="0.2">
      <c r="A307" s="17"/>
      <c r="B307" s="75"/>
      <c r="C307" s="1989" t="s">
        <v>2427</v>
      </c>
      <c r="D307" s="1989" t="s">
        <v>7373</v>
      </c>
      <c r="E307" s="1989">
        <v>0</v>
      </c>
      <c r="F307" s="38">
        <f t="shared" si="4"/>
        <v>0</v>
      </c>
      <c r="G307" s="459"/>
      <c r="H307" s="8"/>
      <c r="I307" s="8"/>
      <c r="J307" s="8"/>
      <c r="K307" s="8"/>
      <c r="L307" s="8"/>
      <c r="M307" s="8"/>
      <c r="N307" s="8"/>
      <c r="O307" s="8"/>
      <c r="P307" s="8"/>
      <c r="Q307" s="8"/>
      <c r="R307" s="8"/>
      <c r="S307" s="8"/>
      <c r="T307" s="8"/>
      <c r="U307" s="8"/>
      <c r="V307" s="8"/>
      <c r="W307" s="8"/>
      <c r="X307" s="771"/>
      <c r="Y307" s="771"/>
      <c r="Z307" s="771"/>
      <c r="AA307" s="771"/>
      <c r="AB307" s="771"/>
      <c r="AC307" s="771"/>
      <c r="AD307" s="771"/>
      <c r="AE307" s="771"/>
      <c r="AF307" s="771"/>
      <c r="AG307" s="771"/>
      <c r="AH307" s="771"/>
      <c r="AI307" s="771"/>
      <c r="AJ307" s="771"/>
      <c r="AK307" s="771"/>
      <c r="AL307" s="771"/>
      <c r="AM307" s="771"/>
      <c r="AN307" s="771"/>
      <c r="AO307" s="771"/>
      <c r="AP307" s="771"/>
      <c r="AQ307" s="771"/>
      <c r="AR307" s="771"/>
      <c r="AS307" s="771"/>
      <c r="AT307" s="771"/>
      <c r="AU307" s="771"/>
    </row>
    <row r="308" spans="1:47" s="1135" customFormat="1" outlineLevel="1" x14ac:dyDescent="0.2">
      <c r="A308" s="17"/>
      <c r="B308" s="75"/>
      <c r="C308" s="1989" t="s">
        <v>2428</v>
      </c>
      <c r="D308" s="1989" t="s">
        <v>7374</v>
      </c>
      <c r="E308" s="1989">
        <v>0</v>
      </c>
      <c r="F308" s="38">
        <f t="shared" si="4"/>
        <v>0</v>
      </c>
      <c r="G308" s="459"/>
      <c r="H308" s="8"/>
      <c r="I308" s="8"/>
      <c r="J308" s="8"/>
      <c r="K308" s="8"/>
      <c r="L308" s="8"/>
      <c r="M308" s="8"/>
      <c r="N308" s="8"/>
      <c r="O308" s="8"/>
      <c r="P308" s="8"/>
      <c r="Q308" s="8"/>
      <c r="R308" s="8"/>
      <c r="S308" s="8"/>
      <c r="T308" s="8"/>
      <c r="U308" s="8"/>
      <c r="V308" s="8"/>
      <c r="W308" s="8"/>
      <c r="X308" s="771"/>
      <c r="Y308" s="771"/>
      <c r="Z308" s="771"/>
      <c r="AA308" s="771"/>
      <c r="AB308" s="771"/>
      <c r="AC308" s="771"/>
      <c r="AD308" s="771"/>
      <c r="AE308" s="771"/>
      <c r="AF308" s="771"/>
      <c r="AG308" s="771"/>
      <c r="AH308" s="771"/>
      <c r="AI308" s="771"/>
      <c r="AJ308" s="771"/>
      <c r="AK308" s="771"/>
      <c r="AL308" s="771"/>
      <c r="AM308" s="771"/>
      <c r="AN308" s="771"/>
      <c r="AO308" s="771"/>
      <c r="AP308" s="771"/>
      <c r="AQ308" s="771"/>
      <c r="AR308" s="771"/>
      <c r="AS308" s="771"/>
      <c r="AT308" s="771"/>
      <c r="AU308" s="771"/>
    </row>
    <row r="309" spans="1:47" s="1135" customFormat="1" outlineLevel="1" x14ac:dyDescent="0.2">
      <c r="A309" s="17"/>
      <c r="B309" s="75"/>
      <c r="C309" s="1989" t="s">
        <v>2431</v>
      </c>
      <c r="D309" s="1989" t="s">
        <v>7375</v>
      </c>
      <c r="E309" s="1989">
        <v>0</v>
      </c>
      <c r="F309" s="38">
        <f t="shared" si="4"/>
        <v>0</v>
      </c>
      <c r="G309" s="459"/>
      <c r="H309" s="8"/>
      <c r="I309" s="8"/>
      <c r="J309" s="8"/>
      <c r="K309" s="8"/>
      <c r="L309" s="8"/>
      <c r="M309" s="8"/>
      <c r="N309" s="8"/>
      <c r="O309" s="8"/>
      <c r="P309" s="8"/>
      <c r="Q309" s="8"/>
      <c r="R309" s="8"/>
      <c r="S309" s="8"/>
      <c r="T309" s="8"/>
      <c r="U309" s="8"/>
      <c r="V309" s="8"/>
      <c r="W309" s="8"/>
      <c r="X309" s="771"/>
      <c r="Y309" s="771"/>
      <c r="Z309" s="771"/>
      <c r="AA309" s="771"/>
      <c r="AB309" s="771"/>
      <c r="AC309" s="771"/>
      <c r="AD309" s="771"/>
      <c r="AE309" s="771"/>
      <c r="AF309" s="771"/>
      <c r="AG309" s="771"/>
      <c r="AH309" s="771"/>
      <c r="AI309" s="771"/>
      <c r="AJ309" s="771"/>
      <c r="AK309" s="771"/>
      <c r="AL309" s="771"/>
      <c r="AM309" s="771"/>
      <c r="AN309" s="771"/>
      <c r="AO309" s="771"/>
      <c r="AP309" s="771"/>
      <c r="AQ309" s="771"/>
      <c r="AR309" s="771"/>
      <c r="AS309" s="771"/>
      <c r="AT309" s="771"/>
      <c r="AU309" s="771"/>
    </row>
    <row r="310" spans="1:47" s="1135" customFormat="1" outlineLevel="1" x14ac:dyDescent="0.2">
      <c r="A310" s="17"/>
      <c r="B310" s="75"/>
      <c r="C310" s="1989" t="s">
        <v>3831</v>
      </c>
      <c r="D310" s="1989" t="s">
        <v>7376</v>
      </c>
      <c r="E310" s="1989">
        <v>0</v>
      </c>
      <c r="F310" s="38">
        <f t="shared" si="4"/>
        <v>0</v>
      </c>
      <c r="G310" s="459"/>
      <c r="H310" s="8"/>
      <c r="I310" s="8"/>
      <c r="J310" s="8"/>
      <c r="K310" s="8"/>
      <c r="L310" s="8"/>
      <c r="M310" s="8"/>
      <c r="N310" s="8"/>
      <c r="O310" s="8"/>
      <c r="P310" s="8"/>
      <c r="Q310" s="8"/>
      <c r="R310" s="8"/>
      <c r="S310" s="8"/>
      <c r="T310" s="8"/>
      <c r="U310" s="8"/>
      <c r="V310" s="8"/>
      <c r="W310" s="8"/>
      <c r="X310" s="771"/>
      <c r="Y310" s="771"/>
      <c r="Z310" s="771"/>
      <c r="AA310" s="771"/>
      <c r="AB310" s="771"/>
      <c r="AC310" s="771"/>
      <c r="AD310" s="771"/>
      <c r="AE310" s="771"/>
      <c r="AF310" s="771"/>
      <c r="AG310" s="771"/>
      <c r="AH310" s="771"/>
      <c r="AI310" s="771"/>
      <c r="AJ310" s="771"/>
      <c r="AK310" s="771"/>
      <c r="AL310" s="771"/>
      <c r="AM310" s="771"/>
      <c r="AN310" s="771"/>
      <c r="AO310" s="771"/>
      <c r="AP310" s="771"/>
      <c r="AQ310" s="771"/>
      <c r="AR310" s="771"/>
      <c r="AS310" s="771"/>
      <c r="AT310" s="771"/>
      <c r="AU310" s="771"/>
    </row>
    <row r="311" spans="1:47" s="1135" customFormat="1" outlineLevel="1" x14ac:dyDescent="0.2">
      <c r="A311" s="17"/>
      <c r="B311" s="75"/>
      <c r="C311" s="1989" t="s">
        <v>3832</v>
      </c>
      <c r="D311" s="1989" t="s">
        <v>7377</v>
      </c>
      <c r="E311" s="1989">
        <v>0</v>
      </c>
      <c r="F311" s="38">
        <f t="shared" si="4"/>
        <v>0</v>
      </c>
      <c r="G311" s="459"/>
      <c r="H311" s="8"/>
      <c r="I311" s="8"/>
      <c r="J311" s="8"/>
      <c r="K311" s="8"/>
      <c r="L311" s="8"/>
      <c r="M311" s="8"/>
      <c r="N311" s="8"/>
      <c r="O311" s="8"/>
      <c r="P311" s="8"/>
      <c r="Q311" s="8"/>
      <c r="R311" s="8"/>
      <c r="S311" s="8"/>
      <c r="T311" s="8"/>
      <c r="U311" s="8"/>
      <c r="V311" s="8"/>
      <c r="W311" s="8"/>
      <c r="X311" s="771"/>
      <c r="Y311" s="771"/>
      <c r="Z311" s="771"/>
      <c r="AA311" s="771"/>
      <c r="AB311" s="771"/>
      <c r="AC311" s="771"/>
      <c r="AD311" s="771"/>
      <c r="AE311" s="771"/>
      <c r="AF311" s="771"/>
      <c r="AG311" s="771"/>
      <c r="AH311" s="771"/>
      <c r="AI311" s="771"/>
      <c r="AJ311" s="771"/>
      <c r="AK311" s="771"/>
      <c r="AL311" s="771"/>
      <c r="AM311" s="771"/>
      <c r="AN311" s="771"/>
      <c r="AO311" s="771"/>
      <c r="AP311" s="771"/>
      <c r="AQ311" s="771"/>
      <c r="AR311" s="771"/>
      <c r="AS311" s="771"/>
      <c r="AT311" s="771"/>
      <c r="AU311" s="771"/>
    </row>
    <row r="312" spans="1:47" s="1135" customFormat="1" outlineLevel="1" x14ac:dyDescent="0.2">
      <c r="A312" s="17"/>
      <c r="B312" s="75"/>
      <c r="C312" s="1989" t="s">
        <v>4530</v>
      </c>
      <c r="D312" s="1989" t="s">
        <v>7378</v>
      </c>
      <c r="E312" s="1989">
        <v>0</v>
      </c>
      <c r="F312" s="38">
        <f t="shared" si="4"/>
        <v>0</v>
      </c>
      <c r="G312" s="459"/>
      <c r="H312" s="8"/>
      <c r="I312" s="8"/>
      <c r="J312" s="8"/>
      <c r="K312" s="8"/>
      <c r="L312" s="8"/>
      <c r="M312" s="8"/>
      <c r="N312" s="8"/>
      <c r="O312" s="8"/>
      <c r="P312" s="8"/>
      <c r="Q312" s="8"/>
      <c r="R312" s="8"/>
      <c r="S312" s="8"/>
      <c r="T312" s="8"/>
      <c r="U312" s="8"/>
      <c r="V312" s="8"/>
      <c r="W312" s="8"/>
      <c r="X312" s="771"/>
      <c r="Y312" s="771"/>
      <c r="Z312" s="771"/>
      <c r="AA312" s="771"/>
      <c r="AB312" s="771"/>
      <c r="AC312" s="771"/>
      <c r="AD312" s="771"/>
      <c r="AE312" s="771"/>
      <c r="AF312" s="771"/>
      <c r="AG312" s="771"/>
      <c r="AH312" s="771"/>
      <c r="AI312" s="771"/>
      <c r="AJ312" s="771"/>
      <c r="AK312" s="771"/>
      <c r="AL312" s="771"/>
      <c r="AM312" s="771"/>
      <c r="AN312" s="771"/>
      <c r="AO312" s="771"/>
      <c r="AP312" s="771"/>
      <c r="AQ312" s="771"/>
      <c r="AR312" s="771"/>
      <c r="AS312" s="771"/>
      <c r="AT312" s="771"/>
      <c r="AU312" s="771"/>
    </row>
    <row r="313" spans="1:47" s="1135" customFormat="1" outlineLevel="1" x14ac:dyDescent="0.2">
      <c r="A313" s="17"/>
      <c r="B313" s="75"/>
      <c r="C313" s="1989" t="s">
        <v>4531</v>
      </c>
      <c r="D313" s="1989" t="s">
        <v>7379</v>
      </c>
      <c r="E313" s="1989">
        <v>0</v>
      </c>
      <c r="F313" s="38">
        <f t="shared" si="4"/>
        <v>0</v>
      </c>
      <c r="G313" s="459"/>
      <c r="H313" s="8"/>
      <c r="I313" s="8"/>
      <c r="J313" s="8"/>
      <c r="K313" s="8"/>
      <c r="L313" s="8"/>
      <c r="M313" s="8"/>
      <c r="N313" s="8"/>
      <c r="O313" s="8"/>
      <c r="P313" s="8"/>
      <c r="Q313" s="8"/>
      <c r="R313" s="8"/>
      <c r="S313" s="8"/>
      <c r="T313" s="8"/>
      <c r="U313" s="8"/>
      <c r="V313" s="8"/>
      <c r="W313" s="8"/>
      <c r="X313" s="771"/>
      <c r="Y313" s="771"/>
      <c r="Z313" s="771"/>
      <c r="AA313" s="771"/>
      <c r="AB313" s="771"/>
      <c r="AC313" s="771"/>
      <c r="AD313" s="771"/>
      <c r="AE313" s="771"/>
      <c r="AF313" s="771"/>
      <c r="AG313" s="771"/>
      <c r="AH313" s="771"/>
      <c r="AI313" s="771"/>
      <c r="AJ313" s="771"/>
      <c r="AK313" s="771"/>
      <c r="AL313" s="771"/>
      <c r="AM313" s="771"/>
      <c r="AN313" s="771"/>
      <c r="AO313" s="771"/>
      <c r="AP313" s="771"/>
      <c r="AQ313" s="771"/>
      <c r="AR313" s="771"/>
      <c r="AS313" s="771"/>
      <c r="AT313" s="771"/>
      <c r="AU313" s="771"/>
    </row>
    <row r="314" spans="1:47" s="1135" customFormat="1" outlineLevel="1" x14ac:dyDescent="0.2">
      <c r="A314" s="17"/>
      <c r="B314" s="75"/>
      <c r="C314" s="1989" t="s">
        <v>6674</v>
      </c>
      <c r="D314" s="1989" t="s">
        <v>7380</v>
      </c>
      <c r="E314" s="1989">
        <v>0</v>
      </c>
      <c r="F314" s="38">
        <f t="shared" si="4"/>
        <v>0</v>
      </c>
      <c r="G314" s="459"/>
      <c r="H314" s="8"/>
      <c r="I314" s="8"/>
      <c r="J314" s="8"/>
      <c r="K314" s="8"/>
      <c r="L314" s="8"/>
      <c r="M314" s="8"/>
      <c r="N314" s="8"/>
      <c r="O314" s="8"/>
      <c r="P314" s="8"/>
      <c r="Q314" s="8"/>
      <c r="R314" s="8"/>
      <c r="S314" s="8"/>
      <c r="T314" s="8"/>
      <c r="U314" s="8"/>
      <c r="V314" s="8"/>
      <c r="W314" s="8"/>
      <c r="X314" s="771"/>
      <c r="Y314" s="771"/>
      <c r="Z314" s="771"/>
      <c r="AA314" s="771"/>
      <c r="AB314" s="771"/>
      <c r="AC314" s="771"/>
      <c r="AD314" s="771"/>
      <c r="AE314" s="771"/>
      <c r="AF314" s="771"/>
      <c r="AG314" s="771"/>
      <c r="AH314" s="771"/>
      <c r="AI314" s="771"/>
      <c r="AJ314" s="771"/>
      <c r="AK314" s="771"/>
      <c r="AL314" s="771"/>
      <c r="AM314" s="771"/>
      <c r="AN314" s="771"/>
      <c r="AO314" s="771"/>
      <c r="AP314" s="771"/>
      <c r="AQ314" s="771"/>
      <c r="AR314" s="771"/>
      <c r="AS314" s="771"/>
      <c r="AT314" s="771"/>
      <c r="AU314" s="771"/>
    </row>
    <row r="315" spans="1:47" s="1135" customFormat="1" outlineLevel="1" x14ac:dyDescent="0.2">
      <c r="A315" s="17"/>
      <c r="B315" s="75"/>
      <c r="C315" s="1989" t="s">
        <v>6675</v>
      </c>
      <c r="D315" s="1989" t="s">
        <v>5317</v>
      </c>
      <c r="E315" s="1989">
        <v>0</v>
      </c>
      <c r="F315" s="38">
        <f t="shared" si="4"/>
        <v>0</v>
      </c>
      <c r="G315" s="459"/>
      <c r="H315" s="8"/>
      <c r="I315" s="8"/>
      <c r="J315" s="8"/>
      <c r="K315" s="8"/>
      <c r="L315" s="8"/>
      <c r="M315" s="8"/>
      <c r="N315" s="8"/>
      <c r="O315" s="8"/>
      <c r="P315" s="8"/>
      <c r="Q315" s="8"/>
      <c r="R315" s="8"/>
      <c r="S315" s="8"/>
      <c r="T315" s="8"/>
      <c r="U315" s="8"/>
      <c r="V315" s="8"/>
      <c r="W315" s="8"/>
      <c r="X315" s="771"/>
      <c r="Y315" s="771"/>
      <c r="Z315" s="771"/>
      <c r="AA315" s="771"/>
      <c r="AB315" s="771"/>
      <c r="AC315" s="771"/>
      <c r="AD315" s="771"/>
      <c r="AE315" s="771"/>
      <c r="AF315" s="771"/>
      <c r="AG315" s="771"/>
      <c r="AH315" s="771"/>
      <c r="AI315" s="771"/>
      <c r="AJ315" s="771"/>
      <c r="AK315" s="771"/>
      <c r="AL315" s="771"/>
      <c r="AM315" s="771"/>
      <c r="AN315" s="771"/>
      <c r="AO315" s="771"/>
      <c r="AP315" s="771"/>
      <c r="AQ315" s="771"/>
      <c r="AR315" s="771"/>
      <c r="AS315" s="771"/>
      <c r="AT315" s="771"/>
      <c r="AU315" s="771"/>
    </row>
    <row r="316" spans="1:47" s="1135" customFormat="1" outlineLevel="1" x14ac:dyDescent="0.2">
      <c r="A316" s="17"/>
      <c r="B316" s="75"/>
      <c r="C316" s="1989" t="s">
        <v>2456</v>
      </c>
      <c r="D316" s="1989" t="s">
        <v>5318</v>
      </c>
      <c r="E316" s="1989">
        <v>0</v>
      </c>
      <c r="F316" s="38">
        <f t="shared" si="4"/>
        <v>0</v>
      </c>
      <c r="G316" s="459"/>
      <c r="H316" s="8"/>
      <c r="I316" s="8"/>
      <c r="J316" s="8"/>
      <c r="K316" s="8"/>
      <c r="L316" s="8"/>
      <c r="M316" s="8"/>
      <c r="N316" s="8"/>
      <c r="O316" s="8"/>
      <c r="P316" s="8"/>
      <c r="Q316" s="8"/>
      <c r="R316" s="8"/>
      <c r="S316" s="8"/>
      <c r="T316" s="8"/>
      <c r="U316" s="8"/>
      <c r="V316" s="8"/>
      <c r="W316" s="8"/>
      <c r="X316" s="771"/>
      <c r="Y316" s="771"/>
      <c r="Z316" s="771"/>
      <c r="AA316" s="771"/>
      <c r="AB316" s="771"/>
      <c r="AC316" s="771"/>
      <c r="AD316" s="771"/>
      <c r="AE316" s="771"/>
      <c r="AF316" s="771"/>
      <c r="AG316" s="771"/>
      <c r="AH316" s="771"/>
      <c r="AI316" s="771"/>
      <c r="AJ316" s="771"/>
      <c r="AK316" s="771"/>
      <c r="AL316" s="771"/>
      <c r="AM316" s="771"/>
      <c r="AN316" s="771"/>
      <c r="AO316" s="771"/>
      <c r="AP316" s="771"/>
      <c r="AQ316" s="771"/>
      <c r="AR316" s="771"/>
      <c r="AS316" s="771"/>
      <c r="AT316" s="771"/>
      <c r="AU316" s="771"/>
    </row>
    <row r="317" spans="1:47" s="1135" customFormat="1" outlineLevel="1" x14ac:dyDescent="0.2">
      <c r="A317" s="17"/>
      <c r="B317" s="75"/>
      <c r="C317" s="1989" t="s">
        <v>3197</v>
      </c>
      <c r="D317" s="1989" t="s">
        <v>5319</v>
      </c>
      <c r="E317" s="1989">
        <v>0</v>
      </c>
      <c r="F317" s="38">
        <f t="shared" si="4"/>
        <v>0</v>
      </c>
      <c r="G317" s="459"/>
      <c r="H317" s="8"/>
      <c r="I317" s="8"/>
      <c r="J317" s="8"/>
      <c r="K317" s="8"/>
      <c r="L317" s="8"/>
      <c r="M317" s="8"/>
      <c r="N317" s="8"/>
      <c r="O317" s="8"/>
      <c r="P317" s="8"/>
      <c r="Q317" s="8"/>
      <c r="R317" s="8"/>
      <c r="S317" s="8"/>
      <c r="T317" s="8"/>
      <c r="U317" s="8"/>
      <c r="V317" s="8"/>
      <c r="W317" s="8"/>
      <c r="X317" s="771"/>
      <c r="Y317" s="771"/>
      <c r="Z317" s="771"/>
      <c r="AA317" s="771"/>
      <c r="AB317" s="771"/>
      <c r="AC317" s="771"/>
      <c r="AD317" s="771"/>
      <c r="AE317" s="771"/>
      <c r="AF317" s="771"/>
      <c r="AG317" s="771"/>
      <c r="AH317" s="771"/>
      <c r="AI317" s="771"/>
      <c r="AJ317" s="771"/>
      <c r="AK317" s="771"/>
      <c r="AL317" s="771"/>
      <c r="AM317" s="771"/>
      <c r="AN317" s="771"/>
      <c r="AO317" s="771"/>
      <c r="AP317" s="771"/>
      <c r="AQ317" s="771"/>
      <c r="AR317" s="771"/>
      <c r="AS317" s="771"/>
      <c r="AT317" s="771"/>
      <c r="AU317" s="771"/>
    </row>
    <row r="318" spans="1:47" s="1135" customFormat="1" outlineLevel="1" x14ac:dyDescent="0.2">
      <c r="A318" s="17"/>
      <c r="B318" s="75"/>
      <c r="C318" s="1989" t="s">
        <v>472</v>
      </c>
      <c r="D318" s="1989" t="s">
        <v>5320</v>
      </c>
      <c r="E318" s="1989">
        <v>14.7</v>
      </c>
      <c r="F318" s="38">
        <f t="shared" si="4"/>
        <v>1195.4222279999999</v>
      </c>
      <c r="G318" s="459"/>
      <c r="H318" s="8"/>
      <c r="I318" s="8"/>
      <c r="J318" s="8"/>
      <c r="K318" s="8"/>
      <c r="L318" s="8"/>
      <c r="M318" s="8"/>
      <c r="N318" s="8"/>
      <c r="O318" s="8"/>
      <c r="P318" s="8"/>
      <c r="Q318" s="8"/>
      <c r="R318" s="8"/>
      <c r="S318" s="8"/>
      <c r="T318" s="8"/>
      <c r="U318" s="8"/>
      <c r="V318" s="8"/>
      <c r="W318" s="8"/>
      <c r="X318" s="771"/>
      <c r="Y318" s="771"/>
      <c r="Z318" s="771"/>
      <c r="AA318" s="771"/>
      <c r="AB318" s="771"/>
      <c r="AC318" s="771"/>
      <c r="AD318" s="771"/>
      <c r="AE318" s="771"/>
      <c r="AF318" s="771"/>
      <c r="AG318" s="771"/>
      <c r="AH318" s="771"/>
      <c r="AI318" s="771"/>
      <c r="AJ318" s="771"/>
      <c r="AK318" s="771"/>
      <c r="AL318" s="771"/>
      <c r="AM318" s="771"/>
      <c r="AN318" s="771"/>
      <c r="AO318" s="771"/>
      <c r="AP318" s="771"/>
      <c r="AQ318" s="771"/>
      <c r="AR318" s="771"/>
      <c r="AS318" s="771"/>
      <c r="AT318" s="771"/>
      <c r="AU318" s="771"/>
    </row>
    <row r="319" spans="1:47" outlineLevel="1" x14ac:dyDescent="0.2">
      <c r="A319" s="17"/>
      <c r="B319" s="75"/>
      <c r="C319" s="1989" t="s">
        <v>6676</v>
      </c>
      <c r="D319" s="1989" t="s">
        <v>7381</v>
      </c>
      <c r="E319" s="1989">
        <v>0</v>
      </c>
      <c r="F319" s="38">
        <f t="shared" si="4"/>
        <v>0</v>
      </c>
      <c r="G319" s="459"/>
    </row>
    <row r="320" spans="1:47" outlineLevel="1" x14ac:dyDescent="0.2">
      <c r="A320" s="17"/>
      <c r="B320" s="75"/>
      <c r="C320" s="1989" t="s">
        <v>6677</v>
      </c>
      <c r="D320" s="1989" t="s">
        <v>5321</v>
      </c>
      <c r="E320" s="1989">
        <v>0</v>
      </c>
      <c r="F320" s="38">
        <f t="shared" si="4"/>
        <v>0</v>
      </c>
      <c r="G320" s="459"/>
    </row>
    <row r="321" spans="1:47" outlineLevel="1" x14ac:dyDescent="0.2">
      <c r="A321" s="17"/>
      <c r="B321" s="75"/>
      <c r="C321" s="1989" t="s">
        <v>760</v>
      </c>
      <c r="D321" s="1989" t="s">
        <v>761</v>
      </c>
      <c r="E321" s="1989">
        <v>11.74</v>
      </c>
      <c r="F321" s="38">
        <f t="shared" si="4"/>
        <v>954.71135760000004</v>
      </c>
      <c r="G321" s="459"/>
    </row>
    <row r="322" spans="1:47" outlineLevel="1" x14ac:dyDescent="0.2">
      <c r="A322" s="17"/>
      <c r="B322" s="75"/>
      <c r="C322" s="1989" t="s">
        <v>3833</v>
      </c>
      <c r="D322" s="1989" t="s">
        <v>5322</v>
      </c>
      <c r="E322" s="1989">
        <v>0</v>
      </c>
      <c r="F322" s="38">
        <f t="shared" si="4"/>
        <v>0</v>
      </c>
      <c r="G322" s="459"/>
    </row>
    <row r="323" spans="1:47" outlineLevel="1" x14ac:dyDescent="0.2">
      <c r="A323" s="17"/>
      <c r="B323" s="75"/>
      <c r="C323" s="1989" t="s">
        <v>3834</v>
      </c>
      <c r="D323" s="1989" t="s">
        <v>5323</v>
      </c>
      <c r="E323" s="1989">
        <v>0</v>
      </c>
      <c r="F323" s="38">
        <f t="shared" si="4"/>
        <v>0</v>
      </c>
      <c r="G323" s="459"/>
    </row>
    <row r="324" spans="1:47" outlineLevel="1" x14ac:dyDescent="0.2">
      <c r="A324" s="17"/>
      <c r="B324" s="75"/>
      <c r="C324" s="1989" t="s">
        <v>474</v>
      </c>
      <c r="D324" s="1989" t="s">
        <v>1584</v>
      </c>
      <c r="E324" s="1989">
        <v>1.0900000000000001</v>
      </c>
      <c r="F324" s="38">
        <f t="shared" si="4"/>
        <v>88.64015160000001</v>
      </c>
      <c r="G324" s="459"/>
    </row>
    <row r="325" spans="1:47" s="1135" customFormat="1" outlineLevel="1" x14ac:dyDescent="0.2">
      <c r="A325" s="17"/>
      <c r="B325" s="75"/>
      <c r="C325" s="1989" t="s">
        <v>475</v>
      </c>
      <c r="D325" s="1989" t="s">
        <v>483</v>
      </c>
      <c r="E325" s="1989">
        <v>1.0900000000000001</v>
      </c>
      <c r="F325" s="38">
        <f t="shared" si="4"/>
        <v>88.64015160000001</v>
      </c>
      <c r="G325" s="459"/>
      <c r="H325" s="8"/>
      <c r="I325" s="8"/>
      <c r="J325" s="8"/>
      <c r="K325" s="8"/>
      <c r="L325" s="8"/>
      <c r="M325" s="8"/>
      <c r="N325" s="8"/>
      <c r="O325" s="8"/>
      <c r="P325" s="8"/>
      <c r="Q325" s="8"/>
      <c r="R325" s="8"/>
      <c r="S325" s="8"/>
      <c r="T325" s="8"/>
      <c r="U325" s="8"/>
      <c r="V325" s="8"/>
      <c r="W325" s="8"/>
      <c r="X325" s="771"/>
      <c r="Y325" s="771"/>
      <c r="Z325" s="771"/>
      <c r="AA325" s="771"/>
      <c r="AB325" s="771"/>
      <c r="AC325" s="771"/>
      <c r="AD325" s="771"/>
      <c r="AE325" s="771"/>
      <c r="AF325" s="771"/>
      <c r="AG325" s="771"/>
      <c r="AH325" s="771"/>
      <c r="AI325" s="771"/>
      <c r="AJ325" s="771"/>
      <c r="AK325" s="771"/>
      <c r="AL325" s="771"/>
      <c r="AM325" s="771"/>
      <c r="AN325" s="771"/>
      <c r="AO325" s="771"/>
      <c r="AP325" s="771"/>
      <c r="AQ325" s="771"/>
      <c r="AR325" s="771"/>
      <c r="AS325" s="771"/>
      <c r="AT325" s="771"/>
      <c r="AU325" s="771"/>
    </row>
    <row r="326" spans="1:47" s="1135" customFormat="1" outlineLevel="1" x14ac:dyDescent="0.2">
      <c r="A326" s="17"/>
      <c r="B326" s="75"/>
      <c r="C326" s="1989" t="s">
        <v>770</v>
      </c>
      <c r="D326" s="1989" t="s">
        <v>771</v>
      </c>
      <c r="E326" s="1989">
        <v>18.16</v>
      </c>
      <c r="F326" s="38">
        <f t="shared" si="4"/>
        <v>1476.7937184</v>
      </c>
      <c r="G326" s="459"/>
      <c r="H326" s="8"/>
      <c r="I326" s="8"/>
      <c r="J326" s="8"/>
      <c r="K326" s="8"/>
      <c r="L326" s="8"/>
      <c r="M326" s="8"/>
      <c r="N326" s="8"/>
      <c r="O326" s="8"/>
      <c r="P326" s="8"/>
      <c r="Q326" s="8"/>
      <c r="R326" s="8"/>
      <c r="S326" s="8"/>
      <c r="T326" s="8"/>
      <c r="U326" s="8"/>
      <c r="V326" s="8"/>
      <c r="W326" s="8"/>
      <c r="X326" s="771"/>
      <c r="Y326" s="771"/>
      <c r="Z326" s="771"/>
      <c r="AA326" s="771"/>
      <c r="AB326" s="771"/>
      <c r="AC326" s="771"/>
      <c r="AD326" s="771"/>
      <c r="AE326" s="771"/>
      <c r="AF326" s="771"/>
      <c r="AG326" s="771"/>
      <c r="AH326" s="771"/>
      <c r="AI326" s="771"/>
      <c r="AJ326" s="771"/>
      <c r="AK326" s="771"/>
      <c r="AL326" s="771"/>
      <c r="AM326" s="771"/>
      <c r="AN326" s="771"/>
      <c r="AO326" s="771"/>
      <c r="AP326" s="771"/>
      <c r="AQ326" s="771"/>
      <c r="AR326" s="771"/>
      <c r="AS326" s="771"/>
      <c r="AT326" s="771"/>
      <c r="AU326" s="771"/>
    </row>
    <row r="327" spans="1:47" s="1135" customFormat="1" outlineLevel="1" x14ac:dyDescent="0.2">
      <c r="A327" s="17"/>
      <c r="B327" s="75"/>
      <c r="C327" s="1989" t="s">
        <v>2471</v>
      </c>
      <c r="D327" s="1989" t="s">
        <v>2472</v>
      </c>
      <c r="E327" s="1989">
        <v>0</v>
      </c>
      <c r="F327" s="38">
        <f t="shared" si="4"/>
        <v>0</v>
      </c>
      <c r="G327" s="459"/>
      <c r="H327" s="8"/>
      <c r="I327" s="8"/>
      <c r="J327" s="8"/>
      <c r="K327" s="8"/>
      <c r="L327" s="8"/>
      <c r="M327" s="8"/>
      <c r="N327" s="8"/>
      <c r="O327" s="8"/>
      <c r="P327" s="8"/>
      <c r="Q327" s="8"/>
      <c r="R327" s="8"/>
      <c r="S327" s="8"/>
      <c r="T327" s="8"/>
      <c r="U327" s="8"/>
      <c r="V327" s="8"/>
      <c r="W327" s="8"/>
      <c r="X327" s="771"/>
      <c r="Y327" s="771"/>
      <c r="Z327" s="771"/>
      <c r="AA327" s="771"/>
      <c r="AB327" s="771"/>
      <c r="AC327" s="771"/>
      <c r="AD327" s="771"/>
      <c r="AE327" s="771"/>
      <c r="AF327" s="771"/>
      <c r="AG327" s="771"/>
      <c r="AH327" s="771"/>
      <c r="AI327" s="771"/>
      <c r="AJ327" s="771"/>
      <c r="AK327" s="771"/>
      <c r="AL327" s="771"/>
      <c r="AM327" s="771"/>
      <c r="AN327" s="771"/>
      <c r="AO327" s="771"/>
      <c r="AP327" s="771"/>
      <c r="AQ327" s="771"/>
      <c r="AR327" s="771"/>
      <c r="AS327" s="771"/>
      <c r="AT327" s="771"/>
      <c r="AU327" s="771"/>
    </row>
    <row r="328" spans="1:47" s="1135" customFormat="1" outlineLevel="1" x14ac:dyDescent="0.2">
      <c r="A328" s="17"/>
      <c r="B328" s="75"/>
      <c r="C328" s="1989" t="s">
        <v>2473</v>
      </c>
      <c r="D328" s="1989" t="s">
        <v>7382</v>
      </c>
      <c r="E328" s="1989">
        <v>0</v>
      </c>
      <c r="F328" s="38">
        <f t="shared" si="4"/>
        <v>0</v>
      </c>
      <c r="G328" s="459"/>
      <c r="H328" s="8"/>
      <c r="I328" s="8"/>
      <c r="J328" s="8"/>
      <c r="K328" s="8"/>
      <c r="L328" s="8"/>
      <c r="M328" s="8"/>
      <c r="N328" s="8"/>
      <c r="O328" s="8"/>
      <c r="P328" s="8"/>
      <c r="Q328" s="8"/>
      <c r="R328" s="8"/>
      <c r="S328" s="8"/>
      <c r="T328" s="8"/>
      <c r="U328" s="8"/>
      <c r="V328" s="8"/>
      <c r="W328" s="8"/>
      <c r="X328" s="771"/>
      <c r="Y328" s="771"/>
      <c r="Z328" s="771"/>
      <c r="AA328" s="771"/>
      <c r="AB328" s="771"/>
      <c r="AC328" s="771"/>
      <c r="AD328" s="771"/>
      <c r="AE328" s="771"/>
      <c r="AF328" s="771"/>
      <c r="AG328" s="771"/>
      <c r="AH328" s="771"/>
      <c r="AI328" s="771"/>
      <c r="AJ328" s="771"/>
      <c r="AK328" s="771"/>
      <c r="AL328" s="771"/>
      <c r="AM328" s="771"/>
      <c r="AN328" s="771"/>
      <c r="AO328" s="771"/>
      <c r="AP328" s="771"/>
      <c r="AQ328" s="771"/>
      <c r="AR328" s="771"/>
      <c r="AS328" s="771"/>
      <c r="AT328" s="771"/>
      <c r="AU328" s="771"/>
    </row>
    <row r="329" spans="1:47" s="1135" customFormat="1" outlineLevel="1" x14ac:dyDescent="0.2">
      <c r="A329" s="17"/>
      <c r="B329" s="75"/>
      <c r="C329" s="1989" t="s">
        <v>2882</v>
      </c>
      <c r="D329" s="1989" t="s">
        <v>7383</v>
      </c>
      <c r="E329" s="1989">
        <v>0</v>
      </c>
      <c r="F329" s="38">
        <f t="shared" si="4"/>
        <v>0</v>
      </c>
      <c r="G329" s="459"/>
      <c r="H329" s="8"/>
      <c r="I329" s="8"/>
      <c r="J329" s="8"/>
      <c r="K329" s="8"/>
      <c r="L329" s="8"/>
      <c r="M329" s="8"/>
      <c r="N329" s="8"/>
      <c r="O329" s="8"/>
      <c r="P329" s="8"/>
      <c r="Q329" s="8"/>
      <c r="R329" s="8"/>
      <c r="S329" s="8"/>
      <c r="T329" s="8"/>
      <c r="U329" s="8"/>
      <c r="V329" s="8"/>
      <c r="W329" s="8"/>
      <c r="X329" s="771"/>
      <c r="Y329" s="771"/>
      <c r="Z329" s="771"/>
      <c r="AA329" s="771"/>
      <c r="AB329" s="771"/>
      <c r="AC329" s="771"/>
      <c r="AD329" s="771"/>
      <c r="AE329" s="771"/>
      <c r="AF329" s="771"/>
      <c r="AG329" s="771"/>
      <c r="AH329" s="771"/>
      <c r="AI329" s="771"/>
      <c r="AJ329" s="771"/>
      <c r="AK329" s="771"/>
      <c r="AL329" s="771"/>
      <c r="AM329" s="771"/>
      <c r="AN329" s="771"/>
      <c r="AO329" s="771"/>
      <c r="AP329" s="771"/>
      <c r="AQ329" s="771"/>
      <c r="AR329" s="771"/>
      <c r="AS329" s="771"/>
      <c r="AT329" s="771"/>
      <c r="AU329" s="771"/>
    </row>
    <row r="330" spans="1:47" s="1135" customFormat="1" outlineLevel="1" x14ac:dyDescent="0.2">
      <c r="A330" s="17"/>
      <c r="B330" s="75"/>
      <c r="C330" s="1989" t="s">
        <v>2476</v>
      </c>
      <c r="D330" s="1989" t="s">
        <v>5324</v>
      </c>
      <c r="E330" s="1989">
        <v>0</v>
      </c>
      <c r="F330" s="38">
        <f t="shared" si="4"/>
        <v>0</v>
      </c>
      <c r="G330" s="459"/>
      <c r="H330" s="8"/>
      <c r="I330" s="8"/>
      <c r="J330" s="8"/>
      <c r="K330" s="8"/>
      <c r="L330" s="8"/>
      <c r="M330" s="8"/>
      <c r="N330" s="8"/>
      <c r="O330" s="8"/>
      <c r="P330" s="8"/>
      <c r="Q330" s="8"/>
      <c r="R330" s="8"/>
      <c r="S330" s="8"/>
      <c r="T330" s="8"/>
      <c r="U330" s="8"/>
      <c r="V330" s="8"/>
      <c r="W330" s="8"/>
      <c r="X330" s="771"/>
      <c r="Y330" s="771"/>
      <c r="Z330" s="771"/>
      <c r="AA330" s="771"/>
      <c r="AB330" s="771"/>
      <c r="AC330" s="771"/>
      <c r="AD330" s="771"/>
      <c r="AE330" s="771"/>
      <c r="AF330" s="771"/>
      <c r="AG330" s="771"/>
      <c r="AH330" s="771"/>
      <c r="AI330" s="771"/>
      <c r="AJ330" s="771"/>
      <c r="AK330" s="771"/>
      <c r="AL330" s="771"/>
      <c r="AM330" s="771"/>
      <c r="AN330" s="771"/>
      <c r="AO330" s="771"/>
      <c r="AP330" s="771"/>
      <c r="AQ330" s="771"/>
      <c r="AR330" s="771"/>
      <c r="AS330" s="771"/>
      <c r="AT330" s="771"/>
      <c r="AU330" s="771"/>
    </row>
    <row r="331" spans="1:47" s="1135" customFormat="1" outlineLevel="1" x14ac:dyDescent="0.2">
      <c r="A331" s="17"/>
      <c r="B331" s="75"/>
      <c r="C331" s="1989" t="s">
        <v>3198</v>
      </c>
      <c r="D331" s="1989" t="s">
        <v>3199</v>
      </c>
      <c r="E331" s="1989">
        <v>0</v>
      </c>
      <c r="F331" s="38">
        <f t="shared" si="4"/>
        <v>0</v>
      </c>
      <c r="G331" s="459"/>
      <c r="H331" s="8"/>
      <c r="I331" s="8"/>
      <c r="J331" s="8"/>
      <c r="K331" s="8"/>
      <c r="L331" s="8"/>
      <c r="M331" s="8"/>
      <c r="N331" s="8"/>
      <c r="O331" s="8"/>
      <c r="P331" s="8"/>
      <c r="Q331" s="8"/>
      <c r="R331" s="8"/>
      <c r="S331" s="8"/>
      <c r="T331" s="8"/>
      <c r="U331" s="8"/>
      <c r="V331" s="8"/>
      <c r="W331" s="8"/>
      <c r="X331" s="771"/>
      <c r="Y331" s="771"/>
      <c r="Z331" s="771"/>
      <c r="AA331" s="771"/>
      <c r="AB331" s="771"/>
      <c r="AC331" s="771"/>
      <c r="AD331" s="771"/>
      <c r="AE331" s="771"/>
      <c r="AF331" s="771"/>
      <c r="AG331" s="771"/>
      <c r="AH331" s="771"/>
      <c r="AI331" s="771"/>
      <c r="AJ331" s="771"/>
      <c r="AK331" s="771"/>
      <c r="AL331" s="771"/>
      <c r="AM331" s="771"/>
      <c r="AN331" s="771"/>
      <c r="AO331" s="771"/>
      <c r="AP331" s="771"/>
      <c r="AQ331" s="771"/>
      <c r="AR331" s="771"/>
      <c r="AS331" s="771"/>
      <c r="AT331" s="771"/>
      <c r="AU331" s="771"/>
    </row>
    <row r="332" spans="1:47" s="1135" customFormat="1" outlineLevel="1" x14ac:dyDescent="0.2">
      <c r="A332" s="17"/>
      <c r="B332" s="75"/>
      <c r="C332" s="1989" t="s">
        <v>3835</v>
      </c>
      <c r="D332" s="1989" t="s">
        <v>7384</v>
      </c>
      <c r="E332" s="1989">
        <v>0</v>
      </c>
      <c r="F332" s="38">
        <f t="shared" si="4"/>
        <v>0</v>
      </c>
      <c r="G332" s="459"/>
      <c r="H332" s="8"/>
      <c r="I332" s="8"/>
      <c r="J332" s="8"/>
      <c r="K332" s="8"/>
      <c r="L332" s="8"/>
      <c r="M332" s="8"/>
      <c r="N332" s="8"/>
      <c r="O332" s="8"/>
      <c r="P332" s="8"/>
      <c r="Q332" s="8"/>
      <c r="R332" s="8"/>
      <c r="S332" s="8"/>
      <c r="T332" s="8"/>
      <c r="U332" s="8"/>
      <c r="V332" s="8"/>
      <c r="W332" s="8"/>
      <c r="X332" s="771"/>
      <c r="Y332" s="771"/>
      <c r="Z332" s="771"/>
      <c r="AA332" s="771"/>
      <c r="AB332" s="771"/>
      <c r="AC332" s="771"/>
      <c r="AD332" s="771"/>
      <c r="AE332" s="771"/>
      <c r="AF332" s="771"/>
      <c r="AG332" s="771"/>
      <c r="AH332" s="771"/>
      <c r="AI332" s="771"/>
      <c r="AJ332" s="771"/>
      <c r="AK332" s="771"/>
      <c r="AL332" s="771"/>
      <c r="AM332" s="771"/>
      <c r="AN332" s="771"/>
      <c r="AO332" s="771"/>
      <c r="AP332" s="771"/>
      <c r="AQ332" s="771"/>
      <c r="AR332" s="771"/>
      <c r="AS332" s="771"/>
      <c r="AT332" s="771"/>
      <c r="AU332" s="771"/>
    </row>
    <row r="333" spans="1:47" s="1135" customFormat="1" outlineLevel="1" x14ac:dyDescent="0.2">
      <c r="A333" s="17"/>
      <c r="B333" s="75"/>
      <c r="C333" s="1989" t="s">
        <v>3836</v>
      </c>
      <c r="D333" s="1989" t="s">
        <v>7385</v>
      </c>
      <c r="E333" s="1989">
        <v>0</v>
      </c>
      <c r="F333" s="38">
        <f t="shared" si="4"/>
        <v>0</v>
      </c>
      <c r="G333" s="459"/>
      <c r="H333" s="8"/>
      <c r="I333" s="8"/>
      <c r="J333" s="8"/>
      <c r="K333" s="8"/>
      <c r="L333" s="8"/>
      <c r="M333" s="8"/>
      <c r="N333" s="8"/>
      <c r="O333" s="8"/>
      <c r="P333" s="8"/>
      <c r="Q333" s="8"/>
      <c r="R333" s="8"/>
      <c r="S333" s="8"/>
      <c r="T333" s="8"/>
      <c r="U333" s="8"/>
      <c r="V333" s="8"/>
      <c r="W333" s="8"/>
      <c r="X333" s="771"/>
      <c r="Y333" s="771"/>
      <c r="Z333" s="771"/>
      <c r="AA333" s="771"/>
      <c r="AB333" s="771"/>
      <c r="AC333" s="771"/>
      <c r="AD333" s="771"/>
      <c r="AE333" s="771"/>
      <c r="AF333" s="771"/>
      <c r="AG333" s="771"/>
      <c r="AH333" s="771"/>
      <c r="AI333" s="771"/>
      <c r="AJ333" s="771"/>
      <c r="AK333" s="771"/>
      <c r="AL333" s="771"/>
      <c r="AM333" s="771"/>
      <c r="AN333" s="771"/>
      <c r="AO333" s="771"/>
      <c r="AP333" s="771"/>
      <c r="AQ333" s="771"/>
      <c r="AR333" s="771"/>
      <c r="AS333" s="771"/>
      <c r="AT333" s="771"/>
      <c r="AU333" s="771"/>
    </row>
    <row r="334" spans="1:47" s="1135" customFormat="1" outlineLevel="1" x14ac:dyDescent="0.2">
      <c r="A334" s="17"/>
      <c r="B334" s="75"/>
      <c r="C334" s="1989" t="s">
        <v>4532</v>
      </c>
      <c r="D334" s="1989" t="s">
        <v>5325</v>
      </c>
      <c r="E334" s="1989">
        <v>0</v>
      </c>
      <c r="F334" s="38">
        <f t="shared" si="4"/>
        <v>0</v>
      </c>
      <c r="G334" s="459"/>
      <c r="H334" s="8"/>
      <c r="I334" s="8"/>
      <c r="J334" s="8"/>
      <c r="K334" s="8"/>
      <c r="L334" s="8"/>
      <c r="M334" s="8"/>
      <c r="N334" s="8"/>
      <c r="O334" s="8"/>
      <c r="P334" s="8"/>
      <c r="Q334" s="8"/>
      <c r="R334" s="8"/>
      <c r="S334" s="8"/>
      <c r="T334" s="8"/>
      <c r="U334" s="8"/>
      <c r="V334" s="8"/>
      <c r="W334" s="8"/>
      <c r="X334" s="771"/>
      <c r="Y334" s="771"/>
      <c r="Z334" s="771"/>
      <c r="AA334" s="771"/>
      <c r="AB334" s="771"/>
      <c r="AC334" s="771"/>
      <c r="AD334" s="771"/>
      <c r="AE334" s="771"/>
      <c r="AF334" s="771"/>
      <c r="AG334" s="771"/>
      <c r="AH334" s="771"/>
      <c r="AI334" s="771"/>
      <c r="AJ334" s="771"/>
      <c r="AK334" s="771"/>
      <c r="AL334" s="771"/>
      <c r="AM334" s="771"/>
      <c r="AN334" s="771"/>
      <c r="AO334" s="771"/>
      <c r="AP334" s="771"/>
      <c r="AQ334" s="771"/>
      <c r="AR334" s="771"/>
      <c r="AS334" s="771"/>
      <c r="AT334" s="771"/>
      <c r="AU334" s="771"/>
    </row>
    <row r="335" spans="1:47" s="1135" customFormat="1" outlineLevel="1" x14ac:dyDescent="0.2">
      <c r="A335" s="17"/>
      <c r="B335" s="75"/>
      <c r="C335" s="1989" t="s">
        <v>4533</v>
      </c>
      <c r="D335" s="1989" t="s">
        <v>5326</v>
      </c>
      <c r="E335" s="1989">
        <v>0</v>
      </c>
      <c r="F335" s="38">
        <f t="shared" si="4"/>
        <v>0</v>
      </c>
      <c r="G335" s="459"/>
      <c r="H335" s="8"/>
      <c r="I335" s="8"/>
      <c r="J335" s="8"/>
      <c r="K335" s="8"/>
      <c r="L335" s="8"/>
      <c r="M335" s="8"/>
      <c r="N335" s="8"/>
      <c r="O335" s="8"/>
      <c r="P335" s="8"/>
      <c r="Q335" s="8"/>
      <c r="R335" s="8"/>
      <c r="S335" s="8"/>
      <c r="T335" s="8"/>
      <c r="U335" s="8"/>
      <c r="V335" s="8"/>
      <c r="W335" s="8"/>
      <c r="X335" s="771"/>
      <c r="Y335" s="771"/>
      <c r="Z335" s="771"/>
      <c r="AA335" s="771"/>
      <c r="AB335" s="771"/>
      <c r="AC335" s="771"/>
      <c r="AD335" s="771"/>
      <c r="AE335" s="771"/>
      <c r="AF335" s="771"/>
      <c r="AG335" s="771"/>
      <c r="AH335" s="771"/>
      <c r="AI335" s="771"/>
      <c r="AJ335" s="771"/>
      <c r="AK335" s="771"/>
      <c r="AL335" s="771"/>
      <c r="AM335" s="771"/>
      <c r="AN335" s="771"/>
      <c r="AO335" s="771"/>
      <c r="AP335" s="771"/>
      <c r="AQ335" s="771"/>
      <c r="AR335" s="771"/>
      <c r="AS335" s="771"/>
      <c r="AT335" s="771"/>
      <c r="AU335" s="771"/>
    </row>
    <row r="336" spans="1:47" s="1135" customFormat="1" outlineLevel="1" x14ac:dyDescent="0.2">
      <c r="A336" s="17"/>
      <c r="B336" s="75"/>
      <c r="C336" s="1989" t="s">
        <v>3837</v>
      </c>
      <c r="D336" s="1989" t="s">
        <v>3838</v>
      </c>
      <c r="E336" s="1989">
        <v>0</v>
      </c>
      <c r="F336" s="38">
        <f t="shared" si="4"/>
        <v>0</v>
      </c>
      <c r="G336" s="459"/>
      <c r="H336" s="8"/>
      <c r="I336" s="8"/>
      <c r="J336" s="8"/>
      <c r="K336" s="8"/>
      <c r="L336" s="8"/>
      <c r="M336" s="8"/>
      <c r="N336" s="8"/>
      <c r="O336" s="8"/>
      <c r="P336" s="8"/>
      <c r="Q336" s="8"/>
      <c r="R336" s="8"/>
      <c r="S336" s="8"/>
      <c r="T336" s="8"/>
      <c r="U336" s="8"/>
      <c r="V336" s="8"/>
      <c r="W336" s="8"/>
      <c r="X336" s="771"/>
      <c r="Y336" s="771"/>
      <c r="Z336" s="771"/>
      <c r="AA336" s="771"/>
      <c r="AB336" s="771"/>
      <c r="AC336" s="771"/>
      <c r="AD336" s="771"/>
      <c r="AE336" s="771"/>
      <c r="AF336" s="771"/>
      <c r="AG336" s="771"/>
      <c r="AH336" s="771"/>
      <c r="AI336" s="771"/>
      <c r="AJ336" s="771"/>
      <c r="AK336" s="771"/>
      <c r="AL336" s="771"/>
      <c r="AM336" s="771"/>
      <c r="AN336" s="771"/>
      <c r="AO336" s="771"/>
      <c r="AP336" s="771"/>
      <c r="AQ336" s="771"/>
      <c r="AR336" s="771"/>
      <c r="AS336" s="771"/>
      <c r="AT336" s="771"/>
      <c r="AU336" s="771"/>
    </row>
    <row r="337" spans="1:47" s="1135" customFormat="1" outlineLevel="1" x14ac:dyDescent="0.2">
      <c r="A337" s="17"/>
      <c r="B337" s="75"/>
      <c r="C337" s="1989" t="s">
        <v>3839</v>
      </c>
      <c r="D337" s="1989" t="s">
        <v>3840</v>
      </c>
      <c r="E337" s="1989">
        <v>0</v>
      </c>
      <c r="F337" s="38">
        <f t="shared" si="4"/>
        <v>0</v>
      </c>
      <c r="G337" s="459"/>
      <c r="H337" s="8"/>
      <c r="I337" s="8"/>
      <c r="J337" s="8"/>
      <c r="K337" s="8"/>
      <c r="L337" s="8"/>
      <c r="M337" s="8"/>
      <c r="N337" s="8"/>
      <c r="O337" s="8"/>
      <c r="P337" s="8"/>
      <c r="Q337" s="8"/>
      <c r="R337" s="8"/>
      <c r="S337" s="8"/>
      <c r="T337" s="8"/>
      <c r="U337" s="8"/>
      <c r="V337" s="8"/>
      <c r="W337" s="8"/>
      <c r="X337" s="771"/>
      <c r="Y337" s="771"/>
      <c r="Z337" s="771"/>
      <c r="AA337" s="771"/>
      <c r="AB337" s="771"/>
      <c r="AC337" s="771"/>
      <c r="AD337" s="771"/>
      <c r="AE337" s="771"/>
      <c r="AF337" s="771"/>
      <c r="AG337" s="771"/>
      <c r="AH337" s="771"/>
      <c r="AI337" s="771"/>
      <c r="AJ337" s="771"/>
      <c r="AK337" s="771"/>
      <c r="AL337" s="771"/>
      <c r="AM337" s="771"/>
      <c r="AN337" s="771"/>
      <c r="AO337" s="771"/>
      <c r="AP337" s="771"/>
      <c r="AQ337" s="771"/>
      <c r="AR337" s="771"/>
      <c r="AS337" s="771"/>
      <c r="AT337" s="771"/>
      <c r="AU337" s="771"/>
    </row>
    <row r="338" spans="1:47" s="1135" customFormat="1" outlineLevel="1" x14ac:dyDescent="0.2">
      <c r="A338" s="17"/>
      <c r="B338" s="75"/>
      <c r="C338" s="1989" t="s">
        <v>783</v>
      </c>
      <c r="D338" s="1989" t="s">
        <v>5327</v>
      </c>
      <c r="E338" s="1989">
        <v>1.01</v>
      </c>
      <c r="F338" s="38">
        <f t="shared" si="4"/>
        <v>82.134452400000001</v>
      </c>
      <c r="G338" s="459"/>
      <c r="H338" s="8"/>
      <c r="I338" s="8"/>
      <c r="J338" s="8"/>
      <c r="K338" s="8"/>
      <c r="L338" s="8"/>
      <c r="M338" s="8"/>
      <c r="N338" s="8"/>
      <c r="O338" s="8"/>
      <c r="P338" s="8"/>
      <c r="Q338" s="8"/>
      <c r="R338" s="8"/>
      <c r="S338" s="8"/>
      <c r="T338" s="8"/>
      <c r="U338" s="8"/>
      <c r="V338" s="8"/>
      <c r="W338" s="8"/>
      <c r="X338" s="771"/>
      <c r="Y338" s="771"/>
      <c r="Z338" s="771"/>
      <c r="AA338" s="771"/>
      <c r="AB338" s="771"/>
      <c r="AC338" s="771"/>
      <c r="AD338" s="771"/>
      <c r="AE338" s="771"/>
      <c r="AF338" s="771"/>
      <c r="AG338" s="771"/>
      <c r="AH338" s="771"/>
      <c r="AI338" s="771"/>
      <c r="AJ338" s="771"/>
      <c r="AK338" s="771"/>
      <c r="AL338" s="771"/>
      <c r="AM338" s="771"/>
      <c r="AN338" s="771"/>
      <c r="AO338" s="771"/>
      <c r="AP338" s="771"/>
      <c r="AQ338" s="771"/>
      <c r="AR338" s="771"/>
      <c r="AS338" s="771"/>
      <c r="AT338" s="771"/>
      <c r="AU338" s="771"/>
    </row>
    <row r="339" spans="1:47" s="1135" customFormat="1" outlineLevel="1" x14ac:dyDescent="0.2">
      <c r="A339" s="17"/>
      <c r="B339" s="75"/>
      <c r="C339" s="1989" t="s">
        <v>6678</v>
      </c>
      <c r="D339" s="1989" t="s">
        <v>7386</v>
      </c>
      <c r="E339" s="1989">
        <v>0</v>
      </c>
      <c r="F339" s="38">
        <f t="shared" si="4"/>
        <v>0</v>
      </c>
      <c r="G339" s="459"/>
      <c r="H339" s="8"/>
      <c r="I339" s="8"/>
      <c r="J339" s="8"/>
      <c r="K339" s="8"/>
      <c r="L339" s="8"/>
      <c r="M339" s="8"/>
      <c r="N339" s="8"/>
      <c r="O339" s="8"/>
      <c r="P339" s="8"/>
      <c r="Q339" s="8"/>
      <c r="R339" s="8"/>
      <c r="S339" s="8"/>
      <c r="T339" s="8"/>
      <c r="U339" s="8"/>
      <c r="V339" s="8"/>
      <c r="W339" s="8"/>
      <c r="X339" s="771"/>
      <c r="Y339" s="771"/>
      <c r="Z339" s="771"/>
      <c r="AA339" s="771"/>
      <c r="AB339" s="771"/>
      <c r="AC339" s="771"/>
      <c r="AD339" s="771"/>
      <c r="AE339" s="771"/>
      <c r="AF339" s="771"/>
      <c r="AG339" s="771"/>
      <c r="AH339" s="771"/>
      <c r="AI339" s="771"/>
      <c r="AJ339" s="771"/>
      <c r="AK339" s="771"/>
      <c r="AL339" s="771"/>
      <c r="AM339" s="771"/>
      <c r="AN339" s="771"/>
      <c r="AO339" s="771"/>
      <c r="AP339" s="771"/>
      <c r="AQ339" s="771"/>
      <c r="AR339" s="771"/>
      <c r="AS339" s="771"/>
      <c r="AT339" s="771"/>
      <c r="AU339" s="771"/>
    </row>
    <row r="340" spans="1:47" s="1135" customFormat="1" outlineLevel="1" x14ac:dyDescent="0.2">
      <c r="A340" s="17"/>
      <c r="B340" s="75"/>
      <c r="C340" s="1989" t="s">
        <v>6679</v>
      </c>
      <c r="D340" s="1989" t="s">
        <v>7387</v>
      </c>
      <c r="E340" s="1989">
        <v>0</v>
      </c>
      <c r="F340" s="38">
        <f t="shared" si="4"/>
        <v>0</v>
      </c>
      <c r="G340" s="459"/>
      <c r="H340" s="8"/>
      <c r="I340" s="8"/>
      <c r="J340" s="8"/>
      <c r="K340" s="8"/>
      <c r="L340" s="8"/>
      <c r="M340" s="8"/>
      <c r="N340" s="8"/>
      <c r="O340" s="8"/>
      <c r="P340" s="8"/>
      <c r="Q340" s="8"/>
      <c r="R340" s="8"/>
      <c r="S340" s="8"/>
      <c r="T340" s="8"/>
      <c r="U340" s="8"/>
      <c r="V340" s="8"/>
      <c r="W340" s="8"/>
      <c r="X340" s="771"/>
      <c r="Y340" s="771"/>
      <c r="Z340" s="771"/>
      <c r="AA340" s="771"/>
      <c r="AB340" s="771"/>
      <c r="AC340" s="771"/>
      <c r="AD340" s="771"/>
      <c r="AE340" s="771"/>
      <c r="AF340" s="771"/>
      <c r="AG340" s="771"/>
      <c r="AH340" s="771"/>
      <c r="AI340" s="771"/>
      <c r="AJ340" s="771"/>
      <c r="AK340" s="771"/>
      <c r="AL340" s="771"/>
      <c r="AM340" s="771"/>
      <c r="AN340" s="771"/>
      <c r="AO340" s="771"/>
      <c r="AP340" s="771"/>
      <c r="AQ340" s="771"/>
      <c r="AR340" s="771"/>
      <c r="AS340" s="771"/>
      <c r="AT340" s="771"/>
      <c r="AU340" s="771"/>
    </row>
    <row r="341" spans="1:47" s="1135" customFormat="1" outlineLevel="1" x14ac:dyDescent="0.2">
      <c r="A341" s="17"/>
      <c r="B341" s="75"/>
      <c r="C341" s="1989" t="s">
        <v>1225</v>
      </c>
      <c r="D341" s="1989" t="s">
        <v>7388</v>
      </c>
      <c r="E341" s="1989">
        <v>5.27</v>
      </c>
      <c r="F341" s="38">
        <f t="shared" si="4"/>
        <v>428.56293479999994</v>
      </c>
      <c r="G341" s="459"/>
      <c r="H341" s="8"/>
      <c r="I341" s="8"/>
      <c r="J341" s="8"/>
      <c r="K341" s="8"/>
      <c r="L341" s="8"/>
      <c r="M341" s="8"/>
      <c r="N341" s="8"/>
      <c r="O341" s="8"/>
      <c r="P341" s="8"/>
      <c r="Q341" s="8"/>
      <c r="R341" s="8"/>
      <c r="S341" s="8"/>
      <c r="T341" s="8"/>
      <c r="U341" s="8"/>
      <c r="V341" s="8"/>
      <c r="W341" s="8"/>
      <c r="X341" s="771"/>
      <c r="Y341" s="771"/>
      <c r="Z341" s="771"/>
      <c r="AA341" s="771"/>
      <c r="AB341" s="771"/>
      <c r="AC341" s="771"/>
      <c r="AD341" s="771"/>
      <c r="AE341" s="771"/>
      <c r="AF341" s="771"/>
      <c r="AG341" s="771"/>
      <c r="AH341" s="771"/>
      <c r="AI341" s="771"/>
      <c r="AJ341" s="771"/>
      <c r="AK341" s="771"/>
      <c r="AL341" s="771"/>
      <c r="AM341" s="771"/>
      <c r="AN341" s="771"/>
      <c r="AO341" s="771"/>
      <c r="AP341" s="771"/>
      <c r="AQ341" s="771"/>
      <c r="AR341" s="771"/>
      <c r="AS341" s="771"/>
      <c r="AT341" s="771"/>
      <c r="AU341" s="771"/>
    </row>
    <row r="342" spans="1:47" s="1135" customFormat="1" outlineLevel="1" x14ac:dyDescent="0.2">
      <c r="A342" s="17"/>
      <c r="B342" s="75"/>
      <c r="C342" s="1989" t="s">
        <v>682</v>
      </c>
      <c r="D342" s="1989" t="s">
        <v>7389</v>
      </c>
      <c r="E342" s="1989">
        <v>3.85</v>
      </c>
      <c r="F342" s="38">
        <f t="shared" si="4"/>
        <v>313.08677400000005</v>
      </c>
      <c r="G342" s="459"/>
      <c r="H342" s="8"/>
      <c r="I342" s="8"/>
      <c r="J342" s="8"/>
      <c r="K342" s="8"/>
      <c r="L342" s="8"/>
      <c r="M342" s="8"/>
      <c r="N342" s="8"/>
      <c r="O342" s="8"/>
      <c r="P342" s="8"/>
      <c r="Q342" s="8"/>
      <c r="R342" s="8"/>
      <c r="S342" s="8"/>
      <c r="T342" s="8"/>
      <c r="U342" s="8"/>
      <c r="V342" s="8"/>
      <c r="W342" s="8"/>
      <c r="X342" s="771"/>
      <c r="Y342" s="771"/>
      <c r="Z342" s="771"/>
      <c r="AA342" s="771"/>
      <c r="AB342" s="771"/>
      <c r="AC342" s="771"/>
      <c r="AD342" s="771"/>
      <c r="AE342" s="771"/>
      <c r="AF342" s="771"/>
      <c r="AG342" s="771"/>
      <c r="AH342" s="771"/>
      <c r="AI342" s="771"/>
      <c r="AJ342" s="771"/>
      <c r="AK342" s="771"/>
      <c r="AL342" s="771"/>
      <c r="AM342" s="771"/>
      <c r="AN342" s="771"/>
      <c r="AO342" s="771"/>
      <c r="AP342" s="771"/>
      <c r="AQ342" s="771"/>
      <c r="AR342" s="771"/>
      <c r="AS342" s="771"/>
      <c r="AT342" s="771"/>
      <c r="AU342" s="771"/>
    </row>
    <row r="343" spans="1:47" s="1135" customFormat="1" outlineLevel="1" x14ac:dyDescent="0.2">
      <c r="A343" s="17"/>
      <c r="B343" s="75"/>
      <c r="C343" s="1989" t="s">
        <v>2052</v>
      </c>
      <c r="D343" s="1989" t="s">
        <v>2053</v>
      </c>
      <c r="E343" s="1989">
        <v>0.96</v>
      </c>
      <c r="F343" s="38">
        <f t="shared" si="4"/>
        <v>78.068390399999998</v>
      </c>
      <c r="G343" s="459"/>
      <c r="H343" s="8"/>
      <c r="I343" s="8"/>
      <c r="J343" s="8"/>
      <c r="K343" s="8"/>
      <c r="L343" s="8"/>
      <c r="M343" s="8"/>
      <c r="N343" s="8"/>
      <c r="O343" s="8"/>
      <c r="P343" s="8"/>
      <c r="Q343" s="8"/>
      <c r="R343" s="8"/>
      <c r="S343" s="8"/>
      <c r="T343" s="8"/>
      <c r="U343" s="8"/>
      <c r="V343" s="8"/>
      <c r="W343" s="8"/>
      <c r="X343" s="771"/>
      <c r="Y343" s="771"/>
      <c r="Z343" s="771"/>
      <c r="AA343" s="771"/>
      <c r="AB343" s="771"/>
      <c r="AC343" s="771"/>
      <c r="AD343" s="771"/>
      <c r="AE343" s="771"/>
      <c r="AF343" s="771"/>
      <c r="AG343" s="771"/>
      <c r="AH343" s="771"/>
      <c r="AI343" s="771"/>
      <c r="AJ343" s="771"/>
      <c r="AK343" s="771"/>
      <c r="AL343" s="771"/>
      <c r="AM343" s="771"/>
      <c r="AN343" s="771"/>
      <c r="AO343" s="771"/>
      <c r="AP343" s="771"/>
      <c r="AQ343" s="771"/>
      <c r="AR343" s="771"/>
      <c r="AS343" s="771"/>
      <c r="AT343" s="771"/>
      <c r="AU343" s="771"/>
    </row>
    <row r="344" spans="1:47" s="1135" customFormat="1" outlineLevel="1" x14ac:dyDescent="0.2">
      <c r="A344" s="17"/>
      <c r="B344" s="75"/>
      <c r="C344" s="1989" t="s">
        <v>2054</v>
      </c>
      <c r="D344" s="1989" t="s">
        <v>5328</v>
      </c>
      <c r="E344" s="1989">
        <v>0.96</v>
      </c>
      <c r="F344" s="38">
        <f t="shared" si="4"/>
        <v>78.068390399999998</v>
      </c>
      <c r="G344" s="459"/>
      <c r="H344" s="8"/>
      <c r="I344" s="8"/>
      <c r="J344" s="8"/>
      <c r="K344" s="8"/>
      <c r="L344" s="8"/>
      <c r="M344" s="8"/>
      <c r="N344" s="8"/>
      <c r="O344" s="8"/>
      <c r="P344" s="8"/>
      <c r="Q344" s="8"/>
      <c r="R344" s="8"/>
      <c r="S344" s="8"/>
      <c r="T344" s="8"/>
      <c r="U344" s="8"/>
      <c r="V344" s="8"/>
      <c r="W344" s="8"/>
      <c r="X344" s="771"/>
      <c r="Y344" s="771"/>
      <c r="Z344" s="771"/>
      <c r="AA344" s="771"/>
      <c r="AB344" s="771"/>
      <c r="AC344" s="771"/>
      <c r="AD344" s="771"/>
      <c r="AE344" s="771"/>
      <c r="AF344" s="771"/>
      <c r="AG344" s="771"/>
      <c r="AH344" s="771"/>
      <c r="AI344" s="771"/>
      <c r="AJ344" s="771"/>
      <c r="AK344" s="771"/>
      <c r="AL344" s="771"/>
      <c r="AM344" s="771"/>
      <c r="AN344" s="771"/>
      <c r="AO344" s="771"/>
      <c r="AP344" s="771"/>
      <c r="AQ344" s="771"/>
      <c r="AR344" s="771"/>
      <c r="AS344" s="771"/>
      <c r="AT344" s="771"/>
      <c r="AU344" s="771"/>
    </row>
    <row r="345" spans="1:47" s="1135" customFormat="1" outlineLevel="1" x14ac:dyDescent="0.2">
      <c r="A345" s="17"/>
      <c r="B345" s="75"/>
      <c r="C345" s="1989" t="s">
        <v>364</v>
      </c>
      <c r="D345" s="1989" t="s">
        <v>365</v>
      </c>
      <c r="E345" s="1989">
        <v>1.55</v>
      </c>
      <c r="F345" s="38">
        <f t="shared" si="4"/>
        <v>126.047922</v>
      </c>
      <c r="G345" s="459"/>
      <c r="H345" s="8"/>
      <c r="I345" s="8"/>
      <c r="J345" s="8"/>
      <c r="K345" s="8"/>
      <c r="L345" s="8"/>
      <c r="M345" s="8"/>
      <c r="N345" s="8"/>
      <c r="O345" s="8"/>
      <c r="P345" s="8"/>
      <c r="Q345" s="8"/>
      <c r="R345" s="8"/>
      <c r="S345" s="8"/>
      <c r="T345" s="8"/>
      <c r="U345" s="8"/>
      <c r="V345" s="8"/>
      <c r="W345" s="8"/>
      <c r="X345" s="771"/>
      <c r="Y345" s="771"/>
      <c r="Z345" s="771"/>
      <c r="AA345" s="771"/>
      <c r="AB345" s="771"/>
      <c r="AC345" s="771"/>
      <c r="AD345" s="771"/>
      <c r="AE345" s="771"/>
      <c r="AF345" s="771"/>
      <c r="AG345" s="771"/>
      <c r="AH345" s="771"/>
      <c r="AI345" s="771"/>
      <c r="AJ345" s="771"/>
      <c r="AK345" s="771"/>
      <c r="AL345" s="771"/>
      <c r="AM345" s="771"/>
      <c r="AN345" s="771"/>
      <c r="AO345" s="771"/>
      <c r="AP345" s="771"/>
      <c r="AQ345" s="771"/>
      <c r="AR345" s="771"/>
      <c r="AS345" s="771"/>
      <c r="AT345" s="771"/>
      <c r="AU345" s="771"/>
    </row>
    <row r="346" spans="1:47" s="1135" customFormat="1" outlineLevel="1" x14ac:dyDescent="0.2">
      <c r="A346" s="17"/>
      <c r="B346" s="75"/>
      <c r="C346" s="1989" t="s">
        <v>366</v>
      </c>
      <c r="D346" s="1989" t="s">
        <v>367</v>
      </c>
      <c r="E346" s="1989">
        <v>1.55</v>
      </c>
      <c r="F346" s="38">
        <f t="shared" si="4"/>
        <v>126.047922</v>
      </c>
      <c r="G346" s="459"/>
      <c r="H346" s="8"/>
      <c r="I346" s="8"/>
      <c r="J346" s="8"/>
      <c r="K346" s="8"/>
      <c r="L346" s="8"/>
      <c r="M346" s="8"/>
      <c r="N346" s="8"/>
      <c r="O346" s="8"/>
      <c r="P346" s="8"/>
      <c r="Q346" s="8"/>
      <c r="R346" s="8"/>
      <c r="S346" s="8"/>
      <c r="T346" s="8"/>
      <c r="U346" s="8"/>
      <c r="V346" s="8"/>
      <c r="W346" s="8"/>
      <c r="X346" s="771"/>
      <c r="Y346" s="771"/>
      <c r="Z346" s="771"/>
      <c r="AA346" s="771"/>
      <c r="AB346" s="771"/>
      <c r="AC346" s="771"/>
      <c r="AD346" s="771"/>
      <c r="AE346" s="771"/>
      <c r="AF346" s="771"/>
      <c r="AG346" s="771"/>
      <c r="AH346" s="771"/>
      <c r="AI346" s="771"/>
      <c r="AJ346" s="771"/>
      <c r="AK346" s="771"/>
      <c r="AL346" s="771"/>
      <c r="AM346" s="771"/>
      <c r="AN346" s="771"/>
      <c r="AO346" s="771"/>
      <c r="AP346" s="771"/>
      <c r="AQ346" s="771"/>
      <c r="AR346" s="771"/>
      <c r="AS346" s="771"/>
      <c r="AT346" s="771"/>
      <c r="AU346" s="771"/>
    </row>
    <row r="347" spans="1:47" s="1135" customFormat="1" outlineLevel="1" x14ac:dyDescent="0.2">
      <c r="A347" s="17"/>
      <c r="B347" s="75"/>
      <c r="C347" s="1989" t="s">
        <v>2429</v>
      </c>
      <c r="D347" s="1989" t="s">
        <v>7390</v>
      </c>
      <c r="E347" s="1989">
        <v>0</v>
      </c>
      <c r="F347" s="38">
        <f t="shared" si="4"/>
        <v>0</v>
      </c>
      <c r="G347" s="459"/>
      <c r="H347" s="8"/>
      <c r="I347" s="8"/>
      <c r="J347" s="8"/>
      <c r="K347" s="8"/>
      <c r="L347" s="8"/>
      <c r="M347" s="8"/>
      <c r="N347" s="8"/>
      <c r="O347" s="8"/>
      <c r="P347" s="8"/>
      <c r="Q347" s="8"/>
      <c r="R347" s="8"/>
      <c r="S347" s="8"/>
      <c r="T347" s="8"/>
      <c r="U347" s="8"/>
      <c r="V347" s="8"/>
      <c r="W347" s="8"/>
      <c r="X347" s="771"/>
      <c r="Y347" s="771"/>
      <c r="Z347" s="771"/>
      <c r="AA347" s="771"/>
      <c r="AB347" s="771"/>
      <c r="AC347" s="771"/>
      <c r="AD347" s="771"/>
      <c r="AE347" s="771"/>
      <c r="AF347" s="771"/>
      <c r="AG347" s="771"/>
      <c r="AH347" s="771"/>
      <c r="AI347" s="771"/>
      <c r="AJ347" s="771"/>
      <c r="AK347" s="771"/>
      <c r="AL347" s="771"/>
      <c r="AM347" s="771"/>
      <c r="AN347" s="771"/>
      <c r="AO347" s="771"/>
      <c r="AP347" s="771"/>
      <c r="AQ347" s="771"/>
      <c r="AR347" s="771"/>
      <c r="AS347" s="771"/>
      <c r="AT347" s="771"/>
      <c r="AU347" s="771"/>
    </row>
    <row r="348" spans="1:47" s="1135" customFormat="1" outlineLevel="1" x14ac:dyDescent="0.2">
      <c r="A348" s="17"/>
      <c r="B348" s="75"/>
      <c r="C348" s="1989" t="s">
        <v>2430</v>
      </c>
      <c r="D348" s="1989" t="s">
        <v>7391</v>
      </c>
      <c r="E348" s="1989">
        <v>0</v>
      </c>
      <c r="F348" s="38">
        <f t="shared" si="4"/>
        <v>0</v>
      </c>
      <c r="G348" s="459"/>
      <c r="H348" s="8"/>
      <c r="I348" s="8"/>
      <c r="J348" s="8"/>
      <c r="K348" s="8"/>
      <c r="L348" s="8"/>
      <c r="M348" s="8"/>
      <c r="N348" s="8"/>
      <c r="O348" s="8"/>
      <c r="P348" s="8"/>
      <c r="Q348" s="8"/>
      <c r="R348" s="8"/>
      <c r="S348" s="8"/>
      <c r="T348" s="8"/>
      <c r="U348" s="8"/>
      <c r="V348" s="8"/>
      <c r="W348" s="8"/>
      <c r="X348" s="771"/>
      <c r="Y348" s="771"/>
      <c r="Z348" s="771"/>
      <c r="AA348" s="771"/>
      <c r="AB348" s="771"/>
      <c r="AC348" s="771"/>
      <c r="AD348" s="771"/>
      <c r="AE348" s="771"/>
      <c r="AF348" s="771"/>
      <c r="AG348" s="771"/>
      <c r="AH348" s="771"/>
      <c r="AI348" s="771"/>
      <c r="AJ348" s="771"/>
      <c r="AK348" s="771"/>
      <c r="AL348" s="771"/>
      <c r="AM348" s="771"/>
      <c r="AN348" s="771"/>
      <c r="AO348" s="771"/>
      <c r="AP348" s="771"/>
      <c r="AQ348" s="771"/>
      <c r="AR348" s="771"/>
      <c r="AS348" s="771"/>
      <c r="AT348" s="771"/>
      <c r="AU348" s="771"/>
    </row>
    <row r="349" spans="1:47" s="1135" customFormat="1" outlineLevel="1" x14ac:dyDescent="0.2">
      <c r="A349" s="17"/>
      <c r="B349" s="75"/>
      <c r="C349" s="1989" t="s">
        <v>1673</v>
      </c>
      <c r="D349" s="1989" t="s">
        <v>7392</v>
      </c>
      <c r="E349" s="1989">
        <v>11.34</v>
      </c>
      <c r="F349" s="38">
        <f t="shared" si="4"/>
        <v>922.18286160000002</v>
      </c>
      <c r="G349" s="459"/>
      <c r="H349" s="8"/>
      <c r="I349" s="8"/>
      <c r="J349" s="8"/>
      <c r="K349" s="8"/>
      <c r="L349" s="8"/>
      <c r="M349" s="8"/>
      <c r="N349" s="8"/>
      <c r="O349" s="8"/>
      <c r="P349" s="8"/>
      <c r="Q349" s="8"/>
      <c r="R349" s="8"/>
      <c r="S349" s="8"/>
      <c r="T349" s="8"/>
      <c r="U349" s="8"/>
      <c r="V349" s="8"/>
      <c r="W349" s="8"/>
      <c r="X349" s="771"/>
      <c r="Y349" s="771"/>
      <c r="Z349" s="771"/>
      <c r="AA349" s="771"/>
      <c r="AB349" s="771"/>
      <c r="AC349" s="771"/>
      <c r="AD349" s="771"/>
      <c r="AE349" s="771"/>
      <c r="AF349" s="771"/>
      <c r="AG349" s="771"/>
      <c r="AH349" s="771"/>
      <c r="AI349" s="771"/>
      <c r="AJ349" s="771"/>
      <c r="AK349" s="771"/>
      <c r="AL349" s="771"/>
      <c r="AM349" s="771"/>
      <c r="AN349" s="771"/>
      <c r="AO349" s="771"/>
      <c r="AP349" s="771"/>
      <c r="AQ349" s="771"/>
      <c r="AR349" s="771"/>
      <c r="AS349" s="771"/>
      <c r="AT349" s="771"/>
      <c r="AU349" s="771"/>
    </row>
    <row r="350" spans="1:47" s="1135" customFormat="1" outlineLevel="1" x14ac:dyDescent="0.2">
      <c r="A350" s="17"/>
      <c r="B350" s="75"/>
      <c r="C350" s="1989" t="s">
        <v>1674</v>
      </c>
      <c r="D350" s="1989" t="s">
        <v>7393</v>
      </c>
      <c r="E350" s="1989">
        <v>11.34</v>
      </c>
      <c r="F350" s="38">
        <f t="shared" si="4"/>
        <v>922.18286160000002</v>
      </c>
      <c r="G350" s="459"/>
      <c r="H350" s="8"/>
      <c r="I350" s="8"/>
      <c r="J350" s="8"/>
      <c r="K350" s="8"/>
      <c r="L350" s="8"/>
      <c r="M350" s="8"/>
      <c r="N350" s="8"/>
      <c r="O350" s="8"/>
      <c r="P350" s="8"/>
      <c r="Q350" s="8"/>
      <c r="R350" s="8"/>
      <c r="S350" s="8"/>
      <c r="T350" s="8"/>
      <c r="U350" s="8"/>
      <c r="V350" s="8"/>
      <c r="W350" s="8"/>
      <c r="X350" s="771"/>
      <c r="Y350" s="771"/>
      <c r="Z350" s="771"/>
      <c r="AA350" s="771"/>
      <c r="AB350" s="771"/>
      <c r="AC350" s="771"/>
      <c r="AD350" s="771"/>
      <c r="AE350" s="771"/>
      <c r="AF350" s="771"/>
      <c r="AG350" s="771"/>
      <c r="AH350" s="771"/>
      <c r="AI350" s="771"/>
      <c r="AJ350" s="771"/>
      <c r="AK350" s="771"/>
      <c r="AL350" s="771"/>
      <c r="AM350" s="771"/>
      <c r="AN350" s="771"/>
      <c r="AO350" s="771"/>
      <c r="AP350" s="771"/>
      <c r="AQ350" s="771"/>
      <c r="AR350" s="771"/>
      <c r="AS350" s="771"/>
      <c r="AT350" s="771"/>
      <c r="AU350" s="771"/>
    </row>
    <row r="351" spans="1:47" s="1135" customFormat="1" outlineLevel="1" x14ac:dyDescent="0.2">
      <c r="A351" s="17"/>
      <c r="B351" s="75"/>
      <c r="C351" s="1989" t="s">
        <v>1675</v>
      </c>
      <c r="D351" s="1989" t="s">
        <v>7394</v>
      </c>
      <c r="E351" s="1989">
        <v>10.97</v>
      </c>
      <c r="F351" s="38">
        <f t="shared" ref="F351:F414" si="5">E351*$G$4*$J$4</f>
        <v>892.0940028</v>
      </c>
      <c r="G351" s="459"/>
      <c r="H351" s="8"/>
      <c r="I351" s="8"/>
      <c r="J351" s="8"/>
      <c r="K351" s="8"/>
      <c r="L351" s="8"/>
      <c r="M351" s="8"/>
      <c r="N351" s="8"/>
      <c r="O351" s="8"/>
      <c r="P351" s="8"/>
      <c r="Q351" s="8"/>
      <c r="R351" s="8"/>
      <c r="S351" s="8"/>
      <c r="T351" s="8"/>
      <c r="U351" s="8"/>
      <c r="V351" s="8"/>
      <c r="W351" s="8"/>
      <c r="X351" s="771"/>
      <c r="Y351" s="771"/>
      <c r="Z351" s="771"/>
      <c r="AA351" s="771"/>
      <c r="AB351" s="771"/>
      <c r="AC351" s="771"/>
      <c r="AD351" s="771"/>
      <c r="AE351" s="771"/>
      <c r="AF351" s="771"/>
      <c r="AG351" s="771"/>
      <c r="AH351" s="771"/>
      <c r="AI351" s="771"/>
      <c r="AJ351" s="771"/>
      <c r="AK351" s="771"/>
      <c r="AL351" s="771"/>
      <c r="AM351" s="771"/>
      <c r="AN351" s="771"/>
      <c r="AO351" s="771"/>
      <c r="AP351" s="771"/>
      <c r="AQ351" s="771"/>
      <c r="AR351" s="771"/>
      <c r="AS351" s="771"/>
      <c r="AT351" s="771"/>
      <c r="AU351" s="771"/>
    </row>
    <row r="352" spans="1:47" s="1135" customFormat="1" outlineLevel="1" x14ac:dyDescent="0.2">
      <c r="A352" s="17"/>
      <c r="B352" s="75"/>
      <c r="C352" s="1989" t="s">
        <v>1139</v>
      </c>
      <c r="D352" s="1989" t="s">
        <v>7395</v>
      </c>
      <c r="E352" s="1989">
        <v>10.97</v>
      </c>
      <c r="F352" s="38">
        <f t="shared" si="5"/>
        <v>892.0940028</v>
      </c>
      <c r="G352" s="459"/>
      <c r="H352" s="8"/>
      <c r="I352" s="8"/>
      <c r="J352" s="8"/>
      <c r="K352" s="8"/>
      <c r="L352" s="8"/>
      <c r="M352" s="8"/>
      <c r="N352" s="8"/>
      <c r="O352" s="8"/>
      <c r="P352" s="8"/>
      <c r="Q352" s="8"/>
      <c r="R352" s="8"/>
      <c r="S352" s="8"/>
      <c r="T352" s="8"/>
      <c r="U352" s="8"/>
      <c r="V352" s="8"/>
      <c r="W352" s="8"/>
      <c r="X352" s="771"/>
      <c r="Y352" s="771"/>
      <c r="Z352" s="771"/>
      <c r="AA352" s="771"/>
      <c r="AB352" s="771"/>
      <c r="AC352" s="771"/>
      <c r="AD352" s="771"/>
      <c r="AE352" s="771"/>
      <c r="AF352" s="771"/>
      <c r="AG352" s="771"/>
      <c r="AH352" s="771"/>
      <c r="AI352" s="771"/>
      <c r="AJ352" s="771"/>
      <c r="AK352" s="771"/>
      <c r="AL352" s="771"/>
      <c r="AM352" s="771"/>
      <c r="AN352" s="771"/>
      <c r="AO352" s="771"/>
      <c r="AP352" s="771"/>
      <c r="AQ352" s="771"/>
      <c r="AR352" s="771"/>
      <c r="AS352" s="771"/>
      <c r="AT352" s="771"/>
      <c r="AU352" s="771"/>
    </row>
    <row r="353" spans="1:47" s="1135" customFormat="1" outlineLevel="1" x14ac:dyDescent="0.2">
      <c r="A353" s="17"/>
      <c r="B353" s="75"/>
      <c r="C353" s="1989" t="s">
        <v>1140</v>
      </c>
      <c r="D353" s="1989" t="s">
        <v>7396</v>
      </c>
      <c r="E353" s="1989">
        <v>3.76</v>
      </c>
      <c r="F353" s="38">
        <f t="shared" si="5"/>
        <v>305.76786240000001</v>
      </c>
      <c r="G353" s="459"/>
      <c r="H353" s="8"/>
      <c r="I353" s="8"/>
      <c r="J353" s="8"/>
      <c r="K353" s="8"/>
      <c r="L353" s="8"/>
      <c r="M353" s="8"/>
      <c r="N353" s="8"/>
      <c r="O353" s="8"/>
      <c r="P353" s="8"/>
      <c r="Q353" s="8"/>
      <c r="R353" s="8"/>
      <c r="S353" s="8"/>
      <c r="T353" s="8"/>
      <c r="U353" s="8"/>
      <c r="V353" s="8"/>
      <c r="W353" s="8"/>
      <c r="X353" s="771"/>
      <c r="Y353" s="771"/>
      <c r="Z353" s="771"/>
      <c r="AA353" s="771"/>
      <c r="AB353" s="771"/>
      <c r="AC353" s="771"/>
      <c r="AD353" s="771"/>
      <c r="AE353" s="771"/>
      <c r="AF353" s="771"/>
      <c r="AG353" s="771"/>
      <c r="AH353" s="771"/>
      <c r="AI353" s="771"/>
      <c r="AJ353" s="771"/>
      <c r="AK353" s="771"/>
      <c r="AL353" s="771"/>
      <c r="AM353" s="771"/>
      <c r="AN353" s="771"/>
      <c r="AO353" s="771"/>
      <c r="AP353" s="771"/>
      <c r="AQ353" s="771"/>
      <c r="AR353" s="771"/>
      <c r="AS353" s="771"/>
      <c r="AT353" s="771"/>
      <c r="AU353" s="771"/>
    </row>
    <row r="354" spans="1:47" s="1135" customFormat="1" outlineLevel="1" x14ac:dyDescent="0.2">
      <c r="A354" s="17"/>
      <c r="B354" s="75"/>
      <c r="C354" s="1989" t="s">
        <v>3841</v>
      </c>
      <c r="D354" s="1989" t="s">
        <v>5329</v>
      </c>
      <c r="E354" s="1989">
        <v>0</v>
      </c>
      <c r="F354" s="38">
        <f t="shared" si="5"/>
        <v>0</v>
      </c>
      <c r="G354" s="459"/>
      <c r="H354" s="8"/>
      <c r="I354" s="8"/>
      <c r="J354" s="8"/>
      <c r="K354" s="8"/>
      <c r="L354" s="8"/>
      <c r="M354" s="8"/>
      <c r="N354" s="8"/>
      <c r="O354" s="8"/>
      <c r="P354" s="8"/>
      <c r="Q354" s="8"/>
      <c r="R354" s="8"/>
      <c r="S354" s="8"/>
      <c r="T354" s="8"/>
      <c r="U354" s="8"/>
      <c r="V354" s="8"/>
      <c r="W354" s="8"/>
      <c r="X354" s="771"/>
      <c r="Y354" s="771"/>
      <c r="Z354" s="771"/>
      <c r="AA354" s="771"/>
      <c r="AB354" s="771"/>
      <c r="AC354" s="771"/>
      <c r="AD354" s="771"/>
      <c r="AE354" s="771"/>
      <c r="AF354" s="771"/>
      <c r="AG354" s="771"/>
      <c r="AH354" s="771"/>
      <c r="AI354" s="771"/>
      <c r="AJ354" s="771"/>
      <c r="AK354" s="771"/>
      <c r="AL354" s="771"/>
      <c r="AM354" s="771"/>
      <c r="AN354" s="771"/>
      <c r="AO354" s="771"/>
      <c r="AP354" s="771"/>
      <c r="AQ354" s="771"/>
      <c r="AR354" s="771"/>
      <c r="AS354" s="771"/>
      <c r="AT354" s="771"/>
      <c r="AU354" s="771"/>
    </row>
    <row r="355" spans="1:47" s="1135" customFormat="1" outlineLevel="1" x14ac:dyDescent="0.2">
      <c r="A355" s="17"/>
      <c r="B355" s="75"/>
      <c r="C355" s="1989" t="s">
        <v>3842</v>
      </c>
      <c r="D355" s="1989" t="s">
        <v>3843</v>
      </c>
      <c r="E355" s="1989">
        <v>2.14</v>
      </c>
      <c r="F355" s="38">
        <f t="shared" si="5"/>
        <v>174.02745360000003</v>
      </c>
      <c r="G355" s="459"/>
      <c r="H355" s="8"/>
      <c r="I355" s="8"/>
      <c r="J355" s="8"/>
      <c r="K355" s="8"/>
      <c r="L355" s="8"/>
      <c r="M355" s="8"/>
      <c r="N355" s="8"/>
      <c r="O355" s="8"/>
      <c r="P355" s="8"/>
      <c r="Q355" s="8"/>
      <c r="R355" s="8"/>
      <c r="S355" s="8"/>
      <c r="T355" s="8"/>
      <c r="U355" s="8"/>
      <c r="V355" s="8"/>
      <c r="W355" s="8"/>
      <c r="X355" s="771"/>
      <c r="Y355" s="771"/>
      <c r="Z355" s="771"/>
      <c r="AA355" s="771"/>
      <c r="AB355" s="771"/>
      <c r="AC355" s="771"/>
      <c r="AD355" s="771"/>
      <c r="AE355" s="771"/>
      <c r="AF355" s="771"/>
      <c r="AG355" s="771"/>
      <c r="AH355" s="771"/>
      <c r="AI355" s="771"/>
      <c r="AJ355" s="771"/>
      <c r="AK355" s="771"/>
      <c r="AL355" s="771"/>
      <c r="AM355" s="771"/>
      <c r="AN355" s="771"/>
      <c r="AO355" s="771"/>
      <c r="AP355" s="771"/>
      <c r="AQ355" s="771"/>
      <c r="AR355" s="771"/>
      <c r="AS355" s="771"/>
      <c r="AT355" s="771"/>
      <c r="AU355" s="771"/>
    </row>
    <row r="356" spans="1:47" s="1135" customFormat="1" outlineLevel="1" x14ac:dyDescent="0.2">
      <c r="A356" s="17"/>
      <c r="B356" s="75"/>
      <c r="C356" s="1989" t="s">
        <v>3844</v>
      </c>
      <c r="D356" s="1989" t="s">
        <v>3845</v>
      </c>
      <c r="E356" s="1989">
        <v>2.14</v>
      </c>
      <c r="F356" s="38">
        <f t="shared" si="5"/>
        <v>174.02745360000003</v>
      </c>
      <c r="G356" s="459"/>
      <c r="H356" s="8"/>
      <c r="I356" s="8"/>
      <c r="J356" s="8"/>
      <c r="K356" s="8"/>
      <c r="L356" s="8"/>
      <c r="M356" s="8"/>
      <c r="N356" s="8"/>
      <c r="O356" s="8"/>
      <c r="P356" s="8"/>
      <c r="Q356" s="8"/>
      <c r="R356" s="8"/>
      <c r="S356" s="8"/>
      <c r="T356" s="8"/>
      <c r="U356" s="8"/>
      <c r="V356" s="8"/>
      <c r="W356" s="8"/>
      <c r="X356" s="771"/>
      <c r="Y356" s="771"/>
      <c r="Z356" s="771"/>
      <c r="AA356" s="771"/>
      <c r="AB356" s="771"/>
      <c r="AC356" s="771"/>
      <c r="AD356" s="771"/>
      <c r="AE356" s="771"/>
      <c r="AF356" s="771"/>
      <c r="AG356" s="771"/>
      <c r="AH356" s="771"/>
      <c r="AI356" s="771"/>
      <c r="AJ356" s="771"/>
      <c r="AK356" s="771"/>
      <c r="AL356" s="771"/>
      <c r="AM356" s="771"/>
      <c r="AN356" s="771"/>
      <c r="AO356" s="771"/>
      <c r="AP356" s="771"/>
      <c r="AQ356" s="771"/>
      <c r="AR356" s="771"/>
      <c r="AS356" s="771"/>
      <c r="AT356" s="771"/>
      <c r="AU356" s="771"/>
    </row>
    <row r="357" spans="1:47" s="1135" customFormat="1" outlineLevel="1" x14ac:dyDescent="0.2">
      <c r="A357" s="17"/>
      <c r="B357" s="75"/>
      <c r="C357" s="1989" t="s">
        <v>3200</v>
      </c>
      <c r="D357" s="1989" t="s">
        <v>5330</v>
      </c>
      <c r="E357" s="1989">
        <v>0</v>
      </c>
      <c r="F357" s="38">
        <f t="shared" si="5"/>
        <v>0</v>
      </c>
      <c r="G357" s="459"/>
      <c r="H357" s="8"/>
      <c r="I357" s="8"/>
      <c r="J357" s="8"/>
      <c r="K357" s="8"/>
      <c r="L357" s="8"/>
      <c r="M357" s="8"/>
      <c r="N357" s="8"/>
      <c r="O357" s="8"/>
      <c r="P357" s="8"/>
      <c r="Q357" s="8"/>
      <c r="R357" s="8"/>
      <c r="S357" s="8"/>
      <c r="T357" s="8"/>
      <c r="U357" s="8"/>
      <c r="V357" s="8"/>
      <c r="W357" s="8"/>
      <c r="X357" s="771"/>
      <c r="Y357" s="771"/>
      <c r="Z357" s="771"/>
      <c r="AA357" s="771"/>
      <c r="AB357" s="771"/>
      <c r="AC357" s="771"/>
      <c r="AD357" s="771"/>
      <c r="AE357" s="771"/>
      <c r="AF357" s="771"/>
      <c r="AG357" s="771"/>
      <c r="AH357" s="771"/>
      <c r="AI357" s="771"/>
      <c r="AJ357" s="771"/>
      <c r="AK357" s="771"/>
      <c r="AL357" s="771"/>
      <c r="AM357" s="771"/>
      <c r="AN357" s="771"/>
      <c r="AO357" s="771"/>
      <c r="AP357" s="771"/>
      <c r="AQ357" s="771"/>
      <c r="AR357" s="771"/>
      <c r="AS357" s="771"/>
      <c r="AT357" s="771"/>
      <c r="AU357" s="771"/>
    </row>
    <row r="358" spans="1:47" s="1135" customFormat="1" outlineLevel="1" x14ac:dyDescent="0.2">
      <c r="A358" s="17"/>
      <c r="B358" s="75"/>
      <c r="C358" s="1989" t="s">
        <v>128</v>
      </c>
      <c r="D358" s="1989" t="s">
        <v>926</v>
      </c>
      <c r="E358" s="1989">
        <v>8.86</v>
      </c>
      <c r="F358" s="38">
        <f t="shared" si="5"/>
        <v>720.50618640000005</v>
      </c>
      <c r="G358" s="459"/>
      <c r="H358" s="8"/>
      <c r="I358" s="8"/>
      <c r="J358" s="8"/>
      <c r="K358" s="8"/>
      <c r="L358" s="8"/>
      <c r="M358" s="8"/>
      <c r="N358" s="8"/>
      <c r="O358" s="8"/>
      <c r="P358" s="8"/>
      <c r="Q358" s="8"/>
      <c r="R358" s="8"/>
      <c r="S358" s="8"/>
      <c r="T358" s="8"/>
      <c r="U358" s="8"/>
      <c r="V358" s="8"/>
      <c r="W358" s="8"/>
      <c r="X358" s="771"/>
      <c r="Y358" s="771"/>
      <c r="Z358" s="771"/>
      <c r="AA358" s="771"/>
      <c r="AB358" s="771"/>
      <c r="AC358" s="771"/>
      <c r="AD358" s="771"/>
      <c r="AE358" s="771"/>
      <c r="AF358" s="771"/>
      <c r="AG358" s="771"/>
      <c r="AH358" s="771"/>
      <c r="AI358" s="771"/>
      <c r="AJ358" s="771"/>
      <c r="AK358" s="771"/>
      <c r="AL358" s="771"/>
      <c r="AM358" s="771"/>
      <c r="AN358" s="771"/>
      <c r="AO358" s="771"/>
      <c r="AP358" s="771"/>
      <c r="AQ358" s="771"/>
      <c r="AR358" s="771"/>
      <c r="AS358" s="771"/>
      <c r="AT358" s="771"/>
      <c r="AU358" s="771"/>
    </row>
    <row r="359" spans="1:47" s="1135" customFormat="1" outlineLevel="1" x14ac:dyDescent="0.2">
      <c r="A359" s="17"/>
      <c r="B359" s="75"/>
      <c r="C359" s="1989" t="s">
        <v>1250</v>
      </c>
      <c r="D359" s="1989" t="s">
        <v>1251</v>
      </c>
      <c r="E359" s="1989">
        <v>5.94</v>
      </c>
      <c r="F359" s="38">
        <f t="shared" si="5"/>
        <v>483.04816560000006</v>
      </c>
      <c r="G359" s="459"/>
      <c r="H359" s="8"/>
      <c r="I359" s="8"/>
      <c r="J359" s="8"/>
      <c r="K359" s="8"/>
      <c r="L359" s="8"/>
      <c r="M359" s="8"/>
      <c r="N359" s="8"/>
      <c r="O359" s="8"/>
      <c r="P359" s="8"/>
      <c r="Q359" s="8"/>
      <c r="R359" s="8"/>
      <c r="S359" s="8"/>
      <c r="T359" s="8"/>
      <c r="U359" s="8"/>
      <c r="V359" s="8"/>
      <c r="W359" s="8"/>
      <c r="X359" s="771"/>
      <c r="Y359" s="771"/>
      <c r="Z359" s="771"/>
      <c r="AA359" s="771"/>
      <c r="AB359" s="771"/>
      <c r="AC359" s="771"/>
      <c r="AD359" s="771"/>
      <c r="AE359" s="771"/>
      <c r="AF359" s="771"/>
      <c r="AG359" s="771"/>
      <c r="AH359" s="771"/>
      <c r="AI359" s="771"/>
      <c r="AJ359" s="771"/>
      <c r="AK359" s="771"/>
      <c r="AL359" s="771"/>
      <c r="AM359" s="771"/>
      <c r="AN359" s="771"/>
      <c r="AO359" s="771"/>
      <c r="AP359" s="771"/>
      <c r="AQ359" s="771"/>
      <c r="AR359" s="771"/>
      <c r="AS359" s="771"/>
      <c r="AT359" s="771"/>
      <c r="AU359" s="771"/>
    </row>
    <row r="360" spans="1:47" s="1135" customFormat="1" outlineLevel="1" x14ac:dyDescent="0.2">
      <c r="A360" s="17"/>
      <c r="B360" s="75"/>
      <c r="C360" s="1989" t="s">
        <v>750</v>
      </c>
      <c r="D360" s="1989" t="s">
        <v>669</v>
      </c>
      <c r="E360" s="1989">
        <v>34.4</v>
      </c>
      <c r="F360" s="38">
        <f t="shared" si="5"/>
        <v>2797.450656</v>
      </c>
      <c r="G360" s="459"/>
      <c r="H360" s="8"/>
      <c r="I360" s="8"/>
      <c r="J360" s="8"/>
      <c r="K360" s="8"/>
      <c r="L360" s="8"/>
      <c r="M360" s="8"/>
      <c r="N360" s="8"/>
      <c r="O360" s="8"/>
      <c r="P360" s="8"/>
      <c r="Q360" s="8"/>
      <c r="R360" s="8"/>
      <c r="S360" s="8"/>
      <c r="T360" s="8"/>
      <c r="U360" s="8"/>
      <c r="V360" s="8"/>
      <c r="W360" s="8"/>
      <c r="X360" s="771"/>
      <c r="Y360" s="771"/>
      <c r="Z360" s="771"/>
      <c r="AA360" s="771"/>
      <c r="AB360" s="771"/>
      <c r="AC360" s="771"/>
      <c r="AD360" s="771"/>
      <c r="AE360" s="771"/>
      <c r="AF360" s="771"/>
      <c r="AG360" s="771"/>
      <c r="AH360" s="771"/>
      <c r="AI360" s="771"/>
      <c r="AJ360" s="771"/>
      <c r="AK360" s="771"/>
      <c r="AL360" s="771"/>
      <c r="AM360" s="771"/>
      <c r="AN360" s="771"/>
      <c r="AO360" s="771"/>
      <c r="AP360" s="771"/>
      <c r="AQ360" s="771"/>
      <c r="AR360" s="771"/>
      <c r="AS360" s="771"/>
      <c r="AT360" s="771"/>
      <c r="AU360" s="771"/>
    </row>
    <row r="361" spans="1:47" s="1135" customFormat="1" outlineLevel="1" x14ac:dyDescent="0.2">
      <c r="A361" s="17"/>
      <c r="B361" s="75"/>
      <c r="C361" s="1989" t="s">
        <v>116</v>
      </c>
      <c r="D361" s="1989" t="s">
        <v>109</v>
      </c>
      <c r="E361" s="1989">
        <v>35.979999999999997</v>
      </c>
      <c r="F361" s="38">
        <f t="shared" si="5"/>
        <v>2925.9382151999998</v>
      </c>
      <c r="G361" s="459"/>
      <c r="H361" s="8"/>
      <c r="I361" s="8"/>
      <c r="J361" s="8"/>
      <c r="K361" s="8"/>
      <c r="L361" s="8"/>
      <c r="M361" s="8"/>
      <c r="N361" s="8"/>
      <c r="O361" s="8"/>
      <c r="P361" s="8"/>
      <c r="Q361" s="8"/>
      <c r="R361" s="8"/>
      <c r="S361" s="8"/>
      <c r="T361" s="8"/>
      <c r="U361" s="8"/>
      <c r="V361" s="8"/>
      <c r="W361" s="8"/>
      <c r="X361" s="771"/>
      <c r="Y361" s="771"/>
      <c r="Z361" s="771"/>
      <c r="AA361" s="771"/>
      <c r="AB361" s="771"/>
      <c r="AC361" s="771"/>
      <c r="AD361" s="771"/>
      <c r="AE361" s="771"/>
      <c r="AF361" s="771"/>
      <c r="AG361" s="771"/>
      <c r="AH361" s="771"/>
      <c r="AI361" s="771"/>
      <c r="AJ361" s="771"/>
      <c r="AK361" s="771"/>
      <c r="AL361" s="771"/>
      <c r="AM361" s="771"/>
      <c r="AN361" s="771"/>
      <c r="AO361" s="771"/>
      <c r="AP361" s="771"/>
      <c r="AQ361" s="771"/>
      <c r="AR361" s="771"/>
      <c r="AS361" s="771"/>
      <c r="AT361" s="771"/>
      <c r="AU361" s="771"/>
    </row>
    <row r="362" spans="1:47" s="1135" customFormat="1" outlineLevel="1" x14ac:dyDescent="0.2">
      <c r="A362" s="17"/>
      <c r="B362" s="75"/>
      <c r="C362" s="1989" t="s">
        <v>2459</v>
      </c>
      <c r="D362" s="1989" t="s">
        <v>7397</v>
      </c>
      <c r="E362" s="1989">
        <v>29.23</v>
      </c>
      <c r="F362" s="38">
        <f t="shared" si="5"/>
        <v>2377.0198452000004</v>
      </c>
      <c r="G362" s="459"/>
      <c r="H362" s="8"/>
      <c r="I362" s="8"/>
      <c r="J362" s="8"/>
      <c r="K362" s="8"/>
      <c r="L362" s="8"/>
      <c r="M362" s="8"/>
      <c r="N362" s="8"/>
      <c r="O362" s="8"/>
      <c r="P362" s="8"/>
      <c r="Q362" s="8"/>
      <c r="R362" s="8"/>
      <c r="S362" s="8"/>
      <c r="T362" s="8"/>
      <c r="U362" s="8"/>
      <c r="V362" s="8"/>
      <c r="W362" s="8"/>
      <c r="X362" s="771"/>
      <c r="Y362" s="771"/>
      <c r="Z362" s="771"/>
      <c r="AA362" s="771"/>
      <c r="AB362" s="771"/>
      <c r="AC362" s="771"/>
      <c r="AD362" s="771"/>
      <c r="AE362" s="771"/>
      <c r="AF362" s="771"/>
      <c r="AG362" s="771"/>
      <c r="AH362" s="771"/>
      <c r="AI362" s="771"/>
      <c r="AJ362" s="771"/>
      <c r="AK362" s="771"/>
      <c r="AL362" s="771"/>
      <c r="AM362" s="771"/>
      <c r="AN362" s="771"/>
      <c r="AO362" s="771"/>
      <c r="AP362" s="771"/>
      <c r="AQ362" s="771"/>
      <c r="AR362" s="771"/>
      <c r="AS362" s="771"/>
      <c r="AT362" s="771"/>
      <c r="AU362" s="771"/>
    </row>
    <row r="363" spans="1:47" s="1135" customFormat="1" outlineLevel="1" x14ac:dyDescent="0.2">
      <c r="A363" s="17"/>
      <c r="B363" s="75"/>
      <c r="C363" s="1989" t="s">
        <v>942</v>
      </c>
      <c r="D363" s="1989" t="s">
        <v>943</v>
      </c>
      <c r="E363" s="1989">
        <v>33.700000000000003</v>
      </c>
      <c r="F363" s="38">
        <f t="shared" si="5"/>
        <v>2740.5257880000004</v>
      </c>
      <c r="G363" s="459"/>
      <c r="H363" s="8"/>
      <c r="I363" s="8"/>
      <c r="J363" s="8"/>
      <c r="K363" s="8"/>
      <c r="L363" s="8"/>
      <c r="M363" s="8"/>
      <c r="N363" s="8"/>
      <c r="O363" s="8"/>
      <c r="P363" s="8"/>
      <c r="Q363" s="8"/>
      <c r="R363" s="8"/>
      <c r="S363" s="8"/>
      <c r="T363" s="8"/>
      <c r="U363" s="8"/>
      <c r="V363" s="8"/>
      <c r="W363" s="8"/>
      <c r="X363" s="771"/>
      <c r="Y363" s="771"/>
      <c r="Z363" s="771"/>
      <c r="AA363" s="771"/>
      <c r="AB363" s="771"/>
      <c r="AC363" s="771"/>
      <c r="AD363" s="771"/>
      <c r="AE363" s="771"/>
      <c r="AF363" s="771"/>
      <c r="AG363" s="771"/>
      <c r="AH363" s="771"/>
      <c r="AI363" s="771"/>
      <c r="AJ363" s="771"/>
      <c r="AK363" s="771"/>
      <c r="AL363" s="771"/>
      <c r="AM363" s="771"/>
      <c r="AN363" s="771"/>
      <c r="AO363" s="771"/>
      <c r="AP363" s="771"/>
      <c r="AQ363" s="771"/>
      <c r="AR363" s="771"/>
      <c r="AS363" s="771"/>
      <c r="AT363" s="771"/>
      <c r="AU363" s="771"/>
    </row>
    <row r="364" spans="1:47" s="1135" customFormat="1" outlineLevel="1" x14ac:dyDescent="0.2">
      <c r="A364" s="17"/>
      <c r="B364" s="75"/>
      <c r="C364" s="1989" t="s">
        <v>2463</v>
      </c>
      <c r="D364" s="1989" t="s">
        <v>7398</v>
      </c>
      <c r="E364" s="1989">
        <v>28.77</v>
      </c>
      <c r="F364" s="38">
        <f t="shared" si="5"/>
        <v>2339.6120748000003</v>
      </c>
      <c r="G364" s="459"/>
      <c r="H364" s="8"/>
      <c r="I364" s="8"/>
      <c r="J364" s="8"/>
      <c r="K364" s="8"/>
      <c r="L364" s="8"/>
      <c r="M364" s="8"/>
      <c r="N364" s="8"/>
      <c r="O364" s="8"/>
      <c r="P364" s="8"/>
      <c r="Q364" s="8"/>
      <c r="R364" s="8"/>
      <c r="S364" s="8"/>
      <c r="T364" s="8"/>
      <c r="U364" s="8"/>
      <c r="V364" s="8"/>
      <c r="W364" s="8"/>
      <c r="X364" s="771"/>
      <c r="Y364" s="771"/>
      <c r="Z364" s="771"/>
      <c r="AA364" s="771"/>
      <c r="AB364" s="771"/>
      <c r="AC364" s="771"/>
      <c r="AD364" s="771"/>
      <c r="AE364" s="771"/>
      <c r="AF364" s="771"/>
      <c r="AG364" s="771"/>
      <c r="AH364" s="771"/>
      <c r="AI364" s="771"/>
      <c r="AJ364" s="771"/>
      <c r="AK364" s="771"/>
      <c r="AL364" s="771"/>
      <c r="AM364" s="771"/>
      <c r="AN364" s="771"/>
      <c r="AO364" s="771"/>
      <c r="AP364" s="771"/>
      <c r="AQ364" s="771"/>
      <c r="AR364" s="771"/>
      <c r="AS364" s="771"/>
      <c r="AT364" s="771"/>
      <c r="AU364" s="771"/>
    </row>
    <row r="365" spans="1:47" s="1135" customFormat="1" outlineLevel="1" x14ac:dyDescent="0.2">
      <c r="A365" s="17"/>
      <c r="B365" s="75"/>
      <c r="C365" s="1989" t="s">
        <v>1582</v>
      </c>
      <c r="D365" s="1989" t="s">
        <v>1583</v>
      </c>
      <c r="E365" s="1989">
        <v>2.14</v>
      </c>
      <c r="F365" s="38">
        <f t="shared" si="5"/>
        <v>174.02745360000003</v>
      </c>
      <c r="G365" s="459"/>
      <c r="H365" s="8"/>
      <c r="I365" s="8"/>
      <c r="J365" s="8"/>
      <c r="K365" s="8"/>
      <c r="L365" s="8"/>
      <c r="M365" s="8"/>
      <c r="N365" s="8"/>
      <c r="O365" s="8"/>
      <c r="P365" s="8"/>
      <c r="Q365" s="8"/>
      <c r="R365" s="8"/>
      <c r="S365" s="8"/>
      <c r="T365" s="8"/>
      <c r="U365" s="8"/>
      <c r="V365" s="8"/>
      <c r="W365" s="8"/>
      <c r="X365" s="771"/>
      <c r="Y365" s="771"/>
      <c r="Z365" s="771"/>
      <c r="AA365" s="771"/>
      <c r="AB365" s="771"/>
      <c r="AC365" s="771"/>
      <c r="AD365" s="771"/>
      <c r="AE365" s="771"/>
      <c r="AF365" s="771"/>
      <c r="AG365" s="771"/>
      <c r="AH365" s="771"/>
      <c r="AI365" s="771"/>
      <c r="AJ365" s="771"/>
      <c r="AK365" s="771"/>
      <c r="AL365" s="771"/>
      <c r="AM365" s="771"/>
      <c r="AN365" s="771"/>
      <c r="AO365" s="771"/>
      <c r="AP365" s="771"/>
      <c r="AQ365" s="771"/>
      <c r="AR365" s="771"/>
      <c r="AS365" s="771"/>
      <c r="AT365" s="771"/>
      <c r="AU365" s="771"/>
    </row>
    <row r="366" spans="1:47" s="1135" customFormat="1" outlineLevel="1" x14ac:dyDescent="0.2">
      <c r="A366" s="17"/>
      <c r="B366" s="75"/>
      <c r="C366" s="1989" t="s">
        <v>1585</v>
      </c>
      <c r="D366" s="1989" t="s">
        <v>482</v>
      </c>
      <c r="E366" s="1989">
        <v>2.14</v>
      </c>
      <c r="F366" s="38">
        <f t="shared" si="5"/>
        <v>174.02745360000003</v>
      </c>
      <c r="G366" s="459"/>
      <c r="H366" s="8"/>
      <c r="I366" s="8"/>
      <c r="J366" s="8"/>
      <c r="K366" s="8"/>
      <c r="L366" s="8"/>
      <c r="M366" s="8"/>
      <c r="N366" s="8"/>
      <c r="O366" s="8"/>
      <c r="P366" s="8"/>
      <c r="Q366" s="8"/>
      <c r="R366" s="8"/>
      <c r="S366" s="8"/>
      <c r="T366" s="8"/>
      <c r="U366" s="8"/>
      <c r="V366" s="8"/>
      <c r="W366" s="8"/>
      <c r="X366" s="771"/>
      <c r="Y366" s="771"/>
      <c r="Z366" s="771"/>
      <c r="AA366" s="771"/>
      <c r="AB366" s="771"/>
      <c r="AC366" s="771"/>
      <c r="AD366" s="771"/>
      <c r="AE366" s="771"/>
      <c r="AF366" s="771"/>
      <c r="AG366" s="771"/>
      <c r="AH366" s="771"/>
      <c r="AI366" s="771"/>
      <c r="AJ366" s="771"/>
      <c r="AK366" s="771"/>
      <c r="AL366" s="771"/>
      <c r="AM366" s="771"/>
      <c r="AN366" s="771"/>
      <c r="AO366" s="771"/>
      <c r="AP366" s="771"/>
      <c r="AQ366" s="771"/>
      <c r="AR366" s="771"/>
      <c r="AS366" s="771"/>
      <c r="AT366" s="771"/>
      <c r="AU366" s="771"/>
    </row>
    <row r="367" spans="1:47" s="1135" customFormat="1" outlineLevel="1" x14ac:dyDescent="0.2">
      <c r="A367" s="17"/>
      <c r="B367" s="75"/>
      <c r="C367" s="1989" t="s">
        <v>772</v>
      </c>
      <c r="D367" s="1989" t="s">
        <v>7399</v>
      </c>
      <c r="E367" s="1989">
        <v>38.200000000000003</v>
      </c>
      <c r="F367" s="38">
        <f t="shared" si="5"/>
        <v>3106.4713680000004</v>
      </c>
      <c r="G367" s="459"/>
      <c r="H367" s="8"/>
      <c r="I367" s="8"/>
      <c r="J367" s="8"/>
      <c r="K367" s="8"/>
      <c r="L367" s="8"/>
      <c r="M367" s="8"/>
      <c r="N367" s="8"/>
      <c r="O367" s="8"/>
      <c r="P367" s="8"/>
      <c r="Q367" s="8"/>
      <c r="R367" s="8"/>
      <c r="S367" s="8"/>
      <c r="T367" s="8"/>
      <c r="U367" s="8"/>
      <c r="V367" s="8"/>
      <c r="W367" s="8"/>
      <c r="X367" s="771"/>
      <c r="Y367" s="771"/>
      <c r="Z367" s="771"/>
      <c r="AA367" s="771"/>
      <c r="AB367" s="771"/>
      <c r="AC367" s="771"/>
      <c r="AD367" s="771"/>
      <c r="AE367" s="771"/>
      <c r="AF367" s="771"/>
      <c r="AG367" s="771"/>
      <c r="AH367" s="771"/>
      <c r="AI367" s="771"/>
      <c r="AJ367" s="771"/>
      <c r="AK367" s="771"/>
      <c r="AL367" s="771"/>
      <c r="AM367" s="771"/>
      <c r="AN367" s="771"/>
      <c r="AO367" s="771"/>
      <c r="AP367" s="771"/>
      <c r="AQ367" s="771"/>
      <c r="AR367" s="771"/>
      <c r="AS367" s="771"/>
      <c r="AT367" s="771"/>
      <c r="AU367" s="771"/>
    </row>
    <row r="368" spans="1:47" s="1135" customFormat="1" outlineLevel="1" x14ac:dyDescent="0.2">
      <c r="A368" s="17"/>
      <c r="B368" s="75"/>
      <c r="C368" s="1989" t="s">
        <v>2121</v>
      </c>
      <c r="D368" s="1989" t="s">
        <v>7400</v>
      </c>
      <c r="E368" s="1989">
        <v>40.47</v>
      </c>
      <c r="F368" s="38">
        <f t="shared" si="5"/>
        <v>3291.0705828000005</v>
      </c>
      <c r="G368" s="459"/>
      <c r="H368" s="8"/>
      <c r="I368" s="8"/>
      <c r="J368" s="8"/>
      <c r="K368" s="8"/>
      <c r="L368" s="8"/>
      <c r="M368" s="8"/>
      <c r="N368" s="8"/>
      <c r="O368" s="8"/>
      <c r="P368" s="8"/>
      <c r="Q368" s="8"/>
      <c r="R368" s="8"/>
      <c r="S368" s="8"/>
      <c r="T368" s="8"/>
      <c r="U368" s="8"/>
      <c r="V368" s="8"/>
      <c r="W368" s="8"/>
      <c r="X368" s="771"/>
      <c r="Y368" s="771"/>
      <c r="Z368" s="771"/>
      <c r="AA368" s="771"/>
      <c r="AB368" s="771"/>
      <c r="AC368" s="771"/>
      <c r="AD368" s="771"/>
      <c r="AE368" s="771"/>
      <c r="AF368" s="771"/>
      <c r="AG368" s="771"/>
      <c r="AH368" s="771"/>
      <c r="AI368" s="771"/>
      <c r="AJ368" s="771"/>
      <c r="AK368" s="771"/>
      <c r="AL368" s="771"/>
      <c r="AM368" s="771"/>
      <c r="AN368" s="771"/>
      <c r="AO368" s="771"/>
      <c r="AP368" s="771"/>
      <c r="AQ368" s="771"/>
      <c r="AR368" s="771"/>
      <c r="AS368" s="771"/>
      <c r="AT368" s="771"/>
      <c r="AU368" s="771"/>
    </row>
    <row r="369" spans="1:47" s="1135" customFormat="1" outlineLevel="1" x14ac:dyDescent="0.2">
      <c r="A369" s="17"/>
      <c r="B369" s="75"/>
      <c r="C369" s="1989" t="s">
        <v>773</v>
      </c>
      <c r="D369" s="1989" t="s">
        <v>7401</v>
      </c>
      <c r="E369" s="1989">
        <v>25</v>
      </c>
      <c r="F369" s="38">
        <f t="shared" si="5"/>
        <v>2033.0310000000002</v>
      </c>
      <c r="G369" s="459"/>
      <c r="H369" s="8"/>
      <c r="I369" s="8"/>
      <c r="J369" s="8"/>
      <c r="K369" s="8"/>
      <c r="L369" s="8"/>
      <c r="M369" s="8"/>
      <c r="N369" s="8"/>
      <c r="O369" s="8"/>
      <c r="P369" s="8"/>
      <c r="Q369" s="8"/>
      <c r="R369" s="8"/>
      <c r="S369" s="8"/>
      <c r="T369" s="8"/>
      <c r="U369" s="8"/>
      <c r="V369" s="8"/>
      <c r="W369" s="8"/>
      <c r="X369" s="771"/>
      <c r="Y369" s="771"/>
      <c r="Z369" s="771"/>
      <c r="AA369" s="771"/>
      <c r="AB369" s="771"/>
      <c r="AC369" s="771"/>
      <c r="AD369" s="771"/>
      <c r="AE369" s="771"/>
      <c r="AF369" s="771"/>
      <c r="AG369" s="771"/>
      <c r="AH369" s="771"/>
      <c r="AI369" s="771"/>
      <c r="AJ369" s="771"/>
      <c r="AK369" s="771"/>
      <c r="AL369" s="771"/>
      <c r="AM369" s="771"/>
      <c r="AN369" s="771"/>
      <c r="AO369" s="771"/>
      <c r="AP369" s="771"/>
      <c r="AQ369" s="771"/>
      <c r="AR369" s="771"/>
      <c r="AS369" s="771"/>
      <c r="AT369" s="771"/>
      <c r="AU369" s="771"/>
    </row>
    <row r="370" spans="1:47" s="1135" customFormat="1" outlineLevel="1" x14ac:dyDescent="0.2">
      <c r="A370" s="17"/>
      <c r="B370" s="75"/>
      <c r="C370" s="1989" t="s">
        <v>2122</v>
      </c>
      <c r="D370" s="1989" t="s">
        <v>7402</v>
      </c>
      <c r="E370" s="1989">
        <v>23.84</v>
      </c>
      <c r="F370" s="38">
        <f t="shared" si="5"/>
        <v>1938.6983616000002</v>
      </c>
      <c r="G370" s="459"/>
      <c r="H370" s="8"/>
      <c r="I370" s="8"/>
      <c r="J370" s="8"/>
      <c r="K370" s="8"/>
      <c r="L370" s="8"/>
      <c r="M370" s="8"/>
      <c r="N370" s="8"/>
      <c r="O370" s="8"/>
      <c r="P370" s="8"/>
      <c r="Q370" s="8"/>
      <c r="R370" s="8"/>
      <c r="S370" s="8"/>
      <c r="T370" s="8"/>
      <c r="U370" s="8"/>
      <c r="V370" s="8"/>
      <c r="W370" s="8"/>
      <c r="X370" s="771"/>
      <c r="Y370" s="771"/>
      <c r="Z370" s="771"/>
      <c r="AA370" s="771"/>
      <c r="AB370" s="771"/>
      <c r="AC370" s="771"/>
      <c r="AD370" s="771"/>
      <c r="AE370" s="771"/>
      <c r="AF370" s="771"/>
      <c r="AG370" s="771"/>
      <c r="AH370" s="771"/>
      <c r="AI370" s="771"/>
      <c r="AJ370" s="771"/>
      <c r="AK370" s="771"/>
      <c r="AL370" s="771"/>
      <c r="AM370" s="771"/>
      <c r="AN370" s="771"/>
      <c r="AO370" s="771"/>
      <c r="AP370" s="771"/>
      <c r="AQ370" s="771"/>
      <c r="AR370" s="771"/>
      <c r="AS370" s="771"/>
      <c r="AT370" s="771"/>
      <c r="AU370" s="771"/>
    </row>
    <row r="371" spans="1:47" s="1135" customFormat="1" outlineLevel="1" x14ac:dyDescent="0.2">
      <c r="A371" s="17"/>
      <c r="B371" s="75"/>
      <c r="C371" s="1989" t="s">
        <v>2474</v>
      </c>
      <c r="D371" s="1989" t="s">
        <v>7403</v>
      </c>
      <c r="E371" s="1989">
        <v>0</v>
      </c>
      <c r="F371" s="38">
        <f t="shared" si="5"/>
        <v>0</v>
      </c>
      <c r="G371" s="459"/>
      <c r="H371" s="8"/>
      <c r="I371" s="8"/>
      <c r="J371" s="8"/>
      <c r="K371" s="8"/>
      <c r="L371" s="8"/>
      <c r="M371" s="8"/>
      <c r="N371" s="8"/>
      <c r="O371" s="8"/>
      <c r="P371" s="8"/>
      <c r="Q371" s="8"/>
      <c r="R371" s="8"/>
      <c r="S371" s="8"/>
      <c r="T371" s="8"/>
      <c r="U371" s="8"/>
      <c r="V371" s="8"/>
      <c r="W371" s="8"/>
      <c r="X371" s="771"/>
      <c r="Y371" s="771"/>
      <c r="Z371" s="771"/>
      <c r="AA371" s="771"/>
      <c r="AB371" s="771"/>
      <c r="AC371" s="771"/>
      <c r="AD371" s="771"/>
      <c r="AE371" s="771"/>
      <c r="AF371" s="771"/>
      <c r="AG371" s="771"/>
      <c r="AH371" s="771"/>
      <c r="AI371" s="771"/>
      <c r="AJ371" s="771"/>
      <c r="AK371" s="771"/>
      <c r="AL371" s="771"/>
      <c r="AM371" s="771"/>
      <c r="AN371" s="771"/>
      <c r="AO371" s="771"/>
      <c r="AP371" s="771"/>
      <c r="AQ371" s="771"/>
      <c r="AR371" s="771"/>
      <c r="AS371" s="771"/>
      <c r="AT371" s="771"/>
      <c r="AU371" s="771"/>
    </row>
    <row r="372" spans="1:47" s="1135" customFormat="1" outlineLevel="1" x14ac:dyDescent="0.2">
      <c r="A372" s="17"/>
      <c r="B372" s="75"/>
      <c r="C372" s="1989" t="s">
        <v>2123</v>
      </c>
      <c r="D372" s="1989" t="s">
        <v>2124</v>
      </c>
      <c r="E372" s="1989">
        <v>3.04</v>
      </c>
      <c r="F372" s="38">
        <f t="shared" si="5"/>
        <v>247.21656959999999</v>
      </c>
      <c r="G372" s="459"/>
      <c r="H372" s="8"/>
      <c r="I372" s="8"/>
      <c r="J372" s="8"/>
      <c r="K372" s="8"/>
      <c r="L372" s="8"/>
      <c r="M372" s="8"/>
      <c r="N372" s="8"/>
      <c r="O372" s="8"/>
      <c r="P372" s="8"/>
      <c r="Q372" s="8"/>
      <c r="R372" s="8"/>
      <c r="S372" s="8"/>
      <c r="T372" s="8"/>
      <c r="U372" s="8"/>
      <c r="V372" s="8"/>
      <c r="W372" s="8"/>
      <c r="X372" s="771"/>
      <c r="Y372" s="771"/>
      <c r="Z372" s="771"/>
      <c r="AA372" s="771"/>
      <c r="AB372" s="771"/>
      <c r="AC372" s="771"/>
      <c r="AD372" s="771"/>
      <c r="AE372" s="771"/>
      <c r="AF372" s="771"/>
      <c r="AG372" s="771"/>
      <c r="AH372" s="771"/>
      <c r="AI372" s="771"/>
      <c r="AJ372" s="771"/>
      <c r="AK372" s="771"/>
      <c r="AL372" s="771"/>
      <c r="AM372" s="771"/>
      <c r="AN372" s="771"/>
      <c r="AO372" s="771"/>
      <c r="AP372" s="771"/>
      <c r="AQ372" s="771"/>
      <c r="AR372" s="771"/>
      <c r="AS372" s="771"/>
      <c r="AT372" s="771"/>
      <c r="AU372" s="771"/>
    </row>
    <row r="373" spans="1:47" s="1135" customFormat="1" outlineLevel="1" x14ac:dyDescent="0.2">
      <c r="A373" s="17"/>
      <c r="B373" s="75"/>
      <c r="C373" s="1989" t="s">
        <v>2127</v>
      </c>
      <c r="D373" s="1989" t="s">
        <v>5331</v>
      </c>
      <c r="E373" s="1989">
        <v>7.93</v>
      </c>
      <c r="F373" s="38">
        <f t="shared" si="5"/>
        <v>644.87743320000004</v>
      </c>
      <c r="G373" s="459"/>
      <c r="H373" s="8"/>
      <c r="I373" s="8"/>
      <c r="J373" s="8"/>
      <c r="K373" s="8"/>
      <c r="L373" s="8"/>
      <c r="M373" s="8"/>
      <c r="N373" s="8"/>
      <c r="O373" s="8"/>
      <c r="P373" s="8"/>
      <c r="Q373" s="8"/>
      <c r="R373" s="8"/>
      <c r="S373" s="8"/>
      <c r="T373" s="8"/>
      <c r="U373" s="8"/>
      <c r="V373" s="8"/>
      <c r="W373" s="8"/>
      <c r="X373" s="771"/>
      <c r="Y373" s="771"/>
      <c r="Z373" s="771"/>
      <c r="AA373" s="771"/>
      <c r="AB373" s="771"/>
      <c r="AC373" s="771"/>
      <c r="AD373" s="771"/>
      <c r="AE373" s="771"/>
      <c r="AF373" s="771"/>
      <c r="AG373" s="771"/>
      <c r="AH373" s="771"/>
      <c r="AI373" s="771"/>
      <c r="AJ373" s="771"/>
      <c r="AK373" s="771"/>
      <c r="AL373" s="771"/>
      <c r="AM373" s="771"/>
      <c r="AN373" s="771"/>
      <c r="AO373" s="771"/>
      <c r="AP373" s="771"/>
      <c r="AQ373" s="771"/>
      <c r="AR373" s="771"/>
      <c r="AS373" s="771"/>
      <c r="AT373" s="771"/>
      <c r="AU373" s="771"/>
    </row>
    <row r="374" spans="1:47" s="1135" customFormat="1" outlineLevel="1" x14ac:dyDescent="0.2">
      <c r="A374" s="17"/>
      <c r="B374" s="75"/>
      <c r="C374" s="1989" t="s">
        <v>1265</v>
      </c>
      <c r="D374" s="1989" t="s">
        <v>7404</v>
      </c>
      <c r="E374" s="1989">
        <v>8.43</v>
      </c>
      <c r="F374" s="38">
        <f t="shared" si="5"/>
        <v>685.53805320000004</v>
      </c>
      <c r="G374" s="459"/>
      <c r="H374" s="8"/>
      <c r="I374" s="8"/>
      <c r="J374" s="8"/>
      <c r="K374" s="8"/>
      <c r="L374" s="8"/>
      <c r="M374" s="8"/>
      <c r="N374" s="8"/>
      <c r="O374" s="8"/>
      <c r="P374" s="8"/>
      <c r="Q374" s="8"/>
      <c r="R374" s="8"/>
      <c r="S374" s="8"/>
      <c r="T374" s="8"/>
      <c r="U374" s="8"/>
      <c r="V374" s="8"/>
      <c r="W374" s="8"/>
      <c r="X374" s="771"/>
      <c r="Y374" s="771"/>
      <c r="Z374" s="771"/>
      <c r="AA374" s="771"/>
      <c r="AB374" s="771"/>
      <c r="AC374" s="771"/>
      <c r="AD374" s="771"/>
      <c r="AE374" s="771"/>
      <c r="AF374" s="771"/>
      <c r="AG374" s="771"/>
      <c r="AH374" s="771"/>
      <c r="AI374" s="771"/>
      <c r="AJ374" s="771"/>
      <c r="AK374" s="771"/>
      <c r="AL374" s="771"/>
      <c r="AM374" s="771"/>
      <c r="AN374" s="771"/>
      <c r="AO374" s="771"/>
      <c r="AP374" s="771"/>
      <c r="AQ374" s="771"/>
      <c r="AR374" s="771"/>
      <c r="AS374" s="771"/>
      <c r="AT374" s="771"/>
      <c r="AU374" s="771"/>
    </row>
    <row r="375" spans="1:47" s="1135" customFormat="1" outlineLevel="1" x14ac:dyDescent="0.2">
      <c r="A375" s="17"/>
      <c r="B375" s="75"/>
      <c r="C375" s="1989" t="s">
        <v>18</v>
      </c>
      <c r="D375" s="1989" t="s">
        <v>7405</v>
      </c>
      <c r="E375" s="1989">
        <v>1.58</v>
      </c>
      <c r="F375" s="38">
        <f t="shared" si="5"/>
        <v>128.48755919999999</v>
      </c>
      <c r="G375" s="459"/>
      <c r="H375" s="8"/>
      <c r="I375" s="8"/>
      <c r="J375" s="8"/>
      <c r="K375" s="8"/>
      <c r="L375" s="8"/>
      <c r="M375" s="8"/>
      <c r="N375" s="8"/>
      <c r="O375" s="8"/>
      <c r="P375" s="8"/>
      <c r="Q375" s="8"/>
      <c r="R375" s="8"/>
      <c r="S375" s="8"/>
      <c r="T375" s="8"/>
      <c r="U375" s="8"/>
      <c r="V375" s="8"/>
      <c r="W375" s="8"/>
      <c r="X375" s="771"/>
      <c r="Y375" s="771"/>
      <c r="Z375" s="771"/>
      <c r="AA375" s="771"/>
      <c r="AB375" s="771"/>
      <c r="AC375" s="771"/>
      <c r="AD375" s="771"/>
      <c r="AE375" s="771"/>
      <c r="AF375" s="771"/>
      <c r="AG375" s="771"/>
      <c r="AH375" s="771"/>
      <c r="AI375" s="771"/>
      <c r="AJ375" s="771"/>
      <c r="AK375" s="771"/>
      <c r="AL375" s="771"/>
      <c r="AM375" s="771"/>
      <c r="AN375" s="771"/>
      <c r="AO375" s="771"/>
      <c r="AP375" s="771"/>
      <c r="AQ375" s="771"/>
      <c r="AR375" s="771"/>
      <c r="AS375" s="771"/>
      <c r="AT375" s="771"/>
      <c r="AU375" s="771"/>
    </row>
    <row r="376" spans="1:47" s="1135" customFormat="1" outlineLevel="1" x14ac:dyDescent="0.2">
      <c r="A376" s="17"/>
      <c r="B376" s="75"/>
      <c r="C376" s="1989" t="s">
        <v>19</v>
      </c>
      <c r="D376" s="1989" t="s">
        <v>5332</v>
      </c>
      <c r="E376" s="1989">
        <v>1.58</v>
      </c>
      <c r="F376" s="38">
        <f t="shared" si="5"/>
        <v>128.48755919999999</v>
      </c>
      <c r="G376" s="459"/>
      <c r="H376" s="8"/>
      <c r="I376" s="8"/>
      <c r="J376" s="8"/>
      <c r="K376" s="8"/>
      <c r="L376" s="8"/>
      <c r="M376" s="8"/>
      <c r="N376" s="8"/>
      <c r="O376" s="8"/>
      <c r="P376" s="8"/>
      <c r="Q376" s="8"/>
      <c r="R376" s="8"/>
      <c r="S376" s="8"/>
      <c r="T376" s="8"/>
      <c r="U376" s="8"/>
      <c r="V376" s="8"/>
      <c r="W376" s="8"/>
      <c r="X376" s="771"/>
      <c r="Y376" s="771"/>
      <c r="Z376" s="771"/>
      <c r="AA376" s="771"/>
      <c r="AB376" s="771"/>
      <c r="AC376" s="771"/>
      <c r="AD376" s="771"/>
      <c r="AE376" s="771"/>
      <c r="AF376" s="771"/>
      <c r="AG376" s="771"/>
      <c r="AH376" s="771"/>
      <c r="AI376" s="771"/>
      <c r="AJ376" s="771"/>
      <c r="AK376" s="771"/>
      <c r="AL376" s="771"/>
      <c r="AM376" s="771"/>
      <c r="AN376" s="771"/>
      <c r="AO376" s="771"/>
      <c r="AP376" s="771"/>
      <c r="AQ376" s="771"/>
      <c r="AR376" s="771"/>
      <c r="AS376" s="771"/>
      <c r="AT376" s="771"/>
      <c r="AU376" s="771"/>
    </row>
    <row r="377" spans="1:47" s="1135" customFormat="1" outlineLevel="1" x14ac:dyDescent="0.2">
      <c r="A377" s="17"/>
      <c r="B377" s="75"/>
      <c r="C377" s="1989" t="s">
        <v>20</v>
      </c>
      <c r="D377" s="1989" t="s">
        <v>7406</v>
      </c>
      <c r="E377" s="1989">
        <v>2.91</v>
      </c>
      <c r="F377" s="38">
        <f t="shared" si="5"/>
        <v>236.64480840000002</v>
      </c>
      <c r="G377" s="459"/>
      <c r="H377" s="8"/>
      <c r="I377" s="8"/>
      <c r="J377" s="8"/>
      <c r="K377" s="8"/>
      <c r="L377" s="8"/>
      <c r="M377" s="8"/>
      <c r="N377" s="8"/>
      <c r="O377" s="8"/>
      <c r="P377" s="8"/>
      <c r="Q377" s="8"/>
      <c r="R377" s="8"/>
      <c r="S377" s="8"/>
      <c r="T377" s="8"/>
      <c r="U377" s="8"/>
      <c r="V377" s="8"/>
      <c r="W377" s="8"/>
      <c r="X377" s="771"/>
      <c r="Y377" s="771"/>
      <c r="Z377" s="771"/>
      <c r="AA377" s="771"/>
      <c r="AB377" s="771"/>
      <c r="AC377" s="771"/>
      <c r="AD377" s="771"/>
      <c r="AE377" s="771"/>
      <c r="AF377" s="771"/>
      <c r="AG377" s="771"/>
      <c r="AH377" s="771"/>
      <c r="AI377" s="771"/>
      <c r="AJ377" s="771"/>
      <c r="AK377" s="771"/>
      <c r="AL377" s="771"/>
      <c r="AM377" s="771"/>
      <c r="AN377" s="771"/>
      <c r="AO377" s="771"/>
      <c r="AP377" s="771"/>
      <c r="AQ377" s="771"/>
      <c r="AR377" s="771"/>
      <c r="AS377" s="771"/>
      <c r="AT377" s="771"/>
      <c r="AU377" s="771"/>
    </row>
    <row r="378" spans="1:47" s="1135" customFormat="1" outlineLevel="1" x14ac:dyDescent="0.2">
      <c r="A378" s="17"/>
      <c r="B378" s="75"/>
      <c r="C378" s="1989" t="s">
        <v>21</v>
      </c>
      <c r="D378" s="1989" t="s">
        <v>5333</v>
      </c>
      <c r="E378" s="1989">
        <v>2.91</v>
      </c>
      <c r="F378" s="38">
        <f t="shared" si="5"/>
        <v>236.64480840000002</v>
      </c>
      <c r="G378" s="459"/>
      <c r="H378" s="8"/>
      <c r="I378" s="8"/>
      <c r="J378" s="8"/>
      <c r="K378" s="8"/>
      <c r="L378" s="8"/>
      <c r="M378" s="8"/>
      <c r="N378" s="8"/>
      <c r="O378" s="8"/>
      <c r="P378" s="8"/>
      <c r="Q378" s="8"/>
      <c r="R378" s="8"/>
      <c r="S378" s="8"/>
      <c r="T378" s="8"/>
      <c r="U378" s="8"/>
      <c r="V378" s="8"/>
      <c r="W378" s="8"/>
      <c r="X378" s="771"/>
      <c r="Y378" s="771"/>
      <c r="Z378" s="771"/>
      <c r="AA378" s="771"/>
      <c r="AB378" s="771"/>
      <c r="AC378" s="771"/>
      <c r="AD378" s="771"/>
      <c r="AE378" s="771"/>
      <c r="AF378" s="771"/>
      <c r="AG378" s="771"/>
      <c r="AH378" s="771"/>
      <c r="AI378" s="771"/>
      <c r="AJ378" s="771"/>
      <c r="AK378" s="771"/>
      <c r="AL378" s="771"/>
      <c r="AM378" s="771"/>
      <c r="AN378" s="771"/>
      <c r="AO378" s="771"/>
      <c r="AP378" s="771"/>
      <c r="AQ378" s="771"/>
      <c r="AR378" s="771"/>
      <c r="AS378" s="771"/>
      <c r="AT378" s="771"/>
      <c r="AU378" s="771"/>
    </row>
    <row r="379" spans="1:47" s="1135" customFormat="1" outlineLevel="1" x14ac:dyDescent="0.2">
      <c r="A379" s="17"/>
      <c r="B379" s="75"/>
      <c r="C379" s="1989" t="s">
        <v>1831</v>
      </c>
      <c r="D379" s="1989" t="s">
        <v>5334</v>
      </c>
      <c r="E379" s="1989">
        <v>40.75</v>
      </c>
      <c r="F379" s="38">
        <f t="shared" si="5"/>
        <v>3313.8405299999999</v>
      </c>
      <c r="G379" s="459"/>
      <c r="H379" s="8"/>
      <c r="I379" s="8"/>
      <c r="J379" s="8"/>
      <c r="K379" s="8"/>
      <c r="L379" s="8"/>
      <c r="M379" s="8"/>
      <c r="N379" s="8"/>
      <c r="O379" s="8"/>
      <c r="P379" s="8"/>
      <c r="Q379" s="8"/>
      <c r="R379" s="8"/>
      <c r="S379" s="8"/>
      <c r="T379" s="8"/>
      <c r="U379" s="8"/>
      <c r="V379" s="8"/>
      <c r="W379" s="8"/>
      <c r="X379" s="771"/>
      <c r="Y379" s="771"/>
      <c r="Z379" s="771"/>
      <c r="AA379" s="771"/>
      <c r="AB379" s="771"/>
      <c r="AC379" s="771"/>
      <c r="AD379" s="771"/>
      <c r="AE379" s="771"/>
      <c r="AF379" s="771"/>
      <c r="AG379" s="771"/>
      <c r="AH379" s="771"/>
      <c r="AI379" s="771"/>
      <c r="AJ379" s="771"/>
      <c r="AK379" s="771"/>
      <c r="AL379" s="771"/>
      <c r="AM379" s="771"/>
      <c r="AN379" s="771"/>
      <c r="AO379" s="771"/>
      <c r="AP379" s="771"/>
      <c r="AQ379" s="771"/>
      <c r="AR379" s="771"/>
      <c r="AS379" s="771"/>
      <c r="AT379" s="771"/>
      <c r="AU379" s="771"/>
    </row>
    <row r="380" spans="1:47" s="1135" customFormat="1" outlineLevel="1" x14ac:dyDescent="0.2">
      <c r="A380" s="17"/>
      <c r="B380" s="75"/>
      <c r="C380" s="1989" t="s">
        <v>2496</v>
      </c>
      <c r="D380" s="1989" t="s">
        <v>7407</v>
      </c>
      <c r="E380" s="1989">
        <v>0</v>
      </c>
      <c r="F380" s="38">
        <f t="shared" si="5"/>
        <v>0</v>
      </c>
      <c r="G380" s="459"/>
      <c r="H380" s="8"/>
      <c r="I380" s="8"/>
      <c r="J380" s="8"/>
      <c r="K380" s="8"/>
      <c r="L380" s="8"/>
      <c r="M380" s="8"/>
      <c r="N380" s="8"/>
      <c r="O380" s="8"/>
      <c r="P380" s="8"/>
      <c r="Q380" s="8"/>
      <c r="R380" s="8"/>
      <c r="S380" s="8"/>
      <c r="T380" s="8"/>
      <c r="U380" s="8"/>
      <c r="V380" s="8"/>
      <c r="W380" s="8"/>
      <c r="X380" s="771"/>
      <c r="Y380" s="771"/>
      <c r="Z380" s="771"/>
      <c r="AA380" s="771"/>
      <c r="AB380" s="771"/>
      <c r="AC380" s="771"/>
      <c r="AD380" s="771"/>
      <c r="AE380" s="771"/>
      <c r="AF380" s="771"/>
      <c r="AG380" s="771"/>
      <c r="AH380" s="771"/>
      <c r="AI380" s="771"/>
      <c r="AJ380" s="771"/>
      <c r="AK380" s="771"/>
      <c r="AL380" s="771"/>
      <c r="AM380" s="771"/>
      <c r="AN380" s="771"/>
      <c r="AO380" s="771"/>
      <c r="AP380" s="771"/>
      <c r="AQ380" s="771"/>
      <c r="AR380" s="771"/>
      <c r="AS380" s="771"/>
      <c r="AT380" s="771"/>
      <c r="AU380" s="771"/>
    </row>
    <row r="381" spans="1:47" s="1135" customFormat="1" outlineLevel="1" x14ac:dyDescent="0.2">
      <c r="A381" s="17"/>
      <c r="B381" s="75"/>
      <c r="C381" s="1989" t="s">
        <v>1036</v>
      </c>
      <c r="D381" s="1989" t="s">
        <v>1037</v>
      </c>
      <c r="E381" s="1989">
        <v>31.03</v>
      </c>
      <c r="F381" s="38">
        <f t="shared" si="5"/>
        <v>2523.3980772</v>
      </c>
      <c r="G381" s="459"/>
      <c r="H381" s="8"/>
      <c r="I381" s="8"/>
      <c r="J381" s="8"/>
      <c r="K381" s="8"/>
      <c r="L381" s="8"/>
      <c r="M381" s="8"/>
      <c r="N381" s="8"/>
      <c r="O381" s="8"/>
      <c r="P381" s="8"/>
      <c r="Q381" s="8"/>
      <c r="R381" s="8"/>
      <c r="S381" s="8"/>
      <c r="T381" s="8"/>
      <c r="U381" s="8"/>
      <c r="V381" s="8"/>
      <c r="W381" s="8"/>
      <c r="X381" s="771"/>
      <c r="Y381" s="771"/>
      <c r="Z381" s="771"/>
      <c r="AA381" s="771"/>
      <c r="AB381" s="771"/>
      <c r="AC381" s="771"/>
      <c r="AD381" s="771"/>
      <c r="AE381" s="771"/>
      <c r="AF381" s="771"/>
      <c r="AG381" s="771"/>
      <c r="AH381" s="771"/>
      <c r="AI381" s="771"/>
      <c r="AJ381" s="771"/>
      <c r="AK381" s="771"/>
      <c r="AL381" s="771"/>
      <c r="AM381" s="771"/>
      <c r="AN381" s="771"/>
      <c r="AO381" s="771"/>
      <c r="AP381" s="771"/>
      <c r="AQ381" s="771"/>
      <c r="AR381" s="771"/>
      <c r="AS381" s="771"/>
      <c r="AT381" s="771"/>
      <c r="AU381" s="771"/>
    </row>
    <row r="382" spans="1:47" s="1135" customFormat="1" outlineLevel="1" x14ac:dyDescent="0.2">
      <c r="A382" s="17"/>
      <c r="B382" s="75"/>
      <c r="C382" s="1989" t="s">
        <v>2883</v>
      </c>
      <c r="D382" s="1989" t="s">
        <v>2884</v>
      </c>
      <c r="E382" s="1989">
        <v>36.03</v>
      </c>
      <c r="F382" s="38">
        <f t="shared" si="5"/>
        <v>2930.0042772000002</v>
      </c>
      <c r="G382" s="459"/>
      <c r="H382" s="8"/>
      <c r="I382" s="8"/>
      <c r="J382" s="8"/>
      <c r="K382" s="8"/>
      <c r="L382" s="8"/>
      <c r="M382" s="8"/>
      <c r="N382" s="8"/>
      <c r="O382" s="8"/>
      <c r="P382" s="8"/>
      <c r="Q382" s="8"/>
      <c r="R382" s="8"/>
      <c r="S382" s="8"/>
      <c r="T382" s="8"/>
      <c r="U382" s="8"/>
      <c r="V382" s="8"/>
      <c r="W382" s="8"/>
      <c r="X382" s="771"/>
      <c r="Y382" s="771"/>
      <c r="Z382" s="771"/>
      <c r="AA382" s="771"/>
      <c r="AB382" s="771"/>
      <c r="AC382" s="771"/>
      <c r="AD382" s="771"/>
      <c r="AE382" s="771"/>
      <c r="AF382" s="771"/>
      <c r="AG382" s="771"/>
      <c r="AH382" s="771"/>
      <c r="AI382" s="771"/>
      <c r="AJ382" s="771"/>
      <c r="AK382" s="771"/>
      <c r="AL382" s="771"/>
      <c r="AM382" s="771"/>
      <c r="AN382" s="771"/>
      <c r="AO382" s="771"/>
      <c r="AP382" s="771"/>
      <c r="AQ382" s="771"/>
      <c r="AR382" s="771"/>
      <c r="AS382" s="771"/>
      <c r="AT382" s="771"/>
      <c r="AU382" s="771"/>
    </row>
    <row r="383" spans="1:47" s="1135" customFormat="1" outlineLevel="1" x14ac:dyDescent="0.2">
      <c r="A383" s="17"/>
      <c r="B383" s="75"/>
      <c r="C383" s="1989" t="s">
        <v>3502</v>
      </c>
      <c r="D383" s="1989" t="s">
        <v>5335</v>
      </c>
      <c r="E383" s="1989">
        <v>6.64</v>
      </c>
      <c r="F383" s="38">
        <f t="shared" si="5"/>
        <v>539.97303360000001</v>
      </c>
      <c r="G383" s="459"/>
      <c r="H383" s="8"/>
      <c r="I383" s="8"/>
      <c r="J383" s="8"/>
      <c r="K383" s="8"/>
      <c r="L383" s="8"/>
      <c r="M383" s="8"/>
      <c r="N383" s="8"/>
      <c r="O383" s="8"/>
      <c r="P383" s="8"/>
      <c r="Q383" s="8"/>
      <c r="R383" s="8"/>
      <c r="S383" s="8"/>
      <c r="T383" s="8"/>
      <c r="U383" s="8"/>
      <c r="V383" s="8"/>
      <c r="W383" s="8"/>
      <c r="X383" s="771"/>
      <c r="Y383" s="771"/>
      <c r="Z383" s="771"/>
      <c r="AA383" s="771"/>
      <c r="AB383" s="771"/>
      <c r="AC383" s="771"/>
      <c r="AD383" s="771"/>
      <c r="AE383" s="771"/>
      <c r="AF383" s="771"/>
      <c r="AG383" s="771"/>
      <c r="AH383" s="771"/>
      <c r="AI383" s="771"/>
      <c r="AJ383" s="771"/>
      <c r="AK383" s="771"/>
      <c r="AL383" s="771"/>
      <c r="AM383" s="771"/>
      <c r="AN383" s="771"/>
      <c r="AO383" s="771"/>
      <c r="AP383" s="771"/>
      <c r="AQ383" s="771"/>
      <c r="AR383" s="771"/>
      <c r="AS383" s="771"/>
      <c r="AT383" s="771"/>
      <c r="AU383" s="771"/>
    </row>
    <row r="384" spans="1:47" s="1135" customFormat="1" outlineLevel="1" x14ac:dyDescent="0.2">
      <c r="A384" s="17"/>
      <c r="B384" s="75"/>
      <c r="C384" s="1989" t="s">
        <v>3501</v>
      </c>
      <c r="D384" s="1989" t="s">
        <v>7408</v>
      </c>
      <c r="E384" s="1989">
        <v>6.64</v>
      </c>
      <c r="F384" s="38">
        <f t="shared" si="5"/>
        <v>539.97303360000001</v>
      </c>
      <c r="G384" s="459"/>
      <c r="H384" s="8"/>
      <c r="I384" s="8"/>
      <c r="J384" s="8"/>
      <c r="K384" s="8"/>
      <c r="L384" s="8"/>
      <c r="M384" s="8"/>
      <c r="N384" s="8"/>
      <c r="O384" s="8"/>
      <c r="P384" s="8"/>
      <c r="Q384" s="8"/>
      <c r="R384" s="8"/>
      <c r="S384" s="8"/>
      <c r="T384" s="8"/>
      <c r="U384" s="8"/>
      <c r="V384" s="8"/>
      <c r="W384" s="8"/>
      <c r="X384" s="771"/>
      <c r="Y384" s="771"/>
      <c r="Z384" s="771"/>
      <c r="AA384" s="771"/>
      <c r="AB384" s="771"/>
      <c r="AC384" s="771"/>
      <c r="AD384" s="771"/>
      <c r="AE384" s="771"/>
      <c r="AF384" s="771"/>
      <c r="AG384" s="771"/>
      <c r="AH384" s="771"/>
      <c r="AI384" s="771"/>
      <c r="AJ384" s="771"/>
      <c r="AK384" s="771"/>
      <c r="AL384" s="771"/>
      <c r="AM384" s="771"/>
      <c r="AN384" s="771"/>
      <c r="AO384" s="771"/>
      <c r="AP384" s="771"/>
      <c r="AQ384" s="771"/>
      <c r="AR384" s="771"/>
      <c r="AS384" s="771"/>
      <c r="AT384" s="771"/>
      <c r="AU384" s="771"/>
    </row>
    <row r="385" spans="1:47" s="1135" customFormat="1" outlineLevel="1" x14ac:dyDescent="0.2">
      <c r="A385" s="17"/>
      <c r="B385" s="75"/>
      <c r="C385" s="1989" t="s">
        <v>3500</v>
      </c>
      <c r="D385" s="1989" t="s">
        <v>5336</v>
      </c>
      <c r="E385" s="1989">
        <v>6.64</v>
      </c>
      <c r="F385" s="38">
        <f t="shared" si="5"/>
        <v>539.97303360000001</v>
      </c>
      <c r="G385" s="459"/>
      <c r="H385" s="8"/>
      <c r="I385" s="8"/>
      <c r="J385" s="8"/>
      <c r="K385" s="8"/>
      <c r="L385" s="8"/>
      <c r="M385" s="8"/>
      <c r="N385" s="8"/>
      <c r="O385" s="8"/>
      <c r="P385" s="8"/>
      <c r="Q385" s="8"/>
      <c r="R385" s="8"/>
      <c r="S385" s="8"/>
      <c r="T385" s="8"/>
      <c r="U385" s="8"/>
      <c r="V385" s="8"/>
      <c r="W385" s="8"/>
      <c r="X385" s="771"/>
      <c r="Y385" s="771"/>
      <c r="Z385" s="771"/>
      <c r="AA385" s="771"/>
      <c r="AB385" s="771"/>
      <c r="AC385" s="771"/>
      <c r="AD385" s="771"/>
      <c r="AE385" s="771"/>
      <c r="AF385" s="771"/>
      <c r="AG385" s="771"/>
      <c r="AH385" s="771"/>
      <c r="AI385" s="771"/>
      <c r="AJ385" s="771"/>
      <c r="AK385" s="771"/>
      <c r="AL385" s="771"/>
      <c r="AM385" s="771"/>
      <c r="AN385" s="771"/>
      <c r="AO385" s="771"/>
      <c r="AP385" s="771"/>
      <c r="AQ385" s="771"/>
      <c r="AR385" s="771"/>
      <c r="AS385" s="771"/>
      <c r="AT385" s="771"/>
      <c r="AU385" s="771"/>
    </row>
    <row r="386" spans="1:47" s="1135" customFormat="1" outlineLevel="1" x14ac:dyDescent="0.2">
      <c r="A386" s="17"/>
      <c r="B386" s="75"/>
      <c r="C386" s="1989" t="s">
        <v>2020</v>
      </c>
      <c r="D386" s="1989" t="s">
        <v>7409</v>
      </c>
      <c r="E386" s="1989">
        <v>6.53</v>
      </c>
      <c r="F386" s="38">
        <f t="shared" si="5"/>
        <v>531.02769720000003</v>
      </c>
      <c r="G386" s="459"/>
      <c r="H386" s="8"/>
      <c r="I386" s="8"/>
      <c r="J386" s="8"/>
      <c r="K386" s="8"/>
      <c r="L386" s="8"/>
      <c r="M386" s="8"/>
      <c r="N386" s="8"/>
      <c r="O386" s="8"/>
      <c r="P386" s="8"/>
      <c r="Q386" s="8"/>
      <c r="R386" s="8"/>
      <c r="S386" s="8"/>
      <c r="T386" s="8"/>
      <c r="U386" s="8"/>
      <c r="V386" s="8"/>
      <c r="W386" s="8"/>
      <c r="X386" s="771"/>
      <c r="Y386" s="771"/>
      <c r="Z386" s="771"/>
      <c r="AA386" s="771"/>
      <c r="AB386" s="771"/>
      <c r="AC386" s="771"/>
      <c r="AD386" s="771"/>
      <c r="AE386" s="771"/>
      <c r="AF386" s="771"/>
      <c r="AG386" s="771"/>
      <c r="AH386" s="771"/>
      <c r="AI386" s="771"/>
      <c r="AJ386" s="771"/>
      <c r="AK386" s="771"/>
      <c r="AL386" s="771"/>
      <c r="AM386" s="771"/>
      <c r="AN386" s="771"/>
      <c r="AO386" s="771"/>
      <c r="AP386" s="771"/>
      <c r="AQ386" s="771"/>
      <c r="AR386" s="771"/>
      <c r="AS386" s="771"/>
      <c r="AT386" s="771"/>
      <c r="AU386" s="771"/>
    </row>
    <row r="387" spans="1:47" s="1135" customFormat="1" outlineLevel="1" x14ac:dyDescent="0.2">
      <c r="A387" s="17"/>
      <c r="B387" s="75"/>
      <c r="C387" s="1989" t="s">
        <v>2067</v>
      </c>
      <c r="D387" s="1989" t="s">
        <v>5337</v>
      </c>
      <c r="E387" s="1989">
        <v>5.76</v>
      </c>
      <c r="F387" s="38">
        <f t="shared" si="5"/>
        <v>468.41034240000005</v>
      </c>
      <c r="G387" s="459"/>
      <c r="H387" s="8"/>
      <c r="I387" s="8"/>
      <c r="J387" s="8"/>
      <c r="K387" s="8"/>
      <c r="L387" s="8"/>
      <c r="M387" s="8"/>
      <c r="N387" s="8"/>
      <c r="O387" s="8"/>
      <c r="P387" s="8"/>
      <c r="Q387" s="8"/>
      <c r="R387" s="8"/>
      <c r="S387" s="8"/>
      <c r="T387" s="8"/>
      <c r="U387" s="8"/>
      <c r="V387" s="8"/>
      <c r="W387" s="8"/>
      <c r="X387" s="771"/>
      <c r="Y387" s="771"/>
      <c r="Z387" s="771"/>
      <c r="AA387" s="771"/>
      <c r="AB387" s="771"/>
      <c r="AC387" s="771"/>
      <c r="AD387" s="771"/>
      <c r="AE387" s="771"/>
      <c r="AF387" s="771"/>
      <c r="AG387" s="771"/>
      <c r="AH387" s="771"/>
      <c r="AI387" s="771"/>
      <c r="AJ387" s="771"/>
      <c r="AK387" s="771"/>
      <c r="AL387" s="771"/>
      <c r="AM387" s="771"/>
      <c r="AN387" s="771"/>
      <c r="AO387" s="771"/>
      <c r="AP387" s="771"/>
      <c r="AQ387" s="771"/>
      <c r="AR387" s="771"/>
      <c r="AS387" s="771"/>
      <c r="AT387" s="771"/>
      <c r="AU387" s="771"/>
    </row>
    <row r="388" spans="1:47" s="1135" customFormat="1" outlineLevel="1" x14ac:dyDescent="0.2">
      <c r="A388" s="17"/>
      <c r="B388" s="75"/>
      <c r="C388" s="1989" t="s">
        <v>3499</v>
      </c>
      <c r="D388" s="1989" t="s">
        <v>5338</v>
      </c>
      <c r="E388" s="1989">
        <v>6.64</v>
      </c>
      <c r="F388" s="38">
        <f t="shared" si="5"/>
        <v>539.97303360000001</v>
      </c>
      <c r="G388" s="459"/>
      <c r="H388" s="8"/>
      <c r="I388" s="8"/>
      <c r="J388" s="8"/>
      <c r="K388" s="8"/>
      <c r="L388" s="8"/>
      <c r="M388" s="8"/>
      <c r="N388" s="8"/>
      <c r="O388" s="8"/>
      <c r="P388" s="8"/>
      <c r="Q388" s="8"/>
      <c r="R388" s="8"/>
      <c r="S388" s="8"/>
      <c r="T388" s="8"/>
      <c r="U388" s="8"/>
      <c r="V388" s="8"/>
      <c r="W388" s="8"/>
      <c r="X388" s="771"/>
      <c r="Y388" s="771"/>
      <c r="Z388" s="771"/>
      <c r="AA388" s="771"/>
      <c r="AB388" s="771"/>
      <c r="AC388" s="771"/>
      <c r="AD388" s="771"/>
      <c r="AE388" s="771"/>
      <c r="AF388" s="771"/>
      <c r="AG388" s="771"/>
      <c r="AH388" s="771"/>
      <c r="AI388" s="771"/>
      <c r="AJ388" s="771"/>
      <c r="AK388" s="771"/>
      <c r="AL388" s="771"/>
      <c r="AM388" s="771"/>
      <c r="AN388" s="771"/>
      <c r="AO388" s="771"/>
      <c r="AP388" s="771"/>
      <c r="AQ388" s="771"/>
      <c r="AR388" s="771"/>
      <c r="AS388" s="771"/>
      <c r="AT388" s="771"/>
      <c r="AU388" s="771"/>
    </row>
    <row r="389" spans="1:47" s="1135" customFormat="1" outlineLevel="1" x14ac:dyDescent="0.2">
      <c r="A389" s="17"/>
      <c r="B389" s="75"/>
      <c r="C389" s="1989" t="s">
        <v>3498</v>
      </c>
      <c r="D389" s="1989" t="s">
        <v>5339</v>
      </c>
      <c r="E389" s="1989">
        <v>6.64</v>
      </c>
      <c r="F389" s="38">
        <f t="shared" si="5"/>
        <v>539.97303360000001</v>
      </c>
      <c r="G389" s="459"/>
      <c r="H389" s="8"/>
      <c r="I389" s="8"/>
      <c r="J389" s="8"/>
      <c r="K389" s="8"/>
      <c r="L389" s="8"/>
      <c r="M389" s="8"/>
      <c r="N389" s="8"/>
      <c r="O389" s="8"/>
      <c r="P389" s="8"/>
      <c r="Q389" s="8"/>
      <c r="R389" s="8"/>
      <c r="S389" s="8"/>
      <c r="T389" s="8"/>
      <c r="U389" s="8"/>
      <c r="V389" s="8"/>
      <c r="W389" s="8"/>
      <c r="X389" s="771"/>
      <c r="Y389" s="771"/>
      <c r="Z389" s="771"/>
      <c r="AA389" s="771"/>
      <c r="AB389" s="771"/>
      <c r="AC389" s="771"/>
      <c r="AD389" s="771"/>
      <c r="AE389" s="771"/>
      <c r="AF389" s="771"/>
      <c r="AG389" s="771"/>
      <c r="AH389" s="771"/>
      <c r="AI389" s="771"/>
      <c r="AJ389" s="771"/>
      <c r="AK389" s="771"/>
      <c r="AL389" s="771"/>
      <c r="AM389" s="771"/>
      <c r="AN389" s="771"/>
      <c r="AO389" s="771"/>
      <c r="AP389" s="771"/>
      <c r="AQ389" s="771"/>
      <c r="AR389" s="771"/>
      <c r="AS389" s="771"/>
      <c r="AT389" s="771"/>
      <c r="AU389" s="771"/>
    </row>
    <row r="390" spans="1:47" s="1135" customFormat="1" outlineLevel="1" x14ac:dyDescent="0.2">
      <c r="A390" s="17"/>
      <c r="B390" s="75"/>
      <c r="C390" s="1989" t="s">
        <v>3497</v>
      </c>
      <c r="D390" s="1989" t="s">
        <v>5340</v>
      </c>
      <c r="E390" s="1989">
        <v>6.64</v>
      </c>
      <c r="F390" s="38">
        <f t="shared" si="5"/>
        <v>539.97303360000001</v>
      </c>
      <c r="G390" s="459"/>
      <c r="H390" s="8"/>
      <c r="I390" s="8"/>
      <c r="J390" s="8"/>
      <c r="K390" s="8"/>
      <c r="L390" s="8"/>
      <c r="M390" s="8"/>
      <c r="N390" s="8"/>
      <c r="O390" s="8"/>
      <c r="P390" s="8"/>
      <c r="Q390" s="8"/>
      <c r="R390" s="8"/>
      <c r="S390" s="8"/>
      <c r="T390" s="8"/>
      <c r="U390" s="8"/>
      <c r="V390" s="8"/>
      <c r="W390" s="8"/>
      <c r="X390" s="771"/>
      <c r="Y390" s="771"/>
      <c r="Z390" s="771"/>
      <c r="AA390" s="771"/>
      <c r="AB390" s="771"/>
      <c r="AC390" s="771"/>
      <c r="AD390" s="771"/>
      <c r="AE390" s="771"/>
      <c r="AF390" s="771"/>
      <c r="AG390" s="771"/>
      <c r="AH390" s="771"/>
      <c r="AI390" s="771"/>
      <c r="AJ390" s="771"/>
      <c r="AK390" s="771"/>
      <c r="AL390" s="771"/>
      <c r="AM390" s="771"/>
      <c r="AN390" s="771"/>
      <c r="AO390" s="771"/>
      <c r="AP390" s="771"/>
      <c r="AQ390" s="771"/>
      <c r="AR390" s="771"/>
      <c r="AS390" s="771"/>
      <c r="AT390" s="771"/>
      <c r="AU390" s="771"/>
    </row>
    <row r="391" spans="1:47" s="1135" customFormat="1" outlineLevel="1" x14ac:dyDescent="0.2">
      <c r="A391" s="17"/>
      <c r="B391" s="75"/>
      <c r="C391" s="1989" t="s">
        <v>2021</v>
      </c>
      <c r="D391" s="1989" t="s">
        <v>7410</v>
      </c>
      <c r="E391" s="1989">
        <v>6.53</v>
      </c>
      <c r="F391" s="38">
        <f t="shared" si="5"/>
        <v>531.02769720000003</v>
      </c>
      <c r="G391" s="459"/>
      <c r="H391" s="8"/>
      <c r="I391" s="8"/>
      <c r="J391" s="8"/>
      <c r="K391" s="8"/>
      <c r="L391" s="8"/>
      <c r="M391" s="8"/>
      <c r="N391" s="8"/>
      <c r="O391" s="8"/>
      <c r="P391" s="8"/>
      <c r="Q391" s="8"/>
      <c r="R391" s="8"/>
      <c r="S391" s="8"/>
      <c r="T391" s="8"/>
      <c r="U391" s="8"/>
      <c r="V391" s="8"/>
      <c r="W391" s="8"/>
      <c r="X391" s="771"/>
      <c r="Y391" s="771"/>
      <c r="Z391" s="771"/>
      <c r="AA391" s="771"/>
      <c r="AB391" s="771"/>
      <c r="AC391" s="771"/>
      <c r="AD391" s="771"/>
      <c r="AE391" s="771"/>
      <c r="AF391" s="771"/>
      <c r="AG391" s="771"/>
      <c r="AH391" s="771"/>
      <c r="AI391" s="771"/>
      <c r="AJ391" s="771"/>
      <c r="AK391" s="771"/>
      <c r="AL391" s="771"/>
      <c r="AM391" s="771"/>
      <c r="AN391" s="771"/>
      <c r="AO391" s="771"/>
      <c r="AP391" s="771"/>
      <c r="AQ391" s="771"/>
      <c r="AR391" s="771"/>
      <c r="AS391" s="771"/>
      <c r="AT391" s="771"/>
      <c r="AU391" s="771"/>
    </row>
    <row r="392" spans="1:47" s="1135" customFormat="1" outlineLevel="1" x14ac:dyDescent="0.2">
      <c r="A392" s="17"/>
      <c r="B392" s="75"/>
      <c r="C392" s="1989" t="s">
        <v>3496</v>
      </c>
      <c r="D392" s="1989" t="s">
        <v>7411</v>
      </c>
      <c r="E392" s="1989">
        <v>6.71</v>
      </c>
      <c r="F392" s="38">
        <f t="shared" si="5"/>
        <v>545.66552039999999</v>
      </c>
      <c r="G392" s="459"/>
      <c r="H392" s="8"/>
      <c r="I392" s="8"/>
      <c r="J392" s="8"/>
      <c r="K392" s="8"/>
      <c r="L392" s="8"/>
      <c r="M392" s="8"/>
      <c r="N392" s="8"/>
      <c r="O392" s="8"/>
      <c r="P392" s="8"/>
      <c r="Q392" s="8"/>
      <c r="R392" s="8"/>
      <c r="S392" s="8"/>
      <c r="T392" s="8"/>
      <c r="U392" s="8"/>
      <c r="V392" s="8"/>
      <c r="W392" s="8"/>
      <c r="X392" s="771"/>
      <c r="Y392" s="771"/>
      <c r="Z392" s="771"/>
      <c r="AA392" s="771"/>
      <c r="AB392" s="771"/>
      <c r="AC392" s="771"/>
      <c r="AD392" s="771"/>
      <c r="AE392" s="771"/>
      <c r="AF392" s="771"/>
      <c r="AG392" s="771"/>
      <c r="AH392" s="771"/>
      <c r="AI392" s="771"/>
      <c r="AJ392" s="771"/>
      <c r="AK392" s="771"/>
      <c r="AL392" s="771"/>
      <c r="AM392" s="771"/>
      <c r="AN392" s="771"/>
      <c r="AO392" s="771"/>
      <c r="AP392" s="771"/>
      <c r="AQ392" s="771"/>
      <c r="AR392" s="771"/>
      <c r="AS392" s="771"/>
      <c r="AT392" s="771"/>
      <c r="AU392" s="771"/>
    </row>
    <row r="393" spans="1:47" s="1135" customFormat="1" outlineLevel="1" x14ac:dyDescent="0.2">
      <c r="A393" s="17"/>
      <c r="B393" s="75"/>
      <c r="C393" s="1989" t="s">
        <v>3495</v>
      </c>
      <c r="D393" s="1989" t="s">
        <v>7412</v>
      </c>
      <c r="E393" s="1989">
        <v>6.71</v>
      </c>
      <c r="F393" s="38">
        <f t="shared" si="5"/>
        <v>545.66552039999999</v>
      </c>
      <c r="G393" s="459"/>
      <c r="H393" s="8"/>
      <c r="I393" s="8"/>
      <c r="J393" s="8"/>
      <c r="K393" s="8"/>
      <c r="L393" s="8"/>
      <c r="M393" s="8"/>
      <c r="N393" s="8"/>
      <c r="O393" s="8"/>
      <c r="P393" s="8"/>
      <c r="Q393" s="8"/>
      <c r="R393" s="8"/>
      <c r="S393" s="8"/>
      <c r="T393" s="8"/>
      <c r="U393" s="8"/>
      <c r="V393" s="8"/>
      <c r="W393" s="8"/>
      <c r="X393" s="771"/>
      <c r="Y393" s="771"/>
      <c r="Z393" s="771"/>
      <c r="AA393" s="771"/>
      <c r="AB393" s="771"/>
      <c r="AC393" s="771"/>
      <c r="AD393" s="771"/>
      <c r="AE393" s="771"/>
      <c r="AF393" s="771"/>
      <c r="AG393" s="771"/>
      <c r="AH393" s="771"/>
      <c r="AI393" s="771"/>
      <c r="AJ393" s="771"/>
      <c r="AK393" s="771"/>
      <c r="AL393" s="771"/>
      <c r="AM393" s="771"/>
      <c r="AN393" s="771"/>
      <c r="AO393" s="771"/>
      <c r="AP393" s="771"/>
      <c r="AQ393" s="771"/>
      <c r="AR393" s="771"/>
      <c r="AS393" s="771"/>
      <c r="AT393" s="771"/>
      <c r="AU393" s="771"/>
    </row>
    <row r="394" spans="1:47" s="1135" customFormat="1" outlineLevel="1" x14ac:dyDescent="0.2">
      <c r="A394" s="17"/>
      <c r="B394" s="75"/>
      <c r="C394" s="1989" t="s">
        <v>3503</v>
      </c>
      <c r="D394" s="1989" t="s">
        <v>5341</v>
      </c>
      <c r="E394" s="1989">
        <v>4.8</v>
      </c>
      <c r="F394" s="38">
        <f t="shared" si="5"/>
        <v>390.34195199999999</v>
      </c>
      <c r="G394" s="459"/>
      <c r="H394" s="8"/>
      <c r="I394" s="8"/>
      <c r="J394" s="8"/>
      <c r="K394" s="8"/>
      <c r="L394" s="8"/>
      <c r="M394" s="8"/>
      <c r="N394" s="8"/>
      <c r="O394" s="8"/>
      <c r="P394" s="8"/>
      <c r="Q394" s="8"/>
      <c r="R394" s="8"/>
      <c r="S394" s="8"/>
      <c r="T394" s="8"/>
      <c r="U394" s="8"/>
      <c r="V394" s="8"/>
      <c r="W394" s="8"/>
      <c r="X394" s="771"/>
      <c r="Y394" s="771"/>
      <c r="Z394" s="771"/>
      <c r="AA394" s="771"/>
      <c r="AB394" s="771"/>
      <c r="AC394" s="771"/>
      <c r="AD394" s="771"/>
      <c r="AE394" s="771"/>
      <c r="AF394" s="771"/>
      <c r="AG394" s="771"/>
      <c r="AH394" s="771"/>
      <c r="AI394" s="771"/>
      <c r="AJ394" s="771"/>
      <c r="AK394" s="771"/>
      <c r="AL394" s="771"/>
      <c r="AM394" s="771"/>
      <c r="AN394" s="771"/>
      <c r="AO394" s="771"/>
      <c r="AP394" s="771"/>
      <c r="AQ394" s="771"/>
      <c r="AR394" s="771"/>
      <c r="AS394" s="771"/>
      <c r="AT394" s="771"/>
      <c r="AU394" s="771"/>
    </row>
    <row r="395" spans="1:47" s="1135" customFormat="1" outlineLevel="1" x14ac:dyDescent="0.2">
      <c r="A395" s="17"/>
      <c r="B395" s="75"/>
      <c r="C395" s="1989" t="s">
        <v>3504</v>
      </c>
      <c r="D395" s="1989" t="s">
        <v>5342</v>
      </c>
      <c r="E395" s="1989">
        <v>4.8</v>
      </c>
      <c r="F395" s="38">
        <f t="shared" si="5"/>
        <v>390.34195199999999</v>
      </c>
      <c r="G395" s="459"/>
      <c r="H395" s="8"/>
      <c r="I395" s="8"/>
      <c r="J395" s="8"/>
      <c r="K395" s="8"/>
      <c r="L395" s="8"/>
      <c r="M395" s="8"/>
      <c r="N395" s="8"/>
      <c r="O395" s="8"/>
      <c r="P395" s="8"/>
      <c r="Q395" s="8"/>
      <c r="R395" s="8"/>
      <c r="S395" s="8"/>
      <c r="T395" s="8"/>
      <c r="U395" s="8"/>
      <c r="V395" s="8"/>
      <c r="W395" s="8"/>
      <c r="X395" s="771"/>
      <c r="Y395" s="771"/>
      <c r="Z395" s="771"/>
      <c r="AA395" s="771"/>
      <c r="AB395" s="771"/>
      <c r="AC395" s="771"/>
      <c r="AD395" s="771"/>
      <c r="AE395" s="771"/>
      <c r="AF395" s="771"/>
      <c r="AG395" s="771"/>
      <c r="AH395" s="771"/>
      <c r="AI395" s="771"/>
      <c r="AJ395" s="771"/>
      <c r="AK395" s="771"/>
      <c r="AL395" s="771"/>
      <c r="AM395" s="771"/>
      <c r="AN395" s="771"/>
      <c r="AO395" s="771"/>
      <c r="AP395" s="771"/>
      <c r="AQ395" s="771"/>
      <c r="AR395" s="771"/>
      <c r="AS395" s="771"/>
      <c r="AT395" s="771"/>
      <c r="AU395" s="771"/>
    </row>
    <row r="396" spans="1:47" s="1135" customFormat="1" outlineLevel="1" x14ac:dyDescent="0.2">
      <c r="A396" s="17"/>
      <c r="B396" s="75"/>
      <c r="C396" s="1989" t="s">
        <v>3494</v>
      </c>
      <c r="D396" s="1989" t="s">
        <v>5343</v>
      </c>
      <c r="E396" s="1989">
        <v>4.8600000000000003</v>
      </c>
      <c r="F396" s="38">
        <f t="shared" si="5"/>
        <v>395.22122640000003</v>
      </c>
      <c r="G396" s="459"/>
      <c r="H396" s="8"/>
      <c r="I396" s="8"/>
      <c r="J396" s="8"/>
      <c r="K396" s="8"/>
      <c r="L396" s="8"/>
      <c r="M396" s="8"/>
      <c r="N396" s="8"/>
      <c r="O396" s="8"/>
      <c r="P396" s="8"/>
      <c r="Q396" s="8"/>
      <c r="R396" s="8"/>
      <c r="S396" s="8"/>
      <c r="T396" s="8"/>
      <c r="U396" s="8"/>
      <c r="V396" s="8"/>
      <c r="W396" s="8"/>
      <c r="X396" s="771"/>
      <c r="Y396" s="771"/>
      <c r="Z396" s="771"/>
      <c r="AA396" s="771"/>
      <c r="AB396" s="771"/>
      <c r="AC396" s="771"/>
      <c r="AD396" s="771"/>
      <c r="AE396" s="771"/>
      <c r="AF396" s="771"/>
      <c r="AG396" s="771"/>
      <c r="AH396" s="771"/>
      <c r="AI396" s="771"/>
      <c r="AJ396" s="771"/>
      <c r="AK396" s="771"/>
      <c r="AL396" s="771"/>
      <c r="AM396" s="771"/>
      <c r="AN396" s="771"/>
      <c r="AO396" s="771"/>
      <c r="AP396" s="771"/>
      <c r="AQ396" s="771"/>
      <c r="AR396" s="771"/>
      <c r="AS396" s="771"/>
      <c r="AT396" s="771"/>
      <c r="AU396" s="771"/>
    </row>
    <row r="397" spans="1:47" s="1135" customFormat="1" outlineLevel="1" x14ac:dyDescent="0.2">
      <c r="A397" s="17"/>
      <c r="B397" s="75"/>
      <c r="C397" s="1989" t="s">
        <v>3493</v>
      </c>
      <c r="D397" s="1989" t="s">
        <v>5344</v>
      </c>
      <c r="E397" s="1989">
        <v>4.8600000000000003</v>
      </c>
      <c r="F397" s="38">
        <f t="shared" si="5"/>
        <v>395.22122640000003</v>
      </c>
      <c r="G397" s="459"/>
      <c r="H397" s="8"/>
      <c r="I397" s="8"/>
      <c r="J397" s="8"/>
      <c r="K397" s="8"/>
      <c r="L397" s="8"/>
      <c r="M397" s="8"/>
      <c r="N397" s="8"/>
      <c r="O397" s="8"/>
      <c r="P397" s="8"/>
      <c r="Q397" s="8"/>
      <c r="R397" s="8"/>
      <c r="S397" s="8"/>
      <c r="T397" s="8"/>
      <c r="U397" s="8"/>
      <c r="V397" s="8"/>
      <c r="W397" s="8"/>
      <c r="X397" s="771"/>
      <c r="Y397" s="771"/>
      <c r="Z397" s="771"/>
      <c r="AA397" s="771"/>
      <c r="AB397" s="771"/>
      <c r="AC397" s="771"/>
      <c r="AD397" s="771"/>
      <c r="AE397" s="771"/>
      <c r="AF397" s="771"/>
      <c r="AG397" s="771"/>
      <c r="AH397" s="771"/>
      <c r="AI397" s="771"/>
      <c r="AJ397" s="771"/>
      <c r="AK397" s="771"/>
      <c r="AL397" s="771"/>
      <c r="AM397" s="771"/>
      <c r="AN397" s="771"/>
      <c r="AO397" s="771"/>
      <c r="AP397" s="771"/>
      <c r="AQ397" s="771"/>
      <c r="AR397" s="771"/>
      <c r="AS397" s="771"/>
      <c r="AT397" s="771"/>
      <c r="AU397" s="771"/>
    </row>
    <row r="398" spans="1:47" s="1135" customFormat="1" outlineLevel="1" x14ac:dyDescent="0.2">
      <c r="A398" s="17"/>
      <c r="B398" s="75"/>
      <c r="C398" s="1989" t="s">
        <v>1025</v>
      </c>
      <c r="D398" s="1989" t="s">
        <v>5345</v>
      </c>
      <c r="E398" s="1989">
        <v>5.3</v>
      </c>
      <c r="F398" s="38">
        <f t="shared" si="5"/>
        <v>431.00257199999999</v>
      </c>
      <c r="G398" s="459"/>
      <c r="H398" s="8"/>
      <c r="I398" s="8"/>
      <c r="J398" s="8"/>
      <c r="K398" s="8"/>
      <c r="L398" s="8"/>
      <c r="M398" s="8"/>
      <c r="N398" s="8"/>
      <c r="O398" s="8"/>
      <c r="P398" s="8"/>
      <c r="Q398" s="8"/>
      <c r="R398" s="8"/>
      <c r="S398" s="8"/>
      <c r="T398" s="8"/>
      <c r="U398" s="8"/>
      <c r="V398" s="8"/>
      <c r="W398" s="8"/>
      <c r="X398" s="771"/>
      <c r="Y398" s="771"/>
      <c r="Z398" s="771"/>
      <c r="AA398" s="771"/>
      <c r="AB398" s="771"/>
      <c r="AC398" s="771"/>
      <c r="AD398" s="771"/>
      <c r="AE398" s="771"/>
      <c r="AF398" s="771"/>
      <c r="AG398" s="771"/>
      <c r="AH398" s="771"/>
      <c r="AI398" s="771"/>
      <c r="AJ398" s="771"/>
      <c r="AK398" s="771"/>
      <c r="AL398" s="771"/>
      <c r="AM398" s="771"/>
      <c r="AN398" s="771"/>
      <c r="AO398" s="771"/>
      <c r="AP398" s="771"/>
      <c r="AQ398" s="771"/>
      <c r="AR398" s="771"/>
      <c r="AS398" s="771"/>
      <c r="AT398" s="771"/>
      <c r="AU398" s="771"/>
    </row>
    <row r="399" spans="1:47" s="1135" customFormat="1" outlineLevel="1" x14ac:dyDescent="0.2">
      <c r="A399" s="17"/>
      <c r="B399" s="75"/>
      <c r="C399" s="1989" t="s">
        <v>3201</v>
      </c>
      <c r="D399" s="1989" t="s">
        <v>3202</v>
      </c>
      <c r="E399" s="1989">
        <v>0</v>
      </c>
      <c r="F399" s="38">
        <f t="shared" si="5"/>
        <v>0</v>
      </c>
      <c r="G399" s="459"/>
      <c r="H399" s="8"/>
      <c r="I399" s="8"/>
      <c r="J399" s="8"/>
      <c r="K399" s="8"/>
      <c r="L399" s="8"/>
      <c r="M399" s="8"/>
      <c r="N399" s="8"/>
      <c r="O399" s="8"/>
      <c r="P399" s="8"/>
      <c r="Q399" s="8"/>
      <c r="R399" s="8"/>
      <c r="S399" s="8"/>
      <c r="T399" s="8"/>
      <c r="U399" s="8"/>
      <c r="V399" s="8"/>
      <c r="W399" s="8"/>
      <c r="X399" s="771"/>
      <c r="Y399" s="771"/>
      <c r="Z399" s="771"/>
      <c r="AA399" s="771"/>
      <c r="AB399" s="771"/>
      <c r="AC399" s="771"/>
      <c r="AD399" s="771"/>
      <c r="AE399" s="771"/>
      <c r="AF399" s="771"/>
      <c r="AG399" s="771"/>
      <c r="AH399" s="771"/>
      <c r="AI399" s="771"/>
      <c r="AJ399" s="771"/>
      <c r="AK399" s="771"/>
      <c r="AL399" s="771"/>
      <c r="AM399" s="771"/>
      <c r="AN399" s="771"/>
      <c r="AO399" s="771"/>
      <c r="AP399" s="771"/>
      <c r="AQ399" s="771"/>
      <c r="AR399" s="771"/>
      <c r="AS399" s="771"/>
      <c r="AT399" s="771"/>
      <c r="AU399" s="771"/>
    </row>
    <row r="400" spans="1:47" s="1135" customFormat="1" outlineLevel="1" x14ac:dyDescent="0.2">
      <c r="A400" s="17"/>
      <c r="B400" s="75"/>
      <c r="C400" s="1989" t="s">
        <v>2032</v>
      </c>
      <c r="D400" s="1989" t="s">
        <v>5346</v>
      </c>
      <c r="E400" s="1989">
        <v>0.54</v>
      </c>
      <c r="F400" s="38">
        <f t="shared" si="5"/>
        <v>43.913469600000006</v>
      </c>
      <c r="G400" s="459"/>
      <c r="H400" s="8"/>
      <c r="I400" s="8"/>
      <c r="J400" s="8"/>
      <c r="K400" s="8"/>
      <c r="L400" s="8"/>
      <c r="M400" s="8"/>
      <c r="N400" s="8"/>
      <c r="O400" s="8"/>
      <c r="P400" s="8"/>
      <c r="Q400" s="8"/>
      <c r="R400" s="8"/>
      <c r="S400" s="8"/>
      <c r="T400" s="8"/>
      <c r="U400" s="8"/>
      <c r="V400" s="8"/>
      <c r="W400" s="8"/>
      <c r="X400" s="771"/>
      <c r="Y400" s="771"/>
      <c r="Z400" s="771"/>
      <c r="AA400" s="771"/>
      <c r="AB400" s="771"/>
      <c r="AC400" s="771"/>
      <c r="AD400" s="771"/>
      <c r="AE400" s="771"/>
      <c r="AF400" s="771"/>
      <c r="AG400" s="771"/>
      <c r="AH400" s="771"/>
      <c r="AI400" s="771"/>
      <c r="AJ400" s="771"/>
      <c r="AK400" s="771"/>
      <c r="AL400" s="771"/>
      <c r="AM400" s="771"/>
      <c r="AN400" s="771"/>
      <c r="AO400" s="771"/>
      <c r="AP400" s="771"/>
      <c r="AQ400" s="771"/>
      <c r="AR400" s="771"/>
      <c r="AS400" s="771"/>
      <c r="AT400" s="771"/>
      <c r="AU400" s="771"/>
    </row>
    <row r="401" spans="1:47" s="1135" customFormat="1" outlineLevel="1" x14ac:dyDescent="0.2">
      <c r="A401" s="17"/>
      <c r="B401" s="75"/>
      <c r="C401" s="1989" t="s">
        <v>2033</v>
      </c>
      <c r="D401" s="1989" t="s">
        <v>5347</v>
      </c>
      <c r="E401" s="1989">
        <v>0.54</v>
      </c>
      <c r="F401" s="38">
        <f t="shared" si="5"/>
        <v>43.913469600000006</v>
      </c>
      <c r="G401" s="459"/>
      <c r="H401" s="8"/>
      <c r="I401" s="8"/>
      <c r="J401" s="8"/>
      <c r="K401" s="8"/>
      <c r="L401" s="8"/>
      <c r="M401" s="8"/>
      <c r="N401" s="8"/>
      <c r="O401" s="8"/>
      <c r="P401" s="8"/>
      <c r="Q401" s="8"/>
      <c r="R401" s="8"/>
      <c r="S401" s="8"/>
      <c r="T401" s="8"/>
      <c r="U401" s="8"/>
      <c r="V401" s="8"/>
      <c r="W401" s="8"/>
      <c r="X401" s="771"/>
      <c r="Y401" s="771"/>
      <c r="Z401" s="771"/>
      <c r="AA401" s="771"/>
      <c r="AB401" s="771"/>
      <c r="AC401" s="771"/>
      <c r="AD401" s="771"/>
      <c r="AE401" s="771"/>
      <c r="AF401" s="771"/>
      <c r="AG401" s="771"/>
      <c r="AH401" s="771"/>
      <c r="AI401" s="771"/>
      <c r="AJ401" s="771"/>
      <c r="AK401" s="771"/>
      <c r="AL401" s="771"/>
      <c r="AM401" s="771"/>
      <c r="AN401" s="771"/>
      <c r="AO401" s="771"/>
      <c r="AP401" s="771"/>
      <c r="AQ401" s="771"/>
      <c r="AR401" s="771"/>
      <c r="AS401" s="771"/>
      <c r="AT401" s="771"/>
      <c r="AU401" s="771"/>
    </row>
    <row r="402" spans="1:47" s="1135" customFormat="1" outlineLevel="1" x14ac:dyDescent="0.2">
      <c r="A402" s="17"/>
      <c r="B402" s="75"/>
      <c r="C402" s="1989" t="s">
        <v>5196</v>
      </c>
      <c r="D402" s="1989" t="s">
        <v>7413</v>
      </c>
      <c r="E402" s="1989">
        <v>6.79</v>
      </c>
      <c r="F402" s="38">
        <f t="shared" si="5"/>
        <v>552.17121959999997</v>
      </c>
      <c r="G402" s="459"/>
      <c r="H402" s="8"/>
      <c r="I402" s="8"/>
      <c r="J402" s="8"/>
      <c r="K402" s="8"/>
      <c r="L402" s="8"/>
      <c r="M402" s="8"/>
      <c r="N402" s="8"/>
      <c r="O402" s="8"/>
      <c r="P402" s="8"/>
      <c r="Q402" s="8"/>
      <c r="R402" s="8"/>
      <c r="S402" s="8"/>
      <c r="T402" s="8"/>
      <c r="U402" s="8"/>
      <c r="V402" s="8"/>
      <c r="W402" s="8"/>
      <c r="X402" s="771"/>
      <c r="Y402" s="771"/>
      <c r="Z402" s="771"/>
      <c r="AA402" s="771"/>
      <c r="AB402" s="771"/>
      <c r="AC402" s="771"/>
      <c r="AD402" s="771"/>
      <c r="AE402" s="771"/>
      <c r="AF402" s="771"/>
      <c r="AG402" s="771"/>
      <c r="AH402" s="771"/>
      <c r="AI402" s="771"/>
      <c r="AJ402" s="771"/>
      <c r="AK402" s="771"/>
      <c r="AL402" s="771"/>
      <c r="AM402" s="771"/>
      <c r="AN402" s="771"/>
      <c r="AO402" s="771"/>
      <c r="AP402" s="771"/>
      <c r="AQ402" s="771"/>
      <c r="AR402" s="771"/>
      <c r="AS402" s="771"/>
      <c r="AT402" s="771"/>
      <c r="AU402" s="771"/>
    </row>
    <row r="403" spans="1:47" s="1135" customFormat="1" outlineLevel="1" x14ac:dyDescent="0.2">
      <c r="A403" s="17"/>
      <c r="B403" s="75"/>
      <c r="C403" s="1989" t="s">
        <v>5195</v>
      </c>
      <c r="D403" s="1989" t="s">
        <v>7414</v>
      </c>
      <c r="E403" s="1989">
        <v>6.79</v>
      </c>
      <c r="F403" s="38">
        <f t="shared" si="5"/>
        <v>552.17121959999997</v>
      </c>
      <c r="G403" s="459"/>
      <c r="H403" s="8"/>
      <c r="I403" s="8"/>
      <c r="J403" s="8"/>
      <c r="K403" s="8"/>
      <c r="L403" s="8"/>
      <c r="M403" s="8"/>
      <c r="N403" s="8"/>
      <c r="O403" s="8"/>
      <c r="P403" s="8"/>
      <c r="Q403" s="8"/>
      <c r="R403" s="8"/>
      <c r="S403" s="8"/>
      <c r="T403" s="8"/>
      <c r="U403" s="8"/>
      <c r="V403" s="8"/>
      <c r="W403" s="8"/>
      <c r="X403" s="771"/>
      <c r="Y403" s="771"/>
      <c r="Z403" s="771"/>
      <c r="AA403" s="771"/>
      <c r="AB403" s="771"/>
      <c r="AC403" s="771"/>
      <c r="AD403" s="771"/>
      <c r="AE403" s="771"/>
      <c r="AF403" s="771"/>
      <c r="AG403" s="771"/>
      <c r="AH403" s="771"/>
      <c r="AI403" s="771"/>
      <c r="AJ403" s="771"/>
      <c r="AK403" s="771"/>
      <c r="AL403" s="771"/>
      <c r="AM403" s="771"/>
      <c r="AN403" s="771"/>
      <c r="AO403" s="771"/>
      <c r="AP403" s="771"/>
      <c r="AQ403" s="771"/>
      <c r="AR403" s="771"/>
      <c r="AS403" s="771"/>
      <c r="AT403" s="771"/>
      <c r="AU403" s="771"/>
    </row>
    <row r="404" spans="1:47" s="1135" customFormat="1" outlineLevel="1" x14ac:dyDescent="0.2">
      <c r="A404" s="17"/>
      <c r="B404" s="75"/>
      <c r="C404" s="1989" t="s">
        <v>3505</v>
      </c>
      <c r="D404" s="1989" t="s">
        <v>5348</v>
      </c>
      <c r="E404" s="1989">
        <v>6.86</v>
      </c>
      <c r="F404" s="38">
        <f t="shared" si="5"/>
        <v>557.86370639999996</v>
      </c>
      <c r="G404" s="459"/>
      <c r="H404" s="8"/>
      <c r="I404" s="8"/>
      <c r="J404" s="8"/>
      <c r="K404" s="8"/>
      <c r="L404" s="8"/>
      <c r="M404" s="8"/>
      <c r="N404" s="8"/>
      <c r="O404" s="8"/>
      <c r="P404" s="8"/>
      <c r="Q404" s="8"/>
      <c r="R404" s="8"/>
      <c r="S404" s="8"/>
      <c r="T404" s="8"/>
      <c r="U404" s="8"/>
      <c r="V404" s="8"/>
      <c r="W404" s="8"/>
      <c r="X404" s="771"/>
      <c r="Y404" s="771"/>
      <c r="Z404" s="771"/>
      <c r="AA404" s="771"/>
      <c r="AB404" s="771"/>
      <c r="AC404" s="771"/>
      <c r="AD404" s="771"/>
      <c r="AE404" s="771"/>
      <c r="AF404" s="771"/>
      <c r="AG404" s="771"/>
      <c r="AH404" s="771"/>
      <c r="AI404" s="771"/>
      <c r="AJ404" s="771"/>
      <c r="AK404" s="771"/>
      <c r="AL404" s="771"/>
      <c r="AM404" s="771"/>
      <c r="AN404" s="771"/>
      <c r="AO404" s="771"/>
      <c r="AP404" s="771"/>
      <c r="AQ404" s="771"/>
      <c r="AR404" s="771"/>
      <c r="AS404" s="771"/>
      <c r="AT404" s="771"/>
      <c r="AU404" s="771"/>
    </row>
    <row r="405" spans="1:47" s="1135" customFormat="1" outlineLevel="1" x14ac:dyDescent="0.2">
      <c r="A405" s="17"/>
      <c r="B405" s="75"/>
      <c r="C405" s="1989" t="s">
        <v>725</v>
      </c>
      <c r="D405" s="1989" t="s">
        <v>7415</v>
      </c>
      <c r="E405" s="1989">
        <v>6.6</v>
      </c>
      <c r="F405" s="38">
        <f t="shared" si="5"/>
        <v>536.72018400000002</v>
      </c>
      <c r="G405" s="459"/>
      <c r="H405" s="8"/>
      <c r="I405" s="8"/>
      <c r="J405" s="8"/>
      <c r="K405" s="8"/>
      <c r="L405" s="8"/>
      <c r="M405" s="8"/>
      <c r="N405" s="8"/>
      <c r="O405" s="8"/>
      <c r="P405" s="8"/>
      <c r="Q405" s="8"/>
      <c r="R405" s="8"/>
      <c r="S405" s="8"/>
      <c r="T405" s="8"/>
      <c r="U405" s="8"/>
      <c r="V405" s="8"/>
      <c r="W405" s="8"/>
      <c r="X405" s="771"/>
      <c r="Y405" s="771"/>
      <c r="Z405" s="771"/>
      <c r="AA405" s="771"/>
      <c r="AB405" s="771"/>
      <c r="AC405" s="771"/>
      <c r="AD405" s="771"/>
      <c r="AE405" s="771"/>
      <c r="AF405" s="771"/>
      <c r="AG405" s="771"/>
      <c r="AH405" s="771"/>
      <c r="AI405" s="771"/>
      <c r="AJ405" s="771"/>
      <c r="AK405" s="771"/>
      <c r="AL405" s="771"/>
      <c r="AM405" s="771"/>
      <c r="AN405" s="771"/>
      <c r="AO405" s="771"/>
      <c r="AP405" s="771"/>
      <c r="AQ405" s="771"/>
      <c r="AR405" s="771"/>
      <c r="AS405" s="771"/>
      <c r="AT405" s="771"/>
      <c r="AU405" s="771"/>
    </row>
    <row r="406" spans="1:47" s="1135" customFormat="1" outlineLevel="1" x14ac:dyDescent="0.2">
      <c r="A406" s="17"/>
      <c r="B406" s="75"/>
      <c r="C406" s="1989" t="s">
        <v>727</v>
      </c>
      <c r="D406" s="1989" t="s">
        <v>7416</v>
      </c>
      <c r="E406" s="1989">
        <v>6.6</v>
      </c>
      <c r="F406" s="38">
        <f t="shared" si="5"/>
        <v>536.72018400000002</v>
      </c>
      <c r="G406" s="459"/>
      <c r="H406" s="8"/>
      <c r="I406" s="8"/>
      <c r="J406" s="8"/>
      <c r="K406" s="8"/>
      <c r="L406" s="8"/>
      <c r="M406" s="8"/>
      <c r="N406" s="8"/>
      <c r="O406" s="8"/>
      <c r="P406" s="8"/>
      <c r="Q406" s="8"/>
      <c r="R406" s="8"/>
      <c r="S406" s="8"/>
      <c r="T406" s="8"/>
      <c r="U406" s="8"/>
      <c r="V406" s="8"/>
      <c r="W406" s="8"/>
      <c r="X406" s="771"/>
      <c r="Y406" s="771"/>
      <c r="Z406" s="771"/>
      <c r="AA406" s="771"/>
      <c r="AB406" s="771"/>
      <c r="AC406" s="771"/>
      <c r="AD406" s="771"/>
      <c r="AE406" s="771"/>
      <c r="AF406" s="771"/>
      <c r="AG406" s="771"/>
      <c r="AH406" s="771"/>
      <c r="AI406" s="771"/>
      <c r="AJ406" s="771"/>
      <c r="AK406" s="771"/>
      <c r="AL406" s="771"/>
      <c r="AM406" s="771"/>
      <c r="AN406" s="771"/>
      <c r="AO406" s="771"/>
      <c r="AP406" s="771"/>
      <c r="AQ406" s="771"/>
      <c r="AR406" s="771"/>
      <c r="AS406" s="771"/>
      <c r="AT406" s="771"/>
      <c r="AU406" s="771"/>
    </row>
    <row r="407" spans="1:47" s="1135" customFormat="1" outlineLevel="1" x14ac:dyDescent="0.2">
      <c r="A407" s="17"/>
      <c r="B407" s="75"/>
      <c r="C407" s="1989" t="s">
        <v>3506</v>
      </c>
      <c r="D407" s="1989" t="s">
        <v>5349</v>
      </c>
      <c r="E407" s="1989">
        <v>6.86</v>
      </c>
      <c r="F407" s="38">
        <f t="shared" si="5"/>
        <v>557.86370639999996</v>
      </c>
      <c r="G407" s="459"/>
      <c r="H407" s="8"/>
      <c r="I407" s="8"/>
      <c r="J407" s="8"/>
      <c r="K407" s="8"/>
      <c r="L407" s="8"/>
      <c r="M407" s="8"/>
      <c r="N407" s="8"/>
      <c r="O407" s="8"/>
      <c r="P407" s="8"/>
      <c r="Q407" s="8"/>
      <c r="R407" s="8"/>
      <c r="S407" s="8"/>
      <c r="T407" s="8"/>
      <c r="U407" s="8"/>
      <c r="V407" s="8"/>
      <c r="W407" s="8"/>
      <c r="X407" s="771"/>
      <c r="Y407" s="771"/>
      <c r="Z407" s="771"/>
      <c r="AA407" s="771"/>
      <c r="AB407" s="771"/>
      <c r="AC407" s="771"/>
      <c r="AD407" s="771"/>
      <c r="AE407" s="771"/>
      <c r="AF407" s="771"/>
      <c r="AG407" s="771"/>
      <c r="AH407" s="771"/>
      <c r="AI407" s="771"/>
      <c r="AJ407" s="771"/>
      <c r="AK407" s="771"/>
      <c r="AL407" s="771"/>
      <c r="AM407" s="771"/>
      <c r="AN407" s="771"/>
      <c r="AO407" s="771"/>
      <c r="AP407" s="771"/>
      <c r="AQ407" s="771"/>
      <c r="AR407" s="771"/>
      <c r="AS407" s="771"/>
      <c r="AT407" s="771"/>
      <c r="AU407" s="771"/>
    </row>
    <row r="408" spans="1:47" s="1135" customFormat="1" outlineLevel="1" x14ac:dyDescent="0.2">
      <c r="A408" s="17"/>
      <c r="B408" s="75"/>
      <c r="C408" s="1989" t="s">
        <v>2200</v>
      </c>
      <c r="D408" s="1989" t="s">
        <v>221</v>
      </c>
      <c r="E408" s="1989">
        <v>5.1100000000000003</v>
      </c>
      <c r="F408" s="38">
        <f t="shared" si="5"/>
        <v>415.55153640000009</v>
      </c>
      <c r="G408" s="459"/>
      <c r="H408" s="8"/>
      <c r="I408" s="8"/>
      <c r="J408" s="8"/>
      <c r="K408" s="8"/>
      <c r="L408" s="8"/>
      <c r="M408" s="8"/>
      <c r="N408" s="8"/>
      <c r="O408" s="8"/>
      <c r="P408" s="8"/>
      <c r="Q408" s="8"/>
      <c r="R408" s="8"/>
      <c r="S408" s="8"/>
      <c r="T408" s="8"/>
      <c r="U408" s="8"/>
      <c r="V408" s="8"/>
      <c r="W408" s="8"/>
      <c r="X408" s="771"/>
      <c r="Y408" s="771"/>
      <c r="Z408" s="771"/>
      <c r="AA408" s="771"/>
      <c r="AB408" s="771"/>
      <c r="AC408" s="771"/>
      <c r="AD408" s="771"/>
      <c r="AE408" s="771"/>
      <c r="AF408" s="771"/>
      <c r="AG408" s="771"/>
      <c r="AH408" s="771"/>
      <c r="AI408" s="771"/>
      <c r="AJ408" s="771"/>
      <c r="AK408" s="771"/>
      <c r="AL408" s="771"/>
      <c r="AM408" s="771"/>
      <c r="AN408" s="771"/>
      <c r="AO408" s="771"/>
      <c r="AP408" s="771"/>
      <c r="AQ408" s="771"/>
      <c r="AR408" s="771"/>
      <c r="AS408" s="771"/>
      <c r="AT408" s="771"/>
      <c r="AU408" s="771"/>
    </row>
    <row r="409" spans="1:47" s="1135" customFormat="1" outlineLevel="1" x14ac:dyDescent="0.2">
      <c r="A409" s="17"/>
      <c r="B409" s="75"/>
      <c r="C409" s="1989" t="s">
        <v>1387</v>
      </c>
      <c r="D409" s="1989" t="s">
        <v>222</v>
      </c>
      <c r="E409" s="1989">
        <v>4.8499999999999996</v>
      </c>
      <c r="F409" s="38">
        <f t="shared" si="5"/>
        <v>394.40801399999998</v>
      </c>
      <c r="G409" s="459"/>
      <c r="H409" s="8"/>
      <c r="I409" s="8"/>
      <c r="J409" s="8"/>
      <c r="K409" s="8"/>
      <c r="L409" s="8"/>
      <c r="M409" s="8"/>
      <c r="N409" s="8"/>
      <c r="O409" s="8"/>
      <c r="P409" s="8"/>
      <c r="Q409" s="8"/>
      <c r="R409" s="8"/>
      <c r="S409" s="8"/>
      <c r="T409" s="8"/>
      <c r="U409" s="8"/>
      <c r="V409" s="8"/>
      <c r="W409" s="8"/>
      <c r="X409" s="771"/>
      <c r="Y409" s="771"/>
      <c r="Z409" s="771"/>
      <c r="AA409" s="771"/>
      <c r="AB409" s="771"/>
      <c r="AC409" s="771"/>
      <c r="AD409" s="771"/>
      <c r="AE409" s="771"/>
      <c r="AF409" s="771"/>
      <c r="AG409" s="771"/>
      <c r="AH409" s="771"/>
      <c r="AI409" s="771"/>
      <c r="AJ409" s="771"/>
      <c r="AK409" s="771"/>
      <c r="AL409" s="771"/>
      <c r="AM409" s="771"/>
      <c r="AN409" s="771"/>
      <c r="AO409" s="771"/>
      <c r="AP409" s="771"/>
      <c r="AQ409" s="771"/>
      <c r="AR409" s="771"/>
      <c r="AS409" s="771"/>
      <c r="AT409" s="771"/>
      <c r="AU409" s="771"/>
    </row>
    <row r="410" spans="1:47" s="1135" customFormat="1" outlineLevel="1" x14ac:dyDescent="0.2">
      <c r="A410" s="17"/>
      <c r="B410" s="75"/>
      <c r="C410" s="1989" t="s">
        <v>1390</v>
      </c>
      <c r="D410" s="1989" t="s">
        <v>223</v>
      </c>
      <c r="E410" s="1989">
        <v>5.85</v>
      </c>
      <c r="F410" s="38">
        <f t="shared" si="5"/>
        <v>475.72925400000003</v>
      </c>
      <c r="G410" s="459"/>
      <c r="H410" s="8"/>
      <c r="I410" s="8"/>
      <c r="J410" s="8"/>
      <c r="K410" s="8"/>
      <c r="L410" s="8"/>
      <c r="M410" s="8"/>
      <c r="N410" s="8"/>
      <c r="O410" s="8"/>
      <c r="P410" s="8"/>
      <c r="Q410" s="8"/>
      <c r="R410" s="8"/>
      <c r="S410" s="8"/>
      <c r="T410" s="8"/>
      <c r="U410" s="8"/>
      <c r="V410" s="8"/>
      <c r="W410" s="8"/>
      <c r="X410" s="771"/>
      <c r="Y410" s="771"/>
      <c r="Z410" s="771"/>
      <c r="AA410" s="771"/>
      <c r="AB410" s="771"/>
      <c r="AC410" s="771"/>
      <c r="AD410" s="771"/>
      <c r="AE410" s="771"/>
      <c r="AF410" s="771"/>
      <c r="AG410" s="771"/>
      <c r="AH410" s="771"/>
      <c r="AI410" s="771"/>
      <c r="AJ410" s="771"/>
      <c r="AK410" s="771"/>
      <c r="AL410" s="771"/>
      <c r="AM410" s="771"/>
      <c r="AN410" s="771"/>
      <c r="AO410" s="771"/>
      <c r="AP410" s="771"/>
      <c r="AQ410" s="771"/>
      <c r="AR410" s="771"/>
      <c r="AS410" s="771"/>
      <c r="AT410" s="771"/>
      <c r="AU410" s="771"/>
    </row>
    <row r="411" spans="1:47" s="1135" customFormat="1" outlineLevel="1" x14ac:dyDescent="0.2">
      <c r="A411" s="17"/>
      <c r="B411" s="75"/>
      <c r="C411" s="1989" t="s">
        <v>1391</v>
      </c>
      <c r="D411" s="1989" t="s">
        <v>224</v>
      </c>
      <c r="E411" s="1989">
        <v>8.84</v>
      </c>
      <c r="F411" s="38">
        <f t="shared" si="5"/>
        <v>718.87976159999994</v>
      </c>
      <c r="G411" s="459"/>
      <c r="H411" s="8"/>
      <c r="I411" s="8"/>
      <c r="J411" s="8"/>
      <c r="K411" s="8"/>
      <c r="L411" s="8"/>
      <c r="M411" s="8"/>
      <c r="N411" s="8"/>
      <c r="O411" s="8"/>
      <c r="P411" s="8"/>
      <c r="Q411" s="8"/>
      <c r="R411" s="8"/>
      <c r="S411" s="8"/>
      <c r="T411" s="8"/>
      <c r="U411" s="8"/>
      <c r="V411" s="8"/>
      <c r="W411" s="8"/>
      <c r="X411" s="771"/>
      <c r="Y411" s="771"/>
      <c r="Z411" s="771"/>
      <c r="AA411" s="771"/>
      <c r="AB411" s="771"/>
      <c r="AC411" s="771"/>
      <c r="AD411" s="771"/>
      <c r="AE411" s="771"/>
      <c r="AF411" s="771"/>
      <c r="AG411" s="771"/>
      <c r="AH411" s="771"/>
      <c r="AI411" s="771"/>
      <c r="AJ411" s="771"/>
      <c r="AK411" s="771"/>
      <c r="AL411" s="771"/>
      <c r="AM411" s="771"/>
      <c r="AN411" s="771"/>
      <c r="AO411" s="771"/>
      <c r="AP411" s="771"/>
      <c r="AQ411" s="771"/>
      <c r="AR411" s="771"/>
      <c r="AS411" s="771"/>
      <c r="AT411" s="771"/>
      <c r="AU411" s="771"/>
    </row>
    <row r="412" spans="1:47" s="1135" customFormat="1" outlineLevel="1" x14ac:dyDescent="0.2">
      <c r="A412" s="17"/>
      <c r="B412" s="75"/>
      <c r="C412" s="1989" t="s">
        <v>1393</v>
      </c>
      <c r="D412" s="1989" t="s">
        <v>225</v>
      </c>
      <c r="E412" s="1989">
        <v>9.4499999999999993</v>
      </c>
      <c r="F412" s="38">
        <f t="shared" si="5"/>
        <v>768.48571799999991</v>
      </c>
      <c r="G412" s="459"/>
      <c r="H412" s="8"/>
      <c r="I412" s="8"/>
      <c r="J412" s="8"/>
      <c r="K412" s="8"/>
      <c r="L412" s="8"/>
      <c r="M412" s="8"/>
      <c r="N412" s="8"/>
      <c r="O412" s="8"/>
      <c r="P412" s="8"/>
      <c r="Q412" s="8"/>
      <c r="R412" s="8"/>
      <c r="S412" s="8"/>
      <c r="T412" s="8"/>
      <c r="U412" s="8"/>
      <c r="V412" s="8"/>
      <c r="W412" s="8"/>
      <c r="X412" s="771"/>
      <c r="Y412" s="771"/>
      <c r="Z412" s="771"/>
      <c r="AA412" s="771"/>
      <c r="AB412" s="771"/>
      <c r="AC412" s="771"/>
      <c r="AD412" s="771"/>
      <c r="AE412" s="771"/>
      <c r="AF412" s="771"/>
      <c r="AG412" s="771"/>
      <c r="AH412" s="771"/>
      <c r="AI412" s="771"/>
      <c r="AJ412" s="771"/>
      <c r="AK412" s="771"/>
      <c r="AL412" s="771"/>
      <c r="AM412" s="771"/>
      <c r="AN412" s="771"/>
      <c r="AO412" s="771"/>
      <c r="AP412" s="771"/>
      <c r="AQ412" s="771"/>
      <c r="AR412" s="771"/>
      <c r="AS412" s="771"/>
      <c r="AT412" s="771"/>
      <c r="AU412" s="771"/>
    </row>
    <row r="413" spans="1:47" s="1135" customFormat="1" outlineLevel="1" x14ac:dyDescent="0.2">
      <c r="A413" s="17"/>
      <c r="B413" s="75"/>
      <c r="C413" s="1989" t="s">
        <v>2441</v>
      </c>
      <c r="D413" s="1989" t="s">
        <v>2442</v>
      </c>
      <c r="E413" s="1989">
        <v>0</v>
      </c>
      <c r="F413" s="38">
        <f t="shared" si="5"/>
        <v>0</v>
      </c>
      <c r="G413" s="459"/>
      <c r="H413" s="8"/>
      <c r="I413" s="8"/>
      <c r="J413" s="8"/>
      <c r="K413" s="8"/>
      <c r="L413" s="8"/>
      <c r="M413" s="8"/>
      <c r="N413" s="8"/>
      <c r="O413" s="8"/>
      <c r="P413" s="8"/>
      <c r="Q413" s="8"/>
      <c r="R413" s="8"/>
      <c r="S413" s="8"/>
      <c r="T413" s="8"/>
      <c r="U413" s="8"/>
      <c r="V413" s="8"/>
      <c r="W413" s="8"/>
      <c r="X413" s="771"/>
      <c r="Y413" s="771"/>
      <c r="Z413" s="771"/>
      <c r="AA413" s="771"/>
      <c r="AB413" s="771"/>
      <c r="AC413" s="771"/>
      <c r="AD413" s="771"/>
      <c r="AE413" s="771"/>
      <c r="AF413" s="771"/>
      <c r="AG413" s="771"/>
      <c r="AH413" s="771"/>
      <c r="AI413" s="771"/>
      <c r="AJ413" s="771"/>
      <c r="AK413" s="771"/>
      <c r="AL413" s="771"/>
      <c r="AM413" s="771"/>
      <c r="AN413" s="771"/>
      <c r="AO413" s="771"/>
      <c r="AP413" s="771"/>
      <c r="AQ413" s="771"/>
      <c r="AR413" s="771"/>
      <c r="AS413" s="771"/>
      <c r="AT413" s="771"/>
      <c r="AU413" s="771"/>
    </row>
    <row r="414" spans="1:47" s="1135" customFormat="1" outlineLevel="1" x14ac:dyDescent="0.2">
      <c r="A414" s="17"/>
      <c r="B414" s="75"/>
      <c r="C414" s="1989" t="s">
        <v>1213</v>
      </c>
      <c r="D414" s="1989" t="s">
        <v>924</v>
      </c>
      <c r="E414" s="1989">
        <v>4.8499999999999996</v>
      </c>
      <c r="F414" s="38">
        <f t="shared" si="5"/>
        <v>394.40801399999998</v>
      </c>
      <c r="G414" s="459"/>
      <c r="H414" s="8"/>
      <c r="I414" s="8"/>
      <c r="J414" s="8"/>
      <c r="K414" s="8"/>
      <c r="L414" s="8"/>
      <c r="M414" s="8"/>
      <c r="N414" s="8"/>
      <c r="O414" s="8"/>
      <c r="P414" s="8"/>
      <c r="Q414" s="8"/>
      <c r="R414" s="8"/>
      <c r="S414" s="8"/>
      <c r="T414" s="8"/>
      <c r="U414" s="8"/>
      <c r="V414" s="8"/>
      <c r="W414" s="8"/>
      <c r="X414" s="771"/>
      <c r="Y414" s="771"/>
      <c r="Z414" s="771"/>
      <c r="AA414" s="771"/>
      <c r="AB414" s="771"/>
      <c r="AC414" s="771"/>
      <c r="AD414" s="771"/>
      <c r="AE414" s="771"/>
      <c r="AF414" s="771"/>
      <c r="AG414" s="771"/>
      <c r="AH414" s="771"/>
      <c r="AI414" s="771"/>
      <c r="AJ414" s="771"/>
      <c r="AK414" s="771"/>
      <c r="AL414" s="771"/>
      <c r="AM414" s="771"/>
      <c r="AN414" s="771"/>
      <c r="AO414" s="771"/>
      <c r="AP414" s="771"/>
      <c r="AQ414" s="771"/>
      <c r="AR414" s="771"/>
      <c r="AS414" s="771"/>
      <c r="AT414" s="771"/>
      <c r="AU414" s="771"/>
    </row>
    <row r="415" spans="1:47" s="1135" customFormat="1" outlineLevel="1" x14ac:dyDescent="0.2">
      <c r="A415" s="17"/>
      <c r="B415" s="75"/>
      <c r="C415" s="1989" t="s">
        <v>758</v>
      </c>
      <c r="D415" s="1989" t="s">
        <v>7417</v>
      </c>
      <c r="E415" s="1989">
        <v>5.19</v>
      </c>
      <c r="F415" s="38">
        <f t="shared" ref="F415:F478" si="6">E415*$G$4*$J$4</f>
        <v>422.05723560000007</v>
      </c>
      <c r="G415" s="459"/>
      <c r="H415" s="8"/>
      <c r="I415" s="8"/>
      <c r="J415" s="8"/>
      <c r="K415" s="8"/>
      <c r="L415" s="8"/>
      <c r="M415" s="8"/>
      <c r="N415" s="8"/>
      <c r="O415" s="8"/>
      <c r="P415" s="8"/>
      <c r="Q415" s="8"/>
      <c r="R415" s="8"/>
      <c r="S415" s="8"/>
      <c r="T415" s="8"/>
      <c r="U415" s="8"/>
      <c r="V415" s="8"/>
      <c r="W415" s="8"/>
      <c r="X415" s="771"/>
      <c r="Y415" s="771"/>
      <c r="Z415" s="771"/>
      <c r="AA415" s="771"/>
      <c r="AB415" s="771"/>
      <c r="AC415" s="771"/>
      <c r="AD415" s="771"/>
      <c r="AE415" s="771"/>
      <c r="AF415" s="771"/>
      <c r="AG415" s="771"/>
      <c r="AH415" s="771"/>
      <c r="AI415" s="771"/>
      <c r="AJ415" s="771"/>
      <c r="AK415" s="771"/>
      <c r="AL415" s="771"/>
      <c r="AM415" s="771"/>
      <c r="AN415" s="771"/>
      <c r="AO415" s="771"/>
      <c r="AP415" s="771"/>
      <c r="AQ415" s="771"/>
      <c r="AR415" s="771"/>
      <c r="AS415" s="771"/>
      <c r="AT415" s="771"/>
      <c r="AU415" s="771"/>
    </row>
    <row r="416" spans="1:47" s="1135" customFormat="1" outlineLevel="1" x14ac:dyDescent="0.2">
      <c r="A416" s="17"/>
      <c r="B416" s="75"/>
      <c r="C416" s="1989" t="s">
        <v>762</v>
      </c>
      <c r="D416" s="1989" t="s">
        <v>7418</v>
      </c>
      <c r="E416" s="1989">
        <v>5.19</v>
      </c>
      <c r="F416" s="38">
        <f t="shared" si="6"/>
        <v>422.05723560000007</v>
      </c>
      <c r="G416" s="459"/>
      <c r="H416" s="8"/>
      <c r="I416" s="8"/>
      <c r="J416" s="8"/>
      <c r="K416" s="8"/>
      <c r="L416" s="8"/>
      <c r="M416" s="8"/>
      <c r="N416" s="8"/>
      <c r="O416" s="8"/>
      <c r="P416" s="8"/>
      <c r="Q416" s="8"/>
      <c r="R416" s="8"/>
      <c r="S416" s="8"/>
      <c r="T416" s="8"/>
      <c r="U416" s="8"/>
      <c r="V416" s="8"/>
      <c r="W416" s="8"/>
      <c r="X416" s="771"/>
      <c r="Y416" s="771"/>
      <c r="Z416" s="771"/>
      <c r="AA416" s="771"/>
      <c r="AB416" s="771"/>
      <c r="AC416" s="771"/>
      <c r="AD416" s="771"/>
      <c r="AE416" s="771"/>
      <c r="AF416" s="771"/>
      <c r="AG416" s="771"/>
      <c r="AH416" s="771"/>
      <c r="AI416" s="771"/>
      <c r="AJ416" s="771"/>
      <c r="AK416" s="771"/>
      <c r="AL416" s="771"/>
      <c r="AM416" s="771"/>
      <c r="AN416" s="771"/>
      <c r="AO416" s="771"/>
      <c r="AP416" s="771"/>
      <c r="AQ416" s="771"/>
      <c r="AR416" s="771"/>
      <c r="AS416" s="771"/>
      <c r="AT416" s="771"/>
      <c r="AU416" s="771"/>
    </row>
    <row r="417" spans="1:47" s="1135" customFormat="1" outlineLevel="1" x14ac:dyDescent="0.2">
      <c r="A417" s="17"/>
      <c r="B417" s="75"/>
      <c r="C417" s="1989" t="s">
        <v>1774</v>
      </c>
      <c r="D417" s="1989" t="s">
        <v>2103</v>
      </c>
      <c r="E417" s="1989">
        <v>0.83</v>
      </c>
      <c r="F417" s="38">
        <f t="shared" si="6"/>
        <v>67.496629200000001</v>
      </c>
      <c r="G417" s="459"/>
      <c r="H417" s="8"/>
      <c r="I417" s="8"/>
      <c r="J417" s="8"/>
      <c r="K417" s="8"/>
      <c r="L417" s="8"/>
      <c r="M417" s="8"/>
      <c r="N417" s="8"/>
      <c r="O417" s="8"/>
      <c r="P417" s="8"/>
      <c r="Q417" s="8"/>
      <c r="R417" s="8"/>
      <c r="S417" s="8"/>
      <c r="T417" s="8"/>
      <c r="U417" s="8"/>
      <c r="V417" s="8"/>
      <c r="W417" s="8"/>
      <c r="X417" s="771"/>
      <c r="Y417" s="771"/>
      <c r="Z417" s="771"/>
      <c r="AA417" s="771"/>
      <c r="AB417" s="771"/>
      <c r="AC417" s="771"/>
      <c r="AD417" s="771"/>
      <c r="AE417" s="771"/>
      <c r="AF417" s="771"/>
      <c r="AG417" s="771"/>
      <c r="AH417" s="771"/>
      <c r="AI417" s="771"/>
      <c r="AJ417" s="771"/>
      <c r="AK417" s="771"/>
      <c r="AL417" s="771"/>
      <c r="AM417" s="771"/>
      <c r="AN417" s="771"/>
      <c r="AO417" s="771"/>
      <c r="AP417" s="771"/>
      <c r="AQ417" s="771"/>
      <c r="AR417" s="771"/>
      <c r="AS417" s="771"/>
      <c r="AT417" s="771"/>
      <c r="AU417" s="771"/>
    </row>
    <row r="418" spans="1:47" s="1135" customFormat="1" outlineLevel="1" x14ac:dyDescent="0.2">
      <c r="A418" s="17"/>
      <c r="B418" s="75"/>
      <c r="C418" s="1989" t="s">
        <v>1554</v>
      </c>
      <c r="D418" s="1989" t="s">
        <v>5350</v>
      </c>
      <c r="E418" s="1989">
        <v>0.83</v>
      </c>
      <c r="F418" s="38">
        <f t="shared" si="6"/>
        <v>67.496629200000001</v>
      </c>
      <c r="G418" s="459"/>
      <c r="H418" s="8"/>
      <c r="I418" s="8"/>
      <c r="J418" s="8"/>
      <c r="K418" s="8"/>
      <c r="L418" s="8"/>
      <c r="M418" s="8"/>
      <c r="N418" s="8"/>
      <c r="O418" s="8"/>
      <c r="P418" s="8"/>
      <c r="Q418" s="8"/>
      <c r="R418" s="8"/>
      <c r="S418" s="8"/>
      <c r="T418" s="8"/>
      <c r="U418" s="8"/>
      <c r="V418" s="8"/>
      <c r="W418" s="8"/>
      <c r="X418" s="771"/>
      <c r="Y418" s="771"/>
      <c r="Z418" s="771"/>
      <c r="AA418" s="771"/>
      <c r="AB418" s="771"/>
      <c r="AC418" s="771"/>
      <c r="AD418" s="771"/>
      <c r="AE418" s="771"/>
      <c r="AF418" s="771"/>
      <c r="AG418" s="771"/>
      <c r="AH418" s="771"/>
      <c r="AI418" s="771"/>
      <c r="AJ418" s="771"/>
      <c r="AK418" s="771"/>
      <c r="AL418" s="771"/>
      <c r="AM418" s="771"/>
      <c r="AN418" s="771"/>
      <c r="AO418" s="771"/>
      <c r="AP418" s="771"/>
      <c r="AQ418" s="771"/>
      <c r="AR418" s="771"/>
      <c r="AS418" s="771"/>
      <c r="AT418" s="771"/>
      <c r="AU418" s="771"/>
    </row>
    <row r="419" spans="1:47" s="1135" customFormat="1" outlineLevel="1" x14ac:dyDescent="0.2">
      <c r="A419" s="17"/>
      <c r="B419" s="75"/>
      <c r="C419" s="1989" t="s">
        <v>6680</v>
      </c>
      <c r="D419" s="1989" t="s">
        <v>5351</v>
      </c>
      <c r="E419" s="1989">
        <v>2.0299999999999998</v>
      </c>
      <c r="F419" s="38">
        <f t="shared" si="6"/>
        <v>165.08211719999997</v>
      </c>
      <c r="G419" s="459"/>
      <c r="H419" s="8"/>
      <c r="I419" s="8"/>
      <c r="J419" s="8"/>
      <c r="K419" s="8"/>
      <c r="L419" s="8"/>
      <c r="M419" s="8"/>
      <c r="N419" s="8"/>
      <c r="O419" s="8"/>
      <c r="P419" s="8"/>
      <c r="Q419" s="8"/>
      <c r="R419" s="8"/>
      <c r="S419" s="8"/>
      <c r="T419" s="8"/>
      <c r="U419" s="8"/>
      <c r="V419" s="8"/>
      <c r="W419" s="8"/>
      <c r="X419" s="771"/>
      <c r="Y419" s="771"/>
      <c r="Z419" s="771"/>
      <c r="AA419" s="771"/>
      <c r="AB419" s="771"/>
      <c r="AC419" s="771"/>
      <c r="AD419" s="771"/>
      <c r="AE419" s="771"/>
      <c r="AF419" s="771"/>
      <c r="AG419" s="771"/>
      <c r="AH419" s="771"/>
      <c r="AI419" s="771"/>
      <c r="AJ419" s="771"/>
      <c r="AK419" s="771"/>
      <c r="AL419" s="771"/>
      <c r="AM419" s="771"/>
      <c r="AN419" s="771"/>
      <c r="AO419" s="771"/>
      <c r="AP419" s="771"/>
      <c r="AQ419" s="771"/>
      <c r="AR419" s="771"/>
      <c r="AS419" s="771"/>
      <c r="AT419" s="771"/>
      <c r="AU419" s="771"/>
    </row>
    <row r="420" spans="1:47" s="1135" customFormat="1" outlineLevel="1" x14ac:dyDescent="0.2">
      <c r="A420" s="17"/>
      <c r="B420" s="75"/>
      <c r="C420" s="1989" t="s">
        <v>3</v>
      </c>
      <c r="D420" s="1989" t="s">
        <v>7419</v>
      </c>
      <c r="E420" s="1989">
        <v>5.05</v>
      </c>
      <c r="F420" s="38">
        <f t="shared" si="6"/>
        <v>410.67226199999999</v>
      </c>
      <c r="G420" s="459"/>
      <c r="H420" s="8"/>
      <c r="I420" s="8"/>
      <c r="J420" s="8"/>
      <c r="K420" s="8"/>
      <c r="L420" s="8"/>
      <c r="M420" s="8"/>
      <c r="N420" s="8"/>
      <c r="O420" s="8"/>
      <c r="P420" s="8"/>
      <c r="Q420" s="8"/>
      <c r="R420" s="8"/>
      <c r="S420" s="8"/>
      <c r="T420" s="8"/>
      <c r="U420" s="8"/>
      <c r="V420" s="8"/>
      <c r="W420" s="8"/>
      <c r="X420" s="771"/>
      <c r="Y420" s="771"/>
      <c r="Z420" s="771"/>
      <c r="AA420" s="771"/>
      <c r="AB420" s="771"/>
      <c r="AC420" s="771"/>
      <c r="AD420" s="771"/>
      <c r="AE420" s="771"/>
      <c r="AF420" s="771"/>
      <c r="AG420" s="771"/>
      <c r="AH420" s="771"/>
      <c r="AI420" s="771"/>
      <c r="AJ420" s="771"/>
      <c r="AK420" s="771"/>
      <c r="AL420" s="771"/>
      <c r="AM420" s="771"/>
      <c r="AN420" s="771"/>
      <c r="AO420" s="771"/>
      <c r="AP420" s="771"/>
      <c r="AQ420" s="771"/>
      <c r="AR420" s="771"/>
      <c r="AS420" s="771"/>
      <c r="AT420" s="771"/>
      <c r="AU420" s="771"/>
    </row>
    <row r="421" spans="1:47" s="1135" customFormat="1" outlineLevel="1" x14ac:dyDescent="0.2">
      <c r="A421" s="17"/>
      <c r="B421" s="75"/>
      <c r="C421" s="1989" t="s">
        <v>5</v>
      </c>
      <c r="D421" s="1989" t="s">
        <v>7420</v>
      </c>
      <c r="E421" s="1989">
        <v>5.05</v>
      </c>
      <c r="F421" s="38">
        <f t="shared" si="6"/>
        <v>410.67226199999999</v>
      </c>
      <c r="G421" s="459"/>
      <c r="H421" s="8"/>
      <c r="I421" s="8"/>
      <c r="J421" s="8"/>
      <c r="K421" s="8"/>
      <c r="L421" s="8"/>
      <c r="M421" s="8"/>
      <c r="N421" s="8"/>
      <c r="O421" s="8"/>
      <c r="P421" s="8"/>
      <c r="Q421" s="8"/>
      <c r="R421" s="8"/>
      <c r="S421" s="8"/>
      <c r="T421" s="8"/>
      <c r="U421" s="8"/>
      <c r="V421" s="8"/>
      <c r="W421" s="8"/>
      <c r="X421" s="771"/>
      <c r="Y421" s="771"/>
      <c r="Z421" s="771"/>
      <c r="AA421" s="771"/>
      <c r="AB421" s="771"/>
      <c r="AC421" s="771"/>
      <c r="AD421" s="771"/>
      <c r="AE421" s="771"/>
      <c r="AF421" s="771"/>
      <c r="AG421" s="771"/>
      <c r="AH421" s="771"/>
      <c r="AI421" s="771"/>
      <c r="AJ421" s="771"/>
      <c r="AK421" s="771"/>
      <c r="AL421" s="771"/>
      <c r="AM421" s="771"/>
      <c r="AN421" s="771"/>
      <c r="AO421" s="771"/>
      <c r="AP421" s="771"/>
      <c r="AQ421" s="771"/>
      <c r="AR421" s="771"/>
      <c r="AS421" s="771"/>
      <c r="AT421" s="771"/>
      <c r="AU421" s="771"/>
    </row>
    <row r="422" spans="1:47" s="1135" customFormat="1" outlineLevel="1" x14ac:dyDescent="0.2">
      <c r="A422" s="17"/>
      <c r="B422" s="75"/>
      <c r="C422" s="1989" t="s">
        <v>2493</v>
      </c>
      <c r="D422" s="1989" t="s">
        <v>5352</v>
      </c>
      <c r="E422" s="1989">
        <v>0</v>
      </c>
      <c r="F422" s="38">
        <f t="shared" si="6"/>
        <v>0</v>
      </c>
      <c r="G422" s="459"/>
      <c r="H422" s="8"/>
      <c r="I422" s="8"/>
      <c r="J422" s="8"/>
      <c r="K422" s="8"/>
      <c r="L422" s="8"/>
      <c r="M422" s="8"/>
      <c r="N422" s="8"/>
      <c r="O422" s="8"/>
      <c r="P422" s="8"/>
      <c r="Q422" s="8"/>
      <c r="R422" s="8"/>
      <c r="S422" s="8"/>
      <c r="T422" s="8"/>
      <c r="U422" s="8"/>
      <c r="V422" s="8"/>
      <c r="W422" s="8"/>
      <c r="X422" s="771"/>
      <c r="Y422" s="771"/>
      <c r="Z422" s="771"/>
      <c r="AA422" s="771"/>
      <c r="AB422" s="771"/>
      <c r="AC422" s="771"/>
      <c r="AD422" s="771"/>
      <c r="AE422" s="771"/>
      <c r="AF422" s="771"/>
      <c r="AG422" s="771"/>
      <c r="AH422" s="771"/>
      <c r="AI422" s="771"/>
      <c r="AJ422" s="771"/>
      <c r="AK422" s="771"/>
      <c r="AL422" s="771"/>
      <c r="AM422" s="771"/>
      <c r="AN422" s="771"/>
      <c r="AO422" s="771"/>
      <c r="AP422" s="771"/>
      <c r="AQ422" s="771"/>
      <c r="AR422" s="771"/>
      <c r="AS422" s="771"/>
      <c r="AT422" s="771"/>
      <c r="AU422" s="771"/>
    </row>
    <row r="423" spans="1:47" s="1135" customFormat="1" outlineLevel="1" x14ac:dyDescent="0.2">
      <c r="A423" s="17"/>
      <c r="B423" s="75"/>
      <c r="C423" s="1989" t="s">
        <v>2494</v>
      </c>
      <c r="D423" s="1989" t="s">
        <v>5353</v>
      </c>
      <c r="E423" s="1989">
        <v>0</v>
      </c>
      <c r="F423" s="38">
        <f t="shared" si="6"/>
        <v>0</v>
      </c>
      <c r="G423" s="459"/>
      <c r="H423" s="8"/>
      <c r="I423" s="8"/>
      <c r="J423" s="8"/>
      <c r="K423" s="8"/>
      <c r="L423" s="8"/>
      <c r="M423" s="8"/>
      <c r="N423" s="8"/>
      <c r="O423" s="8"/>
      <c r="P423" s="8"/>
      <c r="Q423" s="8"/>
      <c r="R423" s="8"/>
      <c r="S423" s="8"/>
      <c r="T423" s="8"/>
      <c r="U423" s="8"/>
      <c r="V423" s="8"/>
      <c r="W423" s="8"/>
      <c r="X423" s="771"/>
      <c r="Y423" s="771"/>
      <c r="Z423" s="771"/>
      <c r="AA423" s="771"/>
      <c r="AB423" s="771"/>
      <c r="AC423" s="771"/>
      <c r="AD423" s="771"/>
      <c r="AE423" s="771"/>
      <c r="AF423" s="771"/>
      <c r="AG423" s="771"/>
      <c r="AH423" s="771"/>
      <c r="AI423" s="771"/>
      <c r="AJ423" s="771"/>
      <c r="AK423" s="771"/>
      <c r="AL423" s="771"/>
      <c r="AM423" s="771"/>
      <c r="AN423" s="771"/>
      <c r="AO423" s="771"/>
      <c r="AP423" s="771"/>
      <c r="AQ423" s="771"/>
      <c r="AR423" s="771"/>
      <c r="AS423" s="771"/>
      <c r="AT423" s="771"/>
      <c r="AU423" s="771"/>
    </row>
    <row r="424" spans="1:47" s="1135" customFormat="1" outlineLevel="1" x14ac:dyDescent="0.2">
      <c r="A424" s="17"/>
      <c r="B424" s="75"/>
      <c r="C424" s="1989" t="s">
        <v>648</v>
      </c>
      <c r="D424" s="1989" t="s">
        <v>3203</v>
      </c>
      <c r="E424" s="1989">
        <v>18.170000000000002</v>
      </c>
      <c r="F424" s="38">
        <f t="shared" si="6"/>
        <v>1477.6069308000003</v>
      </c>
      <c r="G424" s="459"/>
      <c r="H424" s="8"/>
      <c r="I424" s="8"/>
      <c r="J424" s="8"/>
      <c r="K424" s="8"/>
      <c r="L424" s="8"/>
      <c r="M424" s="8"/>
      <c r="N424" s="8"/>
      <c r="O424" s="8"/>
      <c r="P424" s="8"/>
      <c r="Q424" s="8"/>
      <c r="R424" s="8"/>
      <c r="S424" s="8"/>
      <c r="T424" s="8"/>
      <c r="U424" s="8"/>
      <c r="V424" s="8"/>
      <c r="W424" s="8"/>
      <c r="X424" s="771"/>
      <c r="Y424" s="771"/>
      <c r="Z424" s="771"/>
      <c r="AA424" s="771"/>
      <c r="AB424" s="771"/>
      <c r="AC424" s="771"/>
      <c r="AD424" s="771"/>
      <c r="AE424" s="771"/>
      <c r="AF424" s="771"/>
      <c r="AG424" s="771"/>
      <c r="AH424" s="771"/>
      <c r="AI424" s="771"/>
      <c r="AJ424" s="771"/>
      <c r="AK424" s="771"/>
      <c r="AL424" s="771"/>
      <c r="AM424" s="771"/>
      <c r="AN424" s="771"/>
      <c r="AO424" s="771"/>
      <c r="AP424" s="771"/>
      <c r="AQ424" s="771"/>
      <c r="AR424" s="771"/>
      <c r="AS424" s="771"/>
      <c r="AT424" s="771"/>
      <c r="AU424" s="771"/>
    </row>
    <row r="425" spans="1:47" s="1135" customFormat="1" outlineLevel="1" x14ac:dyDescent="0.2">
      <c r="A425" s="17"/>
      <c r="B425" s="75"/>
      <c r="C425" s="1989" t="s">
        <v>1038</v>
      </c>
      <c r="D425" s="1989" t="s">
        <v>5354</v>
      </c>
      <c r="E425" s="1989">
        <v>19.18</v>
      </c>
      <c r="F425" s="38">
        <f t="shared" si="6"/>
        <v>1559.7413832</v>
      </c>
      <c r="G425" s="459"/>
      <c r="H425" s="8"/>
      <c r="I425" s="8"/>
      <c r="J425" s="8"/>
      <c r="K425" s="8"/>
      <c r="L425" s="8"/>
      <c r="M425" s="8"/>
      <c r="N425" s="8"/>
      <c r="O425" s="8"/>
      <c r="P425" s="8"/>
      <c r="Q425" s="8"/>
      <c r="R425" s="8"/>
      <c r="S425" s="8"/>
      <c r="T425" s="8"/>
      <c r="U425" s="8"/>
      <c r="V425" s="8"/>
      <c r="W425" s="8"/>
      <c r="X425" s="771"/>
      <c r="Y425" s="771"/>
      <c r="Z425" s="771"/>
      <c r="AA425" s="771"/>
      <c r="AB425" s="771"/>
      <c r="AC425" s="771"/>
      <c r="AD425" s="771"/>
      <c r="AE425" s="771"/>
      <c r="AF425" s="771"/>
      <c r="AG425" s="771"/>
      <c r="AH425" s="771"/>
      <c r="AI425" s="771"/>
      <c r="AJ425" s="771"/>
      <c r="AK425" s="771"/>
      <c r="AL425" s="771"/>
      <c r="AM425" s="771"/>
      <c r="AN425" s="771"/>
      <c r="AO425" s="771"/>
      <c r="AP425" s="771"/>
      <c r="AQ425" s="771"/>
      <c r="AR425" s="771"/>
      <c r="AS425" s="771"/>
      <c r="AT425" s="771"/>
      <c r="AU425" s="771"/>
    </row>
    <row r="426" spans="1:47" s="1135" customFormat="1" outlineLevel="1" x14ac:dyDescent="0.2">
      <c r="A426" s="17"/>
      <c r="B426" s="75"/>
      <c r="C426" s="1989" t="s">
        <v>555</v>
      </c>
      <c r="D426" s="1989" t="s">
        <v>5355</v>
      </c>
      <c r="E426" s="1989">
        <v>19.32</v>
      </c>
      <c r="F426" s="38">
        <f t="shared" si="6"/>
        <v>1571.1263568000002</v>
      </c>
      <c r="G426" s="459"/>
      <c r="H426" s="8"/>
      <c r="I426" s="8"/>
      <c r="J426" s="8"/>
      <c r="K426" s="8"/>
      <c r="L426" s="8"/>
      <c r="M426" s="8"/>
      <c r="N426" s="8"/>
      <c r="O426" s="8"/>
      <c r="P426" s="8"/>
      <c r="Q426" s="8"/>
      <c r="R426" s="8"/>
      <c r="S426" s="8"/>
      <c r="T426" s="8"/>
      <c r="U426" s="8"/>
      <c r="V426" s="8"/>
      <c r="W426" s="8"/>
      <c r="X426" s="771"/>
      <c r="Y426" s="771"/>
      <c r="Z426" s="771"/>
      <c r="AA426" s="771"/>
      <c r="AB426" s="771"/>
      <c r="AC426" s="771"/>
      <c r="AD426" s="771"/>
      <c r="AE426" s="771"/>
      <c r="AF426" s="771"/>
      <c r="AG426" s="771"/>
      <c r="AH426" s="771"/>
      <c r="AI426" s="771"/>
      <c r="AJ426" s="771"/>
      <c r="AK426" s="771"/>
      <c r="AL426" s="771"/>
      <c r="AM426" s="771"/>
      <c r="AN426" s="771"/>
      <c r="AO426" s="771"/>
      <c r="AP426" s="771"/>
      <c r="AQ426" s="771"/>
      <c r="AR426" s="771"/>
      <c r="AS426" s="771"/>
      <c r="AT426" s="771"/>
      <c r="AU426" s="771"/>
    </row>
    <row r="427" spans="1:47" s="1135" customFormat="1" outlineLevel="1" x14ac:dyDescent="0.2">
      <c r="A427" s="17"/>
      <c r="B427" s="75"/>
      <c r="C427" s="1989" t="s">
        <v>3846</v>
      </c>
      <c r="D427" s="1989" t="s">
        <v>7421</v>
      </c>
      <c r="E427" s="1989">
        <v>0</v>
      </c>
      <c r="F427" s="38">
        <f t="shared" si="6"/>
        <v>0</v>
      </c>
      <c r="G427" s="459"/>
      <c r="H427" s="8"/>
      <c r="I427" s="8"/>
      <c r="J427" s="8"/>
      <c r="K427" s="8"/>
      <c r="L427" s="8"/>
      <c r="M427" s="8"/>
      <c r="N427" s="8"/>
      <c r="O427" s="8"/>
      <c r="P427" s="8"/>
      <c r="Q427" s="8"/>
      <c r="R427" s="8"/>
      <c r="S427" s="8"/>
      <c r="T427" s="8"/>
      <c r="U427" s="8"/>
      <c r="V427" s="8"/>
      <c r="W427" s="8"/>
      <c r="X427" s="771"/>
      <c r="Y427" s="771"/>
      <c r="Z427" s="771"/>
      <c r="AA427" s="771"/>
      <c r="AB427" s="771"/>
      <c r="AC427" s="771"/>
      <c r="AD427" s="771"/>
      <c r="AE427" s="771"/>
      <c r="AF427" s="771"/>
      <c r="AG427" s="771"/>
      <c r="AH427" s="771"/>
      <c r="AI427" s="771"/>
      <c r="AJ427" s="771"/>
      <c r="AK427" s="771"/>
      <c r="AL427" s="771"/>
      <c r="AM427" s="771"/>
      <c r="AN427" s="771"/>
      <c r="AO427" s="771"/>
      <c r="AP427" s="771"/>
      <c r="AQ427" s="771"/>
      <c r="AR427" s="771"/>
      <c r="AS427" s="771"/>
      <c r="AT427" s="771"/>
      <c r="AU427" s="771"/>
    </row>
    <row r="428" spans="1:47" s="1135" customFormat="1" outlineLevel="1" x14ac:dyDescent="0.2">
      <c r="A428" s="17"/>
      <c r="B428" s="75"/>
      <c r="C428" s="1989" t="s">
        <v>51</v>
      </c>
      <c r="D428" s="1989" t="s">
        <v>7422</v>
      </c>
      <c r="E428" s="1989">
        <v>6.53</v>
      </c>
      <c r="F428" s="38">
        <f t="shared" si="6"/>
        <v>531.02769720000003</v>
      </c>
      <c r="G428" s="459"/>
      <c r="H428" s="8"/>
      <c r="I428" s="8"/>
      <c r="J428" s="8"/>
      <c r="K428" s="8"/>
      <c r="L428" s="8"/>
      <c r="M428" s="8"/>
      <c r="N428" s="8"/>
      <c r="O428" s="8"/>
      <c r="P428" s="8"/>
      <c r="Q428" s="8"/>
      <c r="R428" s="8"/>
      <c r="S428" s="8"/>
      <c r="T428" s="8"/>
      <c r="U428" s="8"/>
      <c r="V428" s="8"/>
      <c r="W428" s="8"/>
      <c r="X428" s="771"/>
      <c r="Y428" s="771"/>
      <c r="Z428" s="771"/>
      <c r="AA428" s="771"/>
      <c r="AB428" s="771"/>
      <c r="AC428" s="771"/>
      <c r="AD428" s="771"/>
      <c r="AE428" s="771"/>
      <c r="AF428" s="771"/>
      <c r="AG428" s="771"/>
      <c r="AH428" s="771"/>
      <c r="AI428" s="771"/>
      <c r="AJ428" s="771"/>
      <c r="AK428" s="771"/>
      <c r="AL428" s="771"/>
      <c r="AM428" s="771"/>
      <c r="AN428" s="771"/>
      <c r="AO428" s="771"/>
      <c r="AP428" s="771"/>
      <c r="AQ428" s="771"/>
      <c r="AR428" s="771"/>
      <c r="AS428" s="771"/>
      <c r="AT428" s="771"/>
      <c r="AU428" s="771"/>
    </row>
    <row r="429" spans="1:47" s="1135" customFormat="1" outlineLevel="1" x14ac:dyDescent="0.2">
      <c r="A429" s="17"/>
      <c r="B429" s="75"/>
      <c r="C429" s="1989" t="s">
        <v>52</v>
      </c>
      <c r="D429" s="1989" t="s">
        <v>7423</v>
      </c>
      <c r="E429" s="1989">
        <v>6.53</v>
      </c>
      <c r="F429" s="38">
        <f t="shared" si="6"/>
        <v>531.02769720000003</v>
      </c>
      <c r="G429" s="459"/>
      <c r="H429" s="8"/>
      <c r="I429" s="8"/>
      <c r="J429" s="8"/>
      <c r="K429" s="8"/>
      <c r="L429" s="8"/>
      <c r="M429" s="8"/>
      <c r="N429" s="8"/>
      <c r="O429" s="8"/>
      <c r="P429" s="8"/>
      <c r="Q429" s="8"/>
      <c r="R429" s="8"/>
      <c r="S429" s="8"/>
      <c r="T429" s="8"/>
      <c r="U429" s="8"/>
      <c r="V429" s="8"/>
      <c r="W429" s="8"/>
      <c r="X429" s="771"/>
      <c r="Y429" s="771"/>
      <c r="Z429" s="771"/>
      <c r="AA429" s="771"/>
      <c r="AB429" s="771"/>
      <c r="AC429" s="771"/>
      <c r="AD429" s="771"/>
      <c r="AE429" s="771"/>
      <c r="AF429" s="771"/>
      <c r="AG429" s="771"/>
      <c r="AH429" s="771"/>
      <c r="AI429" s="771"/>
      <c r="AJ429" s="771"/>
      <c r="AK429" s="771"/>
      <c r="AL429" s="771"/>
      <c r="AM429" s="771"/>
      <c r="AN429" s="771"/>
      <c r="AO429" s="771"/>
      <c r="AP429" s="771"/>
      <c r="AQ429" s="771"/>
      <c r="AR429" s="771"/>
      <c r="AS429" s="771"/>
      <c r="AT429" s="771"/>
      <c r="AU429" s="771"/>
    </row>
    <row r="430" spans="1:47" s="1135" customFormat="1" outlineLevel="1" x14ac:dyDescent="0.2">
      <c r="A430" s="17"/>
      <c r="B430" s="75"/>
      <c r="C430" s="1989" t="s">
        <v>6681</v>
      </c>
      <c r="D430" s="1989" t="s">
        <v>5356</v>
      </c>
      <c r="E430" s="1989">
        <v>23.55</v>
      </c>
      <c r="F430" s="38">
        <f t="shared" si="6"/>
        <v>1915.1152020000002</v>
      </c>
      <c r="G430" s="459"/>
      <c r="H430" s="8"/>
      <c r="I430" s="8"/>
      <c r="J430" s="8"/>
      <c r="K430" s="8"/>
      <c r="L430" s="8"/>
      <c r="M430" s="8"/>
      <c r="N430" s="8"/>
      <c r="O430" s="8"/>
      <c r="P430" s="8"/>
      <c r="Q430" s="8"/>
      <c r="R430" s="8"/>
      <c r="S430" s="8"/>
      <c r="T430" s="8"/>
      <c r="U430" s="8"/>
      <c r="V430" s="8"/>
      <c r="W430" s="8"/>
      <c r="X430" s="771"/>
      <c r="Y430" s="771"/>
      <c r="Z430" s="771"/>
      <c r="AA430" s="771"/>
      <c r="AB430" s="771"/>
      <c r="AC430" s="771"/>
      <c r="AD430" s="771"/>
      <c r="AE430" s="771"/>
      <c r="AF430" s="771"/>
      <c r="AG430" s="771"/>
      <c r="AH430" s="771"/>
      <c r="AI430" s="771"/>
      <c r="AJ430" s="771"/>
      <c r="AK430" s="771"/>
      <c r="AL430" s="771"/>
      <c r="AM430" s="771"/>
      <c r="AN430" s="771"/>
      <c r="AO430" s="771"/>
      <c r="AP430" s="771"/>
      <c r="AQ430" s="771"/>
      <c r="AR430" s="771"/>
      <c r="AS430" s="771"/>
      <c r="AT430" s="771"/>
      <c r="AU430" s="771"/>
    </row>
    <row r="431" spans="1:47" s="1135" customFormat="1" outlineLevel="1" x14ac:dyDescent="0.2">
      <c r="A431" s="17"/>
      <c r="B431" s="75"/>
      <c r="C431" s="1989" t="s">
        <v>3847</v>
      </c>
      <c r="D431" s="1989" t="s">
        <v>5357</v>
      </c>
      <c r="E431" s="1989">
        <v>38.21</v>
      </c>
      <c r="F431" s="38">
        <f t="shared" si="6"/>
        <v>3107.2845803999999</v>
      </c>
      <c r="G431" s="459"/>
      <c r="H431" s="8"/>
      <c r="I431" s="8"/>
      <c r="J431" s="8"/>
      <c r="K431" s="8"/>
      <c r="L431" s="8"/>
      <c r="M431" s="8"/>
      <c r="N431" s="8"/>
      <c r="O431" s="8"/>
      <c r="P431" s="8"/>
      <c r="Q431" s="8"/>
      <c r="R431" s="8"/>
      <c r="S431" s="8"/>
      <c r="T431" s="8"/>
      <c r="U431" s="8"/>
      <c r="V431" s="8"/>
      <c r="W431" s="8"/>
      <c r="X431" s="771"/>
      <c r="Y431" s="771"/>
      <c r="Z431" s="771"/>
      <c r="AA431" s="771"/>
      <c r="AB431" s="771"/>
      <c r="AC431" s="771"/>
      <c r="AD431" s="771"/>
      <c r="AE431" s="771"/>
      <c r="AF431" s="771"/>
      <c r="AG431" s="771"/>
      <c r="AH431" s="771"/>
      <c r="AI431" s="771"/>
      <c r="AJ431" s="771"/>
      <c r="AK431" s="771"/>
      <c r="AL431" s="771"/>
      <c r="AM431" s="771"/>
      <c r="AN431" s="771"/>
      <c r="AO431" s="771"/>
      <c r="AP431" s="771"/>
      <c r="AQ431" s="771"/>
      <c r="AR431" s="771"/>
      <c r="AS431" s="771"/>
      <c r="AT431" s="771"/>
      <c r="AU431" s="771"/>
    </row>
    <row r="432" spans="1:47" s="1135" customFormat="1" outlineLevel="1" x14ac:dyDescent="0.2">
      <c r="A432" s="17"/>
      <c r="B432" s="75"/>
      <c r="C432" s="1989" t="s">
        <v>6682</v>
      </c>
      <c r="D432" s="1989" t="s">
        <v>5358</v>
      </c>
      <c r="E432" s="1989">
        <v>22.5</v>
      </c>
      <c r="F432" s="38">
        <f t="shared" si="6"/>
        <v>1829.7279000000001</v>
      </c>
      <c r="G432" s="459"/>
      <c r="H432" s="8"/>
      <c r="I432" s="8"/>
      <c r="J432" s="8"/>
      <c r="K432" s="8"/>
      <c r="L432" s="8"/>
      <c r="M432" s="8"/>
      <c r="N432" s="8"/>
      <c r="O432" s="8"/>
      <c r="P432" s="8"/>
      <c r="Q432" s="8"/>
      <c r="R432" s="8"/>
      <c r="S432" s="8"/>
      <c r="T432" s="8"/>
      <c r="U432" s="8"/>
      <c r="V432" s="8"/>
      <c r="W432" s="8"/>
      <c r="X432" s="771"/>
      <c r="Y432" s="771"/>
      <c r="Z432" s="771"/>
      <c r="AA432" s="771"/>
      <c r="AB432" s="771"/>
      <c r="AC432" s="771"/>
      <c r="AD432" s="771"/>
      <c r="AE432" s="771"/>
      <c r="AF432" s="771"/>
      <c r="AG432" s="771"/>
      <c r="AH432" s="771"/>
      <c r="AI432" s="771"/>
      <c r="AJ432" s="771"/>
      <c r="AK432" s="771"/>
      <c r="AL432" s="771"/>
      <c r="AM432" s="771"/>
      <c r="AN432" s="771"/>
      <c r="AO432" s="771"/>
      <c r="AP432" s="771"/>
      <c r="AQ432" s="771"/>
      <c r="AR432" s="771"/>
      <c r="AS432" s="771"/>
      <c r="AT432" s="771"/>
      <c r="AU432" s="771"/>
    </row>
    <row r="433" spans="1:47" s="1135" customFormat="1" outlineLevel="1" x14ac:dyDescent="0.2">
      <c r="A433" s="17"/>
      <c r="B433" s="75"/>
      <c r="C433" s="1989" t="s">
        <v>6683</v>
      </c>
      <c r="D433" s="1989" t="s">
        <v>5359</v>
      </c>
      <c r="E433" s="1989">
        <v>22.64</v>
      </c>
      <c r="F433" s="38">
        <f t="shared" si="6"/>
        <v>1841.1128736000001</v>
      </c>
      <c r="G433" s="459"/>
      <c r="H433" s="8"/>
      <c r="I433" s="8"/>
      <c r="J433" s="8"/>
      <c r="K433" s="8"/>
      <c r="L433" s="8"/>
      <c r="M433" s="8"/>
      <c r="N433" s="8"/>
      <c r="O433" s="8"/>
      <c r="P433" s="8"/>
      <c r="Q433" s="8"/>
      <c r="R433" s="8"/>
      <c r="S433" s="8"/>
      <c r="T433" s="8"/>
      <c r="U433" s="8"/>
      <c r="V433" s="8"/>
      <c r="W433" s="8"/>
      <c r="X433" s="771"/>
      <c r="Y433" s="771"/>
      <c r="Z433" s="771"/>
      <c r="AA433" s="771"/>
      <c r="AB433" s="771"/>
      <c r="AC433" s="771"/>
      <c r="AD433" s="771"/>
      <c r="AE433" s="771"/>
      <c r="AF433" s="771"/>
      <c r="AG433" s="771"/>
      <c r="AH433" s="771"/>
      <c r="AI433" s="771"/>
      <c r="AJ433" s="771"/>
      <c r="AK433" s="771"/>
      <c r="AL433" s="771"/>
      <c r="AM433" s="771"/>
      <c r="AN433" s="771"/>
      <c r="AO433" s="771"/>
      <c r="AP433" s="771"/>
      <c r="AQ433" s="771"/>
      <c r="AR433" s="771"/>
      <c r="AS433" s="771"/>
      <c r="AT433" s="771"/>
      <c r="AU433" s="771"/>
    </row>
    <row r="434" spans="1:47" s="1135" customFormat="1" outlineLevel="1" x14ac:dyDescent="0.2">
      <c r="A434" s="17"/>
      <c r="B434" s="75"/>
      <c r="C434" s="1989" t="s">
        <v>583</v>
      </c>
      <c r="D434" s="1989" t="s">
        <v>7424</v>
      </c>
      <c r="E434" s="1989">
        <v>1.48</v>
      </c>
      <c r="F434" s="38">
        <f t="shared" si="6"/>
        <v>120.35543520000002</v>
      </c>
      <c r="G434" s="459"/>
      <c r="H434" s="8"/>
      <c r="I434" s="8"/>
      <c r="J434" s="8"/>
      <c r="K434" s="8"/>
      <c r="L434" s="8"/>
      <c r="M434" s="8"/>
      <c r="N434" s="8"/>
      <c r="O434" s="8"/>
      <c r="P434" s="8"/>
      <c r="Q434" s="8"/>
      <c r="R434" s="8"/>
      <c r="S434" s="8"/>
      <c r="T434" s="8"/>
      <c r="U434" s="8"/>
      <c r="V434" s="8"/>
      <c r="W434" s="8"/>
      <c r="X434" s="771"/>
      <c r="Y434" s="771"/>
      <c r="Z434" s="771"/>
      <c r="AA434" s="771"/>
      <c r="AB434" s="771"/>
      <c r="AC434" s="771"/>
      <c r="AD434" s="771"/>
      <c r="AE434" s="771"/>
      <c r="AF434" s="771"/>
      <c r="AG434" s="771"/>
      <c r="AH434" s="771"/>
      <c r="AI434" s="771"/>
      <c r="AJ434" s="771"/>
      <c r="AK434" s="771"/>
      <c r="AL434" s="771"/>
      <c r="AM434" s="771"/>
      <c r="AN434" s="771"/>
      <c r="AO434" s="771"/>
      <c r="AP434" s="771"/>
      <c r="AQ434" s="771"/>
      <c r="AR434" s="771"/>
      <c r="AS434" s="771"/>
      <c r="AT434" s="771"/>
      <c r="AU434" s="771"/>
    </row>
    <row r="435" spans="1:47" s="1135" customFormat="1" outlineLevel="1" x14ac:dyDescent="0.2">
      <c r="A435" s="17"/>
      <c r="B435" s="75"/>
      <c r="C435" s="1989" t="s">
        <v>581</v>
      </c>
      <c r="D435" s="1989" t="s">
        <v>7425</v>
      </c>
      <c r="E435" s="1989">
        <v>1.48</v>
      </c>
      <c r="F435" s="38">
        <f t="shared" si="6"/>
        <v>120.35543520000002</v>
      </c>
      <c r="G435" s="459"/>
      <c r="H435" s="8"/>
      <c r="I435" s="8"/>
      <c r="J435" s="8"/>
      <c r="K435" s="8"/>
      <c r="L435" s="8"/>
      <c r="M435" s="8"/>
      <c r="N435" s="8"/>
      <c r="O435" s="8"/>
      <c r="P435" s="8"/>
      <c r="Q435" s="8"/>
      <c r="R435" s="8"/>
      <c r="S435" s="8"/>
      <c r="T435" s="8"/>
      <c r="U435" s="8"/>
      <c r="V435" s="8"/>
      <c r="W435" s="8"/>
      <c r="X435" s="771"/>
      <c r="Y435" s="771"/>
      <c r="Z435" s="771"/>
      <c r="AA435" s="771"/>
      <c r="AB435" s="771"/>
      <c r="AC435" s="771"/>
      <c r="AD435" s="771"/>
      <c r="AE435" s="771"/>
      <c r="AF435" s="771"/>
      <c r="AG435" s="771"/>
      <c r="AH435" s="771"/>
      <c r="AI435" s="771"/>
      <c r="AJ435" s="771"/>
      <c r="AK435" s="771"/>
      <c r="AL435" s="771"/>
      <c r="AM435" s="771"/>
      <c r="AN435" s="771"/>
      <c r="AO435" s="771"/>
      <c r="AP435" s="771"/>
      <c r="AQ435" s="771"/>
      <c r="AR435" s="771"/>
      <c r="AS435" s="771"/>
      <c r="AT435" s="771"/>
      <c r="AU435" s="771"/>
    </row>
    <row r="436" spans="1:47" s="1135" customFormat="1" outlineLevel="1" x14ac:dyDescent="0.2">
      <c r="A436" s="17"/>
      <c r="B436" s="75"/>
      <c r="C436" s="1989" t="s">
        <v>3507</v>
      </c>
      <c r="D436" s="1989" t="s">
        <v>5360</v>
      </c>
      <c r="E436" s="1989">
        <v>24.38</v>
      </c>
      <c r="F436" s="38">
        <f t="shared" si="6"/>
        <v>1982.6118311999999</v>
      </c>
      <c r="G436" s="459"/>
      <c r="H436" s="8"/>
      <c r="I436" s="8"/>
      <c r="J436" s="8"/>
      <c r="K436" s="8"/>
      <c r="L436" s="8"/>
      <c r="M436" s="8"/>
      <c r="N436" s="8"/>
      <c r="O436" s="8"/>
      <c r="P436" s="8"/>
      <c r="Q436" s="8"/>
      <c r="R436" s="8"/>
      <c r="S436" s="8"/>
      <c r="T436" s="8"/>
      <c r="U436" s="8"/>
      <c r="V436" s="8"/>
      <c r="W436" s="8"/>
      <c r="X436" s="771"/>
      <c r="Y436" s="771"/>
      <c r="Z436" s="771"/>
      <c r="AA436" s="771"/>
      <c r="AB436" s="771"/>
      <c r="AC436" s="771"/>
      <c r="AD436" s="771"/>
      <c r="AE436" s="771"/>
      <c r="AF436" s="771"/>
      <c r="AG436" s="771"/>
      <c r="AH436" s="771"/>
      <c r="AI436" s="771"/>
      <c r="AJ436" s="771"/>
      <c r="AK436" s="771"/>
      <c r="AL436" s="771"/>
      <c r="AM436" s="771"/>
      <c r="AN436" s="771"/>
      <c r="AO436" s="771"/>
      <c r="AP436" s="771"/>
      <c r="AQ436" s="771"/>
      <c r="AR436" s="771"/>
      <c r="AS436" s="771"/>
      <c r="AT436" s="771"/>
      <c r="AU436" s="771"/>
    </row>
    <row r="437" spans="1:47" s="1135" customFormat="1" outlineLevel="1" x14ac:dyDescent="0.2">
      <c r="A437" s="17"/>
      <c r="B437" s="75"/>
      <c r="C437" s="1989" t="s">
        <v>3848</v>
      </c>
      <c r="D437" s="1989" t="s">
        <v>5361</v>
      </c>
      <c r="E437" s="1989">
        <v>28.58</v>
      </c>
      <c r="F437" s="38">
        <f t="shared" si="6"/>
        <v>2324.1610392000002</v>
      </c>
      <c r="G437" s="459"/>
      <c r="H437" s="8"/>
      <c r="I437" s="8"/>
      <c r="J437" s="8"/>
      <c r="K437" s="8"/>
      <c r="L437" s="8"/>
      <c r="M437" s="8"/>
      <c r="N437" s="8"/>
      <c r="O437" s="8"/>
      <c r="P437" s="8"/>
      <c r="Q437" s="8"/>
      <c r="R437" s="8"/>
      <c r="S437" s="8"/>
      <c r="T437" s="8"/>
      <c r="U437" s="8"/>
      <c r="V437" s="8"/>
      <c r="W437" s="8"/>
      <c r="X437" s="771"/>
      <c r="Y437" s="771"/>
      <c r="Z437" s="771"/>
      <c r="AA437" s="771"/>
      <c r="AB437" s="771"/>
      <c r="AC437" s="771"/>
      <c r="AD437" s="771"/>
      <c r="AE437" s="771"/>
      <c r="AF437" s="771"/>
      <c r="AG437" s="771"/>
      <c r="AH437" s="771"/>
      <c r="AI437" s="771"/>
      <c r="AJ437" s="771"/>
      <c r="AK437" s="771"/>
      <c r="AL437" s="771"/>
      <c r="AM437" s="771"/>
      <c r="AN437" s="771"/>
      <c r="AO437" s="771"/>
      <c r="AP437" s="771"/>
      <c r="AQ437" s="771"/>
      <c r="AR437" s="771"/>
      <c r="AS437" s="771"/>
      <c r="AT437" s="771"/>
      <c r="AU437" s="771"/>
    </row>
    <row r="438" spans="1:47" s="1135" customFormat="1" outlineLevel="1" x14ac:dyDescent="0.2">
      <c r="A438" s="17"/>
      <c r="B438" s="75"/>
      <c r="C438" s="1989" t="s">
        <v>3850</v>
      </c>
      <c r="D438" s="1989" t="s">
        <v>5362</v>
      </c>
      <c r="E438" s="1989">
        <v>29.67</v>
      </c>
      <c r="F438" s="38">
        <f t="shared" si="6"/>
        <v>2412.8011908000003</v>
      </c>
      <c r="G438" s="459"/>
      <c r="H438" s="8"/>
      <c r="I438" s="8"/>
      <c r="J438" s="8"/>
      <c r="K438" s="8"/>
      <c r="L438" s="8"/>
      <c r="M438" s="8"/>
      <c r="N438" s="8"/>
      <c r="O438" s="8"/>
      <c r="P438" s="8"/>
      <c r="Q438" s="8"/>
      <c r="R438" s="8"/>
      <c r="S438" s="8"/>
      <c r="T438" s="8"/>
      <c r="U438" s="8"/>
      <c r="V438" s="8"/>
      <c r="W438" s="8"/>
      <c r="X438" s="771"/>
      <c r="Y438" s="771"/>
      <c r="Z438" s="771"/>
      <c r="AA438" s="771"/>
      <c r="AB438" s="771"/>
      <c r="AC438" s="771"/>
      <c r="AD438" s="771"/>
      <c r="AE438" s="771"/>
      <c r="AF438" s="771"/>
      <c r="AG438" s="771"/>
      <c r="AH438" s="771"/>
      <c r="AI438" s="771"/>
      <c r="AJ438" s="771"/>
      <c r="AK438" s="771"/>
      <c r="AL438" s="771"/>
      <c r="AM438" s="771"/>
      <c r="AN438" s="771"/>
      <c r="AO438" s="771"/>
      <c r="AP438" s="771"/>
      <c r="AQ438" s="771"/>
      <c r="AR438" s="771"/>
      <c r="AS438" s="771"/>
      <c r="AT438" s="771"/>
      <c r="AU438" s="771"/>
    </row>
    <row r="439" spans="1:47" s="1135" customFormat="1" outlineLevel="1" x14ac:dyDescent="0.2">
      <c r="A439" s="17"/>
      <c r="B439" s="75"/>
      <c r="C439" s="1989" t="s">
        <v>3851</v>
      </c>
      <c r="D439" s="1989" t="s">
        <v>5363</v>
      </c>
      <c r="E439" s="1989">
        <v>0</v>
      </c>
      <c r="F439" s="38">
        <f t="shared" si="6"/>
        <v>0</v>
      </c>
      <c r="G439" s="459"/>
      <c r="H439" s="8"/>
      <c r="I439" s="8"/>
      <c r="J439" s="8"/>
      <c r="K439" s="8"/>
      <c r="L439" s="8"/>
      <c r="M439" s="8"/>
      <c r="N439" s="8"/>
      <c r="O439" s="8"/>
      <c r="P439" s="8"/>
      <c r="Q439" s="8"/>
      <c r="R439" s="8"/>
      <c r="S439" s="8"/>
      <c r="T439" s="8"/>
      <c r="U439" s="8"/>
      <c r="V439" s="8"/>
      <c r="W439" s="8"/>
      <c r="X439" s="771"/>
      <c r="Y439" s="771"/>
      <c r="Z439" s="771"/>
      <c r="AA439" s="771"/>
      <c r="AB439" s="771"/>
      <c r="AC439" s="771"/>
      <c r="AD439" s="771"/>
      <c r="AE439" s="771"/>
      <c r="AF439" s="771"/>
      <c r="AG439" s="771"/>
      <c r="AH439" s="771"/>
      <c r="AI439" s="771"/>
      <c r="AJ439" s="771"/>
      <c r="AK439" s="771"/>
      <c r="AL439" s="771"/>
      <c r="AM439" s="771"/>
      <c r="AN439" s="771"/>
      <c r="AO439" s="771"/>
      <c r="AP439" s="771"/>
      <c r="AQ439" s="771"/>
      <c r="AR439" s="771"/>
      <c r="AS439" s="771"/>
      <c r="AT439" s="771"/>
      <c r="AU439" s="771"/>
    </row>
    <row r="440" spans="1:47" s="1135" customFormat="1" outlineLevel="1" x14ac:dyDescent="0.2">
      <c r="A440" s="17"/>
      <c r="B440" s="75"/>
      <c r="C440" s="1989" t="s">
        <v>3508</v>
      </c>
      <c r="D440" s="1989" t="s">
        <v>5364</v>
      </c>
      <c r="E440" s="1989">
        <v>17.809999999999999</v>
      </c>
      <c r="F440" s="38">
        <f t="shared" si="6"/>
        <v>1448.3312844</v>
      </c>
      <c r="G440" s="459"/>
      <c r="H440" s="8"/>
      <c r="I440" s="8"/>
      <c r="J440" s="8"/>
      <c r="K440" s="8"/>
      <c r="L440" s="8"/>
      <c r="M440" s="8"/>
      <c r="N440" s="8"/>
      <c r="O440" s="8"/>
      <c r="P440" s="8"/>
      <c r="Q440" s="8"/>
      <c r="R440" s="8"/>
      <c r="S440" s="8"/>
      <c r="T440" s="8"/>
      <c r="U440" s="8"/>
      <c r="V440" s="8"/>
      <c r="W440" s="8"/>
      <c r="X440" s="771"/>
      <c r="Y440" s="771"/>
      <c r="Z440" s="771"/>
      <c r="AA440" s="771"/>
      <c r="AB440" s="771"/>
      <c r="AC440" s="771"/>
      <c r="AD440" s="771"/>
      <c r="AE440" s="771"/>
      <c r="AF440" s="771"/>
      <c r="AG440" s="771"/>
      <c r="AH440" s="771"/>
      <c r="AI440" s="771"/>
      <c r="AJ440" s="771"/>
      <c r="AK440" s="771"/>
      <c r="AL440" s="771"/>
      <c r="AM440" s="771"/>
      <c r="AN440" s="771"/>
      <c r="AO440" s="771"/>
      <c r="AP440" s="771"/>
      <c r="AQ440" s="771"/>
      <c r="AR440" s="771"/>
      <c r="AS440" s="771"/>
      <c r="AT440" s="771"/>
      <c r="AU440" s="771"/>
    </row>
    <row r="441" spans="1:47" s="1135" customFormat="1" outlineLevel="1" x14ac:dyDescent="0.2">
      <c r="A441" s="17"/>
      <c r="B441" s="75"/>
      <c r="C441" s="1989" t="s">
        <v>3852</v>
      </c>
      <c r="D441" s="1989" t="s">
        <v>5365</v>
      </c>
      <c r="E441" s="1989">
        <v>22.02</v>
      </c>
      <c r="F441" s="38">
        <f t="shared" si="6"/>
        <v>1790.6937048000002</v>
      </c>
      <c r="G441" s="459"/>
      <c r="H441" s="8"/>
      <c r="I441" s="8"/>
      <c r="J441" s="8"/>
      <c r="K441" s="8"/>
      <c r="L441" s="8"/>
      <c r="M441" s="8"/>
      <c r="N441" s="8"/>
      <c r="O441" s="8"/>
      <c r="P441" s="8"/>
      <c r="Q441" s="8"/>
      <c r="R441" s="8"/>
      <c r="S441" s="8"/>
      <c r="T441" s="8"/>
      <c r="U441" s="8"/>
      <c r="V441" s="8"/>
      <c r="W441" s="8"/>
      <c r="X441" s="771"/>
      <c r="Y441" s="771"/>
      <c r="Z441" s="771"/>
      <c r="AA441" s="771"/>
      <c r="AB441" s="771"/>
      <c r="AC441" s="771"/>
      <c r="AD441" s="771"/>
      <c r="AE441" s="771"/>
      <c r="AF441" s="771"/>
      <c r="AG441" s="771"/>
      <c r="AH441" s="771"/>
      <c r="AI441" s="771"/>
      <c r="AJ441" s="771"/>
      <c r="AK441" s="771"/>
      <c r="AL441" s="771"/>
      <c r="AM441" s="771"/>
      <c r="AN441" s="771"/>
      <c r="AO441" s="771"/>
      <c r="AP441" s="771"/>
      <c r="AQ441" s="771"/>
      <c r="AR441" s="771"/>
      <c r="AS441" s="771"/>
      <c r="AT441" s="771"/>
      <c r="AU441" s="771"/>
    </row>
    <row r="442" spans="1:47" s="1135" customFormat="1" outlineLevel="1" x14ac:dyDescent="0.2">
      <c r="A442" s="17"/>
      <c r="B442" s="75"/>
      <c r="C442" s="1989" t="s">
        <v>6684</v>
      </c>
      <c r="D442" s="1989" t="s">
        <v>7426</v>
      </c>
      <c r="E442" s="1989">
        <v>16.23</v>
      </c>
      <c r="F442" s="38">
        <f t="shared" si="6"/>
        <v>1319.8437252000001</v>
      </c>
      <c r="G442" s="459"/>
      <c r="H442" s="8"/>
      <c r="I442" s="8"/>
      <c r="J442" s="8"/>
      <c r="K442" s="8"/>
      <c r="L442" s="8"/>
      <c r="M442" s="8"/>
      <c r="N442" s="8"/>
      <c r="O442" s="8"/>
      <c r="P442" s="8"/>
      <c r="Q442" s="8"/>
      <c r="R442" s="8"/>
      <c r="S442" s="8"/>
      <c r="T442" s="8"/>
      <c r="U442" s="8"/>
      <c r="V442" s="8"/>
      <c r="W442" s="8"/>
      <c r="X442" s="771"/>
      <c r="Y442" s="771"/>
      <c r="Z442" s="771"/>
      <c r="AA442" s="771"/>
      <c r="AB442" s="771"/>
      <c r="AC442" s="771"/>
      <c r="AD442" s="771"/>
      <c r="AE442" s="771"/>
      <c r="AF442" s="771"/>
      <c r="AG442" s="771"/>
      <c r="AH442" s="771"/>
      <c r="AI442" s="771"/>
      <c r="AJ442" s="771"/>
      <c r="AK442" s="771"/>
      <c r="AL442" s="771"/>
      <c r="AM442" s="771"/>
      <c r="AN442" s="771"/>
      <c r="AO442" s="771"/>
      <c r="AP442" s="771"/>
      <c r="AQ442" s="771"/>
      <c r="AR442" s="771"/>
      <c r="AS442" s="771"/>
      <c r="AT442" s="771"/>
      <c r="AU442" s="771"/>
    </row>
    <row r="443" spans="1:47" s="1135" customFormat="1" outlineLevel="1" x14ac:dyDescent="0.2">
      <c r="A443" s="17"/>
      <c r="B443" s="75"/>
      <c r="C443" s="1989" t="s">
        <v>2517</v>
      </c>
      <c r="D443" s="1989" t="s">
        <v>5366</v>
      </c>
      <c r="E443" s="1989">
        <v>0</v>
      </c>
      <c r="F443" s="38">
        <f t="shared" si="6"/>
        <v>0</v>
      </c>
      <c r="G443" s="459"/>
      <c r="H443" s="8"/>
      <c r="I443" s="8"/>
      <c r="J443" s="8"/>
      <c r="K443" s="8"/>
      <c r="L443" s="8"/>
      <c r="M443" s="8"/>
      <c r="N443" s="8"/>
      <c r="O443" s="8"/>
      <c r="P443" s="8"/>
      <c r="Q443" s="8"/>
      <c r="R443" s="8"/>
      <c r="S443" s="8"/>
      <c r="T443" s="8"/>
      <c r="U443" s="8"/>
      <c r="V443" s="8"/>
      <c r="W443" s="8"/>
      <c r="X443" s="771"/>
      <c r="Y443" s="771"/>
      <c r="Z443" s="771"/>
      <c r="AA443" s="771"/>
      <c r="AB443" s="771"/>
      <c r="AC443" s="771"/>
      <c r="AD443" s="771"/>
      <c r="AE443" s="771"/>
      <c r="AF443" s="771"/>
      <c r="AG443" s="771"/>
      <c r="AH443" s="771"/>
      <c r="AI443" s="771"/>
      <c r="AJ443" s="771"/>
      <c r="AK443" s="771"/>
      <c r="AL443" s="771"/>
      <c r="AM443" s="771"/>
      <c r="AN443" s="771"/>
      <c r="AO443" s="771"/>
      <c r="AP443" s="771"/>
      <c r="AQ443" s="771"/>
      <c r="AR443" s="771"/>
      <c r="AS443" s="771"/>
      <c r="AT443" s="771"/>
      <c r="AU443" s="771"/>
    </row>
    <row r="444" spans="1:47" s="1135" customFormat="1" outlineLevel="1" x14ac:dyDescent="0.2">
      <c r="A444" s="17"/>
      <c r="B444" s="75"/>
      <c r="C444" s="1989" t="s">
        <v>795</v>
      </c>
      <c r="D444" s="1989" t="s">
        <v>5367</v>
      </c>
      <c r="E444" s="1989">
        <v>0.42</v>
      </c>
      <c r="F444" s="38">
        <f t="shared" si="6"/>
        <v>34.154920799999999</v>
      </c>
      <c r="G444" s="459"/>
      <c r="H444" s="8"/>
      <c r="I444" s="8"/>
      <c r="J444" s="8"/>
      <c r="K444" s="8"/>
      <c r="L444" s="8"/>
      <c r="M444" s="8"/>
      <c r="N444" s="8"/>
      <c r="O444" s="8"/>
      <c r="P444" s="8"/>
      <c r="Q444" s="8"/>
      <c r="R444" s="8"/>
      <c r="S444" s="8"/>
      <c r="T444" s="8"/>
      <c r="U444" s="8"/>
      <c r="V444" s="8"/>
      <c r="W444" s="8"/>
      <c r="X444" s="771"/>
      <c r="Y444" s="771"/>
      <c r="Z444" s="771"/>
      <c r="AA444" s="771"/>
      <c r="AB444" s="771"/>
      <c r="AC444" s="771"/>
      <c r="AD444" s="771"/>
      <c r="AE444" s="771"/>
      <c r="AF444" s="771"/>
      <c r="AG444" s="771"/>
      <c r="AH444" s="771"/>
      <c r="AI444" s="771"/>
      <c r="AJ444" s="771"/>
      <c r="AK444" s="771"/>
      <c r="AL444" s="771"/>
      <c r="AM444" s="771"/>
      <c r="AN444" s="771"/>
      <c r="AO444" s="771"/>
      <c r="AP444" s="771"/>
      <c r="AQ444" s="771"/>
      <c r="AR444" s="771"/>
      <c r="AS444" s="771"/>
      <c r="AT444" s="771"/>
      <c r="AU444" s="771"/>
    </row>
    <row r="445" spans="1:47" s="1135" customFormat="1" outlineLevel="1" x14ac:dyDescent="0.2">
      <c r="A445" s="17"/>
      <c r="B445" s="75"/>
      <c r="C445" s="1989" t="s">
        <v>797</v>
      </c>
      <c r="D445" s="1989" t="s">
        <v>5368</v>
      </c>
      <c r="E445" s="1989">
        <v>0.42</v>
      </c>
      <c r="F445" s="38">
        <f t="shared" si="6"/>
        <v>34.154920799999999</v>
      </c>
      <c r="G445" s="459"/>
      <c r="H445" s="8"/>
      <c r="I445" s="8"/>
      <c r="J445" s="8"/>
      <c r="K445" s="8"/>
      <c r="L445" s="8"/>
      <c r="M445" s="8"/>
      <c r="N445" s="8"/>
      <c r="O445" s="8"/>
      <c r="P445" s="8"/>
      <c r="Q445" s="8"/>
      <c r="R445" s="8"/>
      <c r="S445" s="8"/>
      <c r="T445" s="8"/>
      <c r="U445" s="8"/>
      <c r="V445" s="8"/>
      <c r="W445" s="8"/>
      <c r="X445" s="771"/>
      <c r="Y445" s="771"/>
      <c r="Z445" s="771"/>
      <c r="AA445" s="771"/>
      <c r="AB445" s="771"/>
      <c r="AC445" s="771"/>
      <c r="AD445" s="771"/>
      <c r="AE445" s="771"/>
      <c r="AF445" s="771"/>
      <c r="AG445" s="771"/>
      <c r="AH445" s="771"/>
      <c r="AI445" s="771"/>
      <c r="AJ445" s="771"/>
      <c r="AK445" s="771"/>
      <c r="AL445" s="771"/>
      <c r="AM445" s="771"/>
      <c r="AN445" s="771"/>
      <c r="AO445" s="771"/>
      <c r="AP445" s="771"/>
      <c r="AQ445" s="771"/>
      <c r="AR445" s="771"/>
      <c r="AS445" s="771"/>
      <c r="AT445" s="771"/>
      <c r="AU445" s="771"/>
    </row>
    <row r="446" spans="1:47" s="1135" customFormat="1" outlineLevel="1" x14ac:dyDescent="0.2">
      <c r="A446" s="17"/>
      <c r="B446" s="75"/>
      <c r="C446" s="1989" t="s">
        <v>804</v>
      </c>
      <c r="D446" s="1989" t="s">
        <v>5369</v>
      </c>
      <c r="E446" s="1989">
        <v>2.89</v>
      </c>
      <c r="F446" s="38">
        <f t="shared" si="6"/>
        <v>235.01838360000002</v>
      </c>
      <c r="G446" s="459"/>
      <c r="H446" s="8"/>
      <c r="I446" s="8"/>
      <c r="J446" s="8"/>
      <c r="K446" s="8"/>
      <c r="L446" s="8"/>
      <c r="M446" s="8"/>
      <c r="N446" s="8"/>
      <c r="O446" s="8"/>
      <c r="P446" s="8"/>
      <c r="Q446" s="8"/>
      <c r="R446" s="8"/>
      <c r="S446" s="8"/>
      <c r="T446" s="8"/>
      <c r="U446" s="8"/>
      <c r="V446" s="8"/>
      <c r="W446" s="8"/>
      <c r="X446" s="771"/>
      <c r="Y446" s="771"/>
      <c r="Z446" s="771"/>
      <c r="AA446" s="771"/>
      <c r="AB446" s="771"/>
      <c r="AC446" s="771"/>
      <c r="AD446" s="771"/>
      <c r="AE446" s="771"/>
      <c r="AF446" s="771"/>
      <c r="AG446" s="771"/>
      <c r="AH446" s="771"/>
      <c r="AI446" s="771"/>
      <c r="AJ446" s="771"/>
      <c r="AK446" s="771"/>
      <c r="AL446" s="771"/>
      <c r="AM446" s="771"/>
      <c r="AN446" s="771"/>
      <c r="AO446" s="771"/>
      <c r="AP446" s="771"/>
      <c r="AQ446" s="771"/>
      <c r="AR446" s="771"/>
      <c r="AS446" s="771"/>
      <c r="AT446" s="771"/>
      <c r="AU446" s="771"/>
    </row>
    <row r="447" spans="1:47" s="1135" customFormat="1" outlineLevel="1" x14ac:dyDescent="0.2">
      <c r="A447" s="17"/>
      <c r="B447" s="75"/>
      <c r="C447" s="1989" t="s">
        <v>655</v>
      </c>
      <c r="D447" s="1989" t="s">
        <v>5370</v>
      </c>
      <c r="E447" s="1989">
        <v>2.23</v>
      </c>
      <c r="F447" s="38">
        <f t="shared" si="6"/>
        <v>181.34636519999998</v>
      </c>
      <c r="G447" s="459"/>
      <c r="H447" s="8"/>
      <c r="I447" s="8"/>
      <c r="J447" s="8"/>
      <c r="K447" s="8"/>
      <c r="L447" s="8"/>
      <c r="M447" s="8"/>
      <c r="N447" s="8"/>
      <c r="O447" s="8"/>
      <c r="P447" s="8"/>
      <c r="Q447" s="8"/>
      <c r="R447" s="8"/>
      <c r="S447" s="8"/>
      <c r="T447" s="8"/>
      <c r="U447" s="8"/>
      <c r="V447" s="8"/>
      <c r="W447" s="8"/>
      <c r="X447" s="771"/>
      <c r="Y447" s="771"/>
      <c r="Z447" s="771"/>
      <c r="AA447" s="771"/>
      <c r="AB447" s="771"/>
      <c r="AC447" s="771"/>
      <c r="AD447" s="771"/>
      <c r="AE447" s="771"/>
      <c r="AF447" s="771"/>
      <c r="AG447" s="771"/>
      <c r="AH447" s="771"/>
      <c r="AI447" s="771"/>
      <c r="AJ447" s="771"/>
      <c r="AK447" s="771"/>
      <c r="AL447" s="771"/>
      <c r="AM447" s="771"/>
      <c r="AN447" s="771"/>
      <c r="AO447" s="771"/>
      <c r="AP447" s="771"/>
      <c r="AQ447" s="771"/>
      <c r="AR447" s="771"/>
      <c r="AS447" s="771"/>
      <c r="AT447" s="771"/>
      <c r="AU447" s="771"/>
    </row>
    <row r="448" spans="1:47" s="1135" customFormat="1" outlineLevel="1" x14ac:dyDescent="0.2">
      <c r="A448" s="17"/>
      <c r="B448" s="75"/>
      <c r="C448" s="1989" t="s">
        <v>1764</v>
      </c>
      <c r="D448" s="1989" t="s">
        <v>5371</v>
      </c>
      <c r="E448" s="1989">
        <v>2.23</v>
      </c>
      <c r="F448" s="38">
        <f t="shared" si="6"/>
        <v>181.34636519999998</v>
      </c>
      <c r="G448" s="459"/>
      <c r="H448" s="8"/>
      <c r="I448" s="8"/>
      <c r="J448" s="8"/>
      <c r="K448" s="8"/>
      <c r="L448" s="8"/>
      <c r="M448" s="8"/>
      <c r="N448" s="8"/>
      <c r="O448" s="8"/>
      <c r="P448" s="8"/>
      <c r="Q448" s="8"/>
      <c r="R448" s="8"/>
      <c r="S448" s="8"/>
      <c r="T448" s="8"/>
      <c r="U448" s="8"/>
      <c r="V448" s="8"/>
      <c r="W448" s="8"/>
      <c r="X448" s="771"/>
      <c r="Y448" s="771"/>
      <c r="Z448" s="771"/>
      <c r="AA448" s="771"/>
      <c r="AB448" s="771"/>
      <c r="AC448" s="771"/>
      <c r="AD448" s="771"/>
      <c r="AE448" s="771"/>
      <c r="AF448" s="771"/>
      <c r="AG448" s="771"/>
      <c r="AH448" s="771"/>
      <c r="AI448" s="771"/>
      <c r="AJ448" s="771"/>
      <c r="AK448" s="771"/>
      <c r="AL448" s="771"/>
      <c r="AM448" s="771"/>
      <c r="AN448" s="771"/>
      <c r="AO448" s="771"/>
      <c r="AP448" s="771"/>
      <c r="AQ448" s="771"/>
      <c r="AR448" s="771"/>
      <c r="AS448" s="771"/>
      <c r="AT448" s="771"/>
      <c r="AU448" s="771"/>
    </row>
    <row r="449" spans="1:47" s="1135" customFormat="1" outlineLevel="1" x14ac:dyDescent="0.2">
      <c r="A449" s="17"/>
      <c r="B449" s="75"/>
      <c r="C449" s="1989" t="s">
        <v>269</v>
      </c>
      <c r="D449" s="1989" t="s">
        <v>5372</v>
      </c>
      <c r="E449" s="1989">
        <v>2.4</v>
      </c>
      <c r="F449" s="38">
        <f t="shared" si="6"/>
        <v>195.170976</v>
      </c>
      <c r="G449" s="459"/>
      <c r="H449" s="8"/>
      <c r="I449" s="8"/>
      <c r="J449" s="8"/>
      <c r="K449" s="8"/>
      <c r="L449" s="8"/>
      <c r="M449" s="8"/>
      <c r="N449" s="8"/>
      <c r="O449" s="8"/>
      <c r="P449" s="8"/>
      <c r="Q449" s="8"/>
      <c r="R449" s="8"/>
      <c r="S449" s="8"/>
      <c r="T449" s="8"/>
      <c r="U449" s="8"/>
      <c r="V449" s="8"/>
      <c r="W449" s="8"/>
      <c r="X449" s="771"/>
      <c r="Y449" s="771"/>
      <c r="Z449" s="771"/>
      <c r="AA449" s="771"/>
      <c r="AB449" s="771"/>
      <c r="AC449" s="771"/>
      <c r="AD449" s="771"/>
      <c r="AE449" s="771"/>
      <c r="AF449" s="771"/>
      <c r="AG449" s="771"/>
      <c r="AH449" s="771"/>
      <c r="AI449" s="771"/>
      <c r="AJ449" s="771"/>
      <c r="AK449" s="771"/>
      <c r="AL449" s="771"/>
      <c r="AM449" s="771"/>
      <c r="AN449" s="771"/>
      <c r="AO449" s="771"/>
      <c r="AP449" s="771"/>
      <c r="AQ449" s="771"/>
      <c r="AR449" s="771"/>
      <c r="AS449" s="771"/>
      <c r="AT449" s="771"/>
      <c r="AU449" s="771"/>
    </row>
    <row r="450" spans="1:47" s="1135" customFormat="1" outlineLevel="1" x14ac:dyDescent="0.2">
      <c r="A450" s="17"/>
      <c r="B450" s="75"/>
      <c r="C450" s="1989" t="s">
        <v>1606</v>
      </c>
      <c r="D450" s="1989" t="s">
        <v>5373</v>
      </c>
      <c r="E450" s="1989">
        <v>28.4</v>
      </c>
      <c r="F450" s="38">
        <f t="shared" si="6"/>
        <v>2309.523216</v>
      </c>
      <c r="G450" s="459"/>
      <c r="H450" s="8"/>
      <c r="I450" s="8"/>
      <c r="J450" s="8"/>
      <c r="K450" s="8"/>
      <c r="L450" s="8"/>
      <c r="M450" s="8"/>
      <c r="N450" s="8"/>
      <c r="O450" s="8"/>
      <c r="P450" s="8"/>
      <c r="Q450" s="8"/>
      <c r="R450" s="8"/>
      <c r="S450" s="8"/>
      <c r="T450" s="8"/>
      <c r="U450" s="8"/>
      <c r="V450" s="8"/>
      <c r="W450" s="8"/>
      <c r="X450" s="771"/>
      <c r="Y450" s="771"/>
      <c r="Z450" s="771"/>
      <c r="AA450" s="771"/>
      <c r="AB450" s="771"/>
      <c r="AC450" s="771"/>
      <c r="AD450" s="771"/>
      <c r="AE450" s="771"/>
      <c r="AF450" s="771"/>
      <c r="AG450" s="771"/>
      <c r="AH450" s="771"/>
      <c r="AI450" s="771"/>
      <c r="AJ450" s="771"/>
      <c r="AK450" s="771"/>
      <c r="AL450" s="771"/>
      <c r="AM450" s="771"/>
      <c r="AN450" s="771"/>
      <c r="AO450" s="771"/>
      <c r="AP450" s="771"/>
      <c r="AQ450" s="771"/>
      <c r="AR450" s="771"/>
      <c r="AS450" s="771"/>
      <c r="AT450" s="771"/>
      <c r="AU450" s="771"/>
    </row>
    <row r="451" spans="1:47" s="1135" customFormat="1" outlineLevel="1" x14ac:dyDescent="0.2">
      <c r="A451" s="17"/>
      <c r="B451" s="75"/>
      <c r="C451" s="1989" t="s">
        <v>1608</v>
      </c>
      <c r="D451" s="1989" t="s">
        <v>5374</v>
      </c>
      <c r="E451" s="1989">
        <v>29.3</v>
      </c>
      <c r="F451" s="38">
        <f t="shared" si="6"/>
        <v>2382.7123320000001</v>
      </c>
      <c r="G451" s="459"/>
      <c r="H451" s="8"/>
      <c r="I451" s="8"/>
      <c r="J451" s="8"/>
      <c r="K451" s="8"/>
      <c r="L451" s="8"/>
      <c r="M451" s="8"/>
      <c r="N451" s="8"/>
      <c r="O451" s="8"/>
      <c r="P451" s="8"/>
      <c r="Q451" s="8"/>
      <c r="R451" s="8"/>
      <c r="S451" s="8"/>
      <c r="T451" s="8"/>
      <c r="U451" s="8"/>
      <c r="V451" s="8"/>
      <c r="W451" s="8"/>
      <c r="X451" s="771"/>
      <c r="Y451" s="771"/>
      <c r="Z451" s="771"/>
      <c r="AA451" s="771"/>
      <c r="AB451" s="771"/>
      <c r="AC451" s="771"/>
      <c r="AD451" s="771"/>
      <c r="AE451" s="771"/>
      <c r="AF451" s="771"/>
      <c r="AG451" s="771"/>
      <c r="AH451" s="771"/>
      <c r="AI451" s="771"/>
      <c r="AJ451" s="771"/>
      <c r="AK451" s="771"/>
      <c r="AL451" s="771"/>
      <c r="AM451" s="771"/>
      <c r="AN451" s="771"/>
      <c r="AO451" s="771"/>
      <c r="AP451" s="771"/>
      <c r="AQ451" s="771"/>
      <c r="AR451" s="771"/>
      <c r="AS451" s="771"/>
      <c r="AT451" s="771"/>
      <c r="AU451" s="771"/>
    </row>
    <row r="452" spans="1:47" s="1135" customFormat="1" outlineLevel="1" x14ac:dyDescent="0.2">
      <c r="A452" s="17"/>
      <c r="B452" s="75"/>
      <c r="C452" s="1989" t="s">
        <v>1859</v>
      </c>
      <c r="D452" s="1989" t="s">
        <v>5375</v>
      </c>
      <c r="E452" s="1989">
        <v>30.89</v>
      </c>
      <c r="F452" s="38">
        <f t="shared" si="6"/>
        <v>2512.0131036000002</v>
      </c>
      <c r="G452" s="459"/>
      <c r="H452" s="8"/>
      <c r="I452" s="8"/>
      <c r="J452" s="8"/>
      <c r="K452" s="8"/>
      <c r="L452" s="8"/>
      <c r="M452" s="8"/>
      <c r="N452" s="8"/>
      <c r="O452" s="8"/>
      <c r="P452" s="8"/>
      <c r="Q452" s="8"/>
      <c r="R452" s="8"/>
      <c r="S452" s="8"/>
      <c r="T452" s="8"/>
      <c r="U452" s="8"/>
      <c r="V452" s="8"/>
      <c r="W452" s="8"/>
      <c r="X452" s="771"/>
      <c r="Y452" s="771"/>
      <c r="Z452" s="771"/>
      <c r="AA452" s="771"/>
      <c r="AB452" s="771"/>
      <c r="AC452" s="771"/>
      <c r="AD452" s="771"/>
      <c r="AE452" s="771"/>
      <c r="AF452" s="771"/>
      <c r="AG452" s="771"/>
      <c r="AH452" s="771"/>
      <c r="AI452" s="771"/>
      <c r="AJ452" s="771"/>
      <c r="AK452" s="771"/>
      <c r="AL452" s="771"/>
      <c r="AM452" s="771"/>
      <c r="AN452" s="771"/>
      <c r="AO452" s="771"/>
      <c r="AP452" s="771"/>
      <c r="AQ452" s="771"/>
      <c r="AR452" s="771"/>
      <c r="AS452" s="771"/>
      <c r="AT452" s="771"/>
      <c r="AU452" s="771"/>
    </row>
    <row r="453" spans="1:47" s="1135" customFormat="1" outlineLevel="1" x14ac:dyDescent="0.2">
      <c r="A453" s="17"/>
      <c r="B453" s="75"/>
      <c r="C453" s="1989" t="s">
        <v>291</v>
      </c>
      <c r="D453" s="1989" t="s">
        <v>5376</v>
      </c>
      <c r="E453" s="1989">
        <v>3.52</v>
      </c>
      <c r="F453" s="38">
        <f t="shared" si="6"/>
        <v>286.25076480000001</v>
      </c>
      <c r="G453" s="459"/>
      <c r="H453" s="8"/>
      <c r="I453" s="8"/>
      <c r="J453" s="8"/>
      <c r="K453" s="8"/>
      <c r="L453" s="8"/>
      <c r="M453" s="8"/>
      <c r="N453" s="8"/>
      <c r="O453" s="8"/>
      <c r="P453" s="8"/>
      <c r="Q453" s="8"/>
      <c r="R453" s="8"/>
      <c r="S453" s="8"/>
      <c r="T453" s="8"/>
      <c r="U453" s="8"/>
      <c r="V453" s="8"/>
      <c r="W453" s="8"/>
      <c r="X453" s="771"/>
      <c r="Y453" s="771"/>
      <c r="Z453" s="771"/>
      <c r="AA453" s="771"/>
      <c r="AB453" s="771"/>
      <c r="AC453" s="771"/>
      <c r="AD453" s="771"/>
      <c r="AE453" s="771"/>
      <c r="AF453" s="771"/>
      <c r="AG453" s="771"/>
      <c r="AH453" s="771"/>
      <c r="AI453" s="771"/>
      <c r="AJ453" s="771"/>
      <c r="AK453" s="771"/>
      <c r="AL453" s="771"/>
      <c r="AM453" s="771"/>
      <c r="AN453" s="771"/>
      <c r="AO453" s="771"/>
      <c r="AP453" s="771"/>
      <c r="AQ453" s="771"/>
      <c r="AR453" s="771"/>
      <c r="AS453" s="771"/>
      <c r="AT453" s="771"/>
      <c r="AU453" s="771"/>
    </row>
    <row r="454" spans="1:47" s="1135" customFormat="1" outlineLevel="1" x14ac:dyDescent="0.2">
      <c r="A454" s="17"/>
      <c r="B454" s="75"/>
      <c r="C454" s="1989" t="s">
        <v>1090</v>
      </c>
      <c r="D454" s="1989" t="s">
        <v>5377</v>
      </c>
      <c r="E454" s="1989">
        <v>6.53</v>
      </c>
      <c r="F454" s="38">
        <f t="shared" si="6"/>
        <v>531.02769720000003</v>
      </c>
      <c r="G454" s="459"/>
      <c r="H454" s="8"/>
      <c r="I454" s="8"/>
      <c r="J454" s="8"/>
      <c r="K454" s="8"/>
      <c r="L454" s="8"/>
      <c r="M454" s="8"/>
      <c r="N454" s="8"/>
      <c r="O454" s="8"/>
      <c r="P454" s="8"/>
      <c r="Q454" s="8"/>
      <c r="R454" s="8"/>
      <c r="S454" s="8"/>
      <c r="T454" s="8"/>
      <c r="U454" s="8"/>
      <c r="V454" s="8"/>
      <c r="W454" s="8"/>
      <c r="X454" s="771"/>
      <c r="Y454" s="771"/>
      <c r="Z454" s="771"/>
      <c r="AA454" s="771"/>
      <c r="AB454" s="771"/>
      <c r="AC454" s="771"/>
      <c r="AD454" s="771"/>
      <c r="AE454" s="771"/>
      <c r="AF454" s="771"/>
      <c r="AG454" s="771"/>
      <c r="AH454" s="771"/>
      <c r="AI454" s="771"/>
      <c r="AJ454" s="771"/>
      <c r="AK454" s="771"/>
      <c r="AL454" s="771"/>
      <c r="AM454" s="771"/>
      <c r="AN454" s="771"/>
      <c r="AO454" s="771"/>
      <c r="AP454" s="771"/>
      <c r="AQ454" s="771"/>
      <c r="AR454" s="771"/>
      <c r="AS454" s="771"/>
      <c r="AT454" s="771"/>
      <c r="AU454" s="771"/>
    </row>
    <row r="455" spans="1:47" s="1135" customFormat="1" outlineLevel="1" x14ac:dyDescent="0.2">
      <c r="A455" s="17"/>
      <c r="B455" s="75"/>
      <c r="C455" s="1989" t="s">
        <v>287</v>
      </c>
      <c r="D455" s="1989" t="s">
        <v>5378</v>
      </c>
      <c r="E455" s="1989">
        <v>8.35</v>
      </c>
      <c r="F455" s="38">
        <f t="shared" si="6"/>
        <v>679.03235400000005</v>
      </c>
      <c r="G455" s="459"/>
      <c r="H455" s="8"/>
      <c r="I455" s="8"/>
      <c r="J455" s="8"/>
      <c r="K455" s="8"/>
      <c r="L455" s="8"/>
      <c r="M455" s="8"/>
      <c r="N455" s="8"/>
      <c r="O455" s="8"/>
      <c r="P455" s="8"/>
      <c r="Q455" s="8"/>
      <c r="R455" s="8"/>
      <c r="S455" s="8"/>
      <c r="T455" s="8"/>
      <c r="U455" s="8"/>
      <c r="V455" s="8"/>
      <c r="W455" s="8"/>
      <c r="X455" s="771"/>
      <c r="Y455" s="771"/>
      <c r="Z455" s="771"/>
      <c r="AA455" s="771"/>
      <c r="AB455" s="771"/>
      <c r="AC455" s="771"/>
      <c r="AD455" s="771"/>
      <c r="AE455" s="771"/>
      <c r="AF455" s="771"/>
      <c r="AG455" s="771"/>
      <c r="AH455" s="771"/>
      <c r="AI455" s="771"/>
      <c r="AJ455" s="771"/>
      <c r="AK455" s="771"/>
      <c r="AL455" s="771"/>
      <c r="AM455" s="771"/>
      <c r="AN455" s="771"/>
      <c r="AO455" s="771"/>
      <c r="AP455" s="771"/>
      <c r="AQ455" s="771"/>
      <c r="AR455" s="771"/>
      <c r="AS455" s="771"/>
      <c r="AT455" s="771"/>
      <c r="AU455" s="771"/>
    </row>
    <row r="456" spans="1:47" s="1135" customFormat="1" outlineLevel="1" x14ac:dyDescent="0.2">
      <c r="A456" s="17"/>
      <c r="B456" s="75"/>
      <c r="C456" s="1989" t="s">
        <v>1862</v>
      </c>
      <c r="D456" s="1989" t="s">
        <v>5379</v>
      </c>
      <c r="E456" s="1989">
        <v>10.58</v>
      </c>
      <c r="F456" s="38">
        <f t="shared" si="6"/>
        <v>860.37871920000009</v>
      </c>
      <c r="G456" s="459"/>
      <c r="H456" s="8"/>
      <c r="I456" s="8"/>
      <c r="J456" s="8"/>
      <c r="K456" s="8"/>
      <c r="L456" s="8"/>
      <c r="M456" s="8"/>
      <c r="N456" s="8"/>
      <c r="O456" s="8"/>
      <c r="P456" s="8"/>
      <c r="Q456" s="8"/>
      <c r="R456" s="8"/>
      <c r="S456" s="8"/>
      <c r="T456" s="8"/>
      <c r="U456" s="8"/>
      <c r="V456" s="8"/>
      <c r="W456" s="8"/>
      <c r="X456" s="771"/>
      <c r="Y456" s="771"/>
      <c r="Z456" s="771"/>
      <c r="AA456" s="771"/>
      <c r="AB456" s="771"/>
      <c r="AC456" s="771"/>
      <c r="AD456" s="771"/>
      <c r="AE456" s="771"/>
      <c r="AF456" s="771"/>
      <c r="AG456" s="771"/>
      <c r="AH456" s="771"/>
      <c r="AI456" s="771"/>
      <c r="AJ456" s="771"/>
      <c r="AK456" s="771"/>
      <c r="AL456" s="771"/>
      <c r="AM456" s="771"/>
      <c r="AN456" s="771"/>
      <c r="AO456" s="771"/>
      <c r="AP456" s="771"/>
      <c r="AQ456" s="771"/>
      <c r="AR456" s="771"/>
      <c r="AS456" s="771"/>
      <c r="AT456" s="771"/>
      <c r="AU456" s="771"/>
    </row>
    <row r="457" spans="1:47" s="1135" customFormat="1" outlineLevel="1" x14ac:dyDescent="0.2">
      <c r="A457" s="17"/>
      <c r="B457" s="75"/>
      <c r="C457" s="1989" t="s">
        <v>289</v>
      </c>
      <c r="D457" s="1989" t="s">
        <v>5380</v>
      </c>
      <c r="E457" s="1989">
        <v>10.24</v>
      </c>
      <c r="F457" s="38">
        <f t="shared" si="6"/>
        <v>832.72949760000006</v>
      </c>
      <c r="G457" s="459"/>
      <c r="H457" s="8"/>
      <c r="I457" s="8"/>
      <c r="J457" s="8"/>
      <c r="K457" s="8"/>
      <c r="L457" s="8"/>
      <c r="M457" s="8"/>
      <c r="N457" s="8"/>
      <c r="O457" s="8"/>
      <c r="P457" s="8"/>
      <c r="Q457" s="8"/>
      <c r="R457" s="8"/>
      <c r="S457" s="8"/>
      <c r="T457" s="8"/>
      <c r="U457" s="8"/>
      <c r="V457" s="8"/>
      <c r="W457" s="8"/>
      <c r="X457" s="771"/>
      <c r="Y457" s="771"/>
      <c r="Z457" s="771"/>
      <c r="AA457" s="771"/>
      <c r="AB457" s="771"/>
      <c r="AC457" s="771"/>
      <c r="AD457" s="771"/>
      <c r="AE457" s="771"/>
      <c r="AF457" s="771"/>
      <c r="AG457" s="771"/>
      <c r="AH457" s="771"/>
      <c r="AI457" s="771"/>
      <c r="AJ457" s="771"/>
      <c r="AK457" s="771"/>
      <c r="AL457" s="771"/>
      <c r="AM457" s="771"/>
      <c r="AN457" s="771"/>
      <c r="AO457" s="771"/>
      <c r="AP457" s="771"/>
      <c r="AQ457" s="771"/>
      <c r="AR457" s="771"/>
      <c r="AS457" s="771"/>
      <c r="AT457" s="771"/>
      <c r="AU457" s="771"/>
    </row>
    <row r="458" spans="1:47" s="1135" customFormat="1" outlineLevel="1" x14ac:dyDescent="0.2">
      <c r="A458" s="17"/>
      <c r="B458" s="75"/>
      <c r="C458" s="1989" t="s">
        <v>712</v>
      </c>
      <c r="D458" s="1989" t="s">
        <v>7427</v>
      </c>
      <c r="E458" s="1989">
        <v>0.85</v>
      </c>
      <c r="F458" s="38">
        <f t="shared" si="6"/>
        <v>69.12305400000001</v>
      </c>
      <c r="G458" s="459"/>
      <c r="H458" s="8"/>
      <c r="I458" s="8"/>
      <c r="J458" s="8"/>
      <c r="K458" s="8"/>
      <c r="L458" s="8"/>
      <c r="M458" s="8"/>
      <c r="N458" s="8"/>
      <c r="O458" s="8"/>
      <c r="P458" s="8"/>
      <c r="Q458" s="8"/>
      <c r="R458" s="8"/>
      <c r="S458" s="8"/>
      <c r="T458" s="8"/>
      <c r="U458" s="8"/>
      <c r="V458" s="8"/>
      <c r="W458" s="8"/>
      <c r="X458" s="771"/>
      <c r="Y458" s="771"/>
      <c r="Z458" s="771"/>
      <c r="AA458" s="771"/>
      <c r="AB458" s="771"/>
      <c r="AC458" s="771"/>
      <c r="AD458" s="771"/>
      <c r="AE458" s="771"/>
      <c r="AF458" s="771"/>
      <c r="AG458" s="771"/>
      <c r="AH458" s="771"/>
      <c r="AI458" s="771"/>
      <c r="AJ458" s="771"/>
      <c r="AK458" s="771"/>
      <c r="AL458" s="771"/>
      <c r="AM458" s="771"/>
      <c r="AN458" s="771"/>
      <c r="AO458" s="771"/>
      <c r="AP458" s="771"/>
      <c r="AQ458" s="771"/>
      <c r="AR458" s="771"/>
      <c r="AS458" s="771"/>
      <c r="AT458" s="771"/>
      <c r="AU458" s="771"/>
    </row>
    <row r="459" spans="1:47" s="1135" customFormat="1" outlineLevel="1" x14ac:dyDescent="0.2">
      <c r="A459" s="17"/>
      <c r="B459" s="75"/>
      <c r="C459" s="1989" t="s">
        <v>469</v>
      </c>
      <c r="D459" s="1989" t="s">
        <v>7428</v>
      </c>
      <c r="E459" s="1989">
        <v>1.39</v>
      </c>
      <c r="F459" s="38">
        <f t="shared" si="6"/>
        <v>113.03652360000001</v>
      </c>
      <c r="G459" s="459"/>
      <c r="H459" s="8"/>
      <c r="I459" s="8"/>
      <c r="J459" s="8"/>
      <c r="K459" s="8"/>
      <c r="L459" s="8"/>
      <c r="M459" s="8"/>
      <c r="N459" s="8"/>
      <c r="O459" s="8"/>
      <c r="P459" s="8"/>
      <c r="Q459" s="8"/>
      <c r="R459" s="8"/>
      <c r="S459" s="8"/>
      <c r="T459" s="8"/>
      <c r="U459" s="8"/>
      <c r="V459" s="8"/>
      <c r="W459" s="8"/>
      <c r="X459" s="771"/>
      <c r="Y459" s="771"/>
      <c r="Z459" s="771"/>
      <c r="AA459" s="771"/>
      <c r="AB459" s="771"/>
      <c r="AC459" s="771"/>
      <c r="AD459" s="771"/>
      <c r="AE459" s="771"/>
      <c r="AF459" s="771"/>
      <c r="AG459" s="771"/>
      <c r="AH459" s="771"/>
      <c r="AI459" s="771"/>
      <c r="AJ459" s="771"/>
      <c r="AK459" s="771"/>
      <c r="AL459" s="771"/>
      <c r="AM459" s="771"/>
      <c r="AN459" s="771"/>
      <c r="AO459" s="771"/>
      <c r="AP459" s="771"/>
      <c r="AQ459" s="771"/>
      <c r="AR459" s="771"/>
      <c r="AS459" s="771"/>
      <c r="AT459" s="771"/>
      <c r="AU459" s="771"/>
    </row>
    <row r="460" spans="1:47" s="1135" customFormat="1" outlineLevel="1" x14ac:dyDescent="0.2">
      <c r="A460" s="17"/>
      <c r="B460" s="75"/>
      <c r="C460" s="1989" t="s">
        <v>1085</v>
      </c>
      <c r="D460" s="1989" t="s">
        <v>1086</v>
      </c>
      <c r="E460" s="1989">
        <v>2.57</v>
      </c>
      <c r="F460" s="38">
        <f t="shared" si="6"/>
        <v>208.99558679999998</v>
      </c>
      <c r="G460" s="459"/>
      <c r="H460" s="8"/>
      <c r="I460" s="8"/>
      <c r="J460" s="8"/>
      <c r="K460" s="8"/>
      <c r="L460" s="8"/>
      <c r="M460" s="8"/>
      <c r="N460" s="8"/>
      <c r="O460" s="8"/>
      <c r="P460" s="8"/>
      <c r="Q460" s="8"/>
      <c r="R460" s="8"/>
      <c r="S460" s="8"/>
      <c r="T460" s="8"/>
      <c r="U460" s="8"/>
      <c r="V460" s="8"/>
      <c r="W460" s="8"/>
      <c r="X460" s="771"/>
      <c r="Y460" s="771"/>
      <c r="Z460" s="771"/>
      <c r="AA460" s="771"/>
      <c r="AB460" s="771"/>
      <c r="AC460" s="771"/>
      <c r="AD460" s="771"/>
      <c r="AE460" s="771"/>
      <c r="AF460" s="771"/>
      <c r="AG460" s="771"/>
      <c r="AH460" s="771"/>
      <c r="AI460" s="771"/>
      <c r="AJ460" s="771"/>
      <c r="AK460" s="771"/>
      <c r="AL460" s="771"/>
      <c r="AM460" s="771"/>
      <c r="AN460" s="771"/>
      <c r="AO460" s="771"/>
      <c r="AP460" s="771"/>
      <c r="AQ460" s="771"/>
      <c r="AR460" s="771"/>
      <c r="AS460" s="771"/>
      <c r="AT460" s="771"/>
      <c r="AU460" s="771"/>
    </row>
    <row r="461" spans="1:47" s="1135" customFormat="1" outlineLevel="1" x14ac:dyDescent="0.2">
      <c r="A461" s="17"/>
      <c r="B461" s="75"/>
      <c r="C461" s="1989" t="s">
        <v>1864</v>
      </c>
      <c r="D461" s="1989" t="s">
        <v>1865</v>
      </c>
      <c r="E461" s="1989">
        <v>3.02</v>
      </c>
      <c r="F461" s="38">
        <f t="shared" si="6"/>
        <v>245.59014479999999</v>
      </c>
      <c r="G461" s="459"/>
      <c r="H461" s="8"/>
      <c r="I461" s="8"/>
      <c r="J461" s="8"/>
      <c r="K461" s="8"/>
      <c r="L461" s="8"/>
      <c r="M461" s="8"/>
      <c r="N461" s="8"/>
      <c r="O461" s="8"/>
      <c r="P461" s="8"/>
      <c r="Q461" s="8"/>
      <c r="R461" s="8"/>
      <c r="S461" s="8"/>
      <c r="T461" s="8"/>
      <c r="U461" s="8"/>
      <c r="V461" s="8"/>
      <c r="W461" s="8"/>
      <c r="X461" s="771"/>
      <c r="Y461" s="771"/>
      <c r="Z461" s="771"/>
      <c r="AA461" s="771"/>
      <c r="AB461" s="771"/>
      <c r="AC461" s="771"/>
      <c r="AD461" s="771"/>
      <c r="AE461" s="771"/>
      <c r="AF461" s="771"/>
      <c r="AG461" s="771"/>
      <c r="AH461" s="771"/>
      <c r="AI461" s="771"/>
      <c r="AJ461" s="771"/>
      <c r="AK461" s="771"/>
      <c r="AL461" s="771"/>
      <c r="AM461" s="771"/>
      <c r="AN461" s="771"/>
      <c r="AO461" s="771"/>
      <c r="AP461" s="771"/>
      <c r="AQ461" s="771"/>
      <c r="AR461" s="771"/>
      <c r="AS461" s="771"/>
      <c r="AT461" s="771"/>
      <c r="AU461" s="771"/>
    </row>
    <row r="462" spans="1:47" s="1135" customFormat="1" outlineLevel="1" x14ac:dyDescent="0.2">
      <c r="A462" s="17"/>
      <c r="B462" s="75"/>
      <c r="C462" s="1989" t="s">
        <v>3853</v>
      </c>
      <c r="D462" s="1989" t="s">
        <v>5381</v>
      </c>
      <c r="E462" s="1989">
        <v>53.6</v>
      </c>
      <c r="F462" s="38">
        <f t="shared" si="6"/>
        <v>4358.8184639999999</v>
      </c>
      <c r="G462" s="459"/>
      <c r="H462" s="8"/>
      <c r="I462" s="8"/>
      <c r="J462" s="8"/>
      <c r="K462" s="8"/>
      <c r="L462" s="8"/>
      <c r="M462" s="8"/>
      <c r="N462" s="8"/>
      <c r="O462" s="8"/>
      <c r="P462" s="8"/>
      <c r="Q462" s="8"/>
      <c r="R462" s="8"/>
      <c r="S462" s="8"/>
      <c r="T462" s="8"/>
      <c r="U462" s="8"/>
      <c r="V462" s="8"/>
      <c r="W462" s="8"/>
      <c r="X462" s="771"/>
      <c r="Y462" s="771"/>
      <c r="Z462" s="771"/>
      <c r="AA462" s="771"/>
      <c r="AB462" s="771"/>
      <c r="AC462" s="771"/>
      <c r="AD462" s="771"/>
      <c r="AE462" s="771"/>
      <c r="AF462" s="771"/>
      <c r="AG462" s="771"/>
      <c r="AH462" s="771"/>
      <c r="AI462" s="771"/>
      <c r="AJ462" s="771"/>
      <c r="AK462" s="771"/>
      <c r="AL462" s="771"/>
      <c r="AM462" s="771"/>
      <c r="AN462" s="771"/>
      <c r="AO462" s="771"/>
      <c r="AP462" s="771"/>
      <c r="AQ462" s="771"/>
      <c r="AR462" s="771"/>
      <c r="AS462" s="771"/>
      <c r="AT462" s="771"/>
      <c r="AU462" s="771"/>
    </row>
    <row r="463" spans="1:47" s="1135" customFormat="1" outlineLevel="1" x14ac:dyDescent="0.2">
      <c r="A463" s="17"/>
      <c r="B463" s="75"/>
      <c r="C463" s="1989" t="s">
        <v>1933</v>
      </c>
      <c r="D463" s="1989" t="s">
        <v>7429</v>
      </c>
      <c r="E463" s="1989">
        <v>1.48</v>
      </c>
      <c r="F463" s="38">
        <f t="shared" si="6"/>
        <v>120.35543520000002</v>
      </c>
      <c r="G463" s="459"/>
      <c r="H463" s="8"/>
      <c r="I463" s="8"/>
      <c r="J463" s="8"/>
      <c r="K463" s="8"/>
      <c r="L463" s="8"/>
      <c r="M463" s="8"/>
      <c r="N463" s="8"/>
      <c r="O463" s="8"/>
      <c r="P463" s="8"/>
      <c r="Q463" s="8"/>
      <c r="R463" s="8"/>
      <c r="S463" s="8"/>
      <c r="T463" s="8"/>
      <c r="U463" s="8"/>
      <c r="V463" s="8"/>
      <c r="W463" s="8"/>
      <c r="X463" s="771"/>
      <c r="Y463" s="771"/>
      <c r="Z463" s="771"/>
      <c r="AA463" s="771"/>
      <c r="AB463" s="771"/>
      <c r="AC463" s="771"/>
      <c r="AD463" s="771"/>
      <c r="AE463" s="771"/>
      <c r="AF463" s="771"/>
      <c r="AG463" s="771"/>
      <c r="AH463" s="771"/>
      <c r="AI463" s="771"/>
      <c r="AJ463" s="771"/>
      <c r="AK463" s="771"/>
      <c r="AL463" s="771"/>
      <c r="AM463" s="771"/>
      <c r="AN463" s="771"/>
      <c r="AO463" s="771"/>
      <c r="AP463" s="771"/>
      <c r="AQ463" s="771"/>
      <c r="AR463" s="771"/>
      <c r="AS463" s="771"/>
      <c r="AT463" s="771"/>
      <c r="AU463" s="771"/>
    </row>
    <row r="464" spans="1:47" s="1135" customFormat="1" outlineLevel="1" x14ac:dyDescent="0.2">
      <c r="A464" s="17"/>
      <c r="B464" s="75"/>
      <c r="C464" s="1989" t="s">
        <v>1081</v>
      </c>
      <c r="D464" s="1989" t="s">
        <v>1082</v>
      </c>
      <c r="E464" s="1989">
        <v>2.42</v>
      </c>
      <c r="F464" s="38">
        <f t="shared" si="6"/>
        <v>196.79740080000002</v>
      </c>
      <c r="G464" s="459"/>
      <c r="H464" s="8"/>
      <c r="I464" s="8"/>
      <c r="J464" s="8"/>
      <c r="K464" s="8"/>
      <c r="L464" s="8"/>
      <c r="M464" s="8"/>
      <c r="N464" s="8"/>
      <c r="O464" s="8"/>
      <c r="P464" s="8"/>
      <c r="Q464" s="8"/>
      <c r="R464" s="8"/>
      <c r="S464" s="8"/>
      <c r="T464" s="8"/>
      <c r="U464" s="8"/>
      <c r="V464" s="8"/>
      <c r="W464" s="8"/>
      <c r="X464" s="771"/>
      <c r="Y464" s="771"/>
      <c r="Z464" s="771"/>
      <c r="AA464" s="771"/>
      <c r="AB464" s="771"/>
      <c r="AC464" s="771"/>
      <c r="AD464" s="771"/>
      <c r="AE464" s="771"/>
      <c r="AF464" s="771"/>
      <c r="AG464" s="771"/>
      <c r="AH464" s="771"/>
      <c r="AI464" s="771"/>
      <c r="AJ464" s="771"/>
      <c r="AK464" s="771"/>
      <c r="AL464" s="771"/>
      <c r="AM464" s="771"/>
      <c r="AN464" s="771"/>
      <c r="AO464" s="771"/>
      <c r="AP464" s="771"/>
      <c r="AQ464" s="771"/>
      <c r="AR464" s="771"/>
      <c r="AS464" s="771"/>
      <c r="AT464" s="771"/>
      <c r="AU464" s="771"/>
    </row>
    <row r="465" spans="1:47" s="1135" customFormat="1" outlineLevel="1" x14ac:dyDescent="0.2">
      <c r="A465" s="17"/>
      <c r="B465" s="75"/>
      <c r="C465" s="1989" t="s">
        <v>1021</v>
      </c>
      <c r="D465" s="1989" t="s">
        <v>2529</v>
      </c>
      <c r="E465" s="1989">
        <v>0.11</v>
      </c>
      <c r="F465" s="38">
        <f t="shared" si="6"/>
        <v>8.9453364000000004</v>
      </c>
      <c r="G465" s="459"/>
      <c r="H465" s="8"/>
      <c r="I465" s="8"/>
      <c r="J465" s="8"/>
      <c r="K465" s="8"/>
      <c r="L465" s="8"/>
      <c r="M465" s="8"/>
      <c r="N465" s="8"/>
      <c r="O465" s="8"/>
      <c r="P465" s="8"/>
      <c r="Q465" s="8"/>
      <c r="R465" s="8"/>
      <c r="S465" s="8"/>
      <c r="T465" s="8"/>
      <c r="U465" s="8"/>
      <c r="V465" s="8"/>
      <c r="W465" s="8"/>
      <c r="X465" s="771"/>
      <c r="Y465" s="771"/>
      <c r="Z465" s="771"/>
      <c r="AA465" s="771"/>
      <c r="AB465" s="771"/>
      <c r="AC465" s="771"/>
      <c r="AD465" s="771"/>
      <c r="AE465" s="771"/>
      <c r="AF465" s="771"/>
      <c r="AG465" s="771"/>
      <c r="AH465" s="771"/>
      <c r="AI465" s="771"/>
      <c r="AJ465" s="771"/>
      <c r="AK465" s="771"/>
      <c r="AL465" s="771"/>
      <c r="AM465" s="771"/>
      <c r="AN465" s="771"/>
      <c r="AO465" s="771"/>
      <c r="AP465" s="771"/>
      <c r="AQ465" s="771"/>
      <c r="AR465" s="771"/>
      <c r="AS465" s="771"/>
      <c r="AT465" s="771"/>
      <c r="AU465" s="771"/>
    </row>
    <row r="466" spans="1:47" s="1135" customFormat="1" outlineLevel="1" x14ac:dyDescent="0.2">
      <c r="A466" s="17"/>
      <c r="B466" s="75"/>
      <c r="C466" s="1989" t="s">
        <v>3509</v>
      </c>
      <c r="D466" s="1989" t="s">
        <v>5382</v>
      </c>
      <c r="E466" s="1989">
        <v>9.92</v>
      </c>
      <c r="F466" s="38">
        <f t="shared" si="6"/>
        <v>806.70670080000002</v>
      </c>
      <c r="G466" s="459"/>
      <c r="H466" s="8"/>
      <c r="I466" s="8"/>
      <c r="J466" s="8"/>
      <c r="K466" s="8"/>
      <c r="L466" s="8"/>
      <c r="M466" s="8"/>
      <c r="N466" s="8"/>
      <c r="O466" s="8"/>
      <c r="P466" s="8"/>
      <c r="Q466" s="8"/>
      <c r="R466" s="8"/>
      <c r="S466" s="8"/>
      <c r="T466" s="8"/>
      <c r="U466" s="8"/>
      <c r="V466" s="8"/>
      <c r="W466" s="8"/>
      <c r="X466" s="771"/>
      <c r="Y466" s="771"/>
      <c r="Z466" s="771"/>
      <c r="AA466" s="771"/>
      <c r="AB466" s="771"/>
      <c r="AC466" s="771"/>
      <c r="AD466" s="771"/>
      <c r="AE466" s="771"/>
      <c r="AF466" s="771"/>
      <c r="AG466" s="771"/>
      <c r="AH466" s="771"/>
      <c r="AI466" s="771"/>
      <c r="AJ466" s="771"/>
      <c r="AK466" s="771"/>
      <c r="AL466" s="771"/>
      <c r="AM466" s="771"/>
      <c r="AN466" s="771"/>
      <c r="AO466" s="771"/>
      <c r="AP466" s="771"/>
      <c r="AQ466" s="771"/>
      <c r="AR466" s="771"/>
      <c r="AS466" s="771"/>
      <c r="AT466" s="771"/>
      <c r="AU466" s="771"/>
    </row>
    <row r="467" spans="1:47" s="1135" customFormat="1" outlineLevel="1" x14ac:dyDescent="0.2">
      <c r="A467" s="17"/>
      <c r="B467" s="75"/>
      <c r="C467" s="1989" t="s">
        <v>3510</v>
      </c>
      <c r="D467" s="1989" t="s">
        <v>5383</v>
      </c>
      <c r="E467" s="1989">
        <v>9.92</v>
      </c>
      <c r="F467" s="38">
        <f t="shared" si="6"/>
        <v>806.70670080000002</v>
      </c>
      <c r="G467" s="459"/>
      <c r="H467" s="8"/>
      <c r="I467" s="8"/>
      <c r="J467" s="8"/>
      <c r="K467" s="8"/>
      <c r="L467" s="8"/>
      <c r="M467" s="8"/>
      <c r="N467" s="8"/>
      <c r="O467" s="8"/>
      <c r="P467" s="8"/>
      <c r="Q467" s="8"/>
      <c r="R467" s="8"/>
      <c r="S467" s="8"/>
      <c r="T467" s="8"/>
      <c r="U467" s="8"/>
      <c r="V467" s="8"/>
      <c r="W467" s="8"/>
      <c r="X467" s="771"/>
      <c r="Y467" s="771"/>
      <c r="Z467" s="771"/>
      <c r="AA467" s="771"/>
      <c r="AB467" s="771"/>
      <c r="AC467" s="771"/>
      <c r="AD467" s="771"/>
      <c r="AE467" s="771"/>
      <c r="AF467" s="771"/>
      <c r="AG467" s="771"/>
      <c r="AH467" s="771"/>
      <c r="AI467" s="771"/>
      <c r="AJ467" s="771"/>
      <c r="AK467" s="771"/>
      <c r="AL467" s="771"/>
      <c r="AM467" s="771"/>
      <c r="AN467" s="771"/>
      <c r="AO467" s="771"/>
      <c r="AP467" s="771"/>
      <c r="AQ467" s="771"/>
      <c r="AR467" s="771"/>
      <c r="AS467" s="771"/>
      <c r="AT467" s="771"/>
      <c r="AU467" s="771"/>
    </row>
    <row r="468" spans="1:47" s="1135" customFormat="1" outlineLevel="1" x14ac:dyDescent="0.2">
      <c r="A468" s="17"/>
      <c r="B468" s="75"/>
      <c r="C468" s="1989" t="s">
        <v>1087</v>
      </c>
      <c r="D468" s="1989" t="s">
        <v>5384</v>
      </c>
      <c r="E468" s="1989">
        <v>17.11</v>
      </c>
      <c r="F468" s="38">
        <f t="shared" si="6"/>
        <v>1391.4064164000001</v>
      </c>
      <c r="G468" s="459"/>
      <c r="H468" s="8"/>
      <c r="I468" s="8"/>
      <c r="J468" s="8"/>
      <c r="K468" s="8"/>
      <c r="L468" s="8"/>
      <c r="M468" s="8"/>
      <c r="N468" s="8"/>
      <c r="O468" s="8"/>
      <c r="P468" s="8"/>
      <c r="Q468" s="8"/>
      <c r="R468" s="8"/>
      <c r="S468" s="8"/>
      <c r="T468" s="8"/>
      <c r="U468" s="8"/>
      <c r="V468" s="8"/>
      <c r="W468" s="8"/>
      <c r="X468" s="771"/>
      <c r="Y468" s="771"/>
      <c r="Z468" s="771"/>
      <c r="AA468" s="771"/>
      <c r="AB468" s="771"/>
      <c r="AC468" s="771"/>
      <c r="AD468" s="771"/>
      <c r="AE468" s="771"/>
      <c r="AF468" s="771"/>
      <c r="AG468" s="771"/>
      <c r="AH468" s="771"/>
      <c r="AI468" s="771"/>
      <c r="AJ468" s="771"/>
      <c r="AK468" s="771"/>
      <c r="AL468" s="771"/>
      <c r="AM468" s="771"/>
      <c r="AN468" s="771"/>
      <c r="AO468" s="771"/>
      <c r="AP468" s="771"/>
      <c r="AQ468" s="771"/>
      <c r="AR468" s="771"/>
      <c r="AS468" s="771"/>
      <c r="AT468" s="771"/>
      <c r="AU468" s="771"/>
    </row>
    <row r="469" spans="1:47" s="1135" customFormat="1" outlineLevel="1" x14ac:dyDescent="0.2">
      <c r="A469" s="17"/>
      <c r="B469" s="75"/>
      <c r="C469" s="1989" t="s">
        <v>799</v>
      </c>
      <c r="D469" s="1989" t="s">
        <v>5385</v>
      </c>
      <c r="E469" s="1989">
        <v>1.69</v>
      </c>
      <c r="F469" s="38">
        <f t="shared" si="6"/>
        <v>137.43289560000002</v>
      </c>
      <c r="G469" s="459"/>
      <c r="H469" s="8"/>
      <c r="I469" s="8"/>
      <c r="J469" s="8"/>
      <c r="K469" s="8"/>
      <c r="L469" s="8"/>
      <c r="M469" s="8"/>
      <c r="N469" s="8"/>
      <c r="O469" s="8"/>
      <c r="P469" s="8"/>
      <c r="Q469" s="8"/>
      <c r="R469" s="8"/>
      <c r="S469" s="8"/>
      <c r="T469" s="8"/>
      <c r="U469" s="8"/>
      <c r="V469" s="8"/>
      <c r="W469" s="8"/>
      <c r="X469" s="771"/>
      <c r="Y469" s="771"/>
      <c r="Z469" s="771"/>
      <c r="AA469" s="771"/>
      <c r="AB469" s="771"/>
      <c r="AC469" s="771"/>
      <c r="AD469" s="771"/>
      <c r="AE469" s="771"/>
      <c r="AF469" s="771"/>
      <c r="AG469" s="771"/>
      <c r="AH469" s="771"/>
      <c r="AI469" s="771"/>
      <c r="AJ469" s="771"/>
      <c r="AK469" s="771"/>
      <c r="AL469" s="771"/>
      <c r="AM469" s="771"/>
      <c r="AN469" s="771"/>
      <c r="AO469" s="771"/>
      <c r="AP469" s="771"/>
      <c r="AQ469" s="771"/>
      <c r="AR469" s="771"/>
      <c r="AS469" s="771"/>
      <c r="AT469" s="771"/>
      <c r="AU469" s="771"/>
    </row>
    <row r="470" spans="1:47" s="1135" customFormat="1" outlineLevel="1" x14ac:dyDescent="0.2">
      <c r="A470" s="17"/>
      <c r="B470" s="75"/>
      <c r="C470" s="1989" t="s">
        <v>339</v>
      </c>
      <c r="D470" s="1989" t="s">
        <v>7430</v>
      </c>
      <c r="E470" s="1989">
        <v>6.67</v>
      </c>
      <c r="F470" s="38">
        <f t="shared" si="6"/>
        <v>542.4126708</v>
      </c>
      <c r="G470" s="459"/>
      <c r="H470" s="8"/>
      <c r="I470" s="8"/>
      <c r="J470" s="8"/>
      <c r="K470" s="8"/>
      <c r="L470" s="8"/>
      <c r="M470" s="8"/>
      <c r="N470" s="8"/>
      <c r="O470" s="8"/>
      <c r="P470" s="8"/>
      <c r="Q470" s="8"/>
      <c r="R470" s="8"/>
      <c r="S470" s="8"/>
      <c r="T470" s="8"/>
      <c r="U470" s="8"/>
      <c r="V470" s="8"/>
      <c r="W470" s="8"/>
      <c r="X470" s="771"/>
      <c r="Y470" s="771"/>
      <c r="Z470" s="771"/>
      <c r="AA470" s="771"/>
      <c r="AB470" s="771"/>
      <c r="AC470" s="771"/>
      <c r="AD470" s="771"/>
      <c r="AE470" s="771"/>
      <c r="AF470" s="771"/>
      <c r="AG470" s="771"/>
      <c r="AH470" s="771"/>
      <c r="AI470" s="771"/>
      <c r="AJ470" s="771"/>
      <c r="AK470" s="771"/>
      <c r="AL470" s="771"/>
      <c r="AM470" s="771"/>
      <c r="AN470" s="771"/>
      <c r="AO470" s="771"/>
      <c r="AP470" s="771"/>
      <c r="AQ470" s="771"/>
      <c r="AR470" s="771"/>
      <c r="AS470" s="771"/>
      <c r="AT470" s="771"/>
      <c r="AU470" s="771"/>
    </row>
    <row r="471" spans="1:47" s="1135" customFormat="1" outlineLevel="1" x14ac:dyDescent="0.2">
      <c r="A471" s="17"/>
      <c r="B471" s="75"/>
      <c r="C471" s="1989" t="s">
        <v>338</v>
      </c>
      <c r="D471" s="1989" t="s">
        <v>7431</v>
      </c>
      <c r="E471" s="1989">
        <v>6.67</v>
      </c>
      <c r="F471" s="38">
        <f t="shared" si="6"/>
        <v>542.4126708</v>
      </c>
      <c r="G471" s="459"/>
      <c r="H471" s="8"/>
      <c r="I471" s="8"/>
      <c r="J471" s="8"/>
      <c r="K471" s="8"/>
      <c r="L471" s="8"/>
      <c r="M471" s="8"/>
      <c r="N471" s="8"/>
      <c r="O471" s="8"/>
      <c r="P471" s="8"/>
      <c r="Q471" s="8"/>
      <c r="R471" s="8"/>
      <c r="S471" s="8"/>
      <c r="T471" s="8"/>
      <c r="U471" s="8"/>
      <c r="V471" s="8"/>
      <c r="W471" s="8"/>
      <c r="X471" s="771"/>
      <c r="Y471" s="771"/>
      <c r="Z471" s="771"/>
      <c r="AA471" s="771"/>
      <c r="AB471" s="771"/>
      <c r="AC471" s="771"/>
      <c r="AD471" s="771"/>
      <c r="AE471" s="771"/>
      <c r="AF471" s="771"/>
      <c r="AG471" s="771"/>
      <c r="AH471" s="771"/>
      <c r="AI471" s="771"/>
      <c r="AJ471" s="771"/>
      <c r="AK471" s="771"/>
      <c r="AL471" s="771"/>
      <c r="AM471" s="771"/>
      <c r="AN471" s="771"/>
      <c r="AO471" s="771"/>
      <c r="AP471" s="771"/>
      <c r="AQ471" s="771"/>
      <c r="AR471" s="771"/>
      <c r="AS471" s="771"/>
      <c r="AT471" s="771"/>
      <c r="AU471" s="771"/>
    </row>
    <row r="472" spans="1:47" s="1135" customFormat="1" outlineLevel="1" x14ac:dyDescent="0.2">
      <c r="A472" s="17"/>
      <c r="B472" s="75"/>
      <c r="C472" s="1989" t="s">
        <v>1870</v>
      </c>
      <c r="D472" s="1989" t="s">
        <v>7432</v>
      </c>
      <c r="E472" s="1989">
        <v>6.74</v>
      </c>
      <c r="F472" s="38">
        <f t="shared" si="6"/>
        <v>548.10515759999998</v>
      </c>
      <c r="G472" s="459"/>
      <c r="H472" s="8"/>
      <c r="I472" s="8"/>
      <c r="J472" s="8"/>
      <c r="K472" s="8"/>
      <c r="L472" s="8"/>
      <c r="M472" s="8"/>
      <c r="N472" s="8"/>
      <c r="O472" s="8"/>
      <c r="P472" s="8"/>
      <c r="Q472" s="8"/>
      <c r="R472" s="8"/>
      <c r="S472" s="8"/>
      <c r="T472" s="8"/>
      <c r="U472" s="8"/>
      <c r="V472" s="8"/>
      <c r="W472" s="8"/>
      <c r="X472" s="771"/>
      <c r="Y472" s="771"/>
      <c r="Z472" s="771"/>
      <c r="AA472" s="771"/>
      <c r="AB472" s="771"/>
      <c r="AC472" s="771"/>
      <c r="AD472" s="771"/>
      <c r="AE472" s="771"/>
      <c r="AF472" s="771"/>
      <c r="AG472" s="771"/>
      <c r="AH472" s="771"/>
      <c r="AI472" s="771"/>
      <c r="AJ472" s="771"/>
      <c r="AK472" s="771"/>
      <c r="AL472" s="771"/>
      <c r="AM472" s="771"/>
      <c r="AN472" s="771"/>
      <c r="AO472" s="771"/>
      <c r="AP472" s="771"/>
      <c r="AQ472" s="771"/>
      <c r="AR472" s="771"/>
      <c r="AS472" s="771"/>
      <c r="AT472" s="771"/>
      <c r="AU472" s="771"/>
    </row>
    <row r="473" spans="1:47" s="1135" customFormat="1" outlineLevel="1" x14ac:dyDescent="0.2">
      <c r="A473" s="17"/>
      <c r="B473" s="75"/>
      <c r="C473" s="1989" t="s">
        <v>1872</v>
      </c>
      <c r="D473" s="1989" t="s">
        <v>7433</v>
      </c>
      <c r="E473" s="1989">
        <v>6.74</v>
      </c>
      <c r="F473" s="38">
        <f t="shared" si="6"/>
        <v>548.10515759999998</v>
      </c>
      <c r="G473" s="459"/>
      <c r="H473" s="8"/>
      <c r="I473" s="8"/>
      <c r="J473" s="8"/>
      <c r="K473" s="8"/>
      <c r="L473" s="8"/>
      <c r="M473" s="8"/>
      <c r="N473" s="8"/>
      <c r="O473" s="8"/>
      <c r="P473" s="8"/>
      <c r="Q473" s="8"/>
      <c r="R473" s="8"/>
      <c r="S473" s="8"/>
      <c r="T473" s="8"/>
      <c r="U473" s="8"/>
      <c r="V473" s="8"/>
      <c r="W473" s="8"/>
      <c r="X473" s="771"/>
      <c r="Y473" s="771"/>
      <c r="Z473" s="771"/>
      <c r="AA473" s="771"/>
      <c r="AB473" s="771"/>
      <c r="AC473" s="771"/>
      <c r="AD473" s="771"/>
      <c r="AE473" s="771"/>
      <c r="AF473" s="771"/>
      <c r="AG473" s="771"/>
      <c r="AH473" s="771"/>
      <c r="AI473" s="771"/>
      <c r="AJ473" s="771"/>
      <c r="AK473" s="771"/>
      <c r="AL473" s="771"/>
      <c r="AM473" s="771"/>
      <c r="AN473" s="771"/>
      <c r="AO473" s="771"/>
      <c r="AP473" s="771"/>
      <c r="AQ473" s="771"/>
      <c r="AR473" s="771"/>
      <c r="AS473" s="771"/>
      <c r="AT473" s="771"/>
      <c r="AU473" s="771"/>
    </row>
    <row r="474" spans="1:47" s="1135" customFormat="1" outlineLevel="1" x14ac:dyDescent="0.2">
      <c r="A474" s="17"/>
      <c r="B474" s="75"/>
      <c r="C474" s="1989" t="s">
        <v>1073</v>
      </c>
      <c r="D474" s="1989" t="s">
        <v>5386</v>
      </c>
      <c r="E474" s="1989">
        <v>19.13</v>
      </c>
      <c r="F474" s="38">
        <f t="shared" si="6"/>
        <v>1555.6753212000001</v>
      </c>
      <c r="G474" s="459"/>
      <c r="H474" s="8"/>
      <c r="I474" s="8"/>
      <c r="J474" s="8"/>
      <c r="K474" s="8"/>
      <c r="L474" s="8"/>
      <c r="M474" s="8"/>
      <c r="N474" s="8"/>
      <c r="O474" s="8"/>
      <c r="P474" s="8"/>
      <c r="Q474" s="8"/>
      <c r="R474" s="8"/>
      <c r="S474" s="8"/>
      <c r="T474" s="8"/>
      <c r="U474" s="8"/>
      <c r="V474" s="8"/>
      <c r="W474" s="8"/>
      <c r="X474" s="771"/>
      <c r="Y474" s="771"/>
      <c r="Z474" s="771"/>
      <c r="AA474" s="771"/>
      <c r="AB474" s="771"/>
      <c r="AC474" s="771"/>
      <c r="AD474" s="771"/>
      <c r="AE474" s="771"/>
      <c r="AF474" s="771"/>
      <c r="AG474" s="771"/>
      <c r="AH474" s="771"/>
      <c r="AI474" s="771"/>
      <c r="AJ474" s="771"/>
      <c r="AK474" s="771"/>
      <c r="AL474" s="771"/>
      <c r="AM474" s="771"/>
      <c r="AN474" s="771"/>
      <c r="AO474" s="771"/>
      <c r="AP474" s="771"/>
      <c r="AQ474" s="771"/>
      <c r="AR474" s="771"/>
      <c r="AS474" s="771"/>
      <c r="AT474" s="771"/>
      <c r="AU474" s="771"/>
    </row>
    <row r="475" spans="1:47" s="1135" customFormat="1" outlineLevel="1" x14ac:dyDescent="0.2">
      <c r="A475" s="17"/>
      <c r="B475" s="75"/>
      <c r="C475" s="1989" t="s">
        <v>791</v>
      </c>
      <c r="D475" s="1989" t="s">
        <v>5387</v>
      </c>
      <c r="E475" s="1989">
        <v>26.4</v>
      </c>
      <c r="F475" s="38">
        <f t="shared" si="6"/>
        <v>2146.8807360000001</v>
      </c>
      <c r="G475" s="459"/>
      <c r="H475" s="8"/>
      <c r="I475" s="8"/>
      <c r="J475" s="8"/>
      <c r="K475" s="8"/>
      <c r="L475" s="8"/>
      <c r="M475" s="8"/>
      <c r="N475" s="8"/>
      <c r="O475" s="8"/>
      <c r="P475" s="8"/>
      <c r="Q475" s="8"/>
      <c r="R475" s="8"/>
      <c r="S475" s="8"/>
      <c r="T475" s="8"/>
      <c r="U475" s="8"/>
      <c r="V475" s="8"/>
      <c r="W475" s="8"/>
      <c r="X475" s="771"/>
      <c r="Y475" s="771"/>
      <c r="Z475" s="771"/>
      <c r="AA475" s="771"/>
      <c r="AB475" s="771"/>
      <c r="AC475" s="771"/>
      <c r="AD475" s="771"/>
      <c r="AE475" s="771"/>
      <c r="AF475" s="771"/>
      <c r="AG475" s="771"/>
      <c r="AH475" s="771"/>
      <c r="AI475" s="771"/>
      <c r="AJ475" s="771"/>
      <c r="AK475" s="771"/>
      <c r="AL475" s="771"/>
      <c r="AM475" s="771"/>
      <c r="AN475" s="771"/>
      <c r="AO475" s="771"/>
      <c r="AP475" s="771"/>
      <c r="AQ475" s="771"/>
      <c r="AR475" s="771"/>
      <c r="AS475" s="771"/>
      <c r="AT475" s="771"/>
      <c r="AU475" s="771"/>
    </row>
    <row r="476" spans="1:47" s="1135" customFormat="1" outlineLevel="1" x14ac:dyDescent="0.2">
      <c r="A476" s="17"/>
      <c r="B476" s="75"/>
      <c r="C476" s="1989" t="s">
        <v>576</v>
      </c>
      <c r="D476" s="1989" t="s">
        <v>5388</v>
      </c>
      <c r="E476" s="1989">
        <v>31.06</v>
      </c>
      <c r="F476" s="38">
        <f t="shared" si="6"/>
        <v>2525.8377144000001</v>
      </c>
      <c r="G476" s="459"/>
      <c r="H476" s="8"/>
      <c r="I476" s="8"/>
      <c r="J476" s="8"/>
      <c r="K476" s="8"/>
      <c r="L476" s="8"/>
      <c r="M476" s="8"/>
      <c r="N476" s="8"/>
      <c r="O476" s="8"/>
      <c r="P476" s="8"/>
      <c r="Q476" s="8"/>
      <c r="R476" s="8"/>
      <c r="S476" s="8"/>
      <c r="T476" s="8"/>
      <c r="U476" s="8"/>
      <c r="V476" s="8"/>
      <c r="W476" s="8"/>
      <c r="X476" s="771"/>
      <c r="Y476" s="771"/>
      <c r="Z476" s="771"/>
      <c r="AA476" s="771"/>
      <c r="AB476" s="771"/>
      <c r="AC476" s="771"/>
      <c r="AD476" s="771"/>
      <c r="AE476" s="771"/>
      <c r="AF476" s="771"/>
      <c r="AG476" s="771"/>
      <c r="AH476" s="771"/>
      <c r="AI476" s="771"/>
      <c r="AJ476" s="771"/>
      <c r="AK476" s="771"/>
      <c r="AL476" s="771"/>
      <c r="AM476" s="771"/>
      <c r="AN476" s="771"/>
      <c r="AO476" s="771"/>
      <c r="AP476" s="771"/>
      <c r="AQ476" s="771"/>
      <c r="AR476" s="771"/>
      <c r="AS476" s="771"/>
      <c r="AT476" s="771"/>
      <c r="AU476" s="771"/>
    </row>
    <row r="477" spans="1:47" s="1135" customFormat="1" outlineLevel="1" x14ac:dyDescent="0.2">
      <c r="A477" s="17"/>
      <c r="B477" s="75"/>
      <c r="C477" s="1989" t="s">
        <v>793</v>
      </c>
      <c r="D477" s="1989" t="s">
        <v>5389</v>
      </c>
      <c r="E477" s="1989">
        <v>49.31</v>
      </c>
      <c r="F477" s="38">
        <f t="shared" si="6"/>
        <v>4009.9503444000002</v>
      </c>
      <c r="G477" s="459"/>
      <c r="H477" s="8"/>
      <c r="I477" s="8"/>
      <c r="J477" s="8"/>
      <c r="K477" s="8"/>
      <c r="L477" s="8"/>
      <c r="M477" s="8"/>
      <c r="N477" s="8"/>
      <c r="O477" s="8"/>
      <c r="P477" s="8"/>
      <c r="Q477" s="8"/>
      <c r="R477" s="8"/>
      <c r="S477" s="8"/>
      <c r="T477" s="8"/>
      <c r="U477" s="8"/>
      <c r="V477" s="8"/>
      <c r="W477" s="8"/>
      <c r="X477" s="771"/>
      <c r="Y477" s="771"/>
      <c r="Z477" s="771"/>
      <c r="AA477" s="771"/>
      <c r="AB477" s="771"/>
      <c r="AC477" s="771"/>
      <c r="AD477" s="771"/>
      <c r="AE477" s="771"/>
      <c r="AF477" s="771"/>
      <c r="AG477" s="771"/>
      <c r="AH477" s="771"/>
      <c r="AI477" s="771"/>
      <c r="AJ477" s="771"/>
      <c r="AK477" s="771"/>
      <c r="AL477" s="771"/>
      <c r="AM477" s="771"/>
      <c r="AN477" s="771"/>
      <c r="AO477" s="771"/>
      <c r="AP477" s="771"/>
      <c r="AQ477" s="771"/>
      <c r="AR477" s="771"/>
      <c r="AS477" s="771"/>
      <c r="AT477" s="771"/>
      <c r="AU477" s="771"/>
    </row>
    <row r="478" spans="1:47" s="1135" customFormat="1" outlineLevel="1" x14ac:dyDescent="0.2">
      <c r="A478" s="17"/>
      <c r="B478" s="75"/>
      <c r="C478" s="1989" t="s">
        <v>579</v>
      </c>
      <c r="D478" s="1989" t="s">
        <v>5390</v>
      </c>
      <c r="E478" s="1989">
        <v>14.36</v>
      </c>
      <c r="F478" s="38">
        <f t="shared" si="6"/>
        <v>1167.7730064</v>
      </c>
      <c r="G478" s="459"/>
      <c r="H478" s="8"/>
      <c r="I478" s="8"/>
      <c r="J478" s="8"/>
      <c r="K478" s="8"/>
      <c r="L478" s="8"/>
      <c r="M478" s="8"/>
      <c r="N478" s="8"/>
      <c r="O478" s="8"/>
      <c r="P478" s="8"/>
      <c r="Q478" s="8"/>
      <c r="R478" s="8"/>
      <c r="S478" s="8"/>
      <c r="T478" s="8"/>
      <c r="U478" s="8"/>
      <c r="V478" s="8"/>
      <c r="W478" s="8"/>
      <c r="X478" s="771"/>
      <c r="Y478" s="771"/>
      <c r="Z478" s="771"/>
      <c r="AA478" s="771"/>
      <c r="AB478" s="771"/>
      <c r="AC478" s="771"/>
      <c r="AD478" s="771"/>
      <c r="AE478" s="771"/>
      <c r="AF478" s="771"/>
      <c r="AG478" s="771"/>
      <c r="AH478" s="771"/>
      <c r="AI478" s="771"/>
      <c r="AJ478" s="771"/>
      <c r="AK478" s="771"/>
      <c r="AL478" s="771"/>
      <c r="AM478" s="771"/>
      <c r="AN478" s="771"/>
      <c r="AO478" s="771"/>
      <c r="AP478" s="771"/>
      <c r="AQ478" s="771"/>
      <c r="AR478" s="771"/>
      <c r="AS478" s="771"/>
      <c r="AT478" s="771"/>
      <c r="AU478" s="771"/>
    </row>
    <row r="479" spans="1:47" s="1135" customFormat="1" outlineLevel="1" x14ac:dyDescent="0.2">
      <c r="A479" s="17"/>
      <c r="B479" s="75"/>
      <c r="C479" s="1989" t="s">
        <v>1875</v>
      </c>
      <c r="D479" s="1989" t="s">
        <v>1876</v>
      </c>
      <c r="E479" s="1989">
        <v>2.73</v>
      </c>
      <c r="F479" s="38">
        <f t="shared" ref="F479:F542" si="7">E479*$G$4*$J$4</f>
        <v>222.0069852</v>
      </c>
      <c r="G479" s="459"/>
      <c r="H479" s="8"/>
      <c r="I479" s="8"/>
      <c r="J479" s="8"/>
      <c r="K479" s="8"/>
      <c r="L479" s="8"/>
      <c r="M479" s="8"/>
      <c r="N479" s="8"/>
      <c r="O479" s="8"/>
      <c r="P479" s="8"/>
      <c r="Q479" s="8"/>
      <c r="R479" s="8"/>
      <c r="S479" s="8"/>
      <c r="T479" s="8"/>
      <c r="U479" s="8"/>
      <c r="V479" s="8"/>
      <c r="W479" s="8"/>
      <c r="X479" s="771"/>
      <c r="Y479" s="771"/>
      <c r="Z479" s="771"/>
      <c r="AA479" s="771"/>
      <c r="AB479" s="771"/>
      <c r="AC479" s="771"/>
      <c r="AD479" s="771"/>
      <c r="AE479" s="771"/>
      <c r="AF479" s="771"/>
      <c r="AG479" s="771"/>
      <c r="AH479" s="771"/>
      <c r="AI479" s="771"/>
      <c r="AJ479" s="771"/>
      <c r="AK479" s="771"/>
      <c r="AL479" s="771"/>
      <c r="AM479" s="771"/>
      <c r="AN479" s="771"/>
      <c r="AO479" s="771"/>
      <c r="AP479" s="771"/>
      <c r="AQ479" s="771"/>
      <c r="AR479" s="771"/>
      <c r="AS479" s="771"/>
      <c r="AT479" s="771"/>
      <c r="AU479" s="771"/>
    </row>
    <row r="480" spans="1:47" s="1135" customFormat="1" outlineLevel="1" x14ac:dyDescent="0.2">
      <c r="A480" s="17"/>
      <c r="B480" s="75"/>
      <c r="C480" s="1989" t="s">
        <v>2535</v>
      </c>
      <c r="D480" s="1989" t="s">
        <v>2536</v>
      </c>
      <c r="E480" s="1989">
        <v>2.12</v>
      </c>
      <c r="F480" s="38">
        <f t="shared" si="7"/>
        <v>172.40102880000001</v>
      </c>
      <c r="G480" s="459"/>
      <c r="H480" s="8"/>
      <c r="I480" s="8"/>
      <c r="J480" s="8"/>
      <c r="K480" s="8"/>
      <c r="L480" s="8"/>
      <c r="M480" s="8"/>
      <c r="N480" s="8"/>
      <c r="O480" s="8"/>
      <c r="P480" s="8"/>
      <c r="Q480" s="8"/>
      <c r="R480" s="8"/>
      <c r="S480" s="8"/>
      <c r="T480" s="8"/>
      <c r="U480" s="8"/>
      <c r="V480" s="8"/>
      <c r="W480" s="8"/>
      <c r="X480" s="771"/>
      <c r="Y480" s="771"/>
      <c r="Z480" s="771"/>
      <c r="AA480" s="771"/>
      <c r="AB480" s="771"/>
      <c r="AC480" s="771"/>
      <c r="AD480" s="771"/>
      <c r="AE480" s="771"/>
      <c r="AF480" s="771"/>
      <c r="AG480" s="771"/>
      <c r="AH480" s="771"/>
      <c r="AI480" s="771"/>
      <c r="AJ480" s="771"/>
      <c r="AK480" s="771"/>
      <c r="AL480" s="771"/>
      <c r="AM480" s="771"/>
      <c r="AN480" s="771"/>
      <c r="AO480" s="771"/>
      <c r="AP480" s="771"/>
      <c r="AQ480" s="771"/>
      <c r="AR480" s="771"/>
      <c r="AS480" s="771"/>
      <c r="AT480" s="771"/>
      <c r="AU480" s="771"/>
    </row>
    <row r="481" spans="1:47" s="1135" customFormat="1" outlineLevel="1" x14ac:dyDescent="0.2">
      <c r="A481" s="17"/>
      <c r="B481" s="75"/>
      <c r="C481" s="1989" t="s">
        <v>2537</v>
      </c>
      <c r="D481" s="1989" t="s">
        <v>7434</v>
      </c>
      <c r="E481" s="1989">
        <v>6.53</v>
      </c>
      <c r="F481" s="38">
        <f t="shared" si="7"/>
        <v>531.02769720000003</v>
      </c>
      <c r="G481" s="459"/>
      <c r="H481" s="8"/>
      <c r="I481" s="8"/>
      <c r="J481" s="8"/>
      <c r="K481" s="8"/>
      <c r="L481" s="8"/>
      <c r="M481" s="8"/>
      <c r="N481" s="8"/>
      <c r="O481" s="8"/>
      <c r="P481" s="8"/>
      <c r="Q481" s="8"/>
      <c r="R481" s="8"/>
      <c r="S481" s="8"/>
      <c r="T481" s="8"/>
      <c r="U481" s="8"/>
      <c r="V481" s="8"/>
      <c r="W481" s="8"/>
      <c r="X481" s="771"/>
      <c r="Y481" s="771"/>
      <c r="Z481" s="771"/>
      <c r="AA481" s="771"/>
      <c r="AB481" s="771"/>
      <c r="AC481" s="771"/>
      <c r="AD481" s="771"/>
      <c r="AE481" s="771"/>
      <c r="AF481" s="771"/>
      <c r="AG481" s="771"/>
      <c r="AH481" s="771"/>
      <c r="AI481" s="771"/>
      <c r="AJ481" s="771"/>
      <c r="AK481" s="771"/>
      <c r="AL481" s="771"/>
      <c r="AM481" s="771"/>
      <c r="AN481" s="771"/>
      <c r="AO481" s="771"/>
      <c r="AP481" s="771"/>
      <c r="AQ481" s="771"/>
      <c r="AR481" s="771"/>
      <c r="AS481" s="771"/>
      <c r="AT481" s="771"/>
      <c r="AU481" s="771"/>
    </row>
    <row r="482" spans="1:47" s="1135" customFormat="1" outlineLevel="1" x14ac:dyDescent="0.2">
      <c r="A482" s="17"/>
      <c r="B482" s="75"/>
      <c r="C482" s="1989" t="s">
        <v>2538</v>
      </c>
      <c r="D482" s="1989" t="s">
        <v>7435</v>
      </c>
      <c r="E482" s="1989">
        <v>6.53</v>
      </c>
      <c r="F482" s="38">
        <f t="shared" si="7"/>
        <v>531.02769720000003</v>
      </c>
      <c r="G482" s="459"/>
      <c r="H482" s="8"/>
      <c r="I482" s="8"/>
      <c r="J482" s="8"/>
      <c r="K482" s="8"/>
      <c r="L482" s="8"/>
      <c r="M482" s="8"/>
      <c r="N482" s="8"/>
      <c r="O482" s="8"/>
      <c r="P482" s="8"/>
      <c r="Q482" s="8"/>
      <c r="R482" s="8"/>
      <c r="S482" s="8"/>
      <c r="T482" s="8"/>
      <c r="U482" s="8"/>
      <c r="V482" s="8"/>
      <c r="W482" s="8"/>
      <c r="X482" s="771"/>
      <c r="Y482" s="771"/>
      <c r="Z482" s="771"/>
      <c r="AA482" s="771"/>
      <c r="AB482" s="771"/>
      <c r="AC482" s="771"/>
      <c r="AD482" s="771"/>
      <c r="AE482" s="771"/>
      <c r="AF482" s="771"/>
      <c r="AG482" s="771"/>
      <c r="AH482" s="771"/>
      <c r="AI482" s="771"/>
      <c r="AJ482" s="771"/>
      <c r="AK482" s="771"/>
      <c r="AL482" s="771"/>
      <c r="AM482" s="771"/>
      <c r="AN482" s="771"/>
      <c r="AO482" s="771"/>
      <c r="AP482" s="771"/>
      <c r="AQ482" s="771"/>
      <c r="AR482" s="771"/>
      <c r="AS482" s="771"/>
      <c r="AT482" s="771"/>
      <c r="AU482" s="771"/>
    </row>
    <row r="483" spans="1:47" s="1135" customFormat="1" outlineLevel="1" x14ac:dyDescent="0.2">
      <c r="A483" s="17"/>
      <c r="B483" s="75"/>
      <c r="C483" s="1989" t="s">
        <v>3511</v>
      </c>
      <c r="D483" s="1989" t="s">
        <v>5391</v>
      </c>
      <c r="E483" s="1989">
        <v>10.14</v>
      </c>
      <c r="F483" s="38">
        <f t="shared" si="7"/>
        <v>824.59737360000008</v>
      </c>
      <c r="G483" s="459"/>
      <c r="H483" s="8"/>
      <c r="I483" s="8"/>
      <c r="J483" s="8"/>
      <c r="K483" s="8"/>
      <c r="L483" s="8"/>
      <c r="M483" s="8"/>
      <c r="N483" s="8"/>
      <c r="O483" s="8"/>
      <c r="P483" s="8"/>
      <c r="Q483" s="8"/>
      <c r="R483" s="8"/>
      <c r="S483" s="8"/>
      <c r="T483" s="8"/>
      <c r="U483" s="8"/>
      <c r="V483" s="8"/>
      <c r="W483" s="8"/>
      <c r="X483" s="771"/>
      <c r="Y483" s="771"/>
      <c r="Z483" s="771"/>
      <c r="AA483" s="771"/>
      <c r="AB483" s="771"/>
      <c r="AC483" s="771"/>
      <c r="AD483" s="771"/>
      <c r="AE483" s="771"/>
      <c r="AF483" s="771"/>
      <c r="AG483" s="771"/>
      <c r="AH483" s="771"/>
      <c r="AI483" s="771"/>
      <c r="AJ483" s="771"/>
      <c r="AK483" s="771"/>
      <c r="AL483" s="771"/>
      <c r="AM483" s="771"/>
      <c r="AN483" s="771"/>
      <c r="AO483" s="771"/>
      <c r="AP483" s="771"/>
      <c r="AQ483" s="771"/>
      <c r="AR483" s="771"/>
      <c r="AS483" s="771"/>
      <c r="AT483" s="771"/>
      <c r="AU483" s="771"/>
    </row>
    <row r="484" spans="1:47" s="1135" customFormat="1" outlineLevel="1" x14ac:dyDescent="0.2">
      <c r="A484" s="17"/>
      <c r="B484" s="75"/>
      <c r="C484" s="1989" t="s">
        <v>3512</v>
      </c>
      <c r="D484" s="1989" t="s">
        <v>5392</v>
      </c>
      <c r="E484" s="1989">
        <v>10.14</v>
      </c>
      <c r="F484" s="38">
        <f t="shared" si="7"/>
        <v>824.59737360000008</v>
      </c>
      <c r="G484" s="459"/>
      <c r="H484" s="8"/>
      <c r="I484" s="8"/>
      <c r="J484" s="8"/>
      <c r="K484" s="8"/>
      <c r="L484" s="8"/>
      <c r="M484" s="8"/>
      <c r="N484" s="8"/>
      <c r="O484" s="8"/>
      <c r="P484" s="8"/>
      <c r="Q484" s="8"/>
      <c r="R484" s="8"/>
      <c r="S484" s="8"/>
      <c r="T484" s="8"/>
      <c r="U484" s="8"/>
      <c r="V484" s="8"/>
      <c r="W484" s="8"/>
      <c r="X484" s="771"/>
      <c r="Y484" s="771"/>
      <c r="Z484" s="771"/>
      <c r="AA484" s="771"/>
      <c r="AB484" s="771"/>
      <c r="AC484" s="771"/>
      <c r="AD484" s="771"/>
      <c r="AE484" s="771"/>
      <c r="AF484" s="771"/>
      <c r="AG484" s="771"/>
      <c r="AH484" s="771"/>
      <c r="AI484" s="771"/>
      <c r="AJ484" s="771"/>
      <c r="AK484" s="771"/>
      <c r="AL484" s="771"/>
      <c r="AM484" s="771"/>
      <c r="AN484" s="771"/>
      <c r="AO484" s="771"/>
      <c r="AP484" s="771"/>
      <c r="AQ484" s="771"/>
      <c r="AR484" s="771"/>
      <c r="AS484" s="771"/>
      <c r="AT484" s="771"/>
      <c r="AU484" s="771"/>
    </row>
    <row r="485" spans="1:47" s="1135" customFormat="1" outlineLevel="1" x14ac:dyDescent="0.2">
      <c r="A485" s="17"/>
      <c r="B485" s="75"/>
      <c r="C485" s="1989" t="s">
        <v>1069</v>
      </c>
      <c r="D485" s="1989" t="s">
        <v>5393</v>
      </c>
      <c r="E485" s="1989">
        <v>18.66</v>
      </c>
      <c r="F485" s="38">
        <f t="shared" si="7"/>
        <v>1517.4543384000001</v>
      </c>
      <c r="G485" s="459"/>
      <c r="H485" s="8"/>
      <c r="I485" s="8"/>
      <c r="J485" s="8"/>
      <c r="K485" s="8"/>
      <c r="L485" s="8"/>
      <c r="M485" s="8"/>
      <c r="N485" s="8"/>
      <c r="O485" s="8"/>
      <c r="P485" s="8"/>
      <c r="Q485" s="8"/>
      <c r="R485" s="8"/>
      <c r="S485" s="8"/>
      <c r="T485" s="8"/>
      <c r="U485" s="8"/>
      <c r="V485" s="8"/>
      <c r="W485" s="8"/>
      <c r="X485" s="771"/>
      <c r="Y485" s="771"/>
      <c r="Z485" s="771"/>
      <c r="AA485" s="771"/>
      <c r="AB485" s="771"/>
      <c r="AC485" s="771"/>
      <c r="AD485" s="771"/>
      <c r="AE485" s="771"/>
      <c r="AF485" s="771"/>
      <c r="AG485" s="771"/>
      <c r="AH485" s="771"/>
      <c r="AI485" s="771"/>
      <c r="AJ485" s="771"/>
      <c r="AK485" s="771"/>
      <c r="AL485" s="771"/>
      <c r="AM485" s="771"/>
      <c r="AN485" s="771"/>
      <c r="AO485" s="771"/>
      <c r="AP485" s="771"/>
      <c r="AQ485" s="771"/>
      <c r="AR485" s="771"/>
      <c r="AS485" s="771"/>
      <c r="AT485" s="771"/>
      <c r="AU485" s="771"/>
    </row>
    <row r="486" spans="1:47" s="1135" customFormat="1" outlineLevel="1" x14ac:dyDescent="0.2">
      <c r="A486" s="17"/>
      <c r="B486" s="75"/>
      <c r="C486" s="1989" t="s">
        <v>716</v>
      </c>
      <c r="D486" s="1989" t="s">
        <v>5394</v>
      </c>
      <c r="E486" s="1989">
        <v>18.420000000000002</v>
      </c>
      <c r="F486" s="38">
        <f t="shared" si="7"/>
        <v>1497.9372408000004</v>
      </c>
      <c r="G486" s="459"/>
      <c r="H486" s="8"/>
      <c r="I486" s="8"/>
      <c r="J486" s="8"/>
      <c r="K486" s="8"/>
      <c r="L486" s="8"/>
      <c r="M486" s="8"/>
      <c r="N486" s="8"/>
      <c r="O486" s="8"/>
      <c r="P486" s="8"/>
      <c r="Q486" s="8"/>
      <c r="R486" s="8"/>
      <c r="S486" s="8"/>
      <c r="T486" s="8"/>
      <c r="U486" s="8"/>
      <c r="V486" s="8"/>
      <c r="W486" s="8"/>
      <c r="X486" s="771"/>
      <c r="Y486" s="771"/>
      <c r="Z486" s="771"/>
      <c r="AA486" s="771"/>
      <c r="AB486" s="771"/>
      <c r="AC486" s="771"/>
      <c r="AD486" s="771"/>
      <c r="AE486" s="771"/>
      <c r="AF486" s="771"/>
      <c r="AG486" s="771"/>
      <c r="AH486" s="771"/>
      <c r="AI486" s="771"/>
      <c r="AJ486" s="771"/>
      <c r="AK486" s="771"/>
      <c r="AL486" s="771"/>
      <c r="AM486" s="771"/>
      <c r="AN486" s="771"/>
      <c r="AO486" s="771"/>
      <c r="AP486" s="771"/>
      <c r="AQ486" s="771"/>
      <c r="AR486" s="771"/>
      <c r="AS486" s="771"/>
      <c r="AT486" s="771"/>
      <c r="AU486" s="771"/>
    </row>
    <row r="487" spans="1:47" s="1135" customFormat="1" outlineLevel="1" x14ac:dyDescent="0.2">
      <c r="A487" s="17"/>
      <c r="B487" s="75"/>
      <c r="C487" s="1989" t="s">
        <v>574</v>
      </c>
      <c r="D487" s="1989" t="s">
        <v>5395</v>
      </c>
      <c r="E487" s="1989">
        <v>13.59</v>
      </c>
      <c r="F487" s="38">
        <f t="shared" si="7"/>
        <v>1105.1556516000001</v>
      </c>
      <c r="G487" s="459"/>
      <c r="H487" s="8"/>
      <c r="I487" s="8"/>
      <c r="J487" s="8"/>
      <c r="K487" s="8"/>
      <c r="L487" s="8"/>
      <c r="M487" s="8"/>
      <c r="N487" s="8"/>
      <c r="O487" s="8"/>
      <c r="P487" s="8"/>
      <c r="Q487" s="8"/>
      <c r="R487" s="8"/>
      <c r="S487" s="8"/>
      <c r="T487" s="8"/>
      <c r="U487" s="8"/>
      <c r="V487" s="8"/>
      <c r="W487" s="8"/>
      <c r="X487" s="771"/>
      <c r="Y487" s="771"/>
      <c r="Z487" s="771"/>
      <c r="AA487" s="771"/>
      <c r="AB487" s="771"/>
      <c r="AC487" s="771"/>
      <c r="AD487" s="771"/>
      <c r="AE487" s="771"/>
      <c r="AF487" s="771"/>
      <c r="AG487" s="771"/>
      <c r="AH487" s="771"/>
      <c r="AI487" s="771"/>
      <c r="AJ487" s="771"/>
      <c r="AK487" s="771"/>
      <c r="AL487" s="771"/>
      <c r="AM487" s="771"/>
      <c r="AN487" s="771"/>
      <c r="AO487" s="771"/>
      <c r="AP487" s="771"/>
      <c r="AQ487" s="771"/>
      <c r="AR487" s="771"/>
      <c r="AS487" s="771"/>
      <c r="AT487" s="771"/>
      <c r="AU487" s="771"/>
    </row>
    <row r="488" spans="1:47" s="1135" customFormat="1" outlineLevel="1" x14ac:dyDescent="0.2">
      <c r="A488" s="17"/>
      <c r="B488" s="75"/>
      <c r="C488" s="1989" t="s">
        <v>2541</v>
      </c>
      <c r="D488" s="1989" t="s">
        <v>7436</v>
      </c>
      <c r="E488" s="1989">
        <v>0</v>
      </c>
      <c r="F488" s="38">
        <f t="shared" si="7"/>
        <v>0</v>
      </c>
      <c r="G488" s="459"/>
      <c r="H488" s="8"/>
      <c r="I488" s="8"/>
      <c r="J488" s="8"/>
      <c r="K488" s="8"/>
      <c r="L488" s="8"/>
      <c r="M488" s="8"/>
      <c r="N488" s="8"/>
      <c r="O488" s="8"/>
      <c r="P488" s="8"/>
      <c r="Q488" s="8"/>
      <c r="R488" s="8"/>
      <c r="S488" s="8"/>
      <c r="T488" s="8"/>
      <c r="U488" s="8"/>
      <c r="V488" s="8"/>
      <c r="W488" s="8"/>
      <c r="X488" s="771"/>
      <c r="Y488" s="771"/>
      <c r="Z488" s="771"/>
      <c r="AA488" s="771"/>
      <c r="AB488" s="771"/>
      <c r="AC488" s="771"/>
      <c r="AD488" s="771"/>
      <c r="AE488" s="771"/>
      <c r="AF488" s="771"/>
      <c r="AG488" s="771"/>
      <c r="AH488" s="771"/>
      <c r="AI488" s="771"/>
      <c r="AJ488" s="771"/>
      <c r="AK488" s="771"/>
      <c r="AL488" s="771"/>
      <c r="AM488" s="771"/>
      <c r="AN488" s="771"/>
      <c r="AO488" s="771"/>
      <c r="AP488" s="771"/>
      <c r="AQ488" s="771"/>
      <c r="AR488" s="771"/>
      <c r="AS488" s="771"/>
      <c r="AT488" s="771"/>
      <c r="AU488" s="771"/>
    </row>
    <row r="489" spans="1:47" s="1135" customFormat="1" outlineLevel="1" x14ac:dyDescent="0.2">
      <c r="A489" s="17"/>
      <c r="B489" s="75"/>
      <c r="C489" s="1989" t="s">
        <v>2543</v>
      </c>
      <c r="D489" s="1989" t="s">
        <v>7437</v>
      </c>
      <c r="E489" s="1989">
        <v>0</v>
      </c>
      <c r="F489" s="38">
        <f t="shared" si="7"/>
        <v>0</v>
      </c>
      <c r="G489" s="459"/>
      <c r="H489" s="8"/>
      <c r="I489" s="8"/>
      <c r="J489" s="8"/>
      <c r="K489" s="8"/>
      <c r="L489" s="8"/>
      <c r="M489" s="8"/>
      <c r="N489" s="8"/>
      <c r="O489" s="8"/>
      <c r="P489" s="8"/>
      <c r="Q489" s="8"/>
      <c r="R489" s="8"/>
      <c r="S489" s="8"/>
      <c r="T489" s="8"/>
      <c r="U489" s="8"/>
      <c r="V489" s="8"/>
      <c r="W489" s="8"/>
      <c r="X489" s="771"/>
      <c r="Y489" s="771"/>
      <c r="Z489" s="771"/>
      <c r="AA489" s="771"/>
      <c r="AB489" s="771"/>
      <c r="AC489" s="771"/>
      <c r="AD489" s="771"/>
      <c r="AE489" s="771"/>
      <c r="AF489" s="771"/>
      <c r="AG489" s="771"/>
      <c r="AH489" s="771"/>
      <c r="AI489" s="771"/>
      <c r="AJ489" s="771"/>
      <c r="AK489" s="771"/>
      <c r="AL489" s="771"/>
      <c r="AM489" s="771"/>
      <c r="AN489" s="771"/>
      <c r="AO489" s="771"/>
      <c r="AP489" s="771"/>
      <c r="AQ489" s="771"/>
      <c r="AR489" s="771"/>
      <c r="AS489" s="771"/>
      <c r="AT489" s="771"/>
      <c r="AU489" s="771"/>
    </row>
    <row r="490" spans="1:47" s="1135" customFormat="1" outlineLevel="1" x14ac:dyDescent="0.2">
      <c r="A490" s="17"/>
      <c r="B490" s="75"/>
      <c r="C490" s="1989" t="s">
        <v>2544</v>
      </c>
      <c r="D490" s="1989" t="s">
        <v>7438</v>
      </c>
      <c r="E490" s="1989">
        <v>0</v>
      </c>
      <c r="F490" s="38">
        <f t="shared" si="7"/>
        <v>0</v>
      </c>
      <c r="G490" s="459"/>
      <c r="H490" s="8"/>
      <c r="I490" s="8"/>
      <c r="J490" s="8"/>
      <c r="K490" s="8"/>
      <c r="L490" s="8"/>
      <c r="M490" s="8"/>
      <c r="N490" s="8"/>
      <c r="O490" s="8"/>
      <c r="P490" s="8"/>
      <c r="Q490" s="8"/>
      <c r="R490" s="8"/>
      <c r="S490" s="8"/>
      <c r="T490" s="8"/>
      <c r="U490" s="8"/>
      <c r="V490" s="8"/>
      <c r="W490" s="8"/>
      <c r="X490" s="771"/>
      <c r="Y490" s="771"/>
      <c r="Z490" s="771"/>
      <c r="AA490" s="771"/>
      <c r="AB490" s="771"/>
      <c r="AC490" s="771"/>
      <c r="AD490" s="771"/>
      <c r="AE490" s="771"/>
      <c r="AF490" s="771"/>
      <c r="AG490" s="771"/>
      <c r="AH490" s="771"/>
      <c r="AI490" s="771"/>
      <c r="AJ490" s="771"/>
      <c r="AK490" s="771"/>
      <c r="AL490" s="771"/>
      <c r="AM490" s="771"/>
      <c r="AN490" s="771"/>
      <c r="AO490" s="771"/>
      <c r="AP490" s="771"/>
      <c r="AQ490" s="771"/>
      <c r="AR490" s="771"/>
      <c r="AS490" s="771"/>
      <c r="AT490" s="771"/>
      <c r="AU490" s="771"/>
    </row>
    <row r="491" spans="1:47" s="1135" customFormat="1" outlineLevel="1" x14ac:dyDescent="0.2">
      <c r="A491" s="17"/>
      <c r="B491" s="75"/>
      <c r="C491" s="1989" t="s">
        <v>1882</v>
      </c>
      <c r="D491" s="1989" t="s">
        <v>7439</v>
      </c>
      <c r="E491" s="1989">
        <v>17.55</v>
      </c>
      <c r="F491" s="38">
        <f t="shared" si="7"/>
        <v>1427.187762</v>
      </c>
      <c r="G491" s="459"/>
      <c r="H491" s="8"/>
      <c r="I491" s="8"/>
      <c r="J491" s="8"/>
      <c r="K491" s="8"/>
      <c r="L491" s="8"/>
      <c r="M491" s="8"/>
      <c r="N491" s="8"/>
      <c r="O491" s="8"/>
      <c r="P491" s="8"/>
      <c r="Q491" s="8"/>
      <c r="R491" s="8"/>
      <c r="S491" s="8"/>
      <c r="T491" s="8"/>
      <c r="U491" s="8"/>
      <c r="V491" s="8"/>
      <c r="W491" s="8"/>
      <c r="X491" s="771"/>
      <c r="Y491" s="771"/>
      <c r="Z491" s="771"/>
      <c r="AA491" s="771"/>
      <c r="AB491" s="771"/>
      <c r="AC491" s="771"/>
      <c r="AD491" s="771"/>
      <c r="AE491" s="771"/>
      <c r="AF491" s="771"/>
      <c r="AG491" s="771"/>
      <c r="AH491" s="771"/>
      <c r="AI491" s="771"/>
      <c r="AJ491" s="771"/>
      <c r="AK491" s="771"/>
      <c r="AL491" s="771"/>
      <c r="AM491" s="771"/>
      <c r="AN491" s="771"/>
      <c r="AO491" s="771"/>
      <c r="AP491" s="771"/>
      <c r="AQ491" s="771"/>
      <c r="AR491" s="771"/>
      <c r="AS491" s="771"/>
      <c r="AT491" s="771"/>
      <c r="AU491" s="771"/>
    </row>
    <row r="492" spans="1:47" s="1135" customFormat="1" outlineLevel="1" x14ac:dyDescent="0.2">
      <c r="A492" s="17"/>
      <c r="B492" s="75"/>
      <c r="C492" s="1989" t="s">
        <v>2546</v>
      </c>
      <c r="D492" s="1989" t="s">
        <v>7440</v>
      </c>
      <c r="E492" s="1989">
        <v>21.68</v>
      </c>
      <c r="F492" s="38">
        <f t="shared" si="7"/>
        <v>1763.0444832000001</v>
      </c>
      <c r="G492" s="459"/>
      <c r="H492" s="8"/>
      <c r="I492" s="8"/>
      <c r="J492" s="8"/>
      <c r="K492" s="8"/>
      <c r="L492" s="8"/>
      <c r="M492" s="8"/>
      <c r="N492" s="8"/>
      <c r="O492" s="8"/>
      <c r="P492" s="8"/>
      <c r="Q492" s="8"/>
      <c r="R492" s="8"/>
      <c r="S492" s="8"/>
      <c r="T492" s="8"/>
      <c r="U492" s="8"/>
      <c r="V492" s="8"/>
      <c r="W492" s="8"/>
      <c r="X492" s="771"/>
      <c r="Y492" s="771"/>
      <c r="Z492" s="771"/>
      <c r="AA492" s="771"/>
      <c r="AB492" s="771"/>
      <c r="AC492" s="771"/>
      <c r="AD492" s="771"/>
      <c r="AE492" s="771"/>
      <c r="AF492" s="771"/>
      <c r="AG492" s="771"/>
      <c r="AH492" s="771"/>
      <c r="AI492" s="771"/>
      <c r="AJ492" s="771"/>
      <c r="AK492" s="771"/>
      <c r="AL492" s="771"/>
      <c r="AM492" s="771"/>
      <c r="AN492" s="771"/>
      <c r="AO492" s="771"/>
      <c r="AP492" s="771"/>
      <c r="AQ492" s="771"/>
      <c r="AR492" s="771"/>
      <c r="AS492" s="771"/>
      <c r="AT492" s="771"/>
      <c r="AU492" s="771"/>
    </row>
    <row r="493" spans="1:47" s="1135" customFormat="1" outlineLevel="1" x14ac:dyDescent="0.2">
      <c r="A493" s="17"/>
      <c r="B493" s="75"/>
      <c r="C493" s="1989" t="s">
        <v>2885</v>
      </c>
      <c r="D493" s="1989" t="s">
        <v>7441</v>
      </c>
      <c r="E493" s="1989">
        <v>15.84</v>
      </c>
      <c r="F493" s="38">
        <f t="shared" si="7"/>
        <v>1288.1284416000001</v>
      </c>
      <c r="G493" s="459"/>
      <c r="H493" s="8"/>
      <c r="I493" s="8"/>
      <c r="J493" s="8"/>
      <c r="K493" s="8"/>
      <c r="L493" s="8"/>
      <c r="M493" s="8"/>
      <c r="N493" s="8"/>
      <c r="O493" s="8"/>
      <c r="P493" s="8"/>
      <c r="Q493" s="8"/>
      <c r="R493" s="8"/>
      <c r="S493" s="8"/>
      <c r="T493" s="8"/>
      <c r="U493" s="8"/>
      <c r="V493" s="8"/>
      <c r="W493" s="8"/>
      <c r="X493" s="771"/>
      <c r="Y493" s="771"/>
      <c r="Z493" s="771"/>
      <c r="AA493" s="771"/>
      <c r="AB493" s="771"/>
      <c r="AC493" s="771"/>
      <c r="AD493" s="771"/>
      <c r="AE493" s="771"/>
      <c r="AF493" s="771"/>
      <c r="AG493" s="771"/>
      <c r="AH493" s="771"/>
      <c r="AI493" s="771"/>
      <c r="AJ493" s="771"/>
      <c r="AK493" s="771"/>
      <c r="AL493" s="771"/>
      <c r="AM493" s="771"/>
      <c r="AN493" s="771"/>
      <c r="AO493" s="771"/>
      <c r="AP493" s="771"/>
      <c r="AQ493" s="771"/>
      <c r="AR493" s="771"/>
      <c r="AS493" s="771"/>
      <c r="AT493" s="771"/>
      <c r="AU493" s="771"/>
    </row>
    <row r="494" spans="1:47" s="1135" customFormat="1" outlineLevel="1" x14ac:dyDescent="0.2">
      <c r="A494" s="17"/>
      <c r="B494" s="75"/>
      <c r="C494" s="1989" t="s">
        <v>489</v>
      </c>
      <c r="D494" s="1989" t="s">
        <v>7442</v>
      </c>
      <c r="E494" s="1989">
        <v>15.98</v>
      </c>
      <c r="F494" s="38">
        <f t="shared" si="7"/>
        <v>1299.5134152000001</v>
      </c>
      <c r="G494" s="459"/>
      <c r="H494" s="8"/>
      <c r="I494" s="8"/>
      <c r="J494" s="8"/>
      <c r="K494" s="8"/>
      <c r="L494" s="8"/>
      <c r="M494" s="8"/>
      <c r="N494" s="8"/>
      <c r="O494" s="8"/>
      <c r="P494" s="8"/>
      <c r="Q494" s="8"/>
      <c r="R494" s="8"/>
      <c r="S494" s="8"/>
      <c r="T494" s="8"/>
      <c r="U494" s="8"/>
      <c r="V494" s="8"/>
      <c r="W494" s="8"/>
      <c r="X494" s="771"/>
      <c r="Y494" s="771"/>
      <c r="Z494" s="771"/>
      <c r="AA494" s="771"/>
      <c r="AB494" s="771"/>
      <c r="AC494" s="771"/>
      <c r="AD494" s="771"/>
      <c r="AE494" s="771"/>
      <c r="AF494" s="771"/>
      <c r="AG494" s="771"/>
      <c r="AH494" s="771"/>
      <c r="AI494" s="771"/>
      <c r="AJ494" s="771"/>
      <c r="AK494" s="771"/>
      <c r="AL494" s="771"/>
      <c r="AM494" s="771"/>
      <c r="AN494" s="771"/>
      <c r="AO494" s="771"/>
      <c r="AP494" s="771"/>
      <c r="AQ494" s="771"/>
      <c r="AR494" s="771"/>
      <c r="AS494" s="771"/>
      <c r="AT494" s="771"/>
      <c r="AU494" s="771"/>
    </row>
    <row r="495" spans="1:47" s="1135" customFormat="1" outlineLevel="1" x14ac:dyDescent="0.2">
      <c r="A495" s="17"/>
      <c r="B495" s="75"/>
      <c r="C495" s="1989" t="s">
        <v>341</v>
      </c>
      <c r="D495" s="1989" t="s">
        <v>7443</v>
      </c>
      <c r="E495" s="1989">
        <v>16.13</v>
      </c>
      <c r="F495" s="38">
        <f t="shared" si="7"/>
        <v>1311.7116011999999</v>
      </c>
      <c r="G495" s="459"/>
      <c r="H495" s="8"/>
      <c r="I495" s="8"/>
      <c r="J495" s="8"/>
      <c r="K495" s="8"/>
      <c r="L495" s="8"/>
      <c r="M495" s="8"/>
      <c r="N495" s="8"/>
      <c r="O495" s="8"/>
      <c r="P495" s="8"/>
      <c r="Q495" s="8"/>
      <c r="R495" s="8"/>
      <c r="S495" s="8"/>
      <c r="T495" s="8"/>
      <c r="U495" s="8"/>
      <c r="V495" s="8"/>
      <c r="W495" s="8"/>
      <c r="X495" s="771"/>
      <c r="Y495" s="771"/>
      <c r="Z495" s="771"/>
      <c r="AA495" s="771"/>
      <c r="AB495" s="771"/>
      <c r="AC495" s="771"/>
      <c r="AD495" s="771"/>
      <c r="AE495" s="771"/>
      <c r="AF495" s="771"/>
      <c r="AG495" s="771"/>
      <c r="AH495" s="771"/>
      <c r="AI495" s="771"/>
      <c r="AJ495" s="771"/>
      <c r="AK495" s="771"/>
      <c r="AL495" s="771"/>
      <c r="AM495" s="771"/>
      <c r="AN495" s="771"/>
      <c r="AO495" s="771"/>
      <c r="AP495" s="771"/>
      <c r="AQ495" s="771"/>
      <c r="AR495" s="771"/>
      <c r="AS495" s="771"/>
      <c r="AT495" s="771"/>
      <c r="AU495" s="771"/>
    </row>
    <row r="496" spans="1:47" outlineLevel="1" x14ac:dyDescent="0.2">
      <c r="A496" s="17"/>
      <c r="B496" s="75"/>
      <c r="C496" s="1989" t="s">
        <v>713</v>
      </c>
      <c r="D496" s="1989" t="s">
        <v>714</v>
      </c>
      <c r="E496" s="1989">
        <v>115.92</v>
      </c>
      <c r="F496" s="38">
        <f t="shared" si="7"/>
        <v>9426.7581408000005</v>
      </c>
      <c r="G496" s="459"/>
    </row>
    <row r="497" spans="1:7" outlineLevel="1" x14ac:dyDescent="0.2">
      <c r="A497" s="17"/>
      <c r="B497" s="75"/>
      <c r="C497" s="1989" t="s">
        <v>718</v>
      </c>
      <c r="D497" s="1989" t="s">
        <v>5396</v>
      </c>
      <c r="E497" s="1989">
        <v>29.63</v>
      </c>
      <c r="F497" s="38">
        <f t="shared" si="7"/>
        <v>2409.5483411999999</v>
      </c>
      <c r="G497" s="459"/>
    </row>
    <row r="498" spans="1:7" outlineLevel="1" x14ac:dyDescent="0.2">
      <c r="A498" s="17"/>
      <c r="B498" s="75"/>
      <c r="C498" s="1989" t="s">
        <v>1071</v>
      </c>
      <c r="D498" s="1989" t="s">
        <v>5397</v>
      </c>
      <c r="E498" s="1989">
        <v>30.1</v>
      </c>
      <c r="F498" s="38">
        <f t="shared" si="7"/>
        <v>2447.7693239999999</v>
      </c>
      <c r="G498" s="459"/>
    </row>
    <row r="499" spans="1:7" outlineLevel="1" x14ac:dyDescent="0.2">
      <c r="A499" s="17"/>
      <c r="B499" s="75"/>
      <c r="C499" s="1989" t="s">
        <v>1883</v>
      </c>
      <c r="D499" s="1989" t="s">
        <v>2886</v>
      </c>
      <c r="E499" s="1989">
        <v>142.02000000000001</v>
      </c>
      <c r="F499" s="38">
        <f t="shared" si="7"/>
        <v>11549.2425048</v>
      </c>
      <c r="G499" s="459"/>
    </row>
    <row r="500" spans="1:7" outlineLevel="1" x14ac:dyDescent="0.2">
      <c r="A500" s="17"/>
      <c r="B500" s="75"/>
      <c r="C500" s="1989" t="s">
        <v>715</v>
      </c>
      <c r="D500" s="1989" t="s">
        <v>7444</v>
      </c>
      <c r="E500" s="1989">
        <v>82.16</v>
      </c>
      <c r="F500" s="38">
        <f t="shared" si="7"/>
        <v>6681.3530784000004</v>
      </c>
      <c r="G500" s="459"/>
    </row>
    <row r="501" spans="1:7" outlineLevel="1" x14ac:dyDescent="0.2">
      <c r="A501" s="17"/>
      <c r="B501" s="75"/>
      <c r="C501" s="1989" t="s">
        <v>1885</v>
      </c>
      <c r="D501" s="1989" t="s">
        <v>7445</v>
      </c>
      <c r="E501" s="1989">
        <v>78.08</v>
      </c>
      <c r="F501" s="38">
        <f t="shared" si="7"/>
        <v>6349.5624192000005</v>
      </c>
      <c r="G501" s="459"/>
    </row>
    <row r="502" spans="1:7" outlineLevel="1" x14ac:dyDescent="0.2">
      <c r="A502" s="17"/>
      <c r="B502" s="75"/>
      <c r="C502" s="1989" t="s">
        <v>931</v>
      </c>
      <c r="D502" s="1989" t="s">
        <v>2548</v>
      </c>
      <c r="E502" s="1989">
        <v>6.89</v>
      </c>
      <c r="F502" s="38">
        <f t="shared" si="7"/>
        <v>560.30334359999995</v>
      </c>
      <c r="G502" s="459"/>
    </row>
    <row r="503" spans="1:7" outlineLevel="1" x14ac:dyDescent="0.2">
      <c r="A503" s="17"/>
      <c r="B503" s="75"/>
      <c r="C503" s="1989" t="s">
        <v>2887</v>
      </c>
      <c r="D503" s="1989" t="s">
        <v>2888</v>
      </c>
      <c r="E503" s="1989">
        <v>0</v>
      </c>
      <c r="F503" s="38">
        <f t="shared" si="7"/>
        <v>0</v>
      </c>
      <c r="G503" s="459"/>
    </row>
    <row r="504" spans="1:7" outlineLevel="1" x14ac:dyDescent="0.2">
      <c r="A504" s="17"/>
      <c r="B504" s="75"/>
      <c r="C504" s="1989" t="s">
        <v>877</v>
      </c>
      <c r="D504" s="1989" t="s">
        <v>5398</v>
      </c>
      <c r="E504" s="1989">
        <v>15.1</v>
      </c>
      <c r="F504" s="38">
        <f t="shared" si="7"/>
        <v>1227.9507239999998</v>
      </c>
      <c r="G504" s="459"/>
    </row>
    <row r="505" spans="1:7" outlineLevel="1" x14ac:dyDescent="0.2">
      <c r="A505" s="17"/>
      <c r="B505" s="75"/>
      <c r="C505" s="1989" t="s">
        <v>1888</v>
      </c>
      <c r="D505" s="1989" t="s">
        <v>5399</v>
      </c>
      <c r="E505" s="1989">
        <v>19.510000000000002</v>
      </c>
      <c r="F505" s="38">
        <f t="shared" si="7"/>
        <v>1586.5773924000002</v>
      </c>
      <c r="G505" s="459"/>
    </row>
    <row r="506" spans="1:7" outlineLevel="1" x14ac:dyDescent="0.2">
      <c r="A506" s="17"/>
      <c r="B506" s="75"/>
      <c r="C506" s="1989" t="s">
        <v>801</v>
      </c>
      <c r="D506" s="1989" t="s">
        <v>1889</v>
      </c>
      <c r="E506" s="1989">
        <v>0.61</v>
      </c>
      <c r="F506" s="38">
        <f t="shared" si="7"/>
        <v>49.605956400000004</v>
      </c>
      <c r="G506" s="459"/>
    </row>
    <row r="507" spans="1:7" outlineLevel="1" x14ac:dyDescent="0.2">
      <c r="A507" s="17"/>
      <c r="B507" s="75"/>
      <c r="C507" s="1989" t="s">
        <v>1610</v>
      </c>
      <c r="D507" s="1989" t="s">
        <v>5400</v>
      </c>
      <c r="E507" s="1989">
        <v>14.6</v>
      </c>
      <c r="F507" s="38">
        <f t="shared" si="7"/>
        <v>1187.2901040000002</v>
      </c>
      <c r="G507" s="459"/>
    </row>
    <row r="508" spans="1:7" outlineLevel="1" x14ac:dyDescent="0.2">
      <c r="A508" s="17"/>
      <c r="B508" s="75"/>
      <c r="C508" s="1989" t="s">
        <v>1612</v>
      </c>
      <c r="D508" s="1989" t="s">
        <v>5401</v>
      </c>
      <c r="E508" s="1989">
        <v>15.43</v>
      </c>
      <c r="F508" s="38">
        <f t="shared" si="7"/>
        <v>1254.7867332000001</v>
      </c>
      <c r="G508" s="459"/>
    </row>
    <row r="509" spans="1:7" outlineLevel="1" x14ac:dyDescent="0.2">
      <c r="A509" s="17"/>
      <c r="B509" s="75"/>
      <c r="C509" s="1989" t="s">
        <v>2551</v>
      </c>
      <c r="D509" s="1989" t="s">
        <v>5402</v>
      </c>
      <c r="E509" s="1989">
        <v>0</v>
      </c>
      <c r="F509" s="38">
        <f t="shared" si="7"/>
        <v>0</v>
      </c>
      <c r="G509" s="459"/>
    </row>
    <row r="510" spans="1:7" outlineLevel="1" x14ac:dyDescent="0.2">
      <c r="A510" s="17"/>
      <c r="B510" s="75"/>
      <c r="C510" s="1989" t="s">
        <v>2552</v>
      </c>
      <c r="D510" s="1989" t="s">
        <v>5403</v>
      </c>
      <c r="E510" s="1989">
        <v>0</v>
      </c>
      <c r="F510" s="38">
        <f t="shared" si="7"/>
        <v>0</v>
      </c>
      <c r="G510" s="459"/>
    </row>
    <row r="511" spans="1:7" outlineLevel="1" x14ac:dyDescent="0.2">
      <c r="A511" s="17"/>
      <c r="B511" s="75"/>
      <c r="C511" s="1989" t="s">
        <v>1894</v>
      </c>
      <c r="D511" s="1989" t="s">
        <v>5404</v>
      </c>
      <c r="E511" s="1989">
        <v>17.59</v>
      </c>
      <c r="F511" s="38">
        <f t="shared" si="7"/>
        <v>1430.4406116000002</v>
      </c>
      <c r="G511" s="459"/>
    </row>
    <row r="512" spans="1:7" outlineLevel="1" x14ac:dyDescent="0.2">
      <c r="A512" s="17"/>
      <c r="B512" s="75"/>
      <c r="C512" s="1989" t="s">
        <v>1941</v>
      </c>
      <c r="D512" s="1989" t="s">
        <v>5405</v>
      </c>
      <c r="E512" s="1989">
        <v>12.06</v>
      </c>
      <c r="F512" s="38">
        <f t="shared" si="7"/>
        <v>980.73415440000008</v>
      </c>
      <c r="G512" s="459"/>
    </row>
    <row r="513" spans="1:7" outlineLevel="1" x14ac:dyDescent="0.2">
      <c r="A513" s="17"/>
      <c r="B513" s="75"/>
      <c r="C513" s="1989" t="s">
        <v>1234</v>
      </c>
      <c r="D513" s="1989" t="s">
        <v>888</v>
      </c>
      <c r="E513" s="1989">
        <v>5.68</v>
      </c>
      <c r="F513" s="38">
        <f t="shared" si="7"/>
        <v>461.90464320000001</v>
      </c>
      <c r="G513" s="459"/>
    </row>
    <row r="514" spans="1:7" outlineLevel="1" x14ac:dyDescent="0.2">
      <c r="A514" s="17"/>
      <c r="B514" s="75"/>
      <c r="C514" s="1989" t="s">
        <v>1013</v>
      </c>
      <c r="D514" s="1989" t="s">
        <v>5406</v>
      </c>
      <c r="E514" s="1989">
        <v>0.83</v>
      </c>
      <c r="F514" s="38">
        <f t="shared" si="7"/>
        <v>67.496629200000001</v>
      </c>
      <c r="G514" s="459"/>
    </row>
    <row r="515" spans="1:7" outlineLevel="1" x14ac:dyDescent="0.2">
      <c r="A515" s="17"/>
      <c r="B515" s="75"/>
      <c r="C515" s="1989" t="s">
        <v>1011</v>
      </c>
      <c r="D515" s="1989" t="s">
        <v>5407</v>
      </c>
      <c r="E515" s="1989">
        <v>0.83</v>
      </c>
      <c r="F515" s="38">
        <f t="shared" si="7"/>
        <v>67.496629200000001</v>
      </c>
      <c r="G515" s="459"/>
    </row>
    <row r="516" spans="1:7" outlineLevel="1" x14ac:dyDescent="0.2">
      <c r="A516" s="17"/>
      <c r="B516" s="75"/>
      <c r="C516" s="1989" t="s">
        <v>276</v>
      </c>
      <c r="D516" s="1989" t="s">
        <v>5408</v>
      </c>
      <c r="E516" s="1989">
        <v>4.1100000000000003</v>
      </c>
      <c r="F516" s="38">
        <f t="shared" si="7"/>
        <v>334.23029640000004</v>
      </c>
      <c r="G516" s="459"/>
    </row>
    <row r="517" spans="1:7" outlineLevel="1" x14ac:dyDescent="0.2">
      <c r="A517" s="17"/>
      <c r="B517" s="75"/>
      <c r="C517" s="1989" t="s">
        <v>272</v>
      </c>
      <c r="D517" s="1989" t="s">
        <v>5409</v>
      </c>
      <c r="E517" s="1989">
        <v>5.43</v>
      </c>
      <c r="F517" s="38">
        <f t="shared" si="7"/>
        <v>441.57433319999996</v>
      </c>
      <c r="G517" s="459"/>
    </row>
    <row r="518" spans="1:7" outlineLevel="1" x14ac:dyDescent="0.2">
      <c r="A518" s="17"/>
      <c r="B518" s="75"/>
      <c r="C518" s="1989" t="s">
        <v>270</v>
      </c>
      <c r="D518" s="1989" t="s">
        <v>5410</v>
      </c>
      <c r="E518" s="1989">
        <v>5.43</v>
      </c>
      <c r="F518" s="38">
        <f t="shared" si="7"/>
        <v>441.57433319999996</v>
      </c>
      <c r="G518" s="459"/>
    </row>
    <row r="519" spans="1:7" outlineLevel="1" x14ac:dyDescent="0.2">
      <c r="A519" s="17"/>
      <c r="B519" s="75"/>
      <c r="C519" s="1989" t="s">
        <v>274</v>
      </c>
      <c r="D519" s="1989" t="s">
        <v>5411</v>
      </c>
      <c r="E519" s="1989">
        <v>4.1100000000000003</v>
      </c>
      <c r="F519" s="38">
        <f t="shared" si="7"/>
        <v>334.23029640000004</v>
      </c>
      <c r="G519" s="459"/>
    </row>
    <row r="520" spans="1:7" outlineLevel="1" x14ac:dyDescent="0.2">
      <c r="A520" s="17"/>
      <c r="B520" s="75"/>
      <c r="C520" s="1989" t="s">
        <v>1470</v>
      </c>
      <c r="D520" s="1989" t="s">
        <v>1471</v>
      </c>
      <c r="E520" s="1989">
        <v>3.73</v>
      </c>
      <c r="F520" s="38">
        <f t="shared" si="7"/>
        <v>303.32822520000002</v>
      </c>
      <c r="G520" s="459"/>
    </row>
    <row r="521" spans="1:7" outlineLevel="1" x14ac:dyDescent="0.2">
      <c r="A521" s="17"/>
      <c r="B521" s="75"/>
      <c r="C521" s="1989" t="s">
        <v>3513</v>
      </c>
      <c r="D521" s="1989" t="s">
        <v>5412</v>
      </c>
      <c r="E521" s="1989">
        <v>10.07</v>
      </c>
      <c r="F521" s="38">
        <f t="shared" si="7"/>
        <v>818.90488679999999</v>
      </c>
      <c r="G521" s="459"/>
    </row>
    <row r="522" spans="1:7" outlineLevel="1" x14ac:dyDescent="0.2">
      <c r="A522" s="17"/>
      <c r="B522" s="75"/>
      <c r="C522" s="1989" t="s">
        <v>73</v>
      </c>
      <c r="D522" s="1989" t="s">
        <v>7446</v>
      </c>
      <c r="E522" s="1989">
        <v>9.76</v>
      </c>
      <c r="F522" s="38">
        <f t="shared" si="7"/>
        <v>793.69530240000006</v>
      </c>
      <c r="G522" s="459"/>
    </row>
    <row r="523" spans="1:7" outlineLevel="1" x14ac:dyDescent="0.2">
      <c r="A523" s="17"/>
      <c r="B523" s="75"/>
      <c r="C523" s="1989" t="s">
        <v>72</v>
      </c>
      <c r="D523" s="1989" t="s">
        <v>7447</v>
      </c>
      <c r="E523" s="1989">
        <v>9.76</v>
      </c>
      <c r="F523" s="38">
        <f t="shared" si="7"/>
        <v>793.69530240000006</v>
      </c>
      <c r="G523" s="459"/>
    </row>
    <row r="524" spans="1:7" outlineLevel="1" x14ac:dyDescent="0.2">
      <c r="A524" s="17"/>
      <c r="B524" s="75"/>
      <c r="C524" s="1989" t="s">
        <v>2056</v>
      </c>
      <c r="D524" s="1989" t="s">
        <v>7448</v>
      </c>
      <c r="E524" s="1989">
        <v>9.83</v>
      </c>
      <c r="F524" s="38">
        <f t="shared" si="7"/>
        <v>799.38778920000004</v>
      </c>
      <c r="G524" s="459"/>
    </row>
    <row r="525" spans="1:7" outlineLevel="1" x14ac:dyDescent="0.2">
      <c r="A525" s="17"/>
      <c r="B525" s="75"/>
      <c r="C525" s="1989" t="s">
        <v>2055</v>
      </c>
      <c r="D525" s="1989" t="s">
        <v>7449</v>
      </c>
      <c r="E525" s="1989">
        <v>9.83</v>
      </c>
      <c r="F525" s="38">
        <f t="shared" si="7"/>
        <v>799.38778920000004</v>
      </c>
      <c r="G525" s="459"/>
    </row>
    <row r="526" spans="1:7" outlineLevel="1" x14ac:dyDescent="0.2">
      <c r="A526" s="17"/>
      <c r="B526" s="75"/>
      <c r="C526" s="1989" t="s">
        <v>2154</v>
      </c>
      <c r="D526" s="1989" t="s">
        <v>7450</v>
      </c>
      <c r="E526" s="1989">
        <v>9.9</v>
      </c>
      <c r="F526" s="38">
        <f t="shared" si="7"/>
        <v>805.08027600000014</v>
      </c>
      <c r="G526" s="459"/>
    </row>
    <row r="527" spans="1:7" outlineLevel="1" x14ac:dyDescent="0.2">
      <c r="A527" s="17"/>
      <c r="B527" s="75"/>
      <c r="C527" s="1989" t="s">
        <v>2153</v>
      </c>
      <c r="D527" s="1989" t="s">
        <v>7451</v>
      </c>
      <c r="E527" s="1989">
        <v>9.9</v>
      </c>
      <c r="F527" s="38">
        <f t="shared" si="7"/>
        <v>805.08027600000014</v>
      </c>
      <c r="G527" s="459"/>
    </row>
    <row r="528" spans="1:7" outlineLevel="1" x14ac:dyDescent="0.2">
      <c r="A528" s="17"/>
      <c r="B528" s="75"/>
      <c r="C528" s="1989" t="s">
        <v>486</v>
      </c>
      <c r="D528" s="1989" t="s">
        <v>7452</v>
      </c>
      <c r="E528" s="1989">
        <v>9.9700000000000006</v>
      </c>
      <c r="F528" s="38">
        <f t="shared" si="7"/>
        <v>810.77276280000012</v>
      </c>
      <c r="G528" s="459"/>
    </row>
    <row r="529" spans="1:7" outlineLevel="1" x14ac:dyDescent="0.2">
      <c r="A529" s="17"/>
      <c r="B529" s="75"/>
      <c r="C529" s="1989" t="s">
        <v>485</v>
      </c>
      <c r="D529" s="1989" t="s">
        <v>7453</v>
      </c>
      <c r="E529" s="1989">
        <v>9.9700000000000006</v>
      </c>
      <c r="F529" s="38">
        <f t="shared" si="7"/>
        <v>810.77276280000012</v>
      </c>
      <c r="G529" s="459"/>
    </row>
    <row r="530" spans="1:7" outlineLevel="1" x14ac:dyDescent="0.2">
      <c r="A530" s="17"/>
      <c r="B530" s="75"/>
      <c r="C530" s="1989" t="s">
        <v>295</v>
      </c>
      <c r="D530" s="1989" t="s">
        <v>7454</v>
      </c>
      <c r="E530" s="1989">
        <v>9.76</v>
      </c>
      <c r="F530" s="38">
        <f t="shared" si="7"/>
        <v>793.69530240000006</v>
      </c>
      <c r="G530" s="459"/>
    </row>
    <row r="531" spans="1:7" outlineLevel="1" x14ac:dyDescent="0.2">
      <c r="A531" s="17"/>
      <c r="B531" s="75"/>
      <c r="C531" s="1989" t="s">
        <v>294</v>
      </c>
      <c r="D531" s="1989" t="s">
        <v>7455</v>
      </c>
      <c r="E531" s="1989">
        <v>9.76</v>
      </c>
      <c r="F531" s="38">
        <f t="shared" si="7"/>
        <v>793.69530240000006</v>
      </c>
      <c r="G531" s="459"/>
    </row>
    <row r="532" spans="1:7" outlineLevel="1" x14ac:dyDescent="0.2">
      <c r="A532" s="17"/>
      <c r="B532" s="75"/>
      <c r="C532" s="1989" t="s">
        <v>2889</v>
      </c>
      <c r="D532" s="1989" t="s">
        <v>7456</v>
      </c>
      <c r="E532" s="1989">
        <v>0</v>
      </c>
      <c r="F532" s="38">
        <f t="shared" si="7"/>
        <v>0</v>
      </c>
      <c r="G532" s="459"/>
    </row>
    <row r="533" spans="1:7" outlineLevel="1" x14ac:dyDescent="0.2">
      <c r="A533" s="17"/>
      <c r="B533" s="75"/>
      <c r="C533" s="1989" t="s">
        <v>3204</v>
      </c>
      <c r="D533" s="1989" t="s">
        <v>7457</v>
      </c>
      <c r="E533" s="1989">
        <v>0</v>
      </c>
      <c r="F533" s="38">
        <f t="shared" si="7"/>
        <v>0</v>
      </c>
      <c r="G533" s="459"/>
    </row>
    <row r="534" spans="1:7" outlineLevel="1" x14ac:dyDescent="0.2">
      <c r="A534" s="17"/>
      <c r="B534" s="75"/>
      <c r="C534" s="1989" t="s">
        <v>1479</v>
      </c>
      <c r="D534" s="1989" t="s">
        <v>7458</v>
      </c>
      <c r="E534" s="1989">
        <v>24</v>
      </c>
      <c r="F534" s="38">
        <f t="shared" si="7"/>
        <v>1951.70976</v>
      </c>
      <c r="G534" s="459"/>
    </row>
    <row r="535" spans="1:7" outlineLevel="1" x14ac:dyDescent="0.2">
      <c r="A535" s="17"/>
      <c r="B535" s="75"/>
      <c r="C535" s="1989" t="s">
        <v>3855</v>
      </c>
      <c r="D535" s="1989" t="s">
        <v>7459</v>
      </c>
      <c r="E535" s="1989">
        <v>28.13</v>
      </c>
      <c r="F535" s="38">
        <f t="shared" si="7"/>
        <v>2287.5664812</v>
      </c>
      <c r="G535" s="459"/>
    </row>
    <row r="536" spans="1:7" outlineLevel="1" x14ac:dyDescent="0.2">
      <c r="A536" s="17"/>
      <c r="B536" s="75"/>
      <c r="C536" s="1989" t="s">
        <v>1480</v>
      </c>
      <c r="D536" s="1989" t="s">
        <v>7460</v>
      </c>
      <c r="E536" s="1989">
        <v>29.21</v>
      </c>
      <c r="F536" s="38">
        <f t="shared" si="7"/>
        <v>2375.3934204000002</v>
      </c>
      <c r="G536" s="459"/>
    </row>
    <row r="537" spans="1:7" outlineLevel="1" x14ac:dyDescent="0.2">
      <c r="A537" s="17"/>
      <c r="B537" s="75"/>
      <c r="C537" s="1989" t="s">
        <v>3856</v>
      </c>
      <c r="D537" s="1989" t="s">
        <v>3857</v>
      </c>
      <c r="E537" s="1989">
        <v>19.510000000000002</v>
      </c>
      <c r="F537" s="38">
        <f t="shared" si="7"/>
        <v>1586.5773924000002</v>
      </c>
      <c r="G537" s="459"/>
    </row>
    <row r="538" spans="1:7" outlineLevel="1" x14ac:dyDescent="0.2">
      <c r="A538" s="17"/>
      <c r="B538" s="75"/>
      <c r="C538" s="1989" t="s">
        <v>3858</v>
      </c>
      <c r="D538" s="1989" t="s">
        <v>3859</v>
      </c>
      <c r="E538" s="1989">
        <v>19.649999999999999</v>
      </c>
      <c r="F538" s="38">
        <f t="shared" si="7"/>
        <v>1597.962366</v>
      </c>
      <c r="G538" s="459"/>
    </row>
    <row r="539" spans="1:7" outlineLevel="1" x14ac:dyDescent="0.2">
      <c r="A539" s="17"/>
      <c r="B539" s="75"/>
      <c r="C539" s="1989" t="s">
        <v>3514</v>
      </c>
      <c r="D539" s="1989" t="s">
        <v>5413</v>
      </c>
      <c r="E539" s="1989">
        <v>10.07</v>
      </c>
      <c r="F539" s="38">
        <f t="shared" si="7"/>
        <v>818.90488679999999</v>
      </c>
      <c r="G539" s="459"/>
    </row>
    <row r="540" spans="1:7" outlineLevel="1" x14ac:dyDescent="0.2">
      <c r="A540" s="17"/>
      <c r="B540" s="75"/>
      <c r="C540" s="1989" t="s">
        <v>3860</v>
      </c>
      <c r="D540" s="1989" t="s">
        <v>5414</v>
      </c>
      <c r="E540" s="1989">
        <v>9.99</v>
      </c>
      <c r="F540" s="38">
        <f t="shared" si="7"/>
        <v>812.3991876</v>
      </c>
      <c r="G540" s="459"/>
    </row>
    <row r="541" spans="1:7" outlineLevel="1" x14ac:dyDescent="0.2">
      <c r="A541" s="17"/>
      <c r="B541" s="75"/>
      <c r="C541" s="1989" t="s">
        <v>3861</v>
      </c>
      <c r="D541" s="1989" t="s">
        <v>5415</v>
      </c>
      <c r="E541" s="1989">
        <v>9.99</v>
      </c>
      <c r="F541" s="38">
        <f t="shared" si="7"/>
        <v>812.3991876</v>
      </c>
      <c r="G541" s="459"/>
    </row>
    <row r="542" spans="1:7" outlineLevel="1" x14ac:dyDescent="0.2">
      <c r="A542" s="17"/>
      <c r="B542" s="75"/>
      <c r="C542" s="1989" t="s">
        <v>3862</v>
      </c>
      <c r="D542" s="1989" t="s">
        <v>3863</v>
      </c>
      <c r="E542" s="1989">
        <v>0</v>
      </c>
      <c r="F542" s="38">
        <f t="shared" si="7"/>
        <v>0</v>
      </c>
      <c r="G542" s="459"/>
    </row>
    <row r="543" spans="1:7" outlineLevel="1" x14ac:dyDescent="0.2">
      <c r="A543" s="17"/>
      <c r="B543" s="75"/>
      <c r="C543" s="1989" t="s">
        <v>2595</v>
      </c>
      <c r="D543" s="1989" t="s">
        <v>2596</v>
      </c>
      <c r="E543" s="1989">
        <v>0</v>
      </c>
      <c r="F543" s="38">
        <f t="shared" ref="F543:F606" si="8">E543*$G$4*$J$4</f>
        <v>0</v>
      </c>
      <c r="G543" s="459"/>
    </row>
    <row r="544" spans="1:7" outlineLevel="1" x14ac:dyDescent="0.2">
      <c r="A544" s="17"/>
      <c r="B544" s="75"/>
      <c r="C544" s="1989" t="s">
        <v>1759</v>
      </c>
      <c r="D544" s="1989" t="s">
        <v>1541</v>
      </c>
      <c r="E544" s="1989">
        <v>8.02</v>
      </c>
      <c r="F544" s="38">
        <f t="shared" si="8"/>
        <v>652.19634480000002</v>
      </c>
      <c r="G544" s="459"/>
    </row>
    <row r="545" spans="1:7" outlineLevel="1" x14ac:dyDescent="0.2">
      <c r="A545" s="17"/>
      <c r="B545" s="75"/>
      <c r="C545" s="1989" t="s">
        <v>1760</v>
      </c>
      <c r="D545" s="1989" t="s">
        <v>3205</v>
      </c>
      <c r="E545" s="1989">
        <v>8.02</v>
      </c>
      <c r="F545" s="38">
        <f t="shared" si="8"/>
        <v>652.19634480000002</v>
      </c>
      <c r="G545" s="459"/>
    </row>
    <row r="546" spans="1:7" outlineLevel="1" x14ac:dyDescent="0.2">
      <c r="A546" s="17"/>
      <c r="B546" s="75"/>
      <c r="C546" s="1989" t="s">
        <v>1761</v>
      </c>
      <c r="D546" s="1989" t="s">
        <v>1523</v>
      </c>
      <c r="E546" s="1989">
        <v>8.02</v>
      </c>
      <c r="F546" s="38">
        <f t="shared" si="8"/>
        <v>652.19634480000002</v>
      </c>
      <c r="G546" s="459"/>
    </row>
    <row r="547" spans="1:7" outlineLevel="1" x14ac:dyDescent="0.2">
      <c r="A547" s="17"/>
      <c r="B547" s="75"/>
      <c r="C547" s="1989" t="s">
        <v>1762</v>
      </c>
      <c r="D547" s="1989" t="s">
        <v>1528</v>
      </c>
      <c r="E547" s="1989">
        <v>8.02</v>
      </c>
      <c r="F547" s="38">
        <f t="shared" si="8"/>
        <v>652.19634480000002</v>
      </c>
      <c r="G547" s="459"/>
    </row>
    <row r="548" spans="1:7" outlineLevel="1" x14ac:dyDescent="0.2">
      <c r="A548" s="17"/>
      <c r="B548" s="75"/>
      <c r="C548" s="1989" t="s">
        <v>3864</v>
      </c>
      <c r="D548" s="1989" t="s">
        <v>4534</v>
      </c>
      <c r="E548" s="1989">
        <v>4.0199999999999996</v>
      </c>
      <c r="F548" s="38">
        <f t="shared" si="8"/>
        <v>326.91138479999995</v>
      </c>
      <c r="G548" s="459"/>
    </row>
    <row r="549" spans="1:7" outlineLevel="1" x14ac:dyDescent="0.2">
      <c r="A549" s="17"/>
      <c r="B549" s="75"/>
      <c r="C549" s="1989" t="s">
        <v>2022</v>
      </c>
      <c r="D549" s="1989" t="s">
        <v>5416</v>
      </c>
      <c r="E549" s="1989">
        <v>6.53</v>
      </c>
      <c r="F549" s="38">
        <f t="shared" si="8"/>
        <v>531.02769720000003</v>
      </c>
      <c r="G549" s="459"/>
    </row>
    <row r="550" spans="1:7" outlineLevel="1" x14ac:dyDescent="0.2">
      <c r="A550" s="17"/>
      <c r="B550" s="75"/>
      <c r="C550" s="1989" t="s">
        <v>2025</v>
      </c>
      <c r="D550" s="1989" t="s">
        <v>5417</v>
      </c>
      <c r="E550" s="1989">
        <v>6.53</v>
      </c>
      <c r="F550" s="38">
        <f t="shared" si="8"/>
        <v>531.02769720000003</v>
      </c>
      <c r="G550" s="459"/>
    </row>
    <row r="551" spans="1:7" outlineLevel="1" x14ac:dyDescent="0.2">
      <c r="A551" s="17"/>
      <c r="B551" s="75"/>
      <c r="C551" s="1989" t="s">
        <v>2415</v>
      </c>
      <c r="D551" s="1989" t="s">
        <v>5418</v>
      </c>
      <c r="E551" s="1989">
        <v>0.54</v>
      </c>
      <c r="F551" s="38">
        <f t="shared" si="8"/>
        <v>43.913469600000006</v>
      </c>
      <c r="G551" s="459"/>
    </row>
    <row r="552" spans="1:7" outlineLevel="1" x14ac:dyDescent="0.2">
      <c r="A552" s="17"/>
      <c r="B552" s="75"/>
      <c r="C552" s="1989" t="s">
        <v>2416</v>
      </c>
      <c r="D552" s="1989" t="s">
        <v>2417</v>
      </c>
      <c r="E552" s="1989">
        <v>0.54</v>
      </c>
      <c r="F552" s="38">
        <f t="shared" si="8"/>
        <v>43.913469600000006</v>
      </c>
      <c r="G552" s="459"/>
    </row>
    <row r="553" spans="1:7" outlineLevel="1" x14ac:dyDescent="0.2">
      <c r="A553" s="17"/>
      <c r="B553" s="75"/>
      <c r="C553" s="1989" t="s">
        <v>728</v>
      </c>
      <c r="D553" s="1989" t="s">
        <v>5419</v>
      </c>
      <c r="E553" s="1989">
        <v>6.6</v>
      </c>
      <c r="F553" s="38">
        <f t="shared" si="8"/>
        <v>536.72018400000002</v>
      </c>
      <c r="G553" s="459"/>
    </row>
    <row r="554" spans="1:7" outlineLevel="1" x14ac:dyDescent="0.2">
      <c r="A554" s="17"/>
      <c r="B554" s="75"/>
      <c r="C554" s="1989" t="s">
        <v>732</v>
      </c>
      <c r="D554" s="1989" t="s">
        <v>5420</v>
      </c>
      <c r="E554" s="1989">
        <v>6.6</v>
      </c>
      <c r="F554" s="38">
        <f t="shared" si="8"/>
        <v>536.72018400000002</v>
      </c>
      <c r="G554" s="459"/>
    </row>
    <row r="555" spans="1:7" outlineLevel="1" x14ac:dyDescent="0.2">
      <c r="A555" s="17"/>
      <c r="B555" s="75"/>
      <c r="C555" s="1989" t="s">
        <v>2443</v>
      </c>
      <c r="D555" s="1989" t="s">
        <v>2444</v>
      </c>
      <c r="E555" s="1989">
        <v>5.85</v>
      </c>
      <c r="F555" s="38">
        <f t="shared" si="8"/>
        <v>475.72925400000003</v>
      </c>
      <c r="G555" s="459"/>
    </row>
    <row r="556" spans="1:7" outlineLevel="1" x14ac:dyDescent="0.2">
      <c r="A556" s="17"/>
      <c r="B556" s="75"/>
      <c r="C556" s="1989" t="s">
        <v>764</v>
      </c>
      <c r="D556" s="1989" t="s">
        <v>7461</v>
      </c>
      <c r="E556" s="1989">
        <v>5.83</v>
      </c>
      <c r="F556" s="38">
        <f t="shared" si="8"/>
        <v>474.10282920000003</v>
      </c>
      <c r="G556" s="459"/>
    </row>
    <row r="557" spans="1:7" outlineLevel="1" x14ac:dyDescent="0.2">
      <c r="A557" s="17"/>
      <c r="B557" s="75"/>
      <c r="C557" s="1989" t="s">
        <v>766</v>
      </c>
      <c r="D557" s="1989" t="s">
        <v>7462</v>
      </c>
      <c r="E557" s="1989">
        <v>5.83</v>
      </c>
      <c r="F557" s="38">
        <f t="shared" si="8"/>
        <v>474.10282920000003</v>
      </c>
      <c r="G557" s="459"/>
    </row>
    <row r="558" spans="1:7" outlineLevel="1" x14ac:dyDescent="0.2">
      <c r="A558" s="17"/>
      <c r="B558" s="75"/>
      <c r="C558" s="1989" t="s">
        <v>2104</v>
      </c>
      <c r="D558" s="1989" t="s">
        <v>1553</v>
      </c>
      <c r="E558" s="1989">
        <v>1.05</v>
      </c>
      <c r="F558" s="38">
        <f t="shared" si="8"/>
        <v>85.387302000000005</v>
      </c>
      <c r="G558" s="459"/>
    </row>
    <row r="559" spans="1:7" outlineLevel="1" x14ac:dyDescent="0.2">
      <c r="A559" s="17"/>
      <c r="B559" s="75"/>
      <c r="C559" s="1989" t="s">
        <v>642</v>
      </c>
      <c r="D559" s="1989" t="s">
        <v>643</v>
      </c>
      <c r="E559" s="1989">
        <v>1.05</v>
      </c>
      <c r="F559" s="38">
        <f t="shared" si="8"/>
        <v>85.387302000000005</v>
      </c>
      <c r="G559" s="459"/>
    </row>
    <row r="560" spans="1:7" outlineLevel="1" x14ac:dyDescent="0.2">
      <c r="A560" s="17"/>
      <c r="B560" s="75"/>
      <c r="C560" s="1989" t="s">
        <v>6</v>
      </c>
      <c r="D560" s="1989" t="s">
        <v>7463</v>
      </c>
      <c r="E560" s="1989">
        <v>5.96</v>
      </c>
      <c r="F560" s="38">
        <f t="shared" si="8"/>
        <v>484.67459040000006</v>
      </c>
      <c r="G560" s="459"/>
    </row>
    <row r="561" spans="1:7" outlineLevel="1" x14ac:dyDescent="0.2">
      <c r="A561" s="17"/>
      <c r="B561" s="75"/>
      <c r="C561" s="1989" t="s">
        <v>7</v>
      </c>
      <c r="D561" s="1989" t="s">
        <v>7464</v>
      </c>
      <c r="E561" s="1989">
        <v>5.96</v>
      </c>
      <c r="F561" s="38">
        <f t="shared" si="8"/>
        <v>484.67459040000006</v>
      </c>
      <c r="G561" s="459"/>
    </row>
    <row r="562" spans="1:7" outlineLevel="1" x14ac:dyDescent="0.2">
      <c r="A562" s="17"/>
      <c r="B562" s="75"/>
      <c r="C562" s="1989" t="s">
        <v>3866</v>
      </c>
      <c r="D562" s="1989" t="s">
        <v>5421</v>
      </c>
      <c r="E562" s="1989">
        <v>6.64</v>
      </c>
      <c r="F562" s="38">
        <f t="shared" si="8"/>
        <v>539.97303360000001</v>
      </c>
      <c r="G562" s="459"/>
    </row>
    <row r="563" spans="1:7" outlineLevel="1" x14ac:dyDescent="0.2">
      <c r="A563" s="17"/>
      <c r="B563" s="75"/>
      <c r="C563" s="1989" t="s">
        <v>3867</v>
      </c>
      <c r="D563" s="1989" t="s">
        <v>5422</v>
      </c>
      <c r="E563" s="1989">
        <v>6.64</v>
      </c>
      <c r="F563" s="38">
        <f t="shared" si="8"/>
        <v>539.97303360000001</v>
      </c>
      <c r="G563" s="459"/>
    </row>
    <row r="564" spans="1:7" outlineLevel="1" x14ac:dyDescent="0.2">
      <c r="A564" s="17"/>
      <c r="B564" s="75"/>
      <c r="C564" s="1989" t="s">
        <v>3868</v>
      </c>
      <c r="D564" s="1989" t="s">
        <v>5423</v>
      </c>
      <c r="E564" s="1989">
        <v>6.71</v>
      </c>
      <c r="F564" s="38">
        <f t="shared" si="8"/>
        <v>545.66552039999999</v>
      </c>
      <c r="G564" s="459"/>
    </row>
    <row r="565" spans="1:7" outlineLevel="1" x14ac:dyDescent="0.2">
      <c r="A565" s="17"/>
      <c r="B565" s="75"/>
      <c r="C565" s="1989" t="s">
        <v>3869</v>
      </c>
      <c r="D565" s="1989" t="s">
        <v>5424</v>
      </c>
      <c r="E565" s="1989">
        <v>6.71</v>
      </c>
      <c r="F565" s="38">
        <f t="shared" si="8"/>
        <v>545.66552039999999</v>
      </c>
      <c r="G565" s="459"/>
    </row>
    <row r="566" spans="1:7" outlineLevel="1" x14ac:dyDescent="0.2">
      <c r="A566" s="17"/>
      <c r="B566" s="75"/>
      <c r="C566" s="1989" t="s">
        <v>3206</v>
      </c>
      <c r="D566" s="1989" t="s">
        <v>5425</v>
      </c>
      <c r="E566" s="1989">
        <v>0</v>
      </c>
      <c r="F566" s="38">
        <f t="shared" si="8"/>
        <v>0</v>
      </c>
      <c r="G566" s="459"/>
    </row>
    <row r="567" spans="1:7" outlineLevel="1" x14ac:dyDescent="0.2">
      <c r="A567" s="17"/>
      <c r="B567" s="75"/>
      <c r="C567" s="1989" t="s">
        <v>3515</v>
      </c>
      <c r="D567" s="1989" t="s">
        <v>5426</v>
      </c>
      <c r="E567" s="1989">
        <v>5.92</v>
      </c>
      <c r="F567" s="38">
        <f t="shared" si="8"/>
        <v>481.42174080000007</v>
      </c>
      <c r="G567" s="459"/>
    </row>
    <row r="568" spans="1:7" outlineLevel="1" x14ac:dyDescent="0.2">
      <c r="A568" s="17"/>
      <c r="B568" s="75"/>
      <c r="C568" s="1989" t="s">
        <v>3516</v>
      </c>
      <c r="D568" s="1989" t="s">
        <v>5427</v>
      </c>
      <c r="E568" s="1989">
        <v>5.92</v>
      </c>
      <c r="F568" s="38">
        <f t="shared" si="8"/>
        <v>481.42174080000007</v>
      </c>
      <c r="G568" s="459"/>
    </row>
    <row r="569" spans="1:7" outlineLevel="1" x14ac:dyDescent="0.2">
      <c r="A569" s="17"/>
      <c r="B569" s="75"/>
      <c r="C569" s="1989" t="s">
        <v>3517</v>
      </c>
      <c r="D569" s="1989" t="s">
        <v>5428</v>
      </c>
      <c r="E569" s="1989">
        <v>6.07</v>
      </c>
      <c r="F569" s="38">
        <f t="shared" si="8"/>
        <v>493.61992680000003</v>
      </c>
      <c r="G569" s="459"/>
    </row>
    <row r="570" spans="1:7" outlineLevel="1" x14ac:dyDescent="0.2">
      <c r="A570" s="17"/>
      <c r="B570" s="75"/>
      <c r="C570" s="1989" t="s">
        <v>3518</v>
      </c>
      <c r="D570" s="1989" t="s">
        <v>5429</v>
      </c>
      <c r="E570" s="1989">
        <v>6.07</v>
      </c>
      <c r="F570" s="38">
        <f t="shared" si="8"/>
        <v>493.61992680000003</v>
      </c>
      <c r="G570" s="459"/>
    </row>
    <row r="571" spans="1:7" outlineLevel="1" x14ac:dyDescent="0.2">
      <c r="A571" s="17"/>
      <c r="B571" s="75"/>
      <c r="C571" s="1989" t="s">
        <v>692</v>
      </c>
      <c r="D571" s="1989" t="s">
        <v>5430</v>
      </c>
      <c r="E571" s="1989">
        <v>19.18</v>
      </c>
      <c r="F571" s="38">
        <f t="shared" si="8"/>
        <v>1559.7413832</v>
      </c>
      <c r="G571" s="459"/>
    </row>
    <row r="572" spans="1:7" outlineLevel="1" x14ac:dyDescent="0.2">
      <c r="A572" s="17"/>
      <c r="B572" s="75"/>
      <c r="C572" s="1989" t="s">
        <v>207</v>
      </c>
      <c r="D572" s="1989" t="s">
        <v>5431</v>
      </c>
      <c r="E572" s="1989">
        <v>19.32</v>
      </c>
      <c r="F572" s="38">
        <f t="shared" si="8"/>
        <v>1571.1263568000002</v>
      </c>
      <c r="G572" s="459"/>
    </row>
    <row r="573" spans="1:7" outlineLevel="1" x14ac:dyDescent="0.2">
      <c r="A573" s="17"/>
      <c r="B573" s="75"/>
      <c r="C573" s="1989" t="s">
        <v>232</v>
      </c>
      <c r="D573" s="1989" t="s">
        <v>7465</v>
      </c>
      <c r="E573" s="1989">
        <v>1.48</v>
      </c>
      <c r="F573" s="38">
        <f t="shared" si="8"/>
        <v>120.35543520000002</v>
      </c>
      <c r="G573" s="459"/>
    </row>
    <row r="574" spans="1:7" outlineLevel="1" x14ac:dyDescent="0.2">
      <c r="A574" s="17"/>
      <c r="B574" s="75"/>
      <c r="C574" s="1989" t="s">
        <v>1659</v>
      </c>
      <c r="D574" s="1989" t="s">
        <v>7466</v>
      </c>
      <c r="E574" s="1989">
        <v>1.48</v>
      </c>
      <c r="F574" s="38">
        <f t="shared" si="8"/>
        <v>120.35543520000002</v>
      </c>
      <c r="G574" s="459"/>
    </row>
    <row r="575" spans="1:7" outlineLevel="1" x14ac:dyDescent="0.2">
      <c r="A575" s="17"/>
      <c r="B575" s="75"/>
      <c r="C575" s="1989" t="s">
        <v>238</v>
      </c>
      <c r="D575" s="1989" t="s">
        <v>2506</v>
      </c>
      <c r="E575" s="1989">
        <v>0.13</v>
      </c>
      <c r="F575" s="38">
        <f t="shared" si="8"/>
        <v>10.571761200000001</v>
      </c>
      <c r="G575" s="459"/>
    </row>
    <row r="576" spans="1:7" outlineLevel="1" x14ac:dyDescent="0.2">
      <c r="A576" s="17"/>
      <c r="B576" s="75"/>
      <c r="C576" s="1989" t="s">
        <v>61</v>
      </c>
      <c r="D576" s="1989" t="s">
        <v>5432</v>
      </c>
      <c r="E576" s="1989">
        <v>6.53</v>
      </c>
      <c r="F576" s="38">
        <f t="shared" si="8"/>
        <v>531.02769720000003</v>
      </c>
      <c r="G576" s="459"/>
    </row>
    <row r="577" spans="1:7" outlineLevel="1" x14ac:dyDescent="0.2">
      <c r="A577" s="17"/>
      <c r="B577" s="75"/>
      <c r="C577" s="1989" t="s">
        <v>63</v>
      </c>
      <c r="D577" s="1989" t="s">
        <v>5433</v>
      </c>
      <c r="E577" s="1989">
        <v>6.53</v>
      </c>
      <c r="F577" s="38">
        <f t="shared" si="8"/>
        <v>531.02769720000003</v>
      </c>
      <c r="G577" s="459"/>
    </row>
    <row r="578" spans="1:7" outlineLevel="1" x14ac:dyDescent="0.2">
      <c r="A578" s="17"/>
      <c r="B578" s="75"/>
      <c r="C578" s="1989" t="s">
        <v>4535</v>
      </c>
      <c r="D578" s="1989" t="s">
        <v>5434</v>
      </c>
      <c r="E578" s="1989">
        <v>10.07</v>
      </c>
      <c r="F578" s="38">
        <f t="shared" si="8"/>
        <v>818.90488679999999</v>
      </c>
      <c r="G578" s="459"/>
    </row>
    <row r="579" spans="1:7" outlineLevel="1" x14ac:dyDescent="0.2">
      <c r="A579" s="17"/>
      <c r="B579" s="75"/>
      <c r="C579" s="1989" t="s">
        <v>4536</v>
      </c>
      <c r="D579" s="1989" t="s">
        <v>5435</v>
      </c>
      <c r="E579" s="1989">
        <v>10.07</v>
      </c>
      <c r="F579" s="38">
        <f t="shared" si="8"/>
        <v>818.90488679999999</v>
      </c>
      <c r="G579" s="459"/>
    </row>
    <row r="580" spans="1:7" outlineLevel="1" x14ac:dyDescent="0.2">
      <c r="A580" s="17"/>
      <c r="B580" s="75"/>
      <c r="C580" s="1989" t="s">
        <v>4537</v>
      </c>
      <c r="D580" s="1989" t="s">
        <v>5436</v>
      </c>
      <c r="E580" s="1989">
        <v>10.14</v>
      </c>
      <c r="F580" s="38">
        <f t="shared" si="8"/>
        <v>824.59737360000008</v>
      </c>
      <c r="G580" s="459"/>
    </row>
    <row r="581" spans="1:7" outlineLevel="1" x14ac:dyDescent="0.2">
      <c r="A581" s="17"/>
      <c r="B581" s="75"/>
      <c r="C581" s="1989" t="s">
        <v>4538</v>
      </c>
      <c r="D581" s="1989" t="s">
        <v>5437</v>
      </c>
      <c r="E581" s="1989">
        <v>10.14</v>
      </c>
      <c r="F581" s="38">
        <f t="shared" si="8"/>
        <v>824.59737360000008</v>
      </c>
      <c r="G581" s="459"/>
    </row>
    <row r="582" spans="1:7" outlineLevel="1" x14ac:dyDescent="0.2">
      <c r="A582" s="17"/>
      <c r="B582" s="75"/>
      <c r="C582" s="1989" t="s">
        <v>2518</v>
      </c>
      <c r="D582" s="1989" t="s">
        <v>2519</v>
      </c>
      <c r="E582" s="1989">
        <v>2.89</v>
      </c>
      <c r="F582" s="38">
        <f t="shared" si="8"/>
        <v>235.01838360000002</v>
      </c>
      <c r="G582" s="459"/>
    </row>
    <row r="583" spans="1:7" outlineLevel="1" x14ac:dyDescent="0.2">
      <c r="A583" s="17"/>
      <c r="B583" s="75"/>
      <c r="C583" s="1989" t="s">
        <v>2520</v>
      </c>
      <c r="D583" s="1989" t="s">
        <v>2521</v>
      </c>
      <c r="E583" s="1989">
        <v>5.76</v>
      </c>
      <c r="F583" s="38">
        <f t="shared" si="8"/>
        <v>468.41034240000005</v>
      </c>
      <c r="G583" s="459"/>
    </row>
    <row r="584" spans="1:7" outlineLevel="1" x14ac:dyDescent="0.2">
      <c r="A584" s="17"/>
      <c r="B584" s="75"/>
      <c r="C584" s="1989" t="s">
        <v>235</v>
      </c>
      <c r="D584" s="1989" t="s">
        <v>5438</v>
      </c>
      <c r="E584" s="1989">
        <v>0.54</v>
      </c>
      <c r="F584" s="38">
        <f t="shared" si="8"/>
        <v>43.913469600000006</v>
      </c>
      <c r="G584" s="459"/>
    </row>
    <row r="585" spans="1:7" outlineLevel="1" x14ac:dyDescent="0.2">
      <c r="A585" s="17"/>
      <c r="B585" s="75"/>
      <c r="C585" s="1989" t="s">
        <v>236</v>
      </c>
      <c r="D585" s="1989" t="s">
        <v>237</v>
      </c>
      <c r="E585" s="1989">
        <v>0.54</v>
      </c>
      <c r="F585" s="38">
        <f t="shared" si="8"/>
        <v>43.913469600000006</v>
      </c>
      <c r="G585" s="459"/>
    </row>
    <row r="586" spans="1:7" outlineLevel="1" x14ac:dyDescent="0.2">
      <c r="A586" s="17"/>
      <c r="B586" s="75"/>
      <c r="C586" s="1989" t="s">
        <v>1607</v>
      </c>
      <c r="D586" s="1989" t="s">
        <v>5439</v>
      </c>
      <c r="E586" s="1989">
        <v>28.4</v>
      </c>
      <c r="F586" s="38">
        <f t="shared" si="8"/>
        <v>2309.523216</v>
      </c>
      <c r="G586" s="459"/>
    </row>
    <row r="587" spans="1:7" outlineLevel="1" x14ac:dyDescent="0.2">
      <c r="A587" s="17"/>
      <c r="B587" s="75"/>
      <c r="C587" s="1989" t="s">
        <v>1609</v>
      </c>
      <c r="D587" s="1989" t="s">
        <v>5440</v>
      </c>
      <c r="E587" s="1989">
        <v>29.3</v>
      </c>
      <c r="F587" s="38">
        <f t="shared" si="8"/>
        <v>2382.7123320000001</v>
      </c>
      <c r="G587" s="459"/>
    </row>
    <row r="588" spans="1:7" outlineLevel="1" x14ac:dyDescent="0.2">
      <c r="A588" s="17"/>
      <c r="B588" s="75"/>
      <c r="C588" s="1989" t="s">
        <v>292</v>
      </c>
      <c r="D588" s="1989" t="s">
        <v>293</v>
      </c>
      <c r="E588" s="1989">
        <v>3.52</v>
      </c>
      <c r="F588" s="38">
        <f t="shared" si="8"/>
        <v>286.25076480000001</v>
      </c>
      <c r="G588" s="459"/>
    </row>
    <row r="589" spans="1:7" outlineLevel="1" x14ac:dyDescent="0.2">
      <c r="A589" s="17"/>
      <c r="B589" s="75"/>
      <c r="C589" s="1989" t="s">
        <v>288</v>
      </c>
      <c r="D589" s="1989" t="s">
        <v>5441</v>
      </c>
      <c r="E589" s="1989">
        <v>7.14</v>
      </c>
      <c r="F589" s="38">
        <f t="shared" si="8"/>
        <v>580.6336536</v>
      </c>
      <c r="G589" s="459"/>
    </row>
    <row r="590" spans="1:7" outlineLevel="1" x14ac:dyDescent="0.2">
      <c r="A590" s="17"/>
      <c r="B590" s="75"/>
      <c r="C590" s="1989" t="s">
        <v>1863</v>
      </c>
      <c r="D590" s="1989" t="s">
        <v>2527</v>
      </c>
      <c r="E590" s="1989">
        <v>10.58</v>
      </c>
      <c r="F590" s="38">
        <f t="shared" si="8"/>
        <v>860.37871920000009</v>
      </c>
      <c r="G590" s="459"/>
    </row>
    <row r="591" spans="1:7" outlineLevel="1" x14ac:dyDescent="0.2">
      <c r="A591" s="17"/>
      <c r="B591" s="75"/>
      <c r="C591" s="1989" t="s">
        <v>290</v>
      </c>
      <c r="D591" s="1989" t="s">
        <v>5442</v>
      </c>
      <c r="E591" s="1989">
        <v>10.24</v>
      </c>
      <c r="F591" s="38">
        <f t="shared" si="8"/>
        <v>832.72949760000006</v>
      </c>
      <c r="G591" s="459"/>
    </row>
    <row r="592" spans="1:7" outlineLevel="1" x14ac:dyDescent="0.2">
      <c r="A592" s="17"/>
      <c r="B592" s="75"/>
      <c r="C592" s="1989" t="s">
        <v>865</v>
      </c>
      <c r="D592" s="1989" t="s">
        <v>866</v>
      </c>
      <c r="E592" s="1989">
        <v>2.57</v>
      </c>
      <c r="F592" s="38">
        <f t="shared" si="8"/>
        <v>208.99558679999998</v>
      </c>
      <c r="G592" s="459"/>
    </row>
    <row r="593" spans="1:7" outlineLevel="1" x14ac:dyDescent="0.2">
      <c r="A593" s="17"/>
      <c r="B593" s="75"/>
      <c r="C593" s="1989" t="s">
        <v>2890</v>
      </c>
      <c r="D593" s="1989" t="s">
        <v>2891</v>
      </c>
      <c r="E593" s="1989">
        <v>3.02</v>
      </c>
      <c r="F593" s="38">
        <f t="shared" si="8"/>
        <v>245.59014479999999</v>
      </c>
      <c r="G593" s="459"/>
    </row>
    <row r="594" spans="1:7" outlineLevel="1" x14ac:dyDescent="0.2">
      <c r="A594" s="17"/>
      <c r="B594" s="75"/>
      <c r="C594" s="1989" t="s">
        <v>233</v>
      </c>
      <c r="D594" s="1989" t="s">
        <v>7467</v>
      </c>
      <c r="E594" s="1989">
        <v>1.48</v>
      </c>
      <c r="F594" s="38">
        <f t="shared" si="8"/>
        <v>120.35543520000002</v>
      </c>
      <c r="G594" s="459"/>
    </row>
    <row r="595" spans="1:7" outlineLevel="1" x14ac:dyDescent="0.2">
      <c r="A595" s="17"/>
      <c r="B595" s="75"/>
      <c r="C595" s="1989" t="s">
        <v>1083</v>
      </c>
      <c r="D595" s="1989" t="s">
        <v>1084</v>
      </c>
      <c r="E595" s="1989">
        <v>2.42</v>
      </c>
      <c r="F595" s="38">
        <f t="shared" si="8"/>
        <v>196.79740080000002</v>
      </c>
      <c r="G595" s="459"/>
    </row>
    <row r="596" spans="1:7" outlineLevel="1" x14ac:dyDescent="0.2">
      <c r="A596" s="17"/>
      <c r="B596" s="75"/>
      <c r="C596" s="1989" t="s">
        <v>3207</v>
      </c>
      <c r="D596" s="1989" t="s">
        <v>7468</v>
      </c>
      <c r="E596" s="1989">
        <v>2.87</v>
      </c>
      <c r="F596" s="38">
        <f t="shared" si="8"/>
        <v>233.39195880000003</v>
      </c>
      <c r="G596" s="459"/>
    </row>
    <row r="597" spans="1:7" outlineLevel="1" x14ac:dyDescent="0.2">
      <c r="A597" s="17"/>
      <c r="B597" s="75"/>
      <c r="C597" s="1989" t="s">
        <v>239</v>
      </c>
      <c r="D597" s="1989" t="s">
        <v>2530</v>
      </c>
      <c r="E597" s="1989">
        <v>0.11</v>
      </c>
      <c r="F597" s="38">
        <f t="shared" si="8"/>
        <v>8.9453364000000004</v>
      </c>
      <c r="G597" s="459"/>
    </row>
    <row r="598" spans="1:7" outlineLevel="1" x14ac:dyDescent="0.2">
      <c r="A598" s="17"/>
      <c r="B598" s="75"/>
      <c r="C598" s="1989" t="s">
        <v>1088</v>
      </c>
      <c r="D598" s="1989" t="s">
        <v>1089</v>
      </c>
      <c r="E598" s="1989">
        <v>17.11</v>
      </c>
      <c r="F598" s="38">
        <f t="shared" si="8"/>
        <v>1391.4064164000001</v>
      </c>
      <c r="G598" s="459"/>
    </row>
    <row r="599" spans="1:7" outlineLevel="1" x14ac:dyDescent="0.2">
      <c r="A599" s="17"/>
      <c r="B599" s="75"/>
      <c r="C599" s="1989" t="s">
        <v>800</v>
      </c>
      <c r="D599" s="1989" t="s">
        <v>5443</v>
      </c>
      <c r="E599" s="1989">
        <v>1.69</v>
      </c>
      <c r="F599" s="38">
        <f t="shared" si="8"/>
        <v>137.43289560000002</v>
      </c>
      <c r="G599" s="459"/>
    </row>
    <row r="600" spans="1:7" outlineLevel="1" x14ac:dyDescent="0.2">
      <c r="A600" s="17"/>
      <c r="B600" s="75"/>
      <c r="C600" s="1989" t="s">
        <v>2533</v>
      </c>
      <c r="D600" s="1989" t="s">
        <v>7469</v>
      </c>
      <c r="E600" s="1989">
        <v>6.74</v>
      </c>
      <c r="F600" s="38">
        <f t="shared" si="8"/>
        <v>548.10515759999998</v>
      </c>
      <c r="G600" s="459"/>
    </row>
    <row r="601" spans="1:7" outlineLevel="1" x14ac:dyDescent="0.2">
      <c r="A601" s="17"/>
      <c r="B601" s="75"/>
      <c r="C601" s="1989" t="s">
        <v>2534</v>
      </c>
      <c r="D601" s="1989" t="s">
        <v>7470</v>
      </c>
      <c r="E601" s="1989">
        <v>6.74</v>
      </c>
      <c r="F601" s="38">
        <f t="shared" si="8"/>
        <v>548.10515759999998</v>
      </c>
      <c r="G601" s="459"/>
    </row>
    <row r="602" spans="1:7" outlineLevel="1" x14ac:dyDescent="0.2">
      <c r="A602" s="17"/>
      <c r="B602" s="75"/>
      <c r="C602" s="1989" t="s">
        <v>575</v>
      </c>
      <c r="D602" s="1989" t="s">
        <v>5444</v>
      </c>
      <c r="E602" s="1989">
        <v>19.13</v>
      </c>
      <c r="F602" s="38">
        <f t="shared" si="8"/>
        <v>1555.6753212000001</v>
      </c>
      <c r="G602" s="459"/>
    </row>
    <row r="603" spans="1:7" outlineLevel="1" x14ac:dyDescent="0.2">
      <c r="A603" s="17"/>
      <c r="B603" s="75"/>
      <c r="C603" s="1989" t="s">
        <v>792</v>
      </c>
      <c r="D603" s="1989" t="s">
        <v>5445</v>
      </c>
      <c r="E603" s="1989">
        <v>26.4</v>
      </c>
      <c r="F603" s="38">
        <f t="shared" si="8"/>
        <v>2146.8807360000001</v>
      </c>
      <c r="G603" s="459"/>
    </row>
    <row r="604" spans="1:7" outlineLevel="1" x14ac:dyDescent="0.2">
      <c r="A604" s="17"/>
      <c r="B604" s="75"/>
      <c r="C604" s="1989" t="s">
        <v>577</v>
      </c>
      <c r="D604" s="1989" t="s">
        <v>5446</v>
      </c>
      <c r="E604" s="1989">
        <v>31.06</v>
      </c>
      <c r="F604" s="38">
        <f t="shared" si="8"/>
        <v>2525.8377144000001</v>
      </c>
      <c r="G604" s="459"/>
    </row>
    <row r="605" spans="1:7" outlineLevel="1" x14ac:dyDescent="0.2">
      <c r="A605" s="17"/>
      <c r="B605" s="75"/>
      <c r="C605" s="1989" t="s">
        <v>234</v>
      </c>
      <c r="D605" s="1989" t="s">
        <v>5447</v>
      </c>
      <c r="E605" s="1989">
        <v>49.31</v>
      </c>
      <c r="F605" s="38">
        <f t="shared" si="8"/>
        <v>4009.9503444000002</v>
      </c>
      <c r="G605" s="459"/>
    </row>
    <row r="606" spans="1:7" outlineLevel="1" x14ac:dyDescent="0.2">
      <c r="A606" s="17"/>
      <c r="B606" s="75"/>
      <c r="C606" s="1989" t="s">
        <v>412</v>
      </c>
      <c r="D606" s="1989" t="s">
        <v>5448</v>
      </c>
      <c r="E606" s="1989">
        <v>14.36</v>
      </c>
      <c r="F606" s="38">
        <f t="shared" si="8"/>
        <v>1167.7730064</v>
      </c>
      <c r="G606" s="459"/>
    </row>
    <row r="607" spans="1:7" outlineLevel="1" x14ac:dyDescent="0.2">
      <c r="A607" s="17"/>
      <c r="B607" s="75"/>
      <c r="C607" s="1989" t="s">
        <v>4539</v>
      </c>
      <c r="D607" s="1989" t="s">
        <v>5449</v>
      </c>
      <c r="E607" s="1989">
        <v>22.69</v>
      </c>
      <c r="F607" s="38">
        <f t="shared" ref="F607:F670" si="9">E607*$G$4*$J$4</f>
        <v>1845.1789356000002</v>
      </c>
      <c r="G607" s="459"/>
    </row>
    <row r="608" spans="1:7" outlineLevel="1" x14ac:dyDescent="0.2">
      <c r="A608" s="17"/>
      <c r="B608" s="75"/>
      <c r="C608" s="1989" t="s">
        <v>6685</v>
      </c>
      <c r="D608" s="1989" t="s">
        <v>5450</v>
      </c>
      <c r="E608" s="1989">
        <v>0</v>
      </c>
      <c r="F608" s="38">
        <f t="shared" si="9"/>
        <v>0</v>
      </c>
      <c r="G608" s="459"/>
    </row>
    <row r="609" spans="1:7" outlineLevel="1" x14ac:dyDescent="0.2">
      <c r="A609" s="17"/>
      <c r="B609" s="75"/>
      <c r="C609" s="1989" t="s">
        <v>1070</v>
      </c>
      <c r="D609" s="1989" t="s">
        <v>5451</v>
      </c>
      <c r="E609" s="1989">
        <v>18.66</v>
      </c>
      <c r="F609" s="38">
        <f t="shared" si="9"/>
        <v>1517.4543384000001</v>
      </c>
      <c r="G609" s="459"/>
    </row>
    <row r="610" spans="1:7" outlineLevel="1" x14ac:dyDescent="0.2">
      <c r="A610" s="17"/>
      <c r="B610" s="75"/>
      <c r="C610" s="1989" t="s">
        <v>717</v>
      </c>
      <c r="D610" s="1989" t="s">
        <v>5452</v>
      </c>
      <c r="E610" s="1989">
        <v>18.420000000000002</v>
      </c>
      <c r="F610" s="38">
        <f t="shared" si="9"/>
        <v>1497.9372408000004</v>
      </c>
      <c r="G610" s="459"/>
    </row>
    <row r="611" spans="1:7" outlineLevel="1" x14ac:dyDescent="0.2">
      <c r="A611" s="17"/>
      <c r="B611" s="75"/>
      <c r="C611" s="1989" t="s">
        <v>578</v>
      </c>
      <c r="D611" s="1989" t="s">
        <v>5453</v>
      </c>
      <c r="E611" s="1989">
        <v>13.59</v>
      </c>
      <c r="F611" s="38">
        <f t="shared" si="9"/>
        <v>1105.1556516000001</v>
      </c>
      <c r="G611" s="459"/>
    </row>
    <row r="612" spans="1:7" outlineLevel="1" x14ac:dyDescent="0.2">
      <c r="A612" s="17"/>
      <c r="B612" s="75"/>
      <c r="C612" s="1989" t="s">
        <v>2542</v>
      </c>
      <c r="D612" s="1989" t="s">
        <v>7471</v>
      </c>
      <c r="E612" s="1989">
        <v>0</v>
      </c>
      <c r="F612" s="38">
        <f t="shared" si="9"/>
        <v>0</v>
      </c>
      <c r="G612" s="459"/>
    </row>
    <row r="613" spans="1:7" outlineLevel="1" x14ac:dyDescent="0.2">
      <c r="A613" s="17"/>
      <c r="B613" s="75"/>
      <c r="C613" s="1989" t="s">
        <v>3208</v>
      </c>
      <c r="D613" s="1989" t="s">
        <v>7472</v>
      </c>
      <c r="E613" s="1989">
        <v>0</v>
      </c>
      <c r="F613" s="38">
        <f t="shared" si="9"/>
        <v>0</v>
      </c>
      <c r="G613" s="459"/>
    </row>
    <row r="614" spans="1:7" outlineLevel="1" x14ac:dyDescent="0.2">
      <c r="A614" s="17"/>
      <c r="B614" s="75"/>
      <c r="C614" s="1989" t="s">
        <v>2545</v>
      </c>
      <c r="D614" s="1989" t="s">
        <v>7473</v>
      </c>
      <c r="E614" s="1989">
        <v>0</v>
      </c>
      <c r="F614" s="38">
        <f t="shared" si="9"/>
        <v>0</v>
      </c>
      <c r="G614" s="459"/>
    </row>
    <row r="615" spans="1:7" outlineLevel="1" x14ac:dyDescent="0.2">
      <c r="A615" s="17"/>
      <c r="B615" s="75"/>
      <c r="C615" s="1989" t="s">
        <v>2892</v>
      </c>
      <c r="D615" s="1989" t="s">
        <v>7474</v>
      </c>
      <c r="E615" s="1989">
        <v>21.9</v>
      </c>
      <c r="F615" s="38">
        <f t="shared" si="9"/>
        <v>1780.935156</v>
      </c>
      <c r="G615" s="459"/>
    </row>
    <row r="616" spans="1:7" outlineLevel="1" x14ac:dyDescent="0.2">
      <c r="A616" s="17"/>
      <c r="B616" s="75"/>
      <c r="C616" s="1989" t="s">
        <v>2893</v>
      </c>
      <c r="D616" s="1989" t="s">
        <v>7475</v>
      </c>
      <c r="E616" s="1989">
        <v>22.96</v>
      </c>
      <c r="F616" s="38">
        <f t="shared" si="9"/>
        <v>1867.1356704000002</v>
      </c>
      <c r="G616" s="459"/>
    </row>
    <row r="617" spans="1:7" outlineLevel="1" x14ac:dyDescent="0.2">
      <c r="A617" s="17"/>
      <c r="B617" s="75"/>
      <c r="C617" s="1989" t="s">
        <v>340</v>
      </c>
      <c r="D617" s="1989" t="s">
        <v>7476</v>
      </c>
      <c r="E617" s="1989">
        <v>16.2</v>
      </c>
      <c r="F617" s="38">
        <f t="shared" si="9"/>
        <v>1317.404088</v>
      </c>
      <c r="G617" s="459"/>
    </row>
    <row r="618" spans="1:7" outlineLevel="1" x14ac:dyDescent="0.2">
      <c r="A618" s="17"/>
      <c r="B618" s="75"/>
      <c r="C618" s="1989" t="s">
        <v>490</v>
      </c>
      <c r="D618" s="1989" t="s">
        <v>7477</v>
      </c>
      <c r="E618" s="1989">
        <v>16.34</v>
      </c>
      <c r="F618" s="38">
        <f t="shared" si="9"/>
        <v>1328.7890616000002</v>
      </c>
      <c r="G618" s="459"/>
    </row>
    <row r="619" spans="1:7" outlineLevel="1" x14ac:dyDescent="0.2">
      <c r="A619" s="17"/>
      <c r="B619" s="75"/>
      <c r="C619" s="1989" t="s">
        <v>719</v>
      </c>
      <c r="D619" s="1989" t="s">
        <v>5454</v>
      </c>
      <c r="E619" s="1989">
        <v>29.63</v>
      </c>
      <c r="F619" s="38">
        <f t="shared" si="9"/>
        <v>2409.5483411999999</v>
      </c>
      <c r="G619" s="459"/>
    </row>
    <row r="620" spans="1:7" outlineLevel="1" x14ac:dyDescent="0.2">
      <c r="A620" s="17"/>
      <c r="B620" s="75"/>
      <c r="C620" s="1989" t="s">
        <v>1072</v>
      </c>
      <c r="D620" s="1989" t="s">
        <v>5455</v>
      </c>
      <c r="E620" s="1989">
        <v>30.1</v>
      </c>
      <c r="F620" s="38">
        <f t="shared" si="9"/>
        <v>2447.7693239999999</v>
      </c>
      <c r="G620" s="459"/>
    </row>
    <row r="621" spans="1:7" outlineLevel="1" x14ac:dyDescent="0.2">
      <c r="A621" s="17"/>
      <c r="B621" s="75"/>
      <c r="C621" s="1989" t="s">
        <v>1884</v>
      </c>
      <c r="D621" s="1989" t="s">
        <v>5456</v>
      </c>
      <c r="E621" s="1989">
        <v>82.16</v>
      </c>
      <c r="F621" s="38">
        <f t="shared" si="9"/>
        <v>6681.3530784000004</v>
      </c>
      <c r="G621" s="459"/>
    </row>
    <row r="622" spans="1:7" outlineLevel="1" x14ac:dyDescent="0.2">
      <c r="A622" s="17"/>
      <c r="B622" s="75"/>
      <c r="C622" s="1989" t="s">
        <v>933</v>
      </c>
      <c r="D622" s="1989" t="s">
        <v>2549</v>
      </c>
      <c r="E622" s="1989">
        <v>6.89</v>
      </c>
      <c r="F622" s="38">
        <f t="shared" si="9"/>
        <v>560.30334359999995</v>
      </c>
      <c r="G622" s="459"/>
    </row>
    <row r="623" spans="1:7" outlineLevel="1" x14ac:dyDescent="0.2">
      <c r="A623" s="17"/>
      <c r="B623" s="75"/>
      <c r="C623" s="1989" t="s">
        <v>1023</v>
      </c>
      <c r="D623" s="1989" t="s">
        <v>1024</v>
      </c>
      <c r="E623" s="1989">
        <v>19.420000000000002</v>
      </c>
      <c r="F623" s="38">
        <f t="shared" si="9"/>
        <v>1579.2584808000001</v>
      </c>
      <c r="G623" s="459"/>
    </row>
    <row r="624" spans="1:7" outlineLevel="1" x14ac:dyDescent="0.2">
      <c r="A624" s="17"/>
      <c r="B624" s="75"/>
      <c r="C624" s="1989" t="s">
        <v>2550</v>
      </c>
      <c r="D624" s="1989" t="s">
        <v>5457</v>
      </c>
      <c r="E624" s="1989">
        <v>15.1</v>
      </c>
      <c r="F624" s="38">
        <f t="shared" si="9"/>
        <v>1227.9507239999998</v>
      </c>
      <c r="G624" s="459"/>
    </row>
    <row r="625" spans="1:7" outlineLevel="1" x14ac:dyDescent="0.2">
      <c r="A625" s="17"/>
      <c r="B625" s="75"/>
      <c r="C625" s="1989" t="s">
        <v>803</v>
      </c>
      <c r="D625" s="1989" t="s">
        <v>1890</v>
      </c>
      <c r="E625" s="1989">
        <v>0.61</v>
      </c>
      <c r="F625" s="38">
        <f t="shared" si="9"/>
        <v>49.605956400000004</v>
      </c>
      <c r="G625" s="459"/>
    </row>
    <row r="626" spans="1:7" outlineLevel="1" x14ac:dyDescent="0.2">
      <c r="A626" s="17"/>
      <c r="B626" s="75"/>
      <c r="C626" s="1989" t="s">
        <v>1289</v>
      </c>
      <c r="D626" s="1989" t="s">
        <v>1290</v>
      </c>
      <c r="E626" s="1989">
        <v>14.6</v>
      </c>
      <c r="F626" s="38">
        <f t="shared" si="9"/>
        <v>1187.2901040000002</v>
      </c>
      <c r="G626" s="459"/>
    </row>
    <row r="627" spans="1:7" outlineLevel="1" x14ac:dyDescent="0.2">
      <c r="A627" s="17"/>
      <c r="B627" s="75"/>
      <c r="C627" s="1989" t="s">
        <v>1291</v>
      </c>
      <c r="D627" s="1989" t="s">
        <v>864</v>
      </c>
      <c r="E627" s="1989">
        <v>15.43</v>
      </c>
      <c r="F627" s="38">
        <f t="shared" si="9"/>
        <v>1254.7867332000001</v>
      </c>
      <c r="G627" s="459"/>
    </row>
    <row r="628" spans="1:7" outlineLevel="1" x14ac:dyDescent="0.2">
      <c r="A628" s="17"/>
      <c r="B628" s="75"/>
      <c r="C628" s="1989" t="s">
        <v>1286</v>
      </c>
      <c r="D628" s="1989" t="s">
        <v>1893</v>
      </c>
      <c r="E628" s="1989">
        <v>10.73</v>
      </c>
      <c r="F628" s="38">
        <f t="shared" si="9"/>
        <v>872.57690520000006</v>
      </c>
      <c r="G628" s="459"/>
    </row>
    <row r="629" spans="1:7" outlineLevel="1" x14ac:dyDescent="0.2">
      <c r="A629" s="17"/>
      <c r="B629" s="75"/>
      <c r="C629" s="1989" t="s">
        <v>2553</v>
      </c>
      <c r="D629" s="1989" t="s">
        <v>5458</v>
      </c>
      <c r="E629" s="1989">
        <v>0</v>
      </c>
      <c r="F629" s="38">
        <f t="shared" si="9"/>
        <v>0</v>
      </c>
      <c r="G629" s="459"/>
    </row>
    <row r="630" spans="1:7" outlineLevel="1" x14ac:dyDescent="0.2">
      <c r="A630" s="17"/>
      <c r="B630" s="75"/>
      <c r="C630" s="1989" t="s">
        <v>1123</v>
      </c>
      <c r="D630" s="1989" t="s">
        <v>5459</v>
      </c>
      <c r="E630" s="1989">
        <v>9.8800000000000008</v>
      </c>
      <c r="F630" s="38">
        <f t="shared" si="9"/>
        <v>803.45385120000003</v>
      </c>
      <c r="G630" s="459"/>
    </row>
    <row r="631" spans="1:7" outlineLevel="1" x14ac:dyDescent="0.2">
      <c r="A631" s="17"/>
      <c r="B631" s="75"/>
      <c r="C631" s="1989" t="s">
        <v>2094</v>
      </c>
      <c r="D631" s="1989" t="s">
        <v>5460</v>
      </c>
      <c r="E631" s="1989">
        <v>5.68</v>
      </c>
      <c r="F631" s="38">
        <f t="shared" si="9"/>
        <v>461.90464320000001</v>
      </c>
      <c r="G631" s="459"/>
    </row>
    <row r="632" spans="1:7" outlineLevel="1" x14ac:dyDescent="0.2">
      <c r="A632" s="17"/>
      <c r="B632" s="75"/>
      <c r="C632" s="1989" t="s">
        <v>1016</v>
      </c>
      <c r="D632" s="1989" t="s">
        <v>5461</v>
      </c>
      <c r="E632" s="1989">
        <v>0.83</v>
      </c>
      <c r="F632" s="38">
        <f t="shared" si="9"/>
        <v>67.496629200000001</v>
      </c>
      <c r="G632" s="459"/>
    </row>
    <row r="633" spans="1:7" outlineLevel="1" x14ac:dyDescent="0.2">
      <c r="A633" s="17"/>
      <c r="B633" s="75"/>
      <c r="C633" s="1989" t="s">
        <v>1015</v>
      </c>
      <c r="D633" s="1989" t="s">
        <v>1896</v>
      </c>
      <c r="E633" s="1989">
        <v>0.83</v>
      </c>
      <c r="F633" s="38">
        <f t="shared" si="9"/>
        <v>67.496629200000001</v>
      </c>
      <c r="G633" s="459"/>
    </row>
    <row r="634" spans="1:7" outlineLevel="1" x14ac:dyDescent="0.2">
      <c r="A634" s="17"/>
      <c r="B634" s="75"/>
      <c r="C634" s="1989" t="s">
        <v>1288</v>
      </c>
      <c r="D634" s="1989" t="s">
        <v>5462</v>
      </c>
      <c r="E634" s="1989">
        <v>4.1100000000000003</v>
      </c>
      <c r="F634" s="38">
        <f t="shared" si="9"/>
        <v>334.23029640000004</v>
      </c>
      <c r="G634" s="459"/>
    </row>
    <row r="635" spans="1:7" outlineLevel="1" x14ac:dyDescent="0.2">
      <c r="A635" s="17"/>
      <c r="B635" s="75"/>
      <c r="C635" s="1989" t="s">
        <v>1285</v>
      </c>
      <c r="D635" s="1989" t="s">
        <v>5463</v>
      </c>
      <c r="E635" s="1989">
        <v>5.43</v>
      </c>
      <c r="F635" s="38">
        <f t="shared" si="9"/>
        <v>441.57433319999996</v>
      </c>
      <c r="G635" s="459"/>
    </row>
    <row r="636" spans="1:7" outlineLevel="1" x14ac:dyDescent="0.2">
      <c r="A636" s="17"/>
      <c r="B636" s="75"/>
      <c r="C636" s="1989" t="s">
        <v>240</v>
      </c>
      <c r="D636" s="1989" t="s">
        <v>5464</v>
      </c>
      <c r="E636" s="1989">
        <v>5.43</v>
      </c>
      <c r="F636" s="38">
        <f t="shared" si="9"/>
        <v>441.57433319999996</v>
      </c>
      <c r="G636" s="459"/>
    </row>
    <row r="637" spans="1:7" outlineLevel="1" x14ac:dyDescent="0.2">
      <c r="A637" s="17"/>
      <c r="B637" s="75"/>
      <c r="C637" s="1989" t="s">
        <v>1287</v>
      </c>
      <c r="D637" s="1989" t="s">
        <v>1899</v>
      </c>
      <c r="E637" s="1989">
        <v>4.1100000000000003</v>
      </c>
      <c r="F637" s="38">
        <f t="shared" si="9"/>
        <v>334.23029640000004</v>
      </c>
      <c r="G637" s="459"/>
    </row>
    <row r="638" spans="1:7" outlineLevel="1" x14ac:dyDescent="0.2">
      <c r="A638" s="17"/>
      <c r="B638" s="75"/>
      <c r="C638" s="1989" t="s">
        <v>2568</v>
      </c>
      <c r="D638" s="1989" t="s">
        <v>2569</v>
      </c>
      <c r="E638" s="1989">
        <v>3.73</v>
      </c>
      <c r="F638" s="38">
        <f t="shared" si="9"/>
        <v>303.32822520000002</v>
      </c>
      <c r="G638" s="459"/>
    </row>
    <row r="639" spans="1:7" outlineLevel="1" x14ac:dyDescent="0.2">
      <c r="A639" s="17"/>
      <c r="B639" s="75"/>
      <c r="C639" s="1989" t="s">
        <v>1022</v>
      </c>
      <c r="D639" s="1989" t="s">
        <v>7478</v>
      </c>
      <c r="E639" s="1989">
        <v>0.11</v>
      </c>
      <c r="F639" s="38">
        <f t="shared" si="9"/>
        <v>8.9453364000000004</v>
      </c>
      <c r="G639" s="459"/>
    </row>
    <row r="640" spans="1:7" outlineLevel="1" x14ac:dyDescent="0.2">
      <c r="A640" s="17"/>
      <c r="B640" s="75"/>
      <c r="C640" s="1989" t="s">
        <v>3870</v>
      </c>
      <c r="D640" s="1989" t="s">
        <v>5465</v>
      </c>
      <c r="E640" s="1989">
        <v>16.41</v>
      </c>
      <c r="F640" s="38">
        <f t="shared" si="9"/>
        <v>1334.4815484000001</v>
      </c>
      <c r="G640" s="459"/>
    </row>
    <row r="641" spans="1:7" outlineLevel="1" x14ac:dyDescent="0.2">
      <c r="A641" s="17"/>
      <c r="B641" s="75"/>
      <c r="C641" s="1989" t="s">
        <v>1240</v>
      </c>
      <c r="D641" s="1989" t="s">
        <v>7479</v>
      </c>
      <c r="E641" s="1989">
        <v>9.76</v>
      </c>
      <c r="F641" s="38">
        <f t="shared" si="9"/>
        <v>793.69530240000006</v>
      </c>
      <c r="G641" s="459"/>
    </row>
    <row r="642" spans="1:7" outlineLevel="1" x14ac:dyDescent="0.2">
      <c r="A642" s="17"/>
      <c r="B642" s="75"/>
      <c r="C642" s="1989" t="s">
        <v>1613</v>
      </c>
      <c r="D642" s="1989" t="s">
        <v>7480</v>
      </c>
      <c r="E642" s="1989">
        <v>9.76</v>
      </c>
      <c r="F642" s="38">
        <f t="shared" si="9"/>
        <v>793.69530240000006</v>
      </c>
      <c r="G642" s="459"/>
    </row>
    <row r="643" spans="1:7" outlineLevel="1" x14ac:dyDescent="0.2">
      <c r="A643" s="17"/>
      <c r="B643" s="75"/>
      <c r="C643" s="1989" t="s">
        <v>2152</v>
      </c>
      <c r="D643" s="1989" t="s">
        <v>7481</v>
      </c>
      <c r="E643" s="1989">
        <v>9.83</v>
      </c>
      <c r="F643" s="38">
        <f t="shared" si="9"/>
        <v>799.38778920000004</v>
      </c>
      <c r="G643" s="459"/>
    </row>
    <row r="644" spans="1:7" outlineLevel="1" x14ac:dyDescent="0.2">
      <c r="A644" s="17"/>
      <c r="B644" s="75"/>
      <c r="C644" s="1989" t="s">
        <v>2057</v>
      </c>
      <c r="D644" s="1989" t="s">
        <v>7482</v>
      </c>
      <c r="E644" s="1989">
        <v>9.83</v>
      </c>
      <c r="F644" s="38">
        <f t="shared" si="9"/>
        <v>799.38778920000004</v>
      </c>
      <c r="G644" s="459"/>
    </row>
    <row r="645" spans="1:7" outlineLevel="1" x14ac:dyDescent="0.2">
      <c r="A645" s="17"/>
      <c r="B645" s="75"/>
      <c r="C645" s="1989" t="s">
        <v>2156</v>
      </c>
      <c r="D645" s="1989" t="s">
        <v>7483</v>
      </c>
      <c r="E645" s="1989">
        <v>9.9</v>
      </c>
      <c r="F645" s="38">
        <f t="shared" si="9"/>
        <v>805.08027600000014</v>
      </c>
      <c r="G645" s="459"/>
    </row>
    <row r="646" spans="1:7" outlineLevel="1" x14ac:dyDescent="0.2">
      <c r="A646" s="17"/>
      <c r="B646" s="75"/>
      <c r="C646" s="1989" t="s">
        <v>2155</v>
      </c>
      <c r="D646" s="1989" t="s">
        <v>7484</v>
      </c>
      <c r="E646" s="1989">
        <v>9.9</v>
      </c>
      <c r="F646" s="38">
        <f t="shared" si="9"/>
        <v>805.08027600000014</v>
      </c>
      <c r="G646" s="459"/>
    </row>
    <row r="647" spans="1:7" outlineLevel="1" x14ac:dyDescent="0.2">
      <c r="A647" s="17"/>
      <c r="B647" s="75"/>
      <c r="C647" s="1989" t="s">
        <v>488</v>
      </c>
      <c r="D647" s="1989" t="s">
        <v>7485</v>
      </c>
      <c r="E647" s="1989">
        <v>9.9700000000000006</v>
      </c>
      <c r="F647" s="38">
        <f t="shared" si="9"/>
        <v>810.77276280000012</v>
      </c>
      <c r="G647" s="459"/>
    </row>
    <row r="648" spans="1:7" outlineLevel="1" x14ac:dyDescent="0.2">
      <c r="A648" s="17"/>
      <c r="B648" s="75"/>
      <c r="C648" s="1989" t="s">
        <v>487</v>
      </c>
      <c r="D648" s="1989" t="s">
        <v>7486</v>
      </c>
      <c r="E648" s="1989">
        <v>9.9700000000000006</v>
      </c>
      <c r="F648" s="38">
        <f t="shared" si="9"/>
        <v>810.77276280000012</v>
      </c>
      <c r="G648" s="459"/>
    </row>
    <row r="649" spans="1:7" outlineLevel="1" x14ac:dyDescent="0.2">
      <c r="A649" s="17"/>
      <c r="B649" s="75"/>
      <c r="C649" s="1989" t="s">
        <v>3871</v>
      </c>
      <c r="D649" s="1989" t="s">
        <v>3872</v>
      </c>
      <c r="E649" s="1989">
        <v>19.510000000000002</v>
      </c>
      <c r="F649" s="38">
        <f t="shared" si="9"/>
        <v>1586.5773924000002</v>
      </c>
      <c r="G649" s="459"/>
    </row>
    <row r="650" spans="1:7" outlineLevel="1" x14ac:dyDescent="0.2">
      <c r="A650" s="17"/>
      <c r="B650" s="75"/>
      <c r="C650" s="1989" t="s">
        <v>297</v>
      </c>
      <c r="D650" s="1989" t="s">
        <v>7487</v>
      </c>
      <c r="E650" s="1989">
        <v>9.76</v>
      </c>
      <c r="F650" s="38">
        <f t="shared" si="9"/>
        <v>793.69530240000006</v>
      </c>
      <c r="G650" s="459"/>
    </row>
    <row r="651" spans="1:7" outlineLevel="1" x14ac:dyDescent="0.2">
      <c r="A651" s="17"/>
      <c r="B651" s="75"/>
      <c r="C651" s="1989" t="s">
        <v>296</v>
      </c>
      <c r="D651" s="1989" t="s">
        <v>7488</v>
      </c>
      <c r="E651" s="1989">
        <v>9.76</v>
      </c>
      <c r="F651" s="38">
        <f t="shared" si="9"/>
        <v>793.69530240000006</v>
      </c>
      <c r="G651" s="459"/>
    </row>
    <row r="652" spans="1:7" outlineLevel="1" x14ac:dyDescent="0.2">
      <c r="A652" s="17"/>
      <c r="B652" s="75"/>
      <c r="C652" s="1989" t="s">
        <v>2581</v>
      </c>
      <c r="D652" s="1989" t="s">
        <v>7489</v>
      </c>
      <c r="E652" s="1989">
        <v>0</v>
      </c>
      <c r="F652" s="38">
        <f t="shared" si="9"/>
        <v>0</v>
      </c>
      <c r="G652" s="459"/>
    </row>
    <row r="653" spans="1:7" outlineLevel="1" x14ac:dyDescent="0.2">
      <c r="A653" s="17"/>
      <c r="B653" s="75"/>
      <c r="C653" s="1989" t="s">
        <v>2582</v>
      </c>
      <c r="D653" s="1989" t="s">
        <v>7490</v>
      </c>
      <c r="E653" s="1989">
        <v>0</v>
      </c>
      <c r="F653" s="38">
        <f t="shared" si="9"/>
        <v>0</v>
      </c>
      <c r="G653" s="459"/>
    </row>
    <row r="654" spans="1:7" outlineLevel="1" x14ac:dyDescent="0.2">
      <c r="A654" s="17"/>
      <c r="B654" s="75"/>
      <c r="C654" s="1989" t="s">
        <v>2894</v>
      </c>
      <c r="D654" s="1989" t="s">
        <v>7491</v>
      </c>
      <c r="E654" s="1989">
        <v>28.36</v>
      </c>
      <c r="F654" s="38">
        <f t="shared" si="9"/>
        <v>2306.2703664000001</v>
      </c>
      <c r="G654" s="459"/>
    </row>
    <row r="655" spans="1:7" outlineLevel="1" x14ac:dyDescent="0.2">
      <c r="A655" s="17"/>
      <c r="B655" s="75"/>
      <c r="C655" s="1989" t="s">
        <v>2895</v>
      </c>
      <c r="D655" s="1989" t="s">
        <v>7492</v>
      </c>
      <c r="E655" s="1989">
        <v>29.42</v>
      </c>
      <c r="F655" s="38">
        <f t="shared" si="9"/>
        <v>2392.4708808000005</v>
      </c>
      <c r="G655" s="459"/>
    </row>
    <row r="656" spans="1:7" outlineLevel="1" x14ac:dyDescent="0.2">
      <c r="A656" s="17"/>
      <c r="B656" s="75"/>
      <c r="C656" s="1989" t="s">
        <v>3873</v>
      </c>
      <c r="D656" s="1989" t="s">
        <v>3874</v>
      </c>
      <c r="E656" s="1989">
        <v>19.649999999999999</v>
      </c>
      <c r="F656" s="38">
        <f t="shared" si="9"/>
        <v>1597.962366</v>
      </c>
      <c r="G656" s="459"/>
    </row>
    <row r="657" spans="1:7" outlineLevel="1" x14ac:dyDescent="0.2">
      <c r="A657" s="17"/>
      <c r="B657" s="75"/>
      <c r="C657" s="1989" t="s">
        <v>2594</v>
      </c>
      <c r="D657" s="1989" t="s">
        <v>5466</v>
      </c>
      <c r="E657" s="1989">
        <v>18.350000000000001</v>
      </c>
      <c r="F657" s="38">
        <f t="shared" si="9"/>
        <v>1492.2447540000001</v>
      </c>
      <c r="G657" s="459"/>
    </row>
    <row r="658" spans="1:7" outlineLevel="1" x14ac:dyDescent="0.2">
      <c r="A658" s="17"/>
      <c r="B658" s="75"/>
      <c r="C658" s="1989" t="s">
        <v>2896</v>
      </c>
      <c r="D658" s="1989" t="s">
        <v>2897</v>
      </c>
      <c r="E658" s="1989">
        <v>18.350000000000001</v>
      </c>
      <c r="F658" s="38">
        <f t="shared" si="9"/>
        <v>1492.2447540000001</v>
      </c>
      <c r="G658" s="459"/>
    </row>
    <row r="659" spans="1:7" outlineLevel="1" x14ac:dyDescent="0.2">
      <c r="A659" s="17"/>
      <c r="B659" s="75"/>
      <c r="C659" s="1989" t="s">
        <v>1002</v>
      </c>
      <c r="D659" s="1989" t="s">
        <v>1542</v>
      </c>
      <c r="E659" s="1989">
        <v>8.02</v>
      </c>
      <c r="F659" s="38">
        <f t="shared" si="9"/>
        <v>652.19634480000002</v>
      </c>
      <c r="G659" s="459"/>
    </row>
    <row r="660" spans="1:7" outlineLevel="1" x14ac:dyDescent="0.2">
      <c r="A660" s="17"/>
      <c r="B660" s="75"/>
      <c r="C660" s="1989" t="s">
        <v>999</v>
      </c>
      <c r="D660" s="1989" t="s">
        <v>1540</v>
      </c>
      <c r="E660" s="1989">
        <v>8.02</v>
      </c>
      <c r="F660" s="38">
        <f t="shared" si="9"/>
        <v>652.19634480000002</v>
      </c>
      <c r="G660" s="459"/>
    </row>
    <row r="661" spans="1:7" ht="12" customHeight="1" outlineLevel="1" x14ac:dyDescent="0.2">
      <c r="A661" s="17"/>
      <c r="B661" s="75"/>
      <c r="C661" s="1989" t="s">
        <v>1526</v>
      </c>
      <c r="D661" s="1989" t="s">
        <v>1527</v>
      </c>
      <c r="E661" s="1989">
        <v>8.02</v>
      </c>
      <c r="F661" s="38">
        <f t="shared" si="9"/>
        <v>652.19634480000002</v>
      </c>
      <c r="G661" s="459"/>
    </row>
    <row r="662" spans="1:7" outlineLevel="1" x14ac:dyDescent="0.2">
      <c r="A662" s="17"/>
      <c r="B662" s="75"/>
      <c r="C662" s="1989" t="s">
        <v>1531</v>
      </c>
      <c r="D662" s="1989" t="s">
        <v>1532</v>
      </c>
      <c r="E662" s="1989">
        <v>8.02</v>
      </c>
      <c r="F662" s="38">
        <f t="shared" si="9"/>
        <v>652.19634480000002</v>
      </c>
      <c r="G662" s="459"/>
    </row>
    <row r="663" spans="1:7" outlineLevel="1" x14ac:dyDescent="0.2">
      <c r="A663" s="17"/>
      <c r="B663" s="75"/>
      <c r="C663" s="1989" t="s">
        <v>776</v>
      </c>
      <c r="D663" s="1989" t="s">
        <v>7493</v>
      </c>
      <c r="E663" s="1989">
        <v>11.58</v>
      </c>
      <c r="F663" s="38">
        <f t="shared" si="9"/>
        <v>941.69995919999997</v>
      </c>
      <c r="G663" s="459"/>
    </row>
    <row r="664" spans="1:7" outlineLevel="1" x14ac:dyDescent="0.2">
      <c r="A664" s="17"/>
      <c r="B664" s="75"/>
      <c r="C664" s="1989" t="s">
        <v>777</v>
      </c>
      <c r="D664" s="1989" t="s">
        <v>7494</v>
      </c>
      <c r="E664" s="1989">
        <v>11.58</v>
      </c>
      <c r="F664" s="38">
        <f t="shared" si="9"/>
        <v>941.69995919999997</v>
      </c>
      <c r="G664" s="459"/>
    </row>
    <row r="665" spans="1:7" outlineLevel="1" x14ac:dyDescent="0.2">
      <c r="A665" s="17"/>
      <c r="B665" s="75"/>
      <c r="C665" s="1989" t="s">
        <v>33</v>
      </c>
      <c r="D665" s="1989" t="s">
        <v>5467</v>
      </c>
      <c r="E665" s="1989">
        <v>30.28</v>
      </c>
      <c r="F665" s="38">
        <f t="shared" si="9"/>
        <v>2462.4071472000001</v>
      </c>
      <c r="G665" s="459"/>
    </row>
    <row r="666" spans="1:7" outlineLevel="1" x14ac:dyDescent="0.2">
      <c r="A666" s="17"/>
      <c r="B666" s="75"/>
      <c r="C666" s="1989" t="s">
        <v>38</v>
      </c>
      <c r="D666" s="1989" t="s">
        <v>5468</v>
      </c>
      <c r="E666" s="1989">
        <v>111.06</v>
      </c>
      <c r="F666" s="38">
        <f t="shared" si="9"/>
        <v>9031.5369143999997</v>
      </c>
      <c r="G666" s="459"/>
    </row>
    <row r="667" spans="1:7" outlineLevel="1" x14ac:dyDescent="0.2">
      <c r="A667" s="17"/>
      <c r="B667" s="75"/>
      <c r="C667" s="1989" t="s">
        <v>41</v>
      </c>
      <c r="D667" s="1989" t="s">
        <v>5469</v>
      </c>
      <c r="E667" s="1989">
        <v>152.47</v>
      </c>
      <c r="F667" s="38">
        <f t="shared" si="9"/>
        <v>12399.049462800001</v>
      </c>
      <c r="G667" s="459"/>
    </row>
    <row r="668" spans="1:7" outlineLevel="1" x14ac:dyDescent="0.2">
      <c r="A668" s="17"/>
      <c r="B668" s="75"/>
      <c r="C668" s="1989" t="s">
        <v>1620</v>
      </c>
      <c r="D668" s="1989" t="s">
        <v>3875</v>
      </c>
      <c r="E668" s="1989">
        <v>2.2200000000000002</v>
      </c>
      <c r="F668" s="38">
        <f t="shared" si="9"/>
        <v>180.53315280000001</v>
      </c>
      <c r="G668" s="459"/>
    </row>
    <row r="669" spans="1:7" outlineLevel="1" x14ac:dyDescent="0.2">
      <c r="A669" s="17"/>
      <c r="B669" s="75"/>
      <c r="C669" s="1989" t="s">
        <v>1621</v>
      </c>
      <c r="D669" s="1989" t="s">
        <v>7495</v>
      </c>
      <c r="E669" s="1989">
        <v>2.2200000000000002</v>
      </c>
      <c r="F669" s="38">
        <f t="shared" si="9"/>
        <v>180.53315280000001</v>
      </c>
      <c r="G669" s="459"/>
    </row>
    <row r="670" spans="1:7" outlineLevel="1" x14ac:dyDescent="0.2">
      <c r="A670" s="17"/>
      <c r="B670" s="75"/>
      <c r="C670" s="1989" t="s">
        <v>1622</v>
      </c>
      <c r="D670" s="1989" t="s">
        <v>7496</v>
      </c>
      <c r="E670" s="1989">
        <v>2.2200000000000002</v>
      </c>
      <c r="F670" s="38">
        <f t="shared" si="9"/>
        <v>180.53315280000001</v>
      </c>
      <c r="G670" s="459"/>
    </row>
    <row r="671" spans="1:7" outlineLevel="1" x14ac:dyDescent="0.2">
      <c r="A671" s="17"/>
      <c r="B671" s="75"/>
      <c r="C671" s="1989" t="s">
        <v>1935</v>
      </c>
      <c r="D671" s="1989" t="s">
        <v>2898</v>
      </c>
      <c r="E671" s="1989">
        <v>3.52</v>
      </c>
      <c r="F671" s="38">
        <f t="shared" ref="F671:F734" si="10">E671*$G$4*$J$4</f>
        <v>286.25076480000001</v>
      </c>
      <c r="G671" s="459"/>
    </row>
    <row r="672" spans="1:7" outlineLevel="1" x14ac:dyDescent="0.2">
      <c r="A672" s="17"/>
      <c r="B672" s="75"/>
      <c r="C672" s="1989" t="s">
        <v>1936</v>
      </c>
      <c r="D672" s="1989" t="s">
        <v>5470</v>
      </c>
      <c r="E672" s="1989">
        <v>58.14</v>
      </c>
      <c r="F672" s="38">
        <f t="shared" si="10"/>
        <v>4728.0168936</v>
      </c>
      <c r="G672" s="459"/>
    </row>
    <row r="673" spans="1:7" outlineLevel="1" x14ac:dyDescent="0.2">
      <c r="A673" s="17"/>
      <c r="B673" s="75"/>
      <c r="C673" s="1989" t="s">
        <v>1937</v>
      </c>
      <c r="D673" s="1989" t="s">
        <v>1938</v>
      </c>
      <c r="E673" s="1989">
        <v>5.94</v>
      </c>
      <c r="F673" s="38">
        <f t="shared" si="10"/>
        <v>483.04816560000006</v>
      </c>
      <c r="G673" s="459"/>
    </row>
    <row r="674" spans="1:7" outlineLevel="1" x14ac:dyDescent="0.2">
      <c r="A674" s="17"/>
      <c r="B674" s="75"/>
      <c r="C674" s="1989" t="s">
        <v>2528</v>
      </c>
      <c r="D674" s="1989" t="s">
        <v>2899</v>
      </c>
      <c r="E674" s="1989">
        <v>3.17</v>
      </c>
      <c r="F674" s="38">
        <f t="shared" si="10"/>
        <v>257.78833079999998</v>
      </c>
      <c r="G674" s="459"/>
    </row>
    <row r="675" spans="1:7" outlineLevel="1" x14ac:dyDescent="0.2">
      <c r="A675" s="17"/>
      <c r="B675" s="75"/>
      <c r="C675" s="1989" t="s">
        <v>1866</v>
      </c>
      <c r="D675" s="1989" t="s">
        <v>7497</v>
      </c>
      <c r="E675" s="1989">
        <v>0.38</v>
      </c>
      <c r="F675" s="38">
        <f t="shared" si="10"/>
        <v>30.902071199999998</v>
      </c>
      <c r="G675" s="459"/>
    </row>
    <row r="676" spans="1:7" outlineLevel="1" x14ac:dyDescent="0.2">
      <c r="A676" s="17"/>
      <c r="B676" s="75"/>
      <c r="C676" s="1989" t="s">
        <v>1939</v>
      </c>
      <c r="D676" s="1989" t="s">
        <v>5471</v>
      </c>
      <c r="E676" s="1989">
        <v>1.69</v>
      </c>
      <c r="F676" s="38">
        <f t="shared" si="10"/>
        <v>137.43289560000002</v>
      </c>
      <c r="G676" s="459"/>
    </row>
    <row r="677" spans="1:7" outlineLevel="1" x14ac:dyDescent="0.2">
      <c r="A677" s="17"/>
      <c r="B677" s="75"/>
      <c r="C677" s="1989" t="s">
        <v>1430</v>
      </c>
      <c r="D677" s="1989" t="s">
        <v>5472</v>
      </c>
      <c r="E677" s="1989">
        <v>29</v>
      </c>
      <c r="F677" s="38">
        <f t="shared" si="10"/>
        <v>2358.3159599999999</v>
      </c>
      <c r="G677" s="459"/>
    </row>
    <row r="678" spans="1:7" outlineLevel="1" x14ac:dyDescent="0.2">
      <c r="A678" s="17"/>
      <c r="B678" s="75"/>
      <c r="C678" s="1989" t="s">
        <v>2900</v>
      </c>
      <c r="D678" s="1989" t="s">
        <v>5473</v>
      </c>
      <c r="E678" s="1989">
        <v>0</v>
      </c>
      <c r="F678" s="38">
        <f t="shared" si="10"/>
        <v>0</v>
      </c>
      <c r="G678" s="459"/>
    </row>
    <row r="679" spans="1:7" outlineLevel="1" x14ac:dyDescent="0.2">
      <c r="A679" s="17"/>
      <c r="B679" s="75"/>
      <c r="C679" s="1989" t="s">
        <v>2539</v>
      </c>
      <c r="D679" s="1989" t="s">
        <v>7498</v>
      </c>
      <c r="E679" s="1989">
        <v>0.38</v>
      </c>
      <c r="F679" s="38">
        <f t="shared" si="10"/>
        <v>30.902071199999998</v>
      </c>
      <c r="G679" s="459"/>
    </row>
    <row r="680" spans="1:7" outlineLevel="1" x14ac:dyDescent="0.2">
      <c r="A680" s="17"/>
      <c r="B680" s="75"/>
      <c r="C680" s="1989" t="s">
        <v>2901</v>
      </c>
      <c r="D680" s="1989" t="s">
        <v>5474</v>
      </c>
      <c r="E680" s="1989">
        <v>56.36</v>
      </c>
      <c r="F680" s="38">
        <f t="shared" si="10"/>
        <v>4583.2650863999997</v>
      </c>
      <c r="G680" s="459"/>
    </row>
    <row r="681" spans="1:7" outlineLevel="1" x14ac:dyDescent="0.2">
      <c r="A681" s="17"/>
      <c r="B681" s="75"/>
      <c r="C681" s="1989" t="s">
        <v>2902</v>
      </c>
      <c r="D681" s="1989" t="s">
        <v>7499</v>
      </c>
      <c r="E681" s="1989">
        <v>0</v>
      </c>
      <c r="F681" s="38">
        <f t="shared" si="10"/>
        <v>0</v>
      </c>
      <c r="G681" s="459"/>
    </row>
    <row r="682" spans="1:7" outlineLevel="1" x14ac:dyDescent="0.2">
      <c r="A682" s="17"/>
      <c r="B682" s="75"/>
      <c r="C682" s="1989" t="s">
        <v>2547</v>
      </c>
      <c r="D682" s="1989" t="s">
        <v>7500</v>
      </c>
      <c r="E682" s="1989">
        <v>24.45</v>
      </c>
      <c r="F682" s="38">
        <f t="shared" si="10"/>
        <v>1988.304318</v>
      </c>
      <c r="G682" s="459"/>
    </row>
    <row r="683" spans="1:7" outlineLevel="1" x14ac:dyDescent="0.2">
      <c r="A683" s="17"/>
      <c r="B683" s="75"/>
      <c r="C683" s="1989" t="s">
        <v>3876</v>
      </c>
      <c r="D683" s="1989" t="s">
        <v>7501</v>
      </c>
      <c r="E683" s="1989">
        <v>0</v>
      </c>
      <c r="F683" s="38">
        <f t="shared" si="10"/>
        <v>0</v>
      </c>
      <c r="G683" s="459"/>
    </row>
    <row r="684" spans="1:7" outlineLevel="1" x14ac:dyDescent="0.2">
      <c r="A684" s="17"/>
      <c r="B684" s="75"/>
      <c r="C684" s="1989" t="s">
        <v>1122</v>
      </c>
      <c r="D684" s="1989" t="s">
        <v>7502</v>
      </c>
      <c r="E684" s="1989">
        <v>25.95</v>
      </c>
      <c r="F684" s="38">
        <f t="shared" si="10"/>
        <v>2110.2861779999998</v>
      </c>
      <c r="G684" s="459"/>
    </row>
    <row r="685" spans="1:7" outlineLevel="1" x14ac:dyDescent="0.2">
      <c r="A685" s="17"/>
      <c r="B685" s="75"/>
      <c r="C685" s="1989" t="s">
        <v>2903</v>
      </c>
      <c r="D685" s="1989" t="s">
        <v>7503</v>
      </c>
      <c r="E685" s="1989">
        <v>31.69</v>
      </c>
      <c r="F685" s="38">
        <f t="shared" si="10"/>
        <v>2577.0700956000001</v>
      </c>
      <c r="G685" s="459"/>
    </row>
    <row r="686" spans="1:7" outlineLevel="1" x14ac:dyDescent="0.2">
      <c r="A686" s="17"/>
      <c r="B686" s="75"/>
      <c r="C686" s="1989" t="s">
        <v>2904</v>
      </c>
      <c r="D686" s="1989" t="s">
        <v>7504</v>
      </c>
      <c r="E686" s="1989">
        <v>26.7</v>
      </c>
      <c r="F686" s="38">
        <f t="shared" si="10"/>
        <v>2171.2771080000002</v>
      </c>
      <c r="G686" s="459"/>
    </row>
    <row r="687" spans="1:7" outlineLevel="1" x14ac:dyDescent="0.2">
      <c r="A687" s="17"/>
      <c r="B687" s="75"/>
      <c r="C687" s="1989" t="s">
        <v>318</v>
      </c>
      <c r="D687" s="1989" t="s">
        <v>319</v>
      </c>
      <c r="E687" s="1989">
        <v>40.75</v>
      </c>
      <c r="F687" s="38">
        <f t="shared" si="10"/>
        <v>3313.8405299999999</v>
      </c>
      <c r="G687" s="459"/>
    </row>
    <row r="688" spans="1:7" outlineLevel="1" x14ac:dyDescent="0.2">
      <c r="A688" s="17"/>
      <c r="B688" s="75"/>
      <c r="C688" s="1989" t="s">
        <v>2905</v>
      </c>
      <c r="D688" s="1989" t="s">
        <v>2906</v>
      </c>
      <c r="E688" s="1989">
        <v>81.53</v>
      </c>
      <c r="F688" s="38">
        <f t="shared" si="10"/>
        <v>6630.1206972</v>
      </c>
      <c r="G688" s="459"/>
    </row>
    <row r="689" spans="1:7" outlineLevel="1" x14ac:dyDescent="0.2">
      <c r="A689" s="17"/>
      <c r="B689" s="75"/>
      <c r="C689" s="1989" t="s">
        <v>1429</v>
      </c>
      <c r="D689" s="1989" t="s">
        <v>5475</v>
      </c>
      <c r="E689" s="1989">
        <v>106.6</v>
      </c>
      <c r="F689" s="38">
        <f t="shared" si="10"/>
        <v>8668.8441839999996</v>
      </c>
      <c r="G689" s="459"/>
    </row>
    <row r="690" spans="1:7" outlineLevel="1" x14ac:dyDescent="0.2">
      <c r="A690" s="17"/>
      <c r="B690" s="75"/>
      <c r="C690" s="1989" t="s">
        <v>2907</v>
      </c>
      <c r="D690" s="1989" t="s">
        <v>5476</v>
      </c>
      <c r="E690" s="1989">
        <v>0</v>
      </c>
      <c r="F690" s="38">
        <f t="shared" si="10"/>
        <v>0</v>
      </c>
      <c r="G690" s="459"/>
    </row>
    <row r="691" spans="1:7" outlineLevel="1" x14ac:dyDescent="0.2">
      <c r="A691" s="17"/>
      <c r="B691" s="75"/>
      <c r="C691" s="1989" t="s">
        <v>2566</v>
      </c>
      <c r="D691" s="1989" t="s">
        <v>5477</v>
      </c>
      <c r="E691" s="1989">
        <v>0</v>
      </c>
      <c r="F691" s="38">
        <f t="shared" si="10"/>
        <v>0</v>
      </c>
      <c r="G691" s="459"/>
    </row>
    <row r="692" spans="1:7" outlineLevel="1" x14ac:dyDescent="0.2">
      <c r="A692" s="17"/>
      <c r="B692" s="75"/>
      <c r="C692" s="1989" t="s">
        <v>1898</v>
      </c>
      <c r="D692" s="1989" t="s">
        <v>5478</v>
      </c>
      <c r="E692" s="1989">
        <v>30.47</v>
      </c>
      <c r="F692" s="38">
        <f t="shared" si="10"/>
        <v>2477.8581828000001</v>
      </c>
      <c r="G692" s="459"/>
    </row>
    <row r="693" spans="1:7" outlineLevel="1" x14ac:dyDescent="0.2">
      <c r="A693" s="17"/>
      <c r="B693" s="75"/>
      <c r="C693" s="1989" t="s">
        <v>1618</v>
      </c>
      <c r="D693" s="1989" t="s">
        <v>5479</v>
      </c>
      <c r="E693" s="1989">
        <v>34.04</v>
      </c>
      <c r="F693" s="38">
        <f t="shared" si="10"/>
        <v>2768.1750096000001</v>
      </c>
      <c r="G693" s="459"/>
    </row>
    <row r="694" spans="1:7" outlineLevel="1" x14ac:dyDescent="0.2">
      <c r="A694" s="17"/>
      <c r="B694" s="75"/>
      <c r="C694" s="1989" t="s">
        <v>2567</v>
      </c>
      <c r="D694" s="1989" t="s">
        <v>2908</v>
      </c>
      <c r="E694" s="1989">
        <v>19.27</v>
      </c>
      <c r="F694" s="38">
        <f t="shared" si="10"/>
        <v>1567.0602948000001</v>
      </c>
      <c r="G694" s="459"/>
    </row>
    <row r="695" spans="1:7" outlineLevel="1" x14ac:dyDescent="0.2">
      <c r="A695" s="17"/>
      <c r="B695" s="75"/>
      <c r="C695" s="1989" t="s">
        <v>889</v>
      </c>
      <c r="D695" s="1989" t="s">
        <v>5480</v>
      </c>
      <c r="E695" s="1989">
        <v>21.59</v>
      </c>
      <c r="F695" s="38">
        <f t="shared" si="10"/>
        <v>1755.7255716</v>
      </c>
      <c r="G695" s="459"/>
    </row>
    <row r="696" spans="1:7" outlineLevel="1" x14ac:dyDescent="0.2">
      <c r="A696" s="17"/>
      <c r="B696" s="75"/>
      <c r="C696" s="1989" t="s">
        <v>1900</v>
      </c>
      <c r="D696" s="1989" t="s">
        <v>1901</v>
      </c>
      <c r="E696" s="1989">
        <v>48.59</v>
      </c>
      <c r="F696" s="38">
        <f t="shared" si="10"/>
        <v>3951.3990516000003</v>
      </c>
      <c r="G696" s="459"/>
    </row>
    <row r="697" spans="1:7" outlineLevel="1" x14ac:dyDescent="0.2">
      <c r="A697" s="17"/>
      <c r="B697" s="75"/>
      <c r="C697" s="1989" t="s">
        <v>1902</v>
      </c>
      <c r="D697" s="1989" t="s">
        <v>1903</v>
      </c>
      <c r="E697" s="1989">
        <v>48.59</v>
      </c>
      <c r="F697" s="38">
        <f t="shared" si="10"/>
        <v>3951.3990516000003</v>
      </c>
      <c r="G697" s="459"/>
    </row>
    <row r="698" spans="1:7" outlineLevel="1" x14ac:dyDescent="0.2">
      <c r="A698" s="17"/>
      <c r="B698" s="75"/>
      <c r="C698" s="1989" t="s">
        <v>1904</v>
      </c>
      <c r="D698" s="1989" t="s">
        <v>1905</v>
      </c>
      <c r="E698" s="1989">
        <v>15.4</v>
      </c>
      <c r="F698" s="38">
        <f t="shared" si="10"/>
        <v>1252.3470960000002</v>
      </c>
      <c r="G698" s="459"/>
    </row>
    <row r="699" spans="1:7" outlineLevel="1" x14ac:dyDescent="0.2">
      <c r="A699" s="17"/>
      <c r="B699" s="75"/>
      <c r="C699" s="1989" t="s">
        <v>2194</v>
      </c>
      <c r="D699" s="1989" t="s">
        <v>7505</v>
      </c>
      <c r="E699" s="1989">
        <v>16.350000000000001</v>
      </c>
      <c r="F699" s="38">
        <f t="shared" si="10"/>
        <v>1329.6022740000001</v>
      </c>
      <c r="G699" s="459"/>
    </row>
    <row r="700" spans="1:7" outlineLevel="1" x14ac:dyDescent="0.2">
      <c r="A700" s="17"/>
      <c r="B700" s="75"/>
      <c r="C700" s="1989" t="s">
        <v>2195</v>
      </c>
      <c r="D700" s="1989" t="s">
        <v>7506</v>
      </c>
      <c r="E700" s="1989">
        <v>16.350000000000001</v>
      </c>
      <c r="F700" s="38">
        <f t="shared" si="10"/>
        <v>1329.6022740000001</v>
      </c>
      <c r="G700" s="459"/>
    </row>
    <row r="701" spans="1:7" outlineLevel="1" x14ac:dyDescent="0.2">
      <c r="A701" s="17"/>
      <c r="B701" s="75"/>
      <c r="C701" s="1989" t="s">
        <v>1481</v>
      </c>
      <c r="D701" s="1989" t="s">
        <v>7507</v>
      </c>
      <c r="E701" s="1989">
        <v>35.119999999999997</v>
      </c>
      <c r="F701" s="38">
        <f t="shared" si="10"/>
        <v>2856.0019488000003</v>
      </c>
      <c r="G701" s="459"/>
    </row>
    <row r="702" spans="1:7" outlineLevel="1" x14ac:dyDescent="0.2">
      <c r="A702" s="17"/>
      <c r="B702" s="75"/>
      <c r="C702" s="1989" t="s">
        <v>2909</v>
      </c>
      <c r="D702" s="1989" t="s">
        <v>7508</v>
      </c>
      <c r="E702" s="1989">
        <v>35.119999999999997</v>
      </c>
      <c r="F702" s="38">
        <f t="shared" si="10"/>
        <v>2856.0019488000003</v>
      </c>
      <c r="G702" s="459"/>
    </row>
    <row r="703" spans="1:7" outlineLevel="1" x14ac:dyDescent="0.2">
      <c r="A703" s="17"/>
      <c r="B703" s="75"/>
      <c r="C703" s="1989" t="s">
        <v>2583</v>
      </c>
      <c r="D703" s="1989" t="s">
        <v>7509</v>
      </c>
      <c r="E703" s="1989">
        <v>0</v>
      </c>
      <c r="F703" s="38">
        <f t="shared" si="10"/>
        <v>0</v>
      </c>
      <c r="G703" s="459"/>
    </row>
    <row r="704" spans="1:7" outlineLevel="1" x14ac:dyDescent="0.2">
      <c r="A704" s="17"/>
      <c r="B704" s="75"/>
      <c r="C704" s="1989" t="s">
        <v>1482</v>
      </c>
      <c r="D704" s="1989" t="s">
        <v>7510</v>
      </c>
      <c r="E704" s="1989">
        <v>36.619999999999997</v>
      </c>
      <c r="F704" s="38">
        <f t="shared" si="10"/>
        <v>2977.9838088000001</v>
      </c>
      <c r="G704" s="459"/>
    </row>
    <row r="705" spans="1:7" outlineLevel="1" x14ac:dyDescent="0.2">
      <c r="A705" s="17"/>
      <c r="B705" s="75"/>
      <c r="C705" s="1989" t="s">
        <v>2910</v>
      </c>
      <c r="D705" s="1989" t="s">
        <v>7511</v>
      </c>
      <c r="E705" s="1989">
        <v>42.36</v>
      </c>
      <c r="F705" s="38">
        <f t="shared" si="10"/>
        <v>3444.7677264000004</v>
      </c>
      <c r="G705" s="459"/>
    </row>
    <row r="706" spans="1:7" outlineLevel="1" x14ac:dyDescent="0.2">
      <c r="A706" s="17"/>
      <c r="B706" s="75"/>
      <c r="C706" s="1989" t="s">
        <v>2196</v>
      </c>
      <c r="D706" s="1989" t="s">
        <v>7512</v>
      </c>
      <c r="E706" s="1989">
        <v>48.43</v>
      </c>
      <c r="F706" s="38">
        <f t="shared" si="10"/>
        <v>3938.3876532000004</v>
      </c>
      <c r="G706" s="459"/>
    </row>
    <row r="707" spans="1:7" outlineLevel="1" x14ac:dyDescent="0.2">
      <c r="A707" s="17"/>
      <c r="B707" s="75"/>
      <c r="C707" s="1989" t="s">
        <v>998</v>
      </c>
      <c r="D707" s="1989" t="s">
        <v>1543</v>
      </c>
      <c r="E707" s="1989">
        <v>26.56</v>
      </c>
      <c r="F707" s="38">
        <f t="shared" si="10"/>
        <v>2159.8921344</v>
      </c>
      <c r="G707" s="459"/>
    </row>
    <row r="708" spans="1:7" outlineLevel="1" x14ac:dyDescent="0.2">
      <c r="A708" s="17"/>
      <c r="B708" s="75"/>
      <c r="C708" s="1989" t="s">
        <v>1524</v>
      </c>
      <c r="D708" s="1989" t="s">
        <v>1525</v>
      </c>
      <c r="E708" s="1989">
        <v>12.21</v>
      </c>
      <c r="F708" s="38">
        <f t="shared" si="10"/>
        <v>992.93234040000016</v>
      </c>
      <c r="G708" s="459"/>
    </row>
    <row r="709" spans="1:7" outlineLevel="1" x14ac:dyDescent="0.2">
      <c r="A709" s="17"/>
      <c r="B709" s="75"/>
      <c r="C709" s="1989" t="s">
        <v>1529</v>
      </c>
      <c r="D709" s="1989" t="s">
        <v>1530</v>
      </c>
      <c r="E709" s="1989">
        <v>12.21</v>
      </c>
      <c r="F709" s="38">
        <f t="shared" si="10"/>
        <v>992.93234040000016</v>
      </c>
      <c r="G709" s="459"/>
    </row>
    <row r="710" spans="1:7" outlineLevel="1" x14ac:dyDescent="0.2">
      <c r="A710" s="17"/>
      <c r="B710" s="75"/>
      <c r="C710" s="1989" t="s">
        <v>3210</v>
      </c>
      <c r="D710" s="1989" t="s">
        <v>3211</v>
      </c>
      <c r="E710" s="1989">
        <v>31.47</v>
      </c>
      <c r="F710" s="38">
        <f t="shared" si="10"/>
        <v>2559.1794227999999</v>
      </c>
      <c r="G710" s="459"/>
    </row>
    <row r="711" spans="1:7" outlineLevel="1" x14ac:dyDescent="0.2">
      <c r="A711" s="17"/>
      <c r="B711" s="75"/>
      <c r="C711" s="1989" t="s">
        <v>3212</v>
      </c>
      <c r="D711" s="1989" t="s">
        <v>7496</v>
      </c>
      <c r="E711" s="1989">
        <v>2.57</v>
      </c>
      <c r="F711" s="38">
        <f t="shared" si="10"/>
        <v>208.99558679999998</v>
      </c>
      <c r="G711" s="459"/>
    </row>
    <row r="712" spans="1:7" outlineLevel="1" x14ac:dyDescent="0.2">
      <c r="A712" s="17"/>
      <c r="B712" s="75"/>
      <c r="C712" s="1989" t="s">
        <v>3213</v>
      </c>
      <c r="D712" s="1989" t="s">
        <v>7513</v>
      </c>
      <c r="E712" s="1989">
        <v>2.57</v>
      </c>
      <c r="F712" s="38">
        <f t="shared" si="10"/>
        <v>208.99558679999998</v>
      </c>
      <c r="G712" s="459"/>
    </row>
    <row r="713" spans="1:7" outlineLevel="1" x14ac:dyDescent="0.2">
      <c r="A713" s="17"/>
      <c r="B713" s="75"/>
      <c r="C713" s="1989" t="s">
        <v>3877</v>
      </c>
      <c r="D713" s="1989" t="s">
        <v>5473</v>
      </c>
      <c r="E713" s="1989">
        <v>42.26</v>
      </c>
      <c r="F713" s="38">
        <f t="shared" si="10"/>
        <v>3436.6356024000002</v>
      </c>
      <c r="G713" s="459"/>
    </row>
    <row r="714" spans="1:7" outlineLevel="1" x14ac:dyDescent="0.2">
      <c r="A714" s="17"/>
      <c r="B714" s="75"/>
      <c r="C714" s="1989" t="s">
        <v>3214</v>
      </c>
      <c r="D714" s="1989" t="s">
        <v>7495</v>
      </c>
      <c r="E714" s="1989">
        <v>2.57</v>
      </c>
      <c r="F714" s="38">
        <f t="shared" si="10"/>
        <v>208.99558679999998</v>
      </c>
      <c r="G714" s="459"/>
    </row>
    <row r="715" spans="1:7" outlineLevel="1" x14ac:dyDescent="0.2">
      <c r="A715" s="17"/>
      <c r="B715" s="75"/>
      <c r="C715" s="1989" t="s">
        <v>3215</v>
      </c>
      <c r="D715" s="1989" t="s">
        <v>2898</v>
      </c>
      <c r="E715" s="1989">
        <v>4.07</v>
      </c>
      <c r="F715" s="38">
        <f t="shared" si="10"/>
        <v>330.97744680000005</v>
      </c>
      <c r="G715" s="459"/>
    </row>
    <row r="716" spans="1:7" outlineLevel="1" x14ac:dyDescent="0.2">
      <c r="A716" s="17"/>
      <c r="B716" s="75"/>
      <c r="C716" s="1989" t="s">
        <v>3216</v>
      </c>
      <c r="D716" s="1989" t="s">
        <v>1901</v>
      </c>
      <c r="E716" s="1989">
        <v>50.35</v>
      </c>
      <c r="F716" s="38">
        <f t="shared" si="10"/>
        <v>4094.5244340000004</v>
      </c>
      <c r="G716" s="459"/>
    </row>
    <row r="717" spans="1:7" outlineLevel="1" x14ac:dyDescent="0.2">
      <c r="A717" s="17"/>
      <c r="B717" s="75"/>
      <c r="C717" s="1989" t="s">
        <v>3217</v>
      </c>
      <c r="D717" s="1989" t="s">
        <v>5467</v>
      </c>
      <c r="E717" s="1989">
        <v>40.799999999999997</v>
      </c>
      <c r="F717" s="38">
        <f t="shared" si="10"/>
        <v>3317.9065919999998</v>
      </c>
      <c r="G717" s="459"/>
    </row>
    <row r="718" spans="1:7" outlineLevel="1" x14ac:dyDescent="0.2">
      <c r="A718" s="17"/>
      <c r="B718" s="75"/>
      <c r="C718" s="1989" t="s">
        <v>3218</v>
      </c>
      <c r="D718" s="1989" t="s">
        <v>5481</v>
      </c>
      <c r="E718" s="1989">
        <v>41.6</v>
      </c>
      <c r="F718" s="38">
        <f t="shared" si="10"/>
        <v>3382.9635840000005</v>
      </c>
      <c r="G718" s="459"/>
    </row>
    <row r="719" spans="1:7" outlineLevel="1" x14ac:dyDescent="0.2">
      <c r="A719" s="17"/>
      <c r="B719" s="75"/>
      <c r="C719" s="1989" t="s">
        <v>3219</v>
      </c>
      <c r="D719" s="1989" t="s">
        <v>7514</v>
      </c>
      <c r="E719" s="1989">
        <v>24.79</v>
      </c>
      <c r="F719" s="38">
        <f t="shared" si="10"/>
        <v>2015.9535395999999</v>
      </c>
      <c r="G719" s="459"/>
    </row>
    <row r="720" spans="1:7" outlineLevel="1" x14ac:dyDescent="0.2">
      <c r="A720" s="17"/>
      <c r="B720" s="75"/>
      <c r="C720" s="1989" t="s">
        <v>3220</v>
      </c>
      <c r="D720" s="1989" t="s">
        <v>7504</v>
      </c>
      <c r="E720" s="1989">
        <v>34.31</v>
      </c>
      <c r="F720" s="38">
        <f t="shared" si="10"/>
        <v>2790.1317444000006</v>
      </c>
      <c r="G720" s="459"/>
    </row>
    <row r="721" spans="1:7" outlineLevel="1" x14ac:dyDescent="0.2">
      <c r="A721" s="17"/>
      <c r="B721" s="75"/>
      <c r="C721" s="1989" t="s">
        <v>3221</v>
      </c>
      <c r="D721" s="1989" t="s">
        <v>7515</v>
      </c>
      <c r="E721" s="1989">
        <v>23.29</v>
      </c>
      <c r="F721" s="38">
        <f t="shared" si="10"/>
        <v>1893.9716796</v>
      </c>
      <c r="G721" s="459"/>
    </row>
    <row r="722" spans="1:7" outlineLevel="1" x14ac:dyDescent="0.2">
      <c r="A722" s="17"/>
      <c r="B722" s="75"/>
      <c r="C722" s="1989" t="s">
        <v>3222</v>
      </c>
      <c r="D722" s="1989" t="s">
        <v>1938</v>
      </c>
      <c r="E722" s="1989">
        <v>6.82</v>
      </c>
      <c r="F722" s="38">
        <f t="shared" si="10"/>
        <v>554.61085679999997</v>
      </c>
      <c r="G722" s="459"/>
    </row>
    <row r="723" spans="1:7" outlineLevel="1" x14ac:dyDescent="0.2">
      <c r="A723" s="17"/>
      <c r="B723" s="75"/>
      <c r="C723" s="1989" t="s">
        <v>3223</v>
      </c>
      <c r="D723" s="1989" t="s">
        <v>7500</v>
      </c>
      <c r="E723" s="1989">
        <v>23.29</v>
      </c>
      <c r="F723" s="38">
        <f t="shared" si="10"/>
        <v>1893.9716796</v>
      </c>
      <c r="G723" s="459"/>
    </row>
    <row r="724" spans="1:7" outlineLevel="1" x14ac:dyDescent="0.2">
      <c r="A724" s="17"/>
      <c r="B724" s="75"/>
      <c r="C724" s="1989" t="s">
        <v>3878</v>
      </c>
      <c r="D724" s="1989" t="s">
        <v>7501</v>
      </c>
      <c r="E724" s="1989">
        <v>34.1</v>
      </c>
      <c r="F724" s="38">
        <f t="shared" si="10"/>
        <v>2773.0542840000003</v>
      </c>
      <c r="G724" s="459"/>
    </row>
    <row r="725" spans="1:7" outlineLevel="1" x14ac:dyDescent="0.2">
      <c r="A725" s="17"/>
      <c r="B725" s="75"/>
      <c r="C725" s="1989" t="s">
        <v>3224</v>
      </c>
      <c r="D725" s="1989" t="s">
        <v>7516</v>
      </c>
      <c r="E725" s="1989">
        <v>11.2</v>
      </c>
      <c r="F725" s="38">
        <f t="shared" si="10"/>
        <v>910.79788800000006</v>
      </c>
      <c r="G725" s="459"/>
    </row>
    <row r="726" spans="1:7" outlineLevel="1" x14ac:dyDescent="0.2">
      <c r="A726" s="17"/>
      <c r="B726" s="75"/>
      <c r="C726" s="1989" t="s">
        <v>3225</v>
      </c>
      <c r="D726" s="1989" t="s">
        <v>7517</v>
      </c>
      <c r="E726" s="1989">
        <v>11.2</v>
      </c>
      <c r="F726" s="38">
        <f t="shared" si="10"/>
        <v>910.79788800000006</v>
      </c>
      <c r="G726" s="459"/>
    </row>
    <row r="727" spans="1:7" outlineLevel="1" x14ac:dyDescent="0.2">
      <c r="A727" s="17"/>
      <c r="B727" s="75"/>
      <c r="C727" s="1989" t="s">
        <v>3226</v>
      </c>
      <c r="D727" s="1989" t="s">
        <v>7518</v>
      </c>
      <c r="E727" s="1989">
        <v>16.23</v>
      </c>
      <c r="F727" s="38">
        <f t="shared" si="10"/>
        <v>1319.8437252000001</v>
      </c>
      <c r="G727" s="459"/>
    </row>
    <row r="728" spans="1:7" outlineLevel="1" x14ac:dyDescent="0.2">
      <c r="A728" s="17"/>
      <c r="B728" s="75"/>
      <c r="C728" s="1989" t="s">
        <v>3227</v>
      </c>
      <c r="D728" s="1989" t="s">
        <v>7519</v>
      </c>
      <c r="E728" s="1989">
        <v>16.23</v>
      </c>
      <c r="F728" s="38">
        <f t="shared" si="10"/>
        <v>1319.8437252000001</v>
      </c>
      <c r="G728" s="459"/>
    </row>
    <row r="729" spans="1:7" outlineLevel="1" x14ac:dyDescent="0.2">
      <c r="A729" s="17"/>
      <c r="B729" s="75"/>
      <c r="C729" s="1989" t="s">
        <v>3879</v>
      </c>
      <c r="D729" s="1989" t="s">
        <v>3880</v>
      </c>
      <c r="E729" s="1989">
        <v>21.06</v>
      </c>
      <c r="F729" s="38">
        <f t="shared" si="10"/>
        <v>1712.6253144</v>
      </c>
      <c r="G729" s="459"/>
    </row>
    <row r="730" spans="1:7" outlineLevel="1" x14ac:dyDescent="0.2">
      <c r="A730" s="17"/>
      <c r="B730" s="75"/>
      <c r="C730" s="1989" t="s">
        <v>3881</v>
      </c>
      <c r="D730" s="1989" t="s">
        <v>5482</v>
      </c>
      <c r="E730" s="1989">
        <v>21.06</v>
      </c>
      <c r="F730" s="38">
        <f t="shared" si="10"/>
        <v>1712.6253144</v>
      </c>
      <c r="G730" s="459"/>
    </row>
    <row r="731" spans="1:7" outlineLevel="1" x14ac:dyDescent="0.2">
      <c r="A731" s="17"/>
      <c r="B731" s="75"/>
      <c r="C731" s="1989" t="s">
        <v>3882</v>
      </c>
      <c r="D731" s="1989" t="s">
        <v>7503</v>
      </c>
      <c r="E731" s="1989">
        <v>40.93</v>
      </c>
      <c r="F731" s="38">
        <f t="shared" si="10"/>
        <v>3328.4783532000001</v>
      </c>
      <c r="G731" s="459"/>
    </row>
    <row r="732" spans="1:7" outlineLevel="1" x14ac:dyDescent="0.2">
      <c r="A732" s="17"/>
      <c r="B732" s="75"/>
      <c r="C732" s="1989" t="s">
        <v>3883</v>
      </c>
      <c r="D732" s="1989" t="s">
        <v>7520</v>
      </c>
      <c r="E732" s="1989">
        <v>47.32</v>
      </c>
      <c r="F732" s="38">
        <f t="shared" si="10"/>
        <v>3848.1210768000001</v>
      </c>
      <c r="G732" s="459"/>
    </row>
    <row r="733" spans="1:7" outlineLevel="1" x14ac:dyDescent="0.2">
      <c r="A733" s="17"/>
      <c r="B733" s="75"/>
      <c r="C733" s="1989" t="s">
        <v>3228</v>
      </c>
      <c r="D733" s="1989" t="s">
        <v>5472</v>
      </c>
      <c r="E733" s="1989">
        <v>37.479999999999997</v>
      </c>
      <c r="F733" s="38">
        <f t="shared" si="10"/>
        <v>3047.9200751999997</v>
      </c>
      <c r="G733" s="459"/>
    </row>
    <row r="734" spans="1:7" outlineLevel="1" x14ac:dyDescent="0.2">
      <c r="A734" s="17"/>
      <c r="B734" s="75"/>
      <c r="C734" s="1989" t="s">
        <v>3229</v>
      </c>
      <c r="D734" s="1989" t="s">
        <v>7507</v>
      </c>
      <c r="E734" s="1989">
        <v>32.85</v>
      </c>
      <c r="F734" s="38">
        <f t="shared" si="10"/>
        <v>2671.4027340000002</v>
      </c>
      <c r="G734" s="459"/>
    </row>
    <row r="735" spans="1:7" outlineLevel="1" x14ac:dyDescent="0.2">
      <c r="A735" s="17"/>
      <c r="B735" s="75"/>
      <c r="C735" s="1989" t="s">
        <v>3230</v>
      </c>
      <c r="D735" s="1989" t="s">
        <v>1903</v>
      </c>
      <c r="E735" s="1989">
        <v>50.35</v>
      </c>
      <c r="F735" s="38">
        <f t="shared" ref="F735:F798" si="11">E735*$G$4*$J$4</f>
        <v>4094.5244340000004</v>
      </c>
      <c r="G735" s="459"/>
    </row>
    <row r="736" spans="1:7" outlineLevel="1" x14ac:dyDescent="0.2">
      <c r="A736" s="17"/>
      <c r="B736" s="75"/>
      <c r="C736" s="1989" t="s">
        <v>3231</v>
      </c>
      <c r="D736" s="1989" t="s">
        <v>7508</v>
      </c>
      <c r="E736" s="1989">
        <v>32.85</v>
      </c>
      <c r="F736" s="38">
        <f t="shared" si="11"/>
        <v>2671.4027340000002</v>
      </c>
      <c r="G736" s="459"/>
    </row>
    <row r="737" spans="1:7" outlineLevel="1" x14ac:dyDescent="0.2">
      <c r="A737" s="17"/>
      <c r="B737" s="75"/>
      <c r="C737" s="1989" t="s">
        <v>3232</v>
      </c>
      <c r="D737" s="1989" t="s">
        <v>7510</v>
      </c>
      <c r="E737" s="1989">
        <v>47.03</v>
      </c>
      <c r="F737" s="38">
        <f t="shared" si="11"/>
        <v>3824.5379172000003</v>
      </c>
      <c r="G737" s="459"/>
    </row>
    <row r="738" spans="1:7" outlineLevel="1" x14ac:dyDescent="0.2">
      <c r="A738" s="17"/>
      <c r="B738" s="75"/>
      <c r="C738" s="1989" t="s">
        <v>3233</v>
      </c>
      <c r="D738" s="1989" t="s">
        <v>7505</v>
      </c>
      <c r="E738" s="1989">
        <v>22.3</v>
      </c>
      <c r="F738" s="38">
        <f t="shared" si="11"/>
        <v>1813.4636520000001</v>
      </c>
      <c r="G738" s="459"/>
    </row>
    <row r="739" spans="1:7" outlineLevel="1" x14ac:dyDescent="0.2">
      <c r="A739" s="17"/>
      <c r="B739" s="75"/>
      <c r="C739" s="1989" t="s">
        <v>3884</v>
      </c>
      <c r="D739" s="1989" t="s">
        <v>3885</v>
      </c>
      <c r="E739" s="1989">
        <v>52.95</v>
      </c>
      <c r="F739" s="38">
        <f t="shared" si="11"/>
        <v>4305.9596580000007</v>
      </c>
      <c r="G739" s="459"/>
    </row>
    <row r="740" spans="1:7" outlineLevel="1" x14ac:dyDescent="0.2">
      <c r="A740" s="17"/>
      <c r="B740" s="75"/>
      <c r="C740" s="1989" t="s">
        <v>3234</v>
      </c>
      <c r="D740" s="1989" t="s">
        <v>7506</v>
      </c>
      <c r="E740" s="1989">
        <v>22.3</v>
      </c>
      <c r="F740" s="38">
        <f t="shared" si="11"/>
        <v>1813.4636520000001</v>
      </c>
      <c r="G740" s="459"/>
    </row>
    <row r="741" spans="1:7" outlineLevel="1" x14ac:dyDescent="0.2">
      <c r="A741" s="17"/>
      <c r="B741" s="75"/>
      <c r="C741" s="1989" t="s">
        <v>3235</v>
      </c>
      <c r="D741" s="1989" t="s">
        <v>5476</v>
      </c>
      <c r="E741" s="1989">
        <v>34.26</v>
      </c>
      <c r="F741" s="38">
        <f t="shared" si="11"/>
        <v>2786.0656823999998</v>
      </c>
      <c r="G741" s="459"/>
    </row>
    <row r="742" spans="1:7" outlineLevel="1" x14ac:dyDescent="0.2">
      <c r="A742" s="17"/>
      <c r="B742" s="75"/>
      <c r="C742" s="1989" t="s">
        <v>3886</v>
      </c>
      <c r="D742" s="1989" t="s">
        <v>7521</v>
      </c>
      <c r="E742" s="1989">
        <v>53.08</v>
      </c>
      <c r="F742" s="38">
        <f t="shared" si="11"/>
        <v>4316.5314192000005</v>
      </c>
      <c r="G742" s="459"/>
    </row>
    <row r="743" spans="1:7" outlineLevel="1" x14ac:dyDescent="0.2">
      <c r="A743" s="17"/>
      <c r="B743" s="75"/>
      <c r="C743" s="1989" t="s">
        <v>3887</v>
      </c>
      <c r="D743" s="1989" t="s">
        <v>7522</v>
      </c>
      <c r="E743" s="1989">
        <v>59.46</v>
      </c>
      <c r="F743" s="38">
        <f t="shared" si="11"/>
        <v>4835.3609304000011</v>
      </c>
      <c r="G743" s="459"/>
    </row>
    <row r="744" spans="1:7" outlineLevel="1" x14ac:dyDescent="0.2">
      <c r="A744" s="17"/>
      <c r="B744" s="75"/>
      <c r="C744" s="1989" t="s">
        <v>3236</v>
      </c>
      <c r="D744" s="1989" t="s">
        <v>319</v>
      </c>
      <c r="E744" s="1989">
        <v>42.96</v>
      </c>
      <c r="F744" s="38">
        <f t="shared" si="11"/>
        <v>3493.5604704000002</v>
      </c>
      <c r="G744" s="459"/>
    </row>
    <row r="745" spans="1:7" outlineLevel="1" x14ac:dyDescent="0.2">
      <c r="A745" s="17"/>
      <c r="B745" s="75"/>
      <c r="C745" s="1989" t="s">
        <v>3237</v>
      </c>
      <c r="D745" s="1989" t="s">
        <v>5475</v>
      </c>
      <c r="E745" s="1989">
        <v>95.67</v>
      </c>
      <c r="F745" s="38">
        <f t="shared" si="11"/>
        <v>7780.0030308000005</v>
      </c>
      <c r="G745" s="459"/>
    </row>
    <row r="746" spans="1:7" outlineLevel="1" x14ac:dyDescent="0.2">
      <c r="A746" s="17"/>
      <c r="B746" s="75"/>
      <c r="C746" s="1989" t="s">
        <v>3238</v>
      </c>
      <c r="D746" s="1989" t="s">
        <v>2908</v>
      </c>
      <c r="E746" s="1989">
        <v>24.08</v>
      </c>
      <c r="F746" s="38">
        <f t="shared" si="11"/>
        <v>1958.2154591999999</v>
      </c>
      <c r="G746" s="459"/>
    </row>
    <row r="747" spans="1:7" outlineLevel="1" x14ac:dyDescent="0.2">
      <c r="A747" s="17"/>
      <c r="B747" s="75"/>
      <c r="C747" s="1989" t="s">
        <v>4540</v>
      </c>
      <c r="D747" s="1989" t="s">
        <v>5483</v>
      </c>
      <c r="E747" s="1989">
        <v>42.72</v>
      </c>
      <c r="F747" s="38">
        <f t="shared" si="11"/>
        <v>3474.0433727999998</v>
      </c>
      <c r="G747" s="459"/>
    </row>
    <row r="748" spans="1:7" outlineLevel="1" x14ac:dyDescent="0.2">
      <c r="A748" s="17"/>
      <c r="B748" s="75"/>
      <c r="C748" s="1989" t="s">
        <v>3888</v>
      </c>
      <c r="D748" s="1989" t="s">
        <v>5484</v>
      </c>
      <c r="E748" s="1989">
        <v>44.51</v>
      </c>
      <c r="F748" s="38">
        <f t="shared" si="11"/>
        <v>3619.6083924000004</v>
      </c>
      <c r="G748" s="459"/>
    </row>
    <row r="749" spans="1:7" outlineLevel="1" x14ac:dyDescent="0.2">
      <c r="A749" s="17"/>
      <c r="B749" s="75"/>
      <c r="C749" s="1989" t="s">
        <v>3889</v>
      </c>
      <c r="D749" s="1989" t="s">
        <v>5485</v>
      </c>
      <c r="E749" s="1989">
        <v>14.88</v>
      </c>
      <c r="F749" s="38">
        <f t="shared" si="11"/>
        <v>1210.0600512000001</v>
      </c>
      <c r="G749" s="459"/>
    </row>
    <row r="750" spans="1:7" outlineLevel="1" x14ac:dyDescent="0.2">
      <c r="A750" s="17"/>
      <c r="B750" s="75"/>
      <c r="C750" s="1989" t="s">
        <v>3890</v>
      </c>
      <c r="D750" s="1989" t="s">
        <v>5486</v>
      </c>
      <c r="E750" s="1989">
        <v>14.88</v>
      </c>
      <c r="F750" s="38">
        <f t="shared" si="11"/>
        <v>1210.0600512000001</v>
      </c>
      <c r="G750" s="459"/>
    </row>
    <row r="751" spans="1:7" outlineLevel="1" x14ac:dyDescent="0.2">
      <c r="A751" s="17"/>
      <c r="B751" s="75"/>
      <c r="C751" s="1989" t="s">
        <v>3239</v>
      </c>
      <c r="D751" s="1989" t="s">
        <v>5478</v>
      </c>
      <c r="E751" s="1989">
        <v>39.450000000000003</v>
      </c>
      <c r="F751" s="38">
        <f t="shared" si="11"/>
        <v>3208.1229180000005</v>
      </c>
      <c r="G751" s="459"/>
    </row>
    <row r="752" spans="1:7" outlineLevel="1" x14ac:dyDescent="0.2">
      <c r="A752" s="17"/>
      <c r="B752" s="75"/>
      <c r="C752" s="1989" t="s">
        <v>3891</v>
      </c>
      <c r="D752" s="1989" t="s">
        <v>5479</v>
      </c>
      <c r="E752" s="1989">
        <v>43.51</v>
      </c>
      <c r="F752" s="38">
        <f t="shared" si="11"/>
        <v>3538.2871524000002</v>
      </c>
      <c r="G752" s="459"/>
    </row>
    <row r="753" spans="1:7" outlineLevel="1" x14ac:dyDescent="0.2">
      <c r="A753" s="17"/>
      <c r="B753" s="75"/>
      <c r="C753" s="1989" t="s">
        <v>3892</v>
      </c>
      <c r="D753" s="1989" t="s">
        <v>5487</v>
      </c>
      <c r="E753" s="1989">
        <v>32.159999999999997</v>
      </c>
      <c r="F753" s="38">
        <f t="shared" si="11"/>
        <v>2615.2910783999996</v>
      </c>
      <c r="G753" s="459"/>
    </row>
    <row r="754" spans="1:7" outlineLevel="1" x14ac:dyDescent="0.2">
      <c r="A754" s="17"/>
      <c r="B754" s="75"/>
      <c r="C754" s="1989" t="s">
        <v>3893</v>
      </c>
      <c r="D754" s="1989" t="s">
        <v>3894</v>
      </c>
      <c r="E754" s="1989">
        <v>33.15</v>
      </c>
      <c r="F754" s="38">
        <f t="shared" si="11"/>
        <v>2695.7991059999999</v>
      </c>
      <c r="G754" s="459"/>
    </row>
    <row r="755" spans="1:7" outlineLevel="1" x14ac:dyDescent="0.2">
      <c r="A755" s="17"/>
      <c r="B755" s="75"/>
      <c r="C755" s="1989" t="s">
        <v>3240</v>
      </c>
      <c r="D755" s="1989" t="s">
        <v>1543</v>
      </c>
      <c r="E755" s="1989">
        <v>40.43</v>
      </c>
      <c r="F755" s="38">
        <f t="shared" si="11"/>
        <v>3287.8177332</v>
      </c>
      <c r="G755" s="459"/>
    </row>
    <row r="756" spans="1:7" outlineLevel="1" x14ac:dyDescent="0.2">
      <c r="A756" s="17"/>
      <c r="B756" s="75"/>
      <c r="C756" s="1989" t="s">
        <v>900</v>
      </c>
      <c r="D756" s="1989" t="s">
        <v>1483</v>
      </c>
      <c r="E756" s="1989">
        <v>14.71</v>
      </c>
      <c r="F756" s="38">
        <f t="shared" si="11"/>
        <v>1196.2354404000002</v>
      </c>
      <c r="G756" s="459"/>
    </row>
    <row r="757" spans="1:7" outlineLevel="1" x14ac:dyDescent="0.2">
      <c r="A757" s="17"/>
      <c r="B757" s="75"/>
      <c r="C757" s="1989" t="s">
        <v>1484</v>
      </c>
      <c r="D757" s="1989" t="s">
        <v>1485</v>
      </c>
      <c r="E757" s="1989">
        <v>14.71</v>
      </c>
      <c r="F757" s="38">
        <f t="shared" si="11"/>
        <v>1196.2354404000002</v>
      </c>
      <c r="G757" s="459"/>
    </row>
    <row r="758" spans="1:7" outlineLevel="1" x14ac:dyDescent="0.2">
      <c r="A758" s="17"/>
      <c r="B758" s="75"/>
      <c r="C758" s="1989" t="s">
        <v>1486</v>
      </c>
      <c r="D758" s="1989" t="s">
        <v>1487</v>
      </c>
      <c r="E758" s="1989">
        <v>14.58</v>
      </c>
      <c r="F758" s="38">
        <f t="shared" si="11"/>
        <v>1185.6636791999999</v>
      </c>
      <c r="G758" s="459"/>
    </row>
    <row r="759" spans="1:7" outlineLevel="1" x14ac:dyDescent="0.2">
      <c r="A759" s="17"/>
      <c r="B759" s="75"/>
      <c r="C759" s="1989" t="s">
        <v>794</v>
      </c>
      <c r="D759" s="1989" t="s">
        <v>1488</v>
      </c>
      <c r="E759" s="1989">
        <v>14.58</v>
      </c>
      <c r="F759" s="38">
        <f t="shared" si="11"/>
        <v>1185.6636791999999</v>
      </c>
      <c r="G759" s="459"/>
    </row>
    <row r="760" spans="1:7" outlineLevel="1" x14ac:dyDescent="0.2">
      <c r="A760" s="17"/>
      <c r="B760" s="75"/>
      <c r="C760" s="1989" t="s">
        <v>887</v>
      </c>
      <c r="D760" s="1989" t="s">
        <v>7523</v>
      </c>
      <c r="E760" s="1989">
        <v>25.89</v>
      </c>
      <c r="F760" s="38">
        <f t="shared" si="11"/>
        <v>2105.4069036000001</v>
      </c>
      <c r="G760" s="459"/>
    </row>
    <row r="761" spans="1:7" outlineLevel="1" x14ac:dyDescent="0.2">
      <c r="A761" s="17"/>
      <c r="B761" s="75"/>
      <c r="C761" s="1989" t="s">
        <v>1533</v>
      </c>
      <c r="D761" s="1989" t="s">
        <v>5488</v>
      </c>
      <c r="E761" s="1989">
        <v>56.44</v>
      </c>
      <c r="F761" s="38">
        <f t="shared" si="11"/>
        <v>4589.7707855999997</v>
      </c>
      <c r="G761" s="459"/>
    </row>
    <row r="762" spans="1:7" outlineLevel="1" x14ac:dyDescent="0.2">
      <c r="A762" s="17"/>
      <c r="B762" s="75"/>
      <c r="C762" s="1989" t="s">
        <v>885</v>
      </c>
      <c r="D762" s="1989" t="s">
        <v>5489</v>
      </c>
      <c r="E762" s="1989">
        <v>25.17</v>
      </c>
      <c r="F762" s="38">
        <f t="shared" si="11"/>
        <v>2046.8556108000002</v>
      </c>
      <c r="G762" s="459"/>
    </row>
    <row r="763" spans="1:7" outlineLevel="1" x14ac:dyDescent="0.2">
      <c r="A763" s="17"/>
      <c r="B763" s="75"/>
      <c r="C763" s="1989" t="s">
        <v>1534</v>
      </c>
      <c r="D763" s="1989" t="s">
        <v>5490</v>
      </c>
      <c r="E763" s="1989">
        <v>54.87</v>
      </c>
      <c r="F763" s="38">
        <f t="shared" si="11"/>
        <v>4462.0964388000002</v>
      </c>
      <c r="G763" s="459"/>
    </row>
    <row r="764" spans="1:7" outlineLevel="1" x14ac:dyDescent="0.2">
      <c r="A764" s="17"/>
      <c r="B764" s="75"/>
      <c r="C764" s="1989" t="s">
        <v>884</v>
      </c>
      <c r="D764" s="1989" t="s">
        <v>5491</v>
      </c>
      <c r="E764" s="1989">
        <v>25.17</v>
      </c>
      <c r="F764" s="38">
        <f t="shared" si="11"/>
        <v>2046.8556108000002</v>
      </c>
      <c r="G764" s="459"/>
    </row>
    <row r="765" spans="1:7" outlineLevel="1" x14ac:dyDescent="0.2">
      <c r="A765" s="17"/>
      <c r="B765" s="75"/>
      <c r="C765" s="1989" t="s">
        <v>1823</v>
      </c>
      <c r="D765" s="1989" t="s">
        <v>4541</v>
      </c>
      <c r="E765" s="1989">
        <v>25.89</v>
      </c>
      <c r="F765" s="38">
        <f t="shared" si="11"/>
        <v>2105.4069036000001</v>
      </c>
      <c r="G765" s="459"/>
    </row>
    <row r="766" spans="1:7" outlineLevel="1" x14ac:dyDescent="0.2">
      <c r="A766" s="17"/>
      <c r="B766" s="75"/>
      <c r="C766" s="1989" t="s">
        <v>1824</v>
      </c>
      <c r="D766" s="1989" t="s">
        <v>5492</v>
      </c>
      <c r="E766" s="1989">
        <v>25.17</v>
      </c>
      <c r="F766" s="38">
        <f t="shared" si="11"/>
        <v>2046.8556108000002</v>
      </c>
      <c r="G766" s="459"/>
    </row>
    <row r="767" spans="1:7" outlineLevel="1" x14ac:dyDescent="0.2">
      <c r="A767" s="17"/>
      <c r="B767" s="75"/>
      <c r="C767" s="1989" t="s">
        <v>1535</v>
      </c>
      <c r="D767" s="1989" t="s">
        <v>5493</v>
      </c>
      <c r="E767" s="1989">
        <v>56.44</v>
      </c>
      <c r="F767" s="38">
        <f t="shared" si="11"/>
        <v>4589.7707855999997</v>
      </c>
      <c r="G767" s="459"/>
    </row>
    <row r="768" spans="1:7" outlineLevel="1" x14ac:dyDescent="0.2">
      <c r="A768" s="17"/>
      <c r="B768" s="75"/>
      <c r="C768" s="1989" t="s">
        <v>1536</v>
      </c>
      <c r="D768" s="1989" t="s">
        <v>4542</v>
      </c>
      <c r="E768" s="1989">
        <v>56.44</v>
      </c>
      <c r="F768" s="38">
        <f t="shared" si="11"/>
        <v>4589.7707855999997</v>
      </c>
      <c r="G768" s="459"/>
    </row>
    <row r="769" spans="1:7" outlineLevel="1" x14ac:dyDescent="0.2">
      <c r="A769" s="17"/>
      <c r="B769" s="75"/>
      <c r="C769" s="1989" t="s">
        <v>1537</v>
      </c>
      <c r="D769" s="1989" t="s">
        <v>5494</v>
      </c>
      <c r="E769" s="1989">
        <v>56.44</v>
      </c>
      <c r="F769" s="38">
        <f t="shared" si="11"/>
        <v>4589.7707855999997</v>
      </c>
      <c r="G769" s="459"/>
    </row>
    <row r="770" spans="1:7" outlineLevel="1" x14ac:dyDescent="0.2">
      <c r="A770" s="17"/>
      <c r="B770" s="75"/>
      <c r="C770" s="1989" t="s">
        <v>883</v>
      </c>
      <c r="D770" s="1989" t="s">
        <v>7524</v>
      </c>
      <c r="E770" s="1989">
        <v>25.17</v>
      </c>
      <c r="F770" s="38">
        <f t="shared" si="11"/>
        <v>2046.8556108000002</v>
      </c>
      <c r="G770" s="459"/>
    </row>
    <row r="771" spans="1:7" outlineLevel="1" x14ac:dyDescent="0.2">
      <c r="A771" s="17"/>
      <c r="B771" s="75"/>
      <c r="C771" s="1989" t="s">
        <v>1538</v>
      </c>
      <c r="D771" s="1989" t="s">
        <v>5495</v>
      </c>
      <c r="E771" s="1989">
        <v>56.44</v>
      </c>
      <c r="F771" s="38">
        <f t="shared" si="11"/>
        <v>4589.7707855999997</v>
      </c>
      <c r="G771" s="459"/>
    </row>
    <row r="772" spans="1:7" outlineLevel="1" x14ac:dyDescent="0.2">
      <c r="A772" s="17"/>
      <c r="B772" s="75"/>
      <c r="C772" s="1989" t="s">
        <v>1822</v>
      </c>
      <c r="D772" s="1989" t="s">
        <v>7525</v>
      </c>
      <c r="E772" s="1989">
        <v>25.17</v>
      </c>
      <c r="F772" s="38">
        <f t="shared" si="11"/>
        <v>2046.8556108000002</v>
      </c>
      <c r="G772" s="459"/>
    </row>
    <row r="773" spans="1:7" outlineLevel="1" x14ac:dyDescent="0.2">
      <c r="A773" s="17"/>
      <c r="B773" s="75"/>
      <c r="C773" s="1989" t="s">
        <v>1821</v>
      </c>
      <c r="D773" s="1989" t="s">
        <v>7526</v>
      </c>
      <c r="E773" s="1989">
        <v>25.89</v>
      </c>
      <c r="F773" s="38">
        <f t="shared" si="11"/>
        <v>2105.4069036000001</v>
      </c>
      <c r="G773" s="459"/>
    </row>
    <row r="774" spans="1:7" outlineLevel="1" x14ac:dyDescent="0.2">
      <c r="A774" s="17"/>
      <c r="B774" s="75"/>
      <c r="C774" s="1989" t="s">
        <v>1544</v>
      </c>
      <c r="D774" s="1989" t="s">
        <v>7527</v>
      </c>
      <c r="E774" s="1989">
        <v>56.44</v>
      </c>
      <c r="F774" s="38">
        <f t="shared" si="11"/>
        <v>4589.7707855999997</v>
      </c>
      <c r="G774" s="459"/>
    </row>
    <row r="775" spans="1:7" outlineLevel="1" x14ac:dyDescent="0.2">
      <c r="A775" s="17"/>
      <c r="B775" s="75"/>
      <c r="C775" s="1989" t="s">
        <v>1545</v>
      </c>
      <c r="D775" s="1989" t="s">
        <v>7528</v>
      </c>
      <c r="E775" s="1989">
        <v>56.44</v>
      </c>
      <c r="F775" s="38">
        <f t="shared" si="11"/>
        <v>4589.7707855999997</v>
      </c>
      <c r="G775" s="459"/>
    </row>
    <row r="776" spans="1:7" outlineLevel="1" x14ac:dyDescent="0.2">
      <c r="A776" s="17"/>
      <c r="B776" s="75"/>
      <c r="C776" s="1989" t="s">
        <v>886</v>
      </c>
      <c r="D776" s="1989" t="s">
        <v>7529</v>
      </c>
      <c r="E776" s="1989">
        <v>25.89</v>
      </c>
      <c r="F776" s="38">
        <f t="shared" si="11"/>
        <v>2105.4069036000001</v>
      </c>
      <c r="G776" s="459"/>
    </row>
    <row r="777" spans="1:7" outlineLevel="1" x14ac:dyDescent="0.2">
      <c r="A777" s="17"/>
      <c r="B777" s="75"/>
      <c r="C777" s="1989" t="s">
        <v>1546</v>
      </c>
      <c r="D777" s="1989" t="s">
        <v>7530</v>
      </c>
      <c r="E777" s="1989">
        <v>56.44</v>
      </c>
      <c r="F777" s="38">
        <f t="shared" si="11"/>
        <v>4589.7707855999997</v>
      </c>
      <c r="G777" s="459"/>
    </row>
    <row r="778" spans="1:7" outlineLevel="1" x14ac:dyDescent="0.2">
      <c r="A778" s="17"/>
      <c r="B778" s="75"/>
      <c r="C778" s="1989" t="s">
        <v>2017</v>
      </c>
      <c r="D778" s="1989" t="s">
        <v>7531</v>
      </c>
      <c r="E778" s="1989">
        <v>6.53</v>
      </c>
      <c r="F778" s="38">
        <f t="shared" si="11"/>
        <v>531.02769720000003</v>
      </c>
      <c r="G778" s="459"/>
    </row>
    <row r="779" spans="1:7" outlineLevel="1" x14ac:dyDescent="0.2">
      <c r="A779" s="17"/>
      <c r="B779" s="75"/>
      <c r="C779" s="1989" t="s">
        <v>2018</v>
      </c>
      <c r="D779" s="1989" t="s">
        <v>7532</v>
      </c>
      <c r="E779" s="1989">
        <v>1.97</v>
      </c>
      <c r="F779" s="38">
        <f t="shared" si="11"/>
        <v>160.20284280000001</v>
      </c>
      <c r="G779" s="459"/>
    </row>
    <row r="780" spans="1:7" outlineLevel="1" x14ac:dyDescent="0.2">
      <c r="A780" s="17"/>
      <c r="B780" s="75"/>
      <c r="C780" s="1989" t="s">
        <v>2019</v>
      </c>
      <c r="D780" s="1989" t="s">
        <v>7533</v>
      </c>
      <c r="E780" s="1989">
        <v>6.53</v>
      </c>
      <c r="F780" s="38">
        <f t="shared" si="11"/>
        <v>531.02769720000003</v>
      </c>
      <c r="G780" s="459"/>
    </row>
    <row r="781" spans="1:7" outlineLevel="1" x14ac:dyDescent="0.2">
      <c r="A781" s="17"/>
      <c r="B781" s="75"/>
      <c r="C781" s="1989" t="s">
        <v>2406</v>
      </c>
      <c r="D781" s="1989" t="s">
        <v>5496</v>
      </c>
      <c r="E781" s="1989">
        <v>1.56</v>
      </c>
      <c r="F781" s="38">
        <f t="shared" si="11"/>
        <v>126.8611344</v>
      </c>
      <c r="G781" s="459"/>
    </row>
    <row r="782" spans="1:7" outlineLevel="1" x14ac:dyDescent="0.2">
      <c r="A782" s="17"/>
      <c r="B782" s="75"/>
      <c r="C782" s="1989" t="s">
        <v>2026</v>
      </c>
      <c r="D782" s="1989" t="s">
        <v>5497</v>
      </c>
      <c r="E782" s="1989">
        <v>2.63</v>
      </c>
      <c r="F782" s="38">
        <f t="shared" si="11"/>
        <v>213.8748612</v>
      </c>
      <c r="G782" s="459"/>
    </row>
    <row r="783" spans="1:7" outlineLevel="1" x14ac:dyDescent="0.2">
      <c r="A783" s="17"/>
      <c r="B783" s="75"/>
      <c r="C783" s="1989" t="s">
        <v>723</v>
      </c>
      <c r="D783" s="1989" t="s">
        <v>7534</v>
      </c>
      <c r="E783" s="1989">
        <v>6.6</v>
      </c>
      <c r="F783" s="38">
        <f t="shared" si="11"/>
        <v>536.72018400000002</v>
      </c>
      <c r="G783" s="459"/>
    </row>
    <row r="784" spans="1:7" outlineLevel="1" x14ac:dyDescent="0.2">
      <c r="A784" s="17"/>
      <c r="B784" s="75"/>
      <c r="C784" s="1989" t="s">
        <v>724</v>
      </c>
      <c r="D784" s="1989" t="s">
        <v>7535</v>
      </c>
      <c r="E784" s="1989">
        <v>6.6</v>
      </c>
      <c r="F784" s="38">
        <f t="shared" si="11"/>
        <v>536.72018400000002</v>
      </c>
      <c r="G784" s="459"/>
    </row>
    <row r="785" spans="1:7" outlineLevel="1" x14ac:dyDescent="0.2">
      <c r="A785" s="17"/>
      <c r="B785" s="75"/>
      <c r="C785" s="1989" t="s">
        <v>726</v>
      </c>
      <c r="D785" s="1989" t="s">
        <v>3241</v>
      </c>
      <c r="E785" s="1989">
        <v>0.5</v>
      </c>
      <c r="F785" s="38">
        <f t="shared" si="11"/>
        <v>40.660620000000002</v>
      </c>
      <c r="G785" s="459"/>
    </row>
    <row r="786" spans="1:7" outlineLevel="1" x14ac:dyDescent="0.2">
      <c r="A786" s="17"/>
      <c r="B786" s="75"/>
      <c r="C786" s="1989" t="s">
        <v>737</v>
      </c>
      <c r="D786" s="1989" t="s">
        <v>3242</v>
      </c>
      <c r="E786" s="1989">
        <v>5.55</v>
      </c>
      <c r="F786" s="38">
        <f t="shared" si="11"/>
        <v>451.33288199999998</v>
      </c>
      <c r="G786" s="459"/>
    </row>
    <row r="787" spans="1:7" outlineLevel="1" x14ac:dyDescent="0.2">
      <c r="A787" s="17"/>
      <c r="B787" s="75"/>
      <c r="C787" s="1989" t="s">
        <v>739</v>
      </c>
      <c r="D787" s="1989" t="s">
        <v>7536</v>
      </c>
      <c r="E787" s="1989">
        <v>2.4900000000000002</v>
      </c>
      <c r="F787" s="38">
        <f t="shared" si="11"/>
        <v>202.4898876</v>
      </c>
      <c r="G787" s="459"/>
    </row>
    <row r="788" spans="1:7" outlineLevel="1" x14ac:dyDescent="0.2">
      <c r="A788" s="17"/>
      <c r="B788" s="75"/>
      <c r="C788" s="1989" t="s">
        <v>740</v>
      </c>
      <c r="D788" s="1989" t="s">
        <v>7537</v>
      </c>
      <c r="E788" s="1989">
        <v>2.57</v>
      </c>
      <c r="F788" s="38">
        <f t="shared" si="11"/>
        <v>208.99558679999998</v>
      </c>
      <c r="G788" s="459"/>
    </row>
    <row r="789" spans="1:7" outlineLevel="1" x14ac:dyDescent="0.2">
      <c r="A789" s="17"/>
      <c r="B789" s="75"/>
      <c r="C789" s="1989" t="s">
        <v>742</v>
      </c>
      <c r="D789" s="1989" t="s">
        <v>7538</v>
      </c>
      <c r="E789" s="1989">
        <v>2.54</v>
      </c>
      <c r="F789" s="38">
        <f t="shared" si="11"/>
        <v>206.55594960000002</v>
      </c>
      <c r="G789" s="459"/>
    </row>
    <row r="790" spans="1:7" outlineLevel="1" x14ac:dyDescent="0.2">
      <c r="A790" s="17"/>
      <c r="B790" s="75"/>
      <c r="C790" s="1989" t="s">
        <v>2911</v>
      </c>
      <c r="D790" s="1989" t="s">
        <v>2912</v>
      </c>
      <c r="E790" s="1989">
        <v>12.46</v>
      </c>
      <c r="F790" s="38">
        <f t="shared" si="11"/>
        <v>1013.2626504000001</v>
      </c>
      <c r="G790" s="459"/>
    </row>
    <row r="791" spans="1:7" outlineLevel="1" x14ac:dyDescent="0.2">
      <c r="A791" s="17"/>
      <c r="B791" s="75"/>
      <c r="C791" s="1989" t="s">
        <v>745</v>
      </c>
      <c r="D791" s="1989" t="s">
        <v>7539</v>
      </c>
      <c r="E791" s="1989">
        <v>5.83</v>
      </c>
      <c r="F791" s="38">
        <f t="shared" si="11"/>
        <v>474.10282920000003</v>
      </c>
      <c r="G791" s="459"/>
    </row>
    <row r="792" spans="1:7" outlineLevel="1" x14ac:dyDescent="0.2">
      <c r="A792" s="17"/>
      <c r="B792" s="75"/>
      <c r="C792" s="1989" t="s">
        <v>2913</v>
      </c>
      <c r="D792" s="1989" t="s">
        <v>2914</v>
      </c>
      <c r="E792" s="1989">
        <v>12.46</v>
      </c>
      <c r="F792" s="38">
        <f t="shared" si="11"/>
        <v>1013.2626504000001</v>
      </c>
      <c r="G792" s="459"/>
    </row>
    <row r="793" spans="1:7" outlineLevel="1" x14ac:dyDescent="0.2">
      <c r="A793" s="17"/>
      <c r="B793" s="75"/>
      <c r="C793" s="1989" t="s">
        <v>746</v>
      </c>
      <c r="D793" s="1989" t="s">
        <v>7540</v>
      </c>
      <c r="E793" s="1989">
        <v>2.54</v>
      </c>
      <c r="F793" s="38">
        <f t="shared" si="11"/>
        <v>206.55594960000002</v>
      </c>
      <c r="G793" s="459"/>
    </row>
    <row r="794" spans="1:7" outlineLevel="1" x14ac:dyDescent="0.2">
      <c r="A794" s="17"/>
      <c r="B794" s="75"/>
      <c r="C794" s="1989" t="s">
        <v>747</v>
      </c>
      <c r="D794" s="1989" t="s">
        <v>5498</v>
      </c>
      <c r="E794" s="1989">
        <v>2.76</v>
      </c>
      <c r="F794" s="38">
        <f t="shared" si="11"/>
        <v>224.4466224</v>
      </c>
      <c r="G794" s="459"/>
    </row>
    <row r="795" spans="1:7" outlineLevel="1" x14ac:dyDescent="0.2">
      <c r="A795" s="17"/>
      <c r="B795" s="75"/>
      <c r="C795" s="1989" t="s">
        <v>752</v>
      </c>
      <c r="D795" s="1989" t="s">
        <v>5499</v>
      </c>
      <c r="E795" s="1989">
        <v>2.68</v>
      </c>
      <c r="F795" s="38">
        <f t="shared" si="11"/>
        <v>217.94092320000004</v>
      </c>
      <c r="G795" s="459"/>
    </row>
    <row r="796" spans="1:7" outlineLevel="1" x14ac:dyDescent="0.2">
      <c r="A796" s="17"/>
      <c r="B796" s="75"/>
      <c r="C796" s="1989" t="s">
        <v>754</v>
      </c>
      <c r="D796" s="1989" t="s">
        <v>7541</v>
      </c>
      <c r="E796" s="1989">
        <v>5.83</v>
      </c>
      <c r="F796" s="38">
        <f t="shared" si="11"/>
        <v>474.10282920000003</v>
      </c>
      <c r="G796" s="459"/>
    </row>
    <row r="797" spans="1:7" outlineLevel="1" x14ac:dyDescent="0.2">
      <c r="A797" s="17"/>
      <c r="B797" s="75"/>
      <c r="C797" s="1989" t="s">
        <v>755</v>
      </c>
      <c r="D797" s="1989" t="s">
        <v>5500</v>
      </c>
      <c r="E797" s="1989">
        <v>2.7</v>
      </c>
      <c r="F797" s="38">
        <f t="shared" si="11"/>
        <v>219.56734800000004</v>
      </c>
      <c r="G797" s="459"/>
    </row>
    <row r="798" spans="1:7" outlineLevel="1" x14ac:dyDescent="0.2">
      <c r="A798" s="17"/>
      <c r="B798" s="75"/>
      <c r="C798" s="1989" t="s">
        <v>756</v>
      </c>
      <c r="D798" s="1989" t="s">
        <v>3209</v>
      </c>
      <c r="E798" s="1989">
        <v>3.73</v>
      </c>
      <c r="F798" s="38">
        <f t="shared" si="11"/>
        <v>303.32822520000002</v>
      </c>
      <c r="G798" s="459"/>
    </row>
    <row r="799" spans="1:7" outlineLevel="1" x14ac:dyDescent="0.2">
      <c r="A799" s="17"/>
      <c r="B799" s="75"/>
      <c r="C799" s="1989" t="s">
        <v>759</v>
      </c>
      <c r="D799" s="1989" t="s">
        <v>7542</v>
      </c>
      <c r="E799" s="1989">
        <v>2.62</v>
      </c>
      <c r="F799" s="38">
        <f t="shared" ref="F799:F862" si="12">E799*$G$4*$J$4</f>
        <v>213.06164880000003</v>
      </c>
      <c r="G799" s="459"/>
    </row>
    <row r="800" spans="1:7" outlineLevel="1" x14ac:dyDescent="0.2">
      <c r="A800" s="17"/>
      <c r="B800" s="75"/>
      <c r="C800" s="1989" t="s">
        <v>767</v>
      </c>
      <c r="D800" s="1989" t="s">
        <v>5501</v>
      </c>
      <c r="E800" s="1989">
        <v>2.76</v>
      </c>
      <c r="F800" s="38">
        <f t="shared" si="12"/>
        <v>224.4466224</v>
      </c>
      <c r="G800" s="459"/>
    </row>
    <row r="801" spans="1:7" outlineLevel="1" x14ac:dyDescent="0.2">
      <c r="A801" s="17"/>
      <c r="B801" s="75"/>
      <c r="C801" s="1989" t="s">
        <v>780</v>
      </c>
      <c r="D801" s="1989" t="s">
        <v>7543</v>
      </c>
      <c r="E801" s="1989">
        <v>2.0099999999999998</v>
      </c>
      <c r="F801" s="38">
        <f t="shared" si="12"/>
        <v>163.45569239999998</v>
      </c>
      <c r="G801" s="459"/>
    </row>
    <row r="802" spans="1:7" outlineLevel="1" x14ac:dyDescent="0.2">
      <c r="A802" s="17"/>
      <c r="B802" s="75"/>
      <c r="C802" s="1989" t="s">
        <v>781</v>
      </c>
      <c r="D802" s="1989" t="s">
        <v>7544</v>
      </c>
      <c r="E802" s="1989">
        <v>5.96</v>
      </c>
      <c r="F802" s="38">
        <f t="shared" si="12"/>
        <v>484.67459040000006</v>
      </c>
      <c r="G802" s="459"/>
    </row>
    <row r="803" spans="1:7" outlineLevel="1" x14ac:dyDescent="0.2">
      <c r="A803" s="17"/>
      <c r="B803" s="75"/>
      <c r="C803" s="1989" t="s">
        <v>782</v>
      </c>
      <c r="D803" s="1989" t="s">
        <v>7545</v>
      </c>
      <c r="E803" s="1989">
        <v>5.96</v>
      </c>
      <c r="F803" s="38">
        <f t="shared" si="12"/>
        <v>484.67459040000006</v>
      </c>
      <c r="G803" s="459"/>
    </row>
    <row r="804" spans="1:7" outlineLevel="1" x14ac:dyDescent="0.2">
      <c r="A804" s="17"/>
      <c r="B804" s="75"/>
      <c r="C804" s="1989" t="s">
        <v>0</v>
      </c>
      <c r="D804" s="1989" t="s">
        <v>7546</v>
      </c>
      <c r="E804" s="1989">
        <v>2.0099999999999998</v>
      </c>
      <c r="F804" s="38">
        <f t="shared" si="12"/>
        <v>163.45569239999998</v>
      </c>
      <c r="G804" s="459"/>
    </row>
    <row r="805" spans="1:7" outlineLevel="1" x14ac:dyDescent="0.2">
      <c r="A805" s="17"/>
      <c r="B805" s="75"/>
      <c r="C805" s="1989" t="s">
        <v>2482</v>
      </c>
      <c r="D805" s="1989" t="s">
        <v>5502</v>
      </c>
      <c r="E805" s="1989">
        <v>1.69</v>
      </c>
      <c r="F805" s="38">
        <f t="shared" si="12"/>
        <v>137.43289560000002</v>
      </c>
      <c r="G805" s="459"/>
    </row>
    <row r="806" spans="1:7" outlineLevel="1" x14ac:dyDescent="0.2">
      <c r="A806" s="17"/>
      <c r="B806" s="75"/>
      <c r="C806" s="1989" t="s">
        <v>5200</v>
      </c>
      <c r="D806" s="1989" t="s">
        <v>5503</v>
      </c>
      <c r="E806" s="1989">
        <v>6.86</v>
      </c>
      <c r="F806" s="38">
        <f t="shared" si="12"/>
        <v>557.86370639999996</v>
      </c>
      <c r="G806" s="459"/>
    </row>
    <row r="807" spans="1:7" outlineLevel="1" x14ac:dyDescent="0.2">
      <c r="A807" s="17"/>
      <c r="B807" s="75"/>
      <c r="C807" s="1989" t="s">
        <v>5199</v>
      </c>
      <c r="D807" s="1989" t="s">
        <v>5504</v>
      </c>
      <c r="E807" s="1989">
        <v>6.86</v>
      </c>
      <c r="F807" s="38">
        <f t="shared" si="12"/>
        <v>557.86370639999996</v>
      </c>
      <c r="G807" s="459"/>
    </row>
    <row r="808" spans="1:7" outlineLevel="1" x14ac:dyDescent="0.2">
      <c r="A808" s="17"/>
      <c r="B808" s="75"/>
      <c r="C808" s="1989" t="s">
        <v>5202</v>
      </c>
      <c r="D808" s="1989" t="s">
        <v>7547</v>
      </c>
      <c r="E808" s="1989">
        <v>6.64</v>
      </c>
      <c r="F808" s="38">
        <f t="shared" si="12"/>
        <v>539.97303360000001</v>
      </c>
      <c r="G808" s="459"/>
    </row>
    <row r="809" spans="1:7" outlineLevel="1" x14ac:dyDescent="0.2">
      <c r="A809" s="17"/>
      <c r="B809" s="75"/>
      <c r="C809" s="1989" t="s">
        <v>5201</v>
      </c>
      <c r="D809" s="1989" t="s">
        <v>5505</v>
      </c>
      <c r="E809" s="1989">
        <v>6.64</v>
      </c>
      <c r="F809" s="38">
        <f t="shared" si="12"/>
        <v>539.97303360000001</v>
      </c>
      <c r="G809" s="459"/>
    </row>
    <row r="810" spans="1:7" outlineLevel="1" x14ac:dyDescent="0.2">
      <c r="A810" s="17"/>
      <c r="B810" s="75"/>
      <c r="C810" s="1989" t="s">
        <v>17</v>
      </c>
      <c r="D810" s="1989" t="s">
        <v>7548</v>
      </c>
      <c r="E810" s="1989">
        <v>15.84</v>
      </c>
      <c r="F810" s="38">
        <f t="shared" si="12"/>
        <v>1288.1284416000001</v>
      </c>
      <c r="G810" s="459"/>
    </row>
    <row r="811" spans="1:7" outlineLevel="1" x14ac:dyDescent="0.2">
      <c r="A811" s="17"/>
      <c r="B811" s="75"/>
      <c r="C811" s="1989" t="s">
        <v>22</v>
      </c>
      <c r="D811" s="1989" t="s">
        <v>5506</v>
      </c>
      <c r="E811" s="1989">
        <v>2.74</v>
      </c>
      <c r="F811" s="38">
        <f t="shared" si="12"/>
        <v>222.82019760000003</v>
      </c>
      <c r="G811" s="459"/>
    </row>
    <row r="812" spans="1:7" outlineLevel="1" x14ac:dyDescent="0.2">
      <c r="A812" s="17"/>
      <c r="B812" s="75"/>
      <c r="C812" s="1989" t="s">
        <v>24</v>
      </c>
      <c r="D812" s="1989" t="s">
        <v>7549</v>
      </c>
      <c r="E812" s="1989">
        <v>2.62</v>
      </c>
      <c r="F812" s="38">
        <f t="shared" si="12"/>
        <v>213.06164880000003</v>
      </c>
      <c r="G812" s="459"/>
    </row>
    <row r="813" spans="1:7" outlineLevel="1" x14ac:dyDescent="0.2">
      <c r="A813" s="17"/>
      <c r="B813" s="75"/>
      <c r="C813" s="1989" t="s">
        <v>25</v>
      </c>
      <c r="D813" s="1989" t="s">
        <v>7550</v>
      </c>
      <c r="E813" s="1989">
        <v>1.97</v>
      </c>
      <c r="F813" s="38">
        <f t="shared" si="12"/>
        <v>160.20284280000001</v>
      </c>
      <c r="G813" s="459"/>
    </row>
    <row r="814" spans="1:7" outlineLevel="1" x14ac:dyDescent="0.2">
      <c r="A814" s="17"/>
      <c r="B814" s="75"/>
      <c r="C814" s="1989" t="s">
        <v>5198</v>
      </c>
      <c r="D814" s="1989" t="s">
        <v>7551</v>
      </c>
      <c r="E814" s="1989">
        <v>6.64</v>
      </c>
      <c r="F814" s="38">
        <f t="shared" si="12"/>
        <v>539.97303360000001</v>
      </c>
      <c r="G814" s="459"/>
    </row>
    <row r="815" spans="1:7" outlineLevel="1" x14ac:dyDescent="0.2">
      <c r="A815" s="17"/>
      <c r="B815" s="75"/>
      <c r="C815" s="1989" t="s">
        <v>5197</v>
      </c>
      <c r="D815" s="1989" t="s">
        <v>7552</v>
      </c>
      <c r="E815" s="1989">
        <v>6.64</v>
      </c>
      <c r="F815" s="38">
        <f t="shared" si="12"/>
        <v>539.97303360000001</v>
      </c>
      <c r="G815" s="459"/>
    </row>
    <row r="816" spans="1:7" outlineLevel="1" x14ac:dyDescent="0.2">
      <c r="A816" s="17"/>
      <c r="B816" s="75"/>
      <c r="C816" s="1989" t="s">
        <v>5204</v>
      </c>
      <c r="D816" s="1989" t="s">
        <v>5507</v>
      </c>
      <c r="E816" s="1989">
        <v>6.71</v>
      </c>
      <c r="F816" s="38">
        <f t="shared" si="12"/>
        <v>545.66552039999999</v>
      </c>
      <c r="G816" s="459"/>
    </row>
    <row r="817" spans="1:7" outlineLevel="1" x14ac:dyDescent="0.2">
      <c r="A817" s="17"/>
      <c r="B817" s="75"/>
      <c r="C817" s="1989" t="s">
        <v>5203</v>
      </c>
      <c r="D817" s="1989" t="s">
        <v>5508</v>
      </c>
      <c r="E817" s="1989">
        <v>6.71</v>
      </c>
      <c r="F817" s="38">
        <f t="shared" si="12"/>
        <v>545.66552039999999</v>
      </c>
      <c r="G817" s="459"/>
    </row>
    <row r="818" spans="1:7" outlineLevel="1" x14ac:dyDescent="0.2">
      <c r="A818" s="17"/>
      <c r="B818" s="75"/>
      <c r="C818" s="1989" t="s">
        <v>3519</v>
      </c>
      <c r="D818" s="1989" t="s">
        <v>5509</v>
      </c>
      <c r="E818" s="1989">
        <v>4.8</v>
      </c>
      <c r="F818" s="38">
        <f t="shared" si="12"/>
        <v>390.34195199999999</v>
      </c>
      <c r="G818" s="459"/>
    </row>
    <row r="819" spans="1:7" outlineLevel="1" x14ac:dyDescent="0.2">
      <c r="A819" s="17"/>
      <c r="B819" s="75"/>
      <c r="C819" s="1989" t="s">
        <v>3520</v>
      </c>
      <c r="D819" s="1989" t="s">
        <v>5510</v>
      </c>
      <c r="E819" s="1989">
        <v>4.8</v>
      </c>
      <c r="F819" s="38">
        <f t="shared" si="12"/>
        <v>390.34195199999999</v>
      </c>
      <c r="G819" s="459"/>
    </row>
    <row r="820" spans="1:7" outlineLevel="1" x14ac:dyDescent="0.2">
      <c r="A820" s="17"/>
      <c r="B820" s="75"/>
      <c r="C820" s="1989" t="s">
        <v>3521</v>
      </c>
      <c r="D820" s="1989" t="s">
        <v>5511</v>
      </c>
      <c r="E820" s="1989">
        <v>4.8600000000000003</v>
      </c>
      <c r="F820" s="38">
        <f t="shared" si="12"/>
        <v>395.22122640000003</v>
      </c>
      <c r="G820" s="459"/>
    </row>
    <row r="821" spans="1:7" outlineLevel="1" x14ac:dyDescent="0.2">
      <c r="A821" s="17"/>
      <c r="B821" s="75"/>
      <c r="C821" s="1989" t="s">
        <v>3522</v>
      </c>
      <c r="D821" s="1989" t="s">
        <v>5512</v>
      </c>
      <c r="E821" s="1989">
        <v>4.8600000000000003</v>
      </c>
      <c r="F821" s="38">
        <f t="shared" si="12"/>
        <v>395.22122640000003</v>
      </c>
      <c r="G821" s="459"/>
    </row>
    <row r="822" spans="1:7" outlineLevel="1" x14ac:dyDescent="0.2">
      <c r="A822" s="17"/>
      <c r="B822" s="75"/>
      <c r="C822" s="1989" t="s">
        <v>46</v>
      </c>
      <c r="D822" s="1989" t="s">
        <v>7553</v>
      </c>
      <c r="E822" s="1989">
        <v>6.53</v>
      </c>
      <c r="F822" s="38">
        <f t="shared" si="12"/>
        <v>531.02769720000003</v>
      </c>
      <c r="G822" s="459"/>
    </row>
    <row r="823" spans="1:7" outlineLevel="1" x14ac:dyDescent="0.2">
      <c r="A823" s="17"/>
      <c r="B823" s="75"/>
      <c r="C823" s="1989" t="s">
        <v>47</v>
      </c>
      <c r="D823" s="1989" t="s">
        <v>48</v>
      </c>
      <c r="E823" s="1989">
        <v>2.68</v>
      </c>
      <c r="F823" s="38">
        <f t="shared" si="12"/>
        <v>217.94092320000004</v>
      </c>
      <c r="G823" s="459"/>
    </row>
    <row r="824" spans="1:7" outlineLevel="1" x14ac:dyDescent="0.2">
      <c r="A824" s="17"/>
      <c r="B824" s="75"/>
      <c r="C824" s="1989" t="s">
        <v>49</v>
      </c>
      <c r="D824" s="1989" t="s">
        <v>7554</v>
      </c>
      <c r="E824" s="1989">
        <v>6.53</v>
      </c>
      <c r="F824" s="38">
        <f t="shared" si="12"/>
        <v>531.02769720000003</v>
      </c>
      <c r="G824" s="459"/>
    </row>
    <row r="825" spans="1:7" outlineLevel="1" x14ac:dyDescent="0.2">
      <c r="A825" s="17"/>
      <c r="B825" s="75"/>
      <c r="C825" s="1989" t="s">
        <v>2915</v>
      </c>
      <c r="D825" s="1989" t="s">
        <v>2916</v>
      </c>
      <c r="E825" s="1989">
        <v>8.9</v>
      </c>
      <c r="F825" s="38">
        <f t="shared" si="12"/>
        <v>723.75903600000004</v>
      </c>
      <c r="G825" s="459"/>
    </row>
    <row r="826" spans="1:7" outlineLevel="1" x14ac:dyDescent="0.2">
      <c r="A826" s="17"/>
      <c r="B826" s="75"/>
      <c r="C826" s="1989" t="s">
        <v>2917</v>
      </c>
      <c r="D826" s="1989" t="s">
        <v>2918</v>
      </c>
      <c r="E826" s="1989">
        <v>4.46</v>
      </c>
      <c r="F826" s="38">
        <f t="shared" si="12"/>
        <v>362.69273039999996</v>
      </c>
      <c r="G826" s="459"/>
    </row>
    <row r="827" spans="1:7" outlineLevel="1" x14ac:dyDescent="0.2">
      <c r="A827" s="17"/>
      <c r="B827" s="75"/>
      <c r="C827" s="1989" t="s">
        <v>64</v>
      </c>
      <c r="D827" s="1989" t="s">
        <v>7555</v>
      </c>
      <c r="E827" s="1989">
        <v>2.4900000000000002</v>
      </c>
      <c r="F827" s="38">
        <f t="shared" si="12"/>
        <v>202.4898876</v>
      </c>
      <c r="G827" s="459"/>
    </row>
    <row r="828" spans="1:7" outlineLevel="1" x14ac:dyDescent="0.2">
      <c r="A828" s="17"/>
      <c r="B828" s="75"/>
      <c r="C828" s="1989" t="s">
        <v>2526</v>
      </c>
      <c r="D828" s="1989" t="s">
        <v>7556</v>
      </c>
      <c r="E828" s="1989">
        <v>3.52</v>
      </c>
      <c r="F828" s="38">
        <f t="shared" si="12"/>
        <v>286.25076480000001</v>
      </c>
      <c r="G828" s="459"/>
    </row>
    <row r="829" spans="1:7" outlineLevel="1" x14ac:dyDescent="0.2">
      <c r="A829" s="17"/>
      <c r="B829" s="75"/>
      <c r="C829" s="1989" t="s">
        <v>2919</v>
      </c>
      <c r="D829" s="1989" t="s">
        <v>3243</v>
      </c>
      <c r="E829" s="1989">
        <v>9.42</v>
      </c>
      <c r="F829" s="38">
        <f t="shared" si="12"/>
        <v>766.04608080000003</v>
      </c>
      <c r="G829" s="459"/>
    </row>
    <row r="830" spans="1:7" outlineLevel="1" x14ac:dyDescent="0.2">
      <c r="A830" s="17"/>
      <c r="B830" s="75"/>
      <c r="C830" s="1989" t="s">
        <v>2531</v>
      </c>
      <c r="D830" s="1989" t="s">
        <v>2532</v>
      </c>
      <c r="E830" s="1989">
        <v>17.11</v>
      </c>
      <c r="F830" s="38">
        <f t="shared" si="12"/>
        <v>1391.4064164000001</v>
      </c>
      <c r="G830" s="459"/>
    </row>
    <row r="831" spans="1:7" outlineLevel="1" x14ac:dyDescent="0.2">
      <c r="A831" s="17"/>
      <c r="B831" s="75"/>
      <c r="C831" s="1989" t="s">
        <v>2920</v>
      </c>
      <c r="D831" s="1989" t="s">
        <v>2921</v>
      </c>
      <c r="E831" s="1989">
        <v>8.9</v>
      </c>
      <c r="F831" s="38">
        <f t="shared" si="12"/>
        <v>723.75903600000004</v>
      </c>
      <c r="G831" s="459"/>
    </row>
    <row r="832" spans="1:7" outlineLevel="1" x14ac:dyDescent="0.2">
      <c r="A832" s="17"/>
      <c r="B832" s="75"/>
      <c r="C832" s="1989" t="s">
        <v>1867</v>
      </c>
      <c r="D832" s="1989" t="s">
        <v>7557</v>
      </c>
      <c r="E832" s="1989">
        <v>6.67</v>
      </c>
      <c r="F832" s="38">
        <f t="shared" si="12"/>
        <v>542.4126708</v>
      </c>
      <c r="G832" s="459"/>
    </row>
    <row r="833" spans="1:7" outlineLevel="1" x14ac:dyDescent="0.2">
      <c r="A833" s="17"/>
      <c r="B833" s="75"/>
      <c r="C833" s="1989" t="s">
        <v>1868</v>
      </c>
      <c r="D833" s="1989" t="s">
        <v>7558</v>
      </c>
      <c r="E833" s="1989">
        <v>6.67</v>
      </c>
      <c r="F833" s="38">
        <f t="shared" si="12"/>
        <v>542.4126708</v>
      </c>
      <c r="G833" s="459"/>
    </row>
    <row r="834" spans="1:7" outlineLevel="1" x14ac:dyDescent="0.2">
      <c r="A834" s="17"/>
      <c r="B834" s="75"/>
      <c r="C834" s="1989" t="s">
        <v>1869</v>
      </c>
      <c r="D834" s="1989" t="s">
        <v>7559</v>
      </c>
      <c r="E834" s="1989">
        <v>6.74</v>
      </c>
      <c r="F834" s="38">
        <f t="shared" si="12"/>
        <v>548.10515759999998</v>
      </c>
      <c r="G834" s="459"/>
    </row>
    <row r="835" spans="1:7" outlineLevel="1" x14ac:dyDescent="0.2">
      <c r="A835" s="17"/>
      <c r="B835" s="75"/>
      <c r="C835" s="1989" t="s">
        <v>1871</v>
      </c>
      <c r="D835" s="1989" t="s">
        <v>7560</v>
      </c>
      <c r="E835" s="1989">
        <v>6.74</v>
      </c>
      <c r="F835" s="38">
        <f t="shared" si="12"/>
        <v>548.10515759999998</v>
      </c>
      <c r="G835" s="459"/>
    </row>
    <row r="836" spans="1:7" outlineLevel="1" x14ac:dyDescent="0.2">
      <c r="A836" s="17"/>
      <c r="B836" s="75"/>
      <c r="C836" s="1989" t="s">
        <v>1874</v>
      </c>
      <c r="D836" s="1989" t="s">
        <v>5513</v>
      </c>
      <c r="E836" s="1989">
        <v>2.74</v>
      </c>
      <c r="F836" s="38">
        <f t="shared" si="12"/>
        <v>222.82019760000003</v>
      </c>
      <c r="G836" s="459"/>
    </row>
    <row r="837" spans="1:7" outlineLevel="1" x14ac:dyDescent="0.2">
      <c r="A837" s="17"/>
      <c r="B837" s="75"/>
      <c r="C837" s="1989" t="s">
        <v>1877</v>
      </c>
      <c r="D837" s="1989" t="s">
        <v>7561</v>
      </c>
      <c r="E837" s="1989">
        <v>6.53</v>
      </c>
      <c r="F837" s="38">
        <f t="shared" si="12"/>
        <v>531.02769720000003</v>
      </c>
      <c r="G837" s="459"/>
    </row>
    <row r="838" spans="1:7" outlineLevel="1" x14ac:dyDescent="0.2">
      <c r="A838" s="17"/>
      <c r="B838" s="75"/>
      <c r="C838" s="1989" t="s">
        <v>1878</v>
      </c>
      <c r="D838" s="1989" t="s">
        <v>7562</v>
      </c>
      <c r="E838" s="1989">
        <v>6.53</v>
      </c>
      <c r="F838" s="38">
        <f t="shared" si="12"/>
        <v>531.02769720000003</v>
      </c>
      <c r="G838" s="459"/>
    </row>
    <row r="839" spans="1:7" outlineLevel="1" x14ac:dyDescent="0.2">
      <c r="A839" s="17"/>
      <c r="B839" s="75"/>
      <c r="C839" s="1989" t="s">
        <v>1881</v>
      </c>
      <c r="D839" s="1989" t="s">
        <v>7563</v>
      </c>
      <c r="E839" s="1989">
        <v>2.57</v>
      </c>
      <c r="F839" s="38">
        <f t="shared" si="12"/>
        <v>208.99558679999998</v>
      </c>
      <c r="G839" s="459"/>
    </row>
    <row r="840" spans="1:7" outlineLevel="1" x14ac:dyDescent="0.2">
      <c r="A840" s="17"/>
      <c r="B840" s="75"/>
      <c r="C840" s="1989" t="s">
        <v>1886</v>
      </c>
      <c r="D840" s="1989" t="s">
        <v>5514</v>
      </c>
      <c r="E840" s="1989">
        <v>2.63</v>
      </c>
      <c r="F840" s="38">
        <f t="shared" si="12"/>
        <v>213.8748612</v>
      </c>
      <c r="G840" s="459"/>
    </row>
    <row r="841" spans="1:7" outlineLevel="1" x14ac:dyDescent="0.2">
      <c r="A841" s="17"/>
      <c r="B841" s="75"/>
      <c r="C841" s="1989" t="s">
        <v>1887</v>
      </c>
      <c r="D841" s="1989" t="s">
        <v>5515</v>
      </c>
      <c r="E841" s="1989">
        <v>6.82</v>
      </c>
      <c r="F841" s="38">
        <f t="shared" si="12"/>
        <v>554.61085679999997</v>
      </c>
      <c r="G841" s="459"/>
    </row>
    <row r="842" spans="1:7" outlineLevel="1" x14ac:dyDescent="0.2">
      <c r="A842" s="17"/>
      <c r="B842" s="75"/>
      <c r="C842" s="1989" t="s">
        <v>1891</v>
      </c>
      <c r="D842" s="1989" t="s">
        <v>1892</v>
      </c>
      <c r="E842" s="1989">
        <v>14.6</v>
      </c>
      <c r="F842" s="38">
        <f t="shared" si="12"/>
        <v>1187.2901040000002</v>
      </c>
      <c r="G842" s="459"/>
    </row>
    <row r="843" spans="1:7" outlineLevel="1" x14ac:dyDescent="0.2">
      <c r="A843" s="17"/>
      <c r="B843" s="75"/>
      <c r="C843" s="1989" t="s">
        <v>2922</v>
      </c>
      <c r="D843" s="1989" t="s">
        <v>2923</v>
      </c>
      <c r="E843" s="1989">
        <v>11.27</v>
      </c>
      <c r="F843" s="38">
        <f t="shared" si="12"/>
        <v>916.49037480000004</v>
      </c>
      <c r="G843" s="459"/>
    </row>
    <row r="844" spans="1:7" outlineLevel="1" x14ac:dyDescent="0.2">
      <c r="A844" s="17"/>
      <c r="B844" s="75"/>
      <c r="C844" s="1989" t="s">
        <v>3895</v>
      </c>
      <c r="D844" s="1989" t="s">
        <v>3896</v>
      </c>
      <c r="E844" s="1989">
        <v>28.4</v>
      </c>
      <c r="F844" s="38">
        <f t="shared" si="12"/>
        <v>2309.523216</v>
      </c>
      <c r="G844" s="459"/>
    </row>
    <row r="845" spans="1:7" outlineLevel="1" x14ac:dyDescent="0.2">
      <c r="A845" s="17"/>
      <c r="B845" s="75"/>
      <c r="C845" s="1989" t="s">
        <v>3897</v>
      </c>
      <c r="D845" s="1989" t="s">
        <v>3898</v>
      </c>
      <c r="E845" s="1989">
        <v>29.3</v>
      </c>
      <c r="F845" s="38">
        <f t="shared" si="12"/>
        <v>2382.7123320000001</v>
      </c>
      <c r="G845" s="459"/>
    </row>
    <row r="846" spans="1:7" outlineLevel="1" x14ac:dyDescent="0.2">
      <c r="A846" s="17"/>
      <c r="B846" s="75"/>
      <c r="C846" s="1989" t="s">
        <v>1474</v>
      </c>
      <c r="D846" s="1989" t="s">
        <v>5516</v>
      </c>
      <c r="E846" s="1989">
        <v>1.42</v>
      </c>
      <c r="F846" s="38">
        <f t="shared" si="12"/>
        <v>115.4761608</v>
      </c>
      <c r="G846" s="459"/>
    </row>
    <row r="847" spans="1:7" outlineLevel="1" x14ac:dyDescent="0.2">
      <c r="A847" s="17"/>
      <c r="B847" s="75"/>
      <c r="C847" s="1989" t="s">
        <v>1476</v>
      </c>
      <c r="D847" s="1989" t="s">
        <v>5517</v>
      </c>
      <c r="E847" s="1989">
        <v>1.42</v>
      </c>
      <c r="F847" s="38">
        <f t="shared" si="12"/>
        <v>115.4761608</v>
      </c>
      <c r="G847" s="459"/>
    </row>
    <row r="848" spans="1:7" outlineLevel="1" x14ac:dyDescent="0.2">
      <c r="A848" s="17"/>
      <c r="B848" s="75"/>
      <c r="C848" s="1989" t="s">
        <v>1477</v>
      </c>
      <c r="D848" s="1989" t="s">
        <v>5518</v>
      </c>
      <c r="E848" s="1989">
        <v>0.77</v>
      </c>
      <c r="F848" s="38">
        <f t="shared" si="12"/>
        <v>62.617354800000001</v>
      </c>
      <c r="G848" s="459"/>
    </row>
    <row r="849" spans="1:7" outlineLevel="1" x14ac:dyDescent="0.2">
      <c r="A849" s="17"/>
      <c r="B849" s="75"/>
      <c r="C849" s="1989" t="s">
        <v>1478</v>
      </c>
      <c r="D849" s="1989" t="s">
        <v>5519</v>
      </c>
      <c r="E849" s="1989">
        <v>0.77</v>
      </c>
      <c r="F849" s="38">
        <f t="shared" si="12"/>
        <v>62.617354800000001</v>
      </c>
      <c r="G849" s="459"/>
    </row>
    <row r="850" spans="1:7" outlineLevel="1" x14ac:dyDescent="0.2">
      <c r="A850" s="17"/>
      <c r="B850" s="75"/>
      <c r="C850" s="1989" t="s">
        <v>1510</v>
      </c>
      <c r="D850" s="1989" t="s">
        <v>5520</v>
      </c>
      <c r="E850" s="1989">
        <v>1.55</v>
      </c>
      <c r="F850" s="38">
        <f t="shared" si="12"/>
        <v>126.047922</v>
      </c>
      <c r="G850" s="459"/>
    </row>
    <row r="851" spans="1:7" outlineLevel="1" x14ac:dyDescent="0.2">
      <c r="A851" s="17"/>
      <c r="B851" s="75"/>
      <c r="C851" s="1989" t="s">
        <v>1511</v>
      </c>
      <c r="D851" s="1989" t="s">
        <v>5521</v>
      </c>
      <c r="E851" s="1989">
        <v>1.55</v>
      </c>
      <c r="F851" s="38">
        <f t="shared" si="12"/>
        <v>126.047922</v>
      </c>
      <c r="G851" s="459"/>
    </row>
    <row r="852" spans="1:7" outlineLevel="1" x14ac:dyDescent="0.2">
      <c r="A852" s="17"/>
      <c r="B852" s="75"/>
      <c r="C852" s="1989" t="s">
        <v>2588</v>
      </c>
      <c r="D852" s="1989" t="s">
        <v>5522</v>
      </c>
      <c r="E852" s="1989">
        <v>0.79</v>
      </c>
      <c r="F852" s="38">
        <f t="shared" si="12"/>
        <v>64.243779599999996</v>
      </c>
      <c r="G852" s="459"/>
    </row>
    <row r="853" spans="1:7" outlineLevel="1" x14ac:dyDescent="0.2">
      <c r="A853" s="17"/>
      <c r="B853" s="75"/>
      <c r="C853" s="1989" t="s">
        <v>1516</v>
      </c>
      <c r="D853" s="1989" t="s">
        <v>3245</v>
      </c>
      <c r="E853" s="1989">
        <v>0.11</v>
      </c>
      <c r="F853" s="38">
        <f t="shared" si="12"/>
        <v>8.9453364000000004</v>
      </c>
      <c r="G853" s="459"/>
    </row>
    <row r="854" spans="1:7" outlineLevel="1" x14ac:dyDescent="0.2">
      <c r="A854" s="17"/>
      <c r="B854" s="75"/>
      <c r="C854" s="1989" t="s">
        <v>2924</v>
      </c>
      <c r="D854" s="1989" t="s">
        <v>2925</v>
      </c>
      <c r="E854" s="1989">
        <v>11.27</v>
      </c>
      <c r="F854" s="38">
        <f t="shared" si="12"/>
        <v>916.49037480000004</v>
      </c>
      <c r="G854" s="459"/>
    </row>
    <row r="855" spans="1:7" outlineLevel="1" x14ac:dyDescent="0.2">
      <c r="A855" s="17"/>
      <c r="B855" s="75"/>
      <c r="C855" s="1989" t="s">
        <v>2926</v>
      </c>
      <c r="D855" s="1989" t="s">
        <v>2927</v>
      </c>
      <c r="E855" s="1989">
        <v>0.83</v>
      </c>
      <c r="F855" s="38">
        <f t="shared" si="12"/>
        <v>67.496629200000001</v>
      </c>
      <c r="G855" s="459"/>
    </row>
    <row r="856" spans="1:7" outlineLevel="1" x14ac:dyDescent="0.2">
      <c r="A856" s="17"/>
      <c r="B856" s="75"/>
      <c r="C856" s="1989" t="s">
        <v>3899</v>
      </c>
      <c r="D856" s="1989" t="s">
        <v>7564</v>
      </c>
      <c r="E856" s="1989">
        <v>0</v>
      </c>
      <c r="F856" s="38">
        <f t="shared" si="12"/>
        <v>0</v>
      </c>
      <c r="G856" s="459"/>
    </row>
    <row r="857" spans="1:7" outlineLevel="1" x14ac:dyDescent="0.2">
      <c r="A857" s="17"/>
      <c r="B857" s="75"/>
      <c r="C857" s="1989" t="s">
        <v>1550</v>
      </c>
      <c r="D857" s="1989" t="s">
        <v>5523</v>
      </c>
      <c r="E857" s="1989">
        <v>2.7</v>
      </c>
      <c r="F857" s="38">
        <f t="shared" si="12"/>
        <v>219.56734800000004</v>
      </c>
      <c r="G857" s="459"/>
    </row>
    <row r="858" spans="1:7" outlineLevel="1" x14ac:dyDescent="0.2">
      <c r="A858" s="17"/>
      <c r="B858" s="75"/>
      <c r="C858" s="1989" t="s">
        <v>3900</v>
      </c>
      <c r="D858" s="1989" t="s">
        <v>5524</v>
      </c>
      <c r="E858" s="1989">
        <v>0</v>
      </c>
      <c r="F858" s="38">
        <f t="shared" si="12"/>
        <v>0</v>
      </c>
      <c r="G858" s="459"/>
    </row>
    <row r="859" spans="1:7" outlineLevel="1" x14ac:dyDescent="0.2">
      <c r="A859" s="17"/>
      <c r="B859" s="75"/>
      <c r="C859" s="1989" t="s">
        <v>3901</v>
      </c>
      <c r="D859" s="1989" t="s">
        <v>7565</v>
      </c>
      <c r="E859" s="1989">
        <v>0</v>
      </c>
      <c r="F859" s="38">
        <f t="shared" si="12"/>
        <v>0</v>
      </c>
      <c r="G859" s="459"/>
    </row>
    <row r="860" spans="1:7" outlineLevel="1" x14ac:dyDescent="0.2">
      <c r="A860" s="17"/>
      <c r="B860" s="75"/>
      <c r="C860" s="1989" t="s">
        <v>2928</v>
      </c>
      <c r="D860" s="1989" t="s">
        <v>2929</v>
      </c>
      <c r="E860" s="1989">
        <v>12.67</v>
      </c>
      <c r="F860" s="38">
        <f t="shared" si="12"/>
        <v>1030.3401108</v>
      </c>
      <c r="G860" s="459"/>
    </row>
    <row r="861" spans="1:7" outlineLevel="1" x14ac:dyDescent="0.2">
      <c r="A861" s="17"/>
      <c r="B861" s="75"/>
      <c r="C861" s="1989" t="s">
        <v>2023</v>
      </c>
      <c r="D861" s="1989" t="s">
        <v>5525</v>
      </c>
      <c r="E861" s="1989">
        <v>2.64</v>
      </c>
      <c r="F861" s="38">
        <f t="shared" si="12"/>
        <v>214.68807360000002</v>
      </c>
      <c r="G861" s="459"/>
    </row>
    <row r="862" spans="1:7" outlineLevel="1" x14ac:dyDescent="0.2">
      <c r="A862" s="17"/>
      <c r="B862" s="75"/>
      <c r="C862" s="1989" t="s">
        <v>2027</v>
      </c>
      <c r="D862" s="1989" t="s">
        <v>5526</v>
      </c>
      <c r="E862" s="1989">
        <v>2.68</v>
      </c>
      <c r="F862" s="38">
        <f t="shared" si="12"/>
        <v>217.94092320000004</v>
      </c>
      <c r="G862" s="459"/>
    </row>
    <row r="863" spans="1:7" outlineLevel="1" x14ac:dyDescent="0.2">
      <c r="A863" s="17"/>
      <c r="B863" s="75"/>
      <c r="C863" s="1989" t="s">
        <v>2028</v>
      </c>
      <c r="D863" s="1989" t="s">
        <v>7566</v>
      </c>
      <c r="E863" s="1989">
        <v>2.0099999999999998</v>
      </c>
      <c r="F863" s="38">
        <f t="shared" ref="F863:F926" si="13">E863*$G$4*$J$4</f>
        <v>163.45569239999998</v>
      </c>
      <c r="G863" s="459"/>
    </row>
    <row r="864" spans="1:7" outlineLevel="1" x14ac:dyDescent="0.2">
      <c r="A864" s="17"/>
      <c r="B864" s="75"/>
      <c r="C864" s="1989" t="s">
        <v>3902</v>
      </c>
      <c r="D864" s="1989" t="s">
        <v>3903</v>
      </c>
      <c r="E864" s="1989">
        <v>0</v>
      </c>
      <c r="F864" s="38">
        <f t="shared" si="13"/>
        <v>0</v>
      </c>
      <c r="G864" s="459"/>
    </row>
    <row r="865" spans="1:7" outlineLevel="1" x14ac:dyDescent="0.2">
      <c r="A865" s="17"/>
      <c r="B865" s="75"/>
      <c r="C865" s="1989" t="s">
        <v>3246</v>
      </c>
      <c r="D865" s="1989" t="s">
        <v>7567</v>
      </c>
      <c r="E865" s="1989">
        <v>2.63</v>
      </c>
      <c r="F865" s="38">
        <f t="shared" si="13"/>
        <v>213.8748612</v>
      </c>
      <c r="G865" s="459"/>
    </row>
    <row r="866" spans="1:7" outlineLevel="1" x14ac:dyDescent="0.2">
      <c r="A866" s="17"/>
      <c r="B866" s="75"/>
      <c r="C866" s="1989" t="s">
        <v>2037</v>
      </c>
      <c r="D866" s="1989" t="s">
        <v>5527</v>
      </c>
      <c r="E866" s="1989">
        <v>2.74</v>
      </c>
      <c r="F866" s="38">
        <f t="shared" si="13"/>
        <v>222.82019760000003</v>
      </c>
      <c r="G866" s="459"/>
    </row>
    <row r="867" spans="1:7" outlineLevel="1" x14ac:dyDescent="0.2">
      <c r="A867" s="17"/>
      <c r="B867" s="75"/>
      <c r="C867" s="1989" t="s">
        <v>3247</v>
      </c>
      <c r="D867" s="1989" t="s">
        <v>3248</v>
      </c>
      <c r="E867" s="1989">
        <v>8.9</v>
      </c>
      <c r="F867" s="38">
        <f t="shared" si="13"/>
        <v>723.75903600000004</v>
      </c>
      <c r="G867" s="459"/>
    </row>
    <row r="868" spans="1:7" outlineLevel="1" x14ac:dyDescent="0.2">
      <c r="A868" s="17"/>
      <c r="B868" s="75"/>
      <c r="C868" s="1989" t="s">
        <v>729</v>
      </c>
      <c r="D868" s="1989" t="s">
        <v>7568</v>
      </c>
      <c r="E868" s="1989">
        <v>1.97</v>
      </c>
      <c r="F868" s="38">
        <f t="shared" si="13"/>
        <v>160.20284280000001</v>
      </c>
      <c r="G868" s="459"/>
    </row>
    <row r="869" spans="1:7" outlineLevel="1" x14ac:dyDescent="0.2">
      <c r="A869" s="17"/>
      <c r="B869" s="75"/>
      <c r="C869" s="1989" t="s">
        <v>2930</v>
      </c>
      <c r="D869" s="1989" t="s">
        <v>2931</v>
      </c>
      <c r="E869" s="1989">
        <v>9.7899999999999991</v>
      </c>
      <c r="F869" s="38">
        <f t="shared" si="13"/>
        <v>796.13493960000005</v>
      </c>
      <c r="G869" s="459"/>
    </row>
    <row r="870" spans="1:7" outlineLevel="1" x14ac:dyDescent="0.2">
      <c r="A870" s="17"/>
      <c r="B870" s="75"/>
      <c r="C870" s="1989" t="s">
        <v>2436</v>
      </c>
      <c r="D870" s="1989" t="s">
        <v>7569</v>
      </c>
      <c r="E870" s="1989">
        <v>2.54</v>
      </c>
      <c r="F870" s="38">
        <f t="shared" si="13"/>
        <v>206.55594960000002</v>
      </c>
      <c r="G870" s="459"/>
    </row>
    <row r="871" spans="1:7" outlineLevel="1" x14ac:dyDescent="0.2">
      <c r="A871" s="17"/>
      <c r="B871" s="75"/>
      <c r="C871" s="1989" t="s">
        <v>2437</v>
      </c>
      <c r="D871" s="1989" t="s">
        <v>7570</v>
      </c>
      <c r="E871" s="1989">
        <v>0.22</v>
      </c>
      <c r="F871" s="38">
        <f t="shared" si="13"/>
        <v>17.890672800000001</v>
      </c>
      <c r="G871" s="459"/>
    </row>
    <row r="872" spans="1:7" outlineLevel="1" x14ac:dyDescent="0.2">
      <c r="A872" s="17"/>
      <c r="B872" s="75"/>
      <c r="C872" s="1989" t="s">
        <v>2175</v>
      </c>
      <c r="D872" s="1989" t="s">
        <v>733</v>
      </c>
      <c r="E872" s="1989">
        <v>1.05</v>
      </c>
      <c r="F872" s="38">
        <f t="shared" si="13"/>
        <v>85.387302000000005</v>
      </c>
      <c r="G872" s="459"/>
    </row>
    <row r="873" spans="1:7" outlineLevel="1" x14ac:dyDescent="0.2">
      <c r="A873" s="17"/>
      <c r="B873" s="75"/>
      <c r="C873" s="1989" t="s">
        <v>2176</v>
      </c>
      <c r="D873" s="1989" t="s">
        <v>735</v>
      </c>
      <c r="E873" s="1989">
        <v>1.05</v>
      </c>
      <c r="F873" s="38">
        <f t="shared" si="13"/>
        <v>85.387302000000005</v>
      </c>
      <c r="G873" s="459"/>
    </row>
    <row r="874" spans="1:7" outlineLevel="1" x14ac:dyDescent="0.2">
      <c r="A874" s="17"/>
      <c r="B874" s="75"/>
      <c r="C874" s="1989" t="s">
        <v>3249</v>
      </c>
      <c r="D874" s="1989" t="s">
        <v>7571</v>
      </c>
      <c r="E874" s="1989">
        <v>3.56</v>
      </c>
      <c r="F874" s="38">
        <f t="shared" si="13"/>
        <v>289.50361440000006</v>
      </c>
      <c r="G874" s="459"/>
    </row>
    <row r="875" spans="1:7" outlineLevel="1" x14ac:dyDescent="0.2">
      <c r="A875" s="17"/>
      <c r="B875" s="75"/>
      <c r="C875" s="1989" t="s">
        <v>3250</v>
      </c>
      <c r="D875" s="1989" t="s">
        <v>7572</v>
      </c>
      <c r="E875" s="1989">
        <v>4.9400000000000004</v>
      </c>
      <c r="F875" s="38">
        <f t="shared" si="13"/>
        <v>401.72692560000002</v>
      </c>
      <c r="G875" s="459"/>
    </row>
    <row r="876" spans="1:7" outlineLevel="1" x14ac:dyDescent="0.2">
      <c r="A876" s="17"/>
      <c r="B876" s="75"/>
      <c r="C876" s="1989" t="s">
        <v>738</v>
      </c>
      <c r="D876" s="1989" t="s">
        <v>5528</v>
      </c>
      <c r="E876" s="1989">
        <v>2.74</v>
      </c>
      <c r="F876" s="38">
        <f t="shared" si="13"/>
        <v>222.82019760000003</v>
      </c>
      <c r="G876" s="459"/>
    </row>
    <row r="877" spans="1:7" outlineLevel="1" x14ac:dyDescent="0.2">
      <c r="A877" s="17"/>
      <c r="B877" s="75"/>
      <c r="C877" s="1989" t="s">
        <v>2932</v>
      </c>
      <c r="D877" s="1989" t="s">
        <v>3251</v>
      </c>
      <c r="E877" s="1989">
        <v>4.6399999999999997</v>
      </c>
      <c r="F877" s="38">
        <f t="shared" si="13"/>
        <v>377.33055359999997</v>
      </c>
      <c r="G877" s="459"/>
    </row>
    <row r="878" spans="1:7" outlineLevel="1" x14ac:dyDescent="0.2">
      <c r="A878" s="17"/>
      <c r="B878" s="75"/>
      <c r="C878" s="1989" t="s">
        <v>3252</v>
      </c>
      <c r="D878" s="1989" t="s">
        <v>3253</v>
      </c>
      <c r="E878" s="1989">
        <v>11.27</v>
      </c>
      <c r="F878" s="38">
        <f t="shared" si="13"/>
        <v>916.49037480000004</v>
      </c>
      <c r="G878" s="459"/>
    </row>
    <row r="879" spans="1:7" outlineLevel="1" x14ac:dyDescent="0.2">
      <c r="A879" s="17"/>
      <c r="B879" s="75"/>
      <c r="C879" s="1989" t="s">
        <v>3904</v>
      </c>
      <c r="D879" s="1989" t="s">
        <v>5529</v>
      </c>
      <c r="E879" s="1989">
        <v>0</v>
      </c>
      <c r="F879" s="38">
        <f t="shared" si="13"/>
        <v>0</v>
      </c>
      <c r="G879" s="459"/>
    </row>
    <row r="880" spans="1:7" outlineLevel="1" x14ac:dyDescent="0.2">
      <c r="A880" s="17"/>
      <c r="B880" s="75"/>
      <c r="C880" s="1989" t="s">
        <v>2462</v>
      </c>
      <c r="D880" s="1989" t="s">
        <v>7573</v>
      </c>
      <c r="E880" s="1989">
        <v>0.24</v>
      </c>
      <c r="F880" s="38">
        <f t="shared" si="13"/>
        <v>19.5170976</v>
      </c>
      <c r="G880" s="459"/>
    </row>
    <row r="881" spans="1:7" outlineLevel="1" x14ac:dyDescent="0.2">
      <c r="A881" s="17"/>
      <c r="B881" s="75"/>
      <c r="C881" s="1989" t="s">
        <v>763</v>
      </c>
      <c r="D881" s="1989" t="s">
        <v>7574</v>
      </c>
      <c r="E881" s="1989">
        <v>2.4900000000000002</v>
      </c>
      <c r="F881" s="38">
        <f t="shared" si="13"/>
        <v>202.4898876</v>
      </c>
      <c r="G881" s="459"/>
    </row>
    <row r="882" spans="1:7" outlineLevel="1" x14ac:dyDescent="0.2">
      <c r="A882" s="17"/>
      <c r="B882" s="75"/>
      <c r="C882" s="1989" t="s">
        <v>2480</v>
      </c>
      <c r="D882" s="1989" t="s">
        <v>5530</v>
      </c>
      <c r="E882" s="1989">
        <v>1.56</v>
      </c>
      <c r="F882" s="38">
        <f t="shared" si="13"/>
        <v>126.8611344</v>
      </c>
      <c r="G882" s="459"/>
    </row>
    <row r="883" spans="1:7" outlineLevel="1" x14ac:dyDescent="0.2">
      <c r="A883" s="17"/>
      <c r="B883" s="75"/>
      <c r="C883" s="1989" t="s">
        <v>1</v>
      </c>
      <c r="D883" s="1989" t="s">
        <v>7575</v>
      </c>
      <c r="E883" s="1989">
        <v>2.57</v>
      </c>
      <c r="F883" s="38">
        <f t="shared" si="13"/>
        <v>208.99558679999998</v>
      </c>
      <c r="G883" s="459"/>
    </row>
    <row r="884" spans="1:7" outlineLevel="1" x14ac:dyDescent="0.2">
      <c r="A884" s="17"/>
      <c r="B884" s="75"/>
      <c r="C884" s="1989" t="s">
        <v>2485</v>
      </c>
      <c r="D884" s="1989" t="s">
        <v>5531</v>
      </c>
      <c r="E884" s="1989">
        <v>1.69</v>
      </c>
      <c r="F884" s="38">
        <f t="shared" si="13"/>
        <v>137.43289560000002</v>
      </c>
      <c r="G884" s="459"/>
    </row>
    <row r="885" spans="1:7" outlineLevel="1" x14ac:dyDescent="0.2">
      <c r="A885" s="17"/>
      <c r="B885" s="75"/>
      <c r="C885" s="1989" t="s">
        <v>8</v>
      </c>
      <c r="D885" s="1989" t="s">
        <v>5532</v>
      </c>
      <c r="E885" s="1989">
        <v>2.7</v>
      </c>
      <c r="F885" s="38">
        <f t="shared" si="13"/>
        <v>219.56734800000004</v>
      </c>
      <c r="G885" s="459"/>
    </row>
    <row r="886" spans="1:7" outlineLevel="1" x14ac:dyDescent="0.2">
      <c r="A886" s="17"/>
      <c r="B886" s="75"/>
      <c r="C886" s="1989" t="s">
        <v>2933</v>
      </c>
      <c r="D886" s="1989" t="s">
        <v>2934</v>
      </c>
      <c r="E886" s="1989">
        <v>9.0500000000000007</v>
      </c>
      <c r="F886" s="38">
        <f t="shared" si="13"/>
        <v>735.95722200000012</v>
      </c>
      <c r="G886" s="459"/>
    </row>
    <row r="887" spans="1:7" outlineLevel="1" x14ac:dyDescent="0.2">
      <c r="A887" s="17"/>
      <c r="B887" s="75"/>
      <c r="C887" s="1989" t="s">
        <v>26</v>
      </c>
      <c r="D887" s="1989" t="s">
        <v>7576</v>
      </c>
      <c r="E887" s="1989">
        <v>2.4900000000000002</v>
      </c>
      <c r="F887" s="38">
        <f t="shared" si="13"/>
        <v>202.4898876</v>
      </c>
      <c r="G887" s="459"/>
    </row>
    <row r="888" spans="1:7" outlineLevel="1" x14ac:dyDescent="0.2">
      <c r="A888" s="17"/>
      <c r="B888" s="75"/>
      <c r="C888" s="1989" t="s">
        <v>3254</v>
      </c>
      <c r="D888" s="1989" t="s">
        <v>3255</v>
      </c>
      <c r="E888" s="1989">
        <v>3.07</v>
      </c>
      <c r="F888" s="38">
        <f t="shared" si="13"/>
        <v>249.65620680000001</v>
      </c>
      <c r="G888" s="459"/>
    </row>
    <row r="889" spans="1:7" outlineLevel="1" x14ac:dyDescent="0.2">
      <c r="A889" s="17"/>
      <c r="B889" s="75"/>
      <c r="C889" s="1989" t="s">
        <v>31</v>
      </c>
      <c r="D889" s="1989" t="s">
        <v>7577</v>
      </c>
      <c r="E889" s="1989">
        <v>1.97</v>
      </c>
      <c r="F889" s="38">
        <f t="shared" si="13"/>
        <v>160.20284280000001</v>
      </c>
      <c r="G889" s="459"/>
    </row>
    <row r="890" spans="1:7" outlineLevel="1" x14ac:dyDescent="0.2">
      <c r="A890" s="17"/>
      <c r="B890" s="75"/>
      <c r="C890" s="1989" t="s">
        <v>32</v>
      </c>
      <c r="D890" s="1989" t="s">
        <v>7578</v>
      </c>
      <c r="E890" s="1989">
        <v>2.57</v>
      </c>
      <c r="F890" s="38">
        <f t="shared" si="13"/>
        <v>208.99558679999998</v>
      </c>
      <c r="G890" s="459"/>
    </row>
    <row r="891" spans="1:7" outlineLevel="1" x14ac:dyDescent="0.2">
      <c r="A891" s="17"/>
      <c r="B891" s="75"/>
      <c r="C891" s="1989" t="s">
        <v>36</v>
      </c>
      <c r="D891" s="1989" t="s">
        <v>37</v>
      </c>
      <c r="E891" s="1989">
        <v>2.68</v>
      </c>
      <c r="F891" s="38">
        <f t="shared" si="13"/>
        <v>217.94092320000004</v>
      </c>
      <c r="G891" s="459"/>
    </row>
    <row r="892" spans="1:7" outlineLevel="1" x14ac:dyDescent="0.2">
      <c r="A892" s="17"/>
      <c r="B892" s="75"/>
      <c r="C892" s="1989" t="s">
        <v>2935</v>
      </c>
      <c r="D892" s="1989" t="s">
        <v>7579</v>
      </c>
      <c r="E892" s="1989">
        <v>1.36</v>
      </c>
      <c r="F892" s="38">
        <f t="shared" si="13"/>
        <v>110.59688640000002</v>
      </c>
      <c r="G892" s="459"/>
    </row>
    <row r="893" spans="1:7" outlineLevel="1" x14ac:dyDescent="0.2">
      <c r="A893" s="17"/>
      <c r="B893" s="75"/>
      <c r="C893" s="1989" t="s">
        <v>59</v>
      </c>
      <c r="D893" s="1989" t="s">
        <v>60</v>
      </c>
      <c r="E893" s="1989">
        <v>2.64</v>
      </c>
      <c r="F893" s="38">
        <f t="shared" si="13"/>
        <v>214.68807360000002</v>
      </c>
      <c r="G893" s="459"/>
    </row>
    <row r="894" spans="1:7" outlineLevel="1" x14ac:dyDescent="0.2">
      <c r="A894" s="17"/>
      <c r="B894" s="75"/>
      <c r="C894" s="1989" t="s">
        <v>3256</v>
      </c>
      <c r="D894" s="1989" t="s">
        <v>3257</v>
      </c>
      <c r="E894" s="1989">
        <v>12.46</v>
      </c>
      <c r="F894" s="38">
        <f t="shared" si="13"/>
        <v>1013.2626504000001</v>
      </c>
      <c r="G894" s="459"/>
    </row>
    <row r="895" spans="1:7" outlineLevel="1" x14ac:dyDescent="0.2">
      <c r="A895" s="17"/>
      <c r="B895" s="75"/>
      <c r="C895" s="1989" t="s">
        <v>62</v>
      </c>
      <c r="D895" s="1989" t="s">
        <v>7580</v>
      </c>
      <c r="E895" s="1989">
        <v>2.0099999999999998</v>
      </c>
      <c r="F895" s="38">
        <f t="shared" si="13"/>
        <v>163.45569239999998</v>
      </c>
      <c r="G895" s="459"/>
    </row>
    <row r="896" spans="1:7" outlineLevel="1" x14ac:dyDescent="0.2">
      <c r="A896" s="17"/>
      <c r="B896" s="75"/>
      <c r="C896" s="1989" t="s">
        <v>2936</v>
      </c>
      <c r="D896" s="1989" t="s">
        <v>2937</v>
      </c>
      <c r="E896" s="1989">
        <v>11.47</v>
      </c>
      <c r="F896" s="38">
        <f t="shared" si="13"/>
        <v>932.75462280000011</v>
      </c>
      <c r="G896" s="459"/>
    </row>
    <row r="897" spans="1:7" outlineLevel="1" x14ac:dyDescent="0.2">
      <c r="A897" s="17"/>
      <c r="B897" s="75"/>
      <c r="C897" s="1989" t="s">
        <v>3258</v>
      </c>
      <c r="D897" s="1989" t="s">
        <v>7581</v>
      </c>
      <c r="E897" s="1989">
        <v>1.18</v>
      </c>
      <c r="F897" s="38">
        <f t="shared" si="13"/>
        <v>95.959063200000003</v>
      </c>
      <c r="G897" s="459"/>
    </row>
    <row r="898" spans="1:7" outlineLevel="1" x14ac:dyDescent="0.2">
      <c r="A898" s="17"/>
      <c r="B898" s="75"/>
      <c r="C898" s="1989" t="s">
        <v>3259</v>
      </c>
      <c r="D898" s="1989" t="s">
        <v>7582</v>
      </c>
      <c r="E898" s="1989">
        <v>2.27</v>
      </c>
      <c r="F898" s="38">
        <f t="shared" si="13"/>
        <v>184.5992148</v>
      </c>
      <c r="G898" s="459"/>
    </row>
    <row r="899" spans="1:7" outlineLevel="1" x14ac:dyDescent="0.2">
      <c r="A899" s="17"/>
      <c r="B899" s="75"/>
      <c r="C899" s="1989" t="s">
        <v>1858</v>
      </c>
      <c r="D899" s="1989" t="s">
        <v>7583</v>
      </c>
      <c r="E899" s="1989">
        <v>2.62</v>
      </c>
      <c r="F899" s="38">
        <f t="shared" si="13"/>
        <v>213.06164880000003</v>
      </c>
      <c r="G899" s="459"/>
    </row>
    <row r="900" spans="1:7" outlineLevel="1" x14ac:dyDescent="0.2">
      <c r="A900" s="17"/>
      <c r="B900" s="75"/>
      <c r="C900" s="1989" t="s">
        <v>3260</v>
      </c>
      <c r="D900" s="1989" t="s">
        <v>3261</v>
      </c>
      <c r="E900" s="1989">
        <v>3.07</v>
      </c>
      <c r="F900" s="38">
        <f t="shared" si="13"/>
        <v>249.65620680000001</v>
      </c>
      <c r="G900" s="459"/>
    </row>
    <row r="901" spans="1:7" outlineLevel="1" x14ac:dyDescent="0.2">
      <c r="A901" s="17"/>
      <c r="B901" s="75"/>
      <c r="C901" s="1989" t="s">
        <v>1906</v>
      </c>
      <c r="D901" s="1989" t="s">
        <v>1907</v>
      </c>
      <c r="E901" s="1989">
        <v>2.23</v>
      </c>
      <c r="F901" s="38">
        <f t="shared" si="13"/>
        <v>181.34636519999998</v>
      </c>
      <c r="G901" s="459"/>
    </row>
    <row r="902" spans="1:7" outlineLevel="1" x14ac:dyDescent="0.2">
      <c r="A902" s="17"/>
      <c r="B902" s="75"/>
      <c r="C902" s="1989" t="s">
        <v>1910</v>
      </c>
      <c r="D902" s="1989" t="s">
        <v>1911</v>
      </c>
      <c r="E902" s="1989">
        <v>2.23</v>
      </c>
      <c r="F902" s="38">
        <f t="shared" si="13"/>
        <v>181.34636519999998</v>
      </c>
      <c r="G902" s="459"/>
    </row>
    <row r="903" spans="1:7" outlineLevel="1" x14ac:dyDescent="0.2">
      <c r="A903" s="17"/>
      <c r="B903" s="75"/>
      <c r="C903" s="1989" t="s">
        <v>987</v>
      </c>
      <c r="D903" s="1989" t="s">
        <v>1914</v>
      </c>
      <c r="E903" s="1989">
        <v>2.5099999999999998</v>
      </c>
      <c r="F903" s="38">
        <f t="shared" si="13"/>
        <v>204.1163124</v>
      </c>
      <c r="G903" s="459"/>
    </row>
    <row r="904" spans="1:7" outlineLevel="1" x14ac:dyDescent="0.2">
      <c r="A904" s="17"/>
      <c r="B904" s="75"/>
      <c r="C904" s="1989" t="s">
        <v>986</v>
      </c>
      <c r="D904" s="1989" t="s">
        <v>1916</v>
      </c>
      <c r="E904" s="1989">
        <v>2.5099999999999998</v>
      </c>
      <c r="F904" s="38">
        <f t="shared" si="13"/>
        <v>204.1163124</v>
      </c>
      <c r="G904" s="459"/>
    </row>
    <row r="905" spans="1:7" outlineLevel="1" x14ac:dyDescent="0.2">
      <c r="A905" s="17"/>
      <c r="B905" s="75"/>
      <c r="C905" s="1989" t="s">
        <v>1917</v>
      </c>
      <c r="D905" s="1989" t="s">
        <v>5533</v>
      </c>
      <c r="E905" s="1989">
        <v>2.41</v>
      </c>
      <c r="F905" s="38">
        <f t="shared" si="13"/>
        <v>195.98418839999999</v>
      </c>
      <c r="G905" s="459"/>
    </row>
    <row r="906" spans="1:7" outlineLevel="1" x14ac:dyDescent="0.2">
      <c r="A906" s="17"/>
      <c r="B906" s="75"/>
      <c r="C906" s="1989" t="s">
        <v>1920</v>
      </c>
      <c r="D906" s="1989" t="s">
        <v>5534</v>
      </c>
      <c r="E906" s="1989">
        <v>2.41</v>
      </c>
      <c r="F906" s="38">
        <f t="shared" si="13"/>
        <v>195.98418839999999</v>
      </c>
      <c r="G906" s="459"/>
    </row>
    <row r="907" spans="1:7" outlineLevel="1" x14ac:dyDescent="0.2">
      <c r="A907" s="17"/>
      <c r="B907" s="75"/>
      <c r="C907" s="1989" t="s">
        <v>1922</v>
      </c>
      <c r="D907" s="1989" t="s">
        <v>1923</v>
      </c>
      <c r="E907" s="1989">
        <v>2.63</v>
      </c>
      <c r="F907" s="38">
        <f t="shared" si="13"/>
        <v>213.8748612</v>
      </c>
      <c r="G907" s="459"/>
    </row>
    <row r="908" spans="1:7" outlineLevel="1" x14ac:dyDescent="0.2">
      <c r="A908" s="17"/>
      <c r="B908" s="75"/>
      <c r="C908" s="1989" t="s">
        <v>1925</v>
      </c>
      <c r="D908" s="1989" t="s">
        <v>1926</v>
      </c>
      <c r="E908" s="1989">
        <v>2.63</v>
      </c>
      <c r="F908" s="38">
        <f t="shared" si="13"/>
        <v>213.8748612</v>
      </c>
      <c r="G908" s="459"/>
    </row>
    <row r="909" spans="1:7" outlineLevel="1" x14ac:dyDescent="0.2">
      <c r="A909" s="17"/>
      <c r="B909" s="75"/>
      <c r="C909" s="1989" t="s">
        <v>985</v>
      </c>
      <c r="D909" s="1989" t="s">
        <v>1929</v>
      </c>
      <c r="E909" s="1989">
        <v>2.58</v>
      </c>
      <c r="F909" s="38">
        <f t="shared" si="13"/>
        <v>209.80879920000001</v>
      </c>
      <c r="G909" s="459"/>
    </row>
    <row r="910" spans="1:7" outlineLevel="1" x14ac:dyDescent="0.2">
      <c r="A910" s="17"/>
      <c r="B910" s="75"/>
      <c r="C910" s="1989" t="s">
        <v>984</v>
      </c>
      <c r="D910" s="1989" t="s">
        <v>1931</v>
      </c>
      <c r="E910" s="1989">
        <v>2.58</v>
      </c>
      <c r="F910" s="38">
        <f t="shared" si="13"/>
        <v>209.80879920000001</v>
      </c>
      <c r="G910" s="459"/>
    </row>
    <row r="911" spans="1:7" outlineLevel="1" x14ac:dyDescent="0.2">
      <c r="A911" s="17"/>
      <c r="B911" s="75"/>
      <c r="C911" s="1989" t="s">
        <v>1006</v>
      </c>
      <c r="D911" s="1989" t="s">
        <v>5535</v>
      </c>
      <c r="E911" s="1989">
        <v>1.42</v>
      </c>
      <c r="F911" s="38">
        <f t="shared" si="13"/>
        <v>115.4761608</v>
      </c>
      <c r="G911" s="459"/>
    </row>
    <row r="912" spans="1:7" outlineLevel="1" x14ac:dyDescent="0.2">
      <c r="A912" s="17"/>
      <c r="B912" s="75"/>
      <c r="C912" s="1989" t="s">
        <v>1007</v>
      </c>
      <c r="D912" s="1989" t="s">
        <v>1475</v>
      </c>
      <c r="E912" s="1989">
        <v>1.42</v>
      </c>
      <c r="F912" s="38">
        <f t="shared" si="13"/>
        <v>115.4761608</v>
      </c>
      <c r="G912" s="459"/>
    </row>
    <row r="913" spans="1:7" outlineLevel="1" x14ac:dyDescent="0.2">
      <c r="A913" s="17"/>
      <c r="B913" s="75"/>
      <c r="C913" s="1989" t="s">
        <v>2570</v>
      </c>
      <c r="D913" s="1989" t="s">
        <v>5536</v>
      </c>
      <c r="E913" s="1989">
        <v>0.77</v>
      </c>
      <c r="F913" s="38">
        <f t="shared" si="13"/>
        <v>62.617354800000001</v>
      </c>
      <c r="G913" s="459"/>
    </row>
    <row r="914" spans="1:7" outlineLevel="1" x14ac:dyDescent="0.2">
      <c r="A914" s="17"/>
      <c r="B914" s="75"/>
      <c r="C914" s="1989" t="s">
        <v>2572</v>
      </c>
      <c r="D914" s="1989" t="s">
        <v>5537</v>
      </c>
      <c r="E914" s="1989">
        <v>0.77</v>
      </c>
      <c r="F914" s="38">
        <f t="shared" si="13"/>
        <v>62.617354800000001</v>
      </c>
      <c r="G914" s="459"/>
    </row>
    <row r="915" spans="1:7" outlineLevel="1" x14ac:dyDescent="0.2">
      <c r="A915" s="17"/>
      <c r="B915" s="75"/>
      <c r="C915" s="1989" t="s">
        <v>1428</v>
      </c>
      <c r="D915" s="1989" t="s">
        <v>5538</v>
      </c>
      <c r="E915" s="1989">
        <v>4.1500000000000004</v>
      </c>
      <c r="F915" s="38">
        <f t="shared" si="13"/>
        <v>337.48314600000003</v>
      </c>
      <c r="G915" s="459"/>
    </row>
    <row r="916" spans="1:7" outlineLevel="1" x14ac:dyDescent="0.2">
      <c r="A916" s="17"/>
      <c r="B916" s="75"/>
      <c r="C916" s="1989" t="s">
        <v>1426</v>
      </c>
      <c r="D916" s="1989" t="s">
        <v>5539</v>
      </c>
      <c r="E916" s="1989">
        <v>5.26</v>
      </c>
      <c r="F916" s="38">
        <f t="shared" si="13"/>
        <v>427.7497224</v>
      </c>
      <c r="G916" s="459"/>
    </row>
    <row r="917" spans="1:7" outlineLevel="1" x14ac:dyDescent="0.2">
      <c r="A917" s="17"/>
      <c r="B917" s="75"/>
      <c r="C917" s="1989" t="s">
        <v>1424</v>
      </c>
      <c r="D917" s="1989" t="s">
        <v>5540</v>
      </c>
      <c r="E917" s="1989">
        <v>5.82</v>
      </c>
      <c r="F917" s="38">
        <f t="shared" si="13"/>
        <v>473.28961680000003</v>
      </c>
      <c r="G917" s="459"/>
    </row>
    <row r="918" spans="1:7" outlineLevel="1" x14ac:dyDescent="0.2">
      <c r="A918" s="17"/>
      <c r="B918" s="75"/>
      <c r="C918" s="1989" t="s">
        <v>2575</v>
      </c>
      <c r="D918" s="1989" t="s">
        <v>2768</v>
      </c>
      <c r="E918" s="1989">
        <v>0</v>
      </c>
      <c r="F918" s="38">
        <f t="shared" si="13"/>
        <v>0</v>
      </c>
      <c r="G918" s="459"/>
    </row>
    <row r="919" spans="1:7" outlineLevel="1" x14ac:dyDescent="0.2">
      <c r="A919" s="17"/>
      <c r="B919" s="75"/>
      <c r="C919" s="1989" t="s">
        <v>2578</v>
      </c>
      <c r="D919" s="1989" t="s">
        <v>2769</v>
      </c>
      <c r="E919" s="1989">
        <v>0</v>
      </c>
      <c r="F919" s="38">
        <f t="shared" si="13"/>
        <v>0</v>
      </c>
      <c r="G919" s="459"/>
    </row>
    <row r="920" spans="1:7" outlineLevel="1" x14ac:dyDescent="0.2">
      <c r="A920" s="17"/>
      <c r="B920" s="75"/>
      <c r="C920" s="1989" t="s">
        <v>1489</v>
      </c>
      <c r="D920" s="1989" t="s">
        <v>1490</v>
      </c>
      <c r="E920" s="1989">
        <v>2.57</v>
      </c>
      <c r="F920" s="38">
        <f t="shared" si="13"/>
        <v>208.99558679999998</v>
      </c>
      <c r="G920" s="459"/>
    </row>
    <row r="921" spans="1:7" outlineLevel="1" x14ac:dyDescent="0.2">
      <c r="A921" s="17"/>
      <c r="B921" s="75"/>
      <c r="C921" s="1989" t="s">
        <v>1493</v>
      </c>
      <c r="D921" s="1989" t="s">
        <v>1494</v>
      </c>
      <c r="E921" s="1989">
        <v>2.57</v>
      </c>
      <c r="F921" s="38">
        <f t="shared" si="13"/>
        <v>208.99558679999998</v>
      </c>
      <c r="G921" s="459"/>
    </row>
    <row r="922" spans="1:7" outlineLevel="1" x14ac:dyDescent="0.2">
      <c r="A922" s="17"/>
      <c r="B922" s="75"/>
      <c r="C922" s="1989" t="s">
        <v>1497</v>
      </c>
      <c r="D922" s="1989" t="s">
        <v>1498</v>
      </c>
      <c r="E922" s="1989">
        <v>2.63</v>
      </c>
      <c r="F922" s="38">
        <f t="shared" si="13"/>
        <v>213.8748612</v>
      </c>
      <c r="G922" s="459"/>
    </row>
    <row r="923" spans="1:7" outlineLevel="1" x14ac:dyDescent="0.2">
      <c r="A923" s="17"/>
      <c r="B923" s="75"/>
      <c r="C923" s="1989" t="s">
        <v>1501</v>
      </c>
      <c r="D923" s="1989" t="s">
        <v>1502</v>
      </c>
      <c r="E923" s="1989">
        <v>2.63</v>
      </c>
      <c r="F923" s="38">
        <f t="shared" si="13"/>
        <v>213.8748612</v>
      </c>
      <c r="G923" s="459"/>
    </row>
    <row r="924" spans="1:7" outlineLevel="1" x14ac:dyDescent="0.2">
      <c r="A924" s="17"/>
      <c r="B924" s="75"/>
      <c r="C924" s="1989" t="s">
        <v>995</v>
      </c>
      <c r="D924" s="1989" t="s">
        <v>1505</v>
      </c>
      <c r="E924" s="1989">
        <v>2.58</v>
      </c>
      <c r="F924" s="38">
        <f t="shared" si="13"/>
        <v>209.80879920000001</v>
      </c>
      <c r="G924" s="459"/>
    </row>
    <row r="925" spans="1:7" outlineLevel="1" x14ac:dyDescent="0.2">
      <c r="A925" s="17"/>
      <c r="B925" s="75"/>
      <c r="C925" s="1989" t="s">
        <v>994</v>
      </c>
      <c r="D925" s="1989" t="s">
        <v>1507</v>
      </c>
      <c r="E925" s="1989">
        <v>2.58</v>
      </c>
      <c r="F925" s="38">
        <f t="shared" si="13"/>
        <v>209.80879920000001</v>
      </c>
      <c r="G925" s="459"/>
    </row>
    <row r="926" spans="1:7" outlineLevel="1" x14ac:dyDescent="0.2">
      <c r="A926" s="17"/>
      <c r="B926" s="75"/>
      <c r="C926" s="1989" t="s">
        <v>1003</v>
      </c>
      <c r="D926" s="1989" t="s">
        <v>5541</v>
      </c>
      <c r="E926" s="1989">
        <v>1.55</v>
      </c>
      <c r="F926" s="38">
        <f t="shared" si="13"/>
        <v>126.047922</v>
      </c>
      <c r="G926" s="459"/>
    </row>
    <row r="927" spans="1:7" outlineLevel="1" x14ac:dyDescent="0.2">
      <c r="A927" s="17"/>
      <c r="B927" s="75"/>
      <c r="C927" s="1989" t="s">
        <v>1008</v>
      </c>
      <c r="D927" s="1989" t="s">
        <v>1509</v>
      </c>
      <c r="E927" s="1989">
        <v>1.55</v>
      </c>
      <c r="F927" s="38">
        <f t="shared" ref="F927:F990" si="14">E927*$G$4*$J$4</f>
        <v>126.047922</v>
      </c>
      <c r="G927" s="459"/>
    </row>
    <row r="928" spans="1:7" outlineLevel="1" x14ac:dyDescent="0.2">
      <c r="A928" s="17"/>
      <c r="B928" s="75"/>
      <c r="C928" s="1989" t="s">
        <v>1422</v>
      </c>
      <c r="D928" s="1989" t="s">
        <v>2584</v>
      </c>
      <c r="E928" s="1989">
        <v>0.68</v>
      </c>
      <c r="F928" s="38">
        <f t="shared" si="14"/>
        <v>55.298443200000008</v>
      </c>
      <c r="G928" s="459"/>
    </row>
    <row r="929" spans="1:7" outlineLevel="1" x14ac:dyDescent="0.2">
      <c r="A929" s="17"/>
      <c r="B929" s="75"/>
      <c r="C929" s="1989" t="s">
        <v>1513</v>
      </c>
      <c r="D929" s="1989" t="s">
        <v>2586</v>
      </c>
      <c r="E929" s="1989">
        <v>0.79</v>
      </c>
      <c r="F929" s="38">
        <f t="shared" si="14"/>
        <v>64.243779599999996</v>
      </c>
      <c r="G929" s="459"/>
    </row>
    <row r="930" spans="1:7" outlineLevel="1" x14ac:dyDescent="0.2">
      <c r="A930" s="17"/>
      <c r="B930" s="75"/>
      <c r="C930" s="1989" t="s">
        <v>2589</v>
      </c>
      <c r="D930" s="1989" t="s">
        <v>2576</v>
      </c>
      <c r="E930" s="1989">
        <v>0</v>
      </c>
      <c r="F930" s="38">
        <f t="shared" si="14"/>
        <v>0</v>
      </c>
      <c r="G930" s="459"/>
    </row>
    <row r="931" spans="1:7" outlineLevel="1" x14ac:dyDescent="0.2">
      <c r="A931" s="17"/>
      <c r="B931" s="75"/>
      <c r="C931" s="1989" t="s">
        <v>2590</v>
      </c>
      <c r="D931" s="1989" t="s">
        <v>2579</v>
      </c>
      <c r="E931" s="1989">
        <v>0</v>
      </c>
      <c r="F931" s="38">
        <f t="shared" si="14"/>
        <v>0</v>
      </c>
      <c r="G931" s="459"/>
    </row>
    <row r="932" spans="1:7" outlineLevel="1" x14ac:dyDescent="0.2">
      <c r="A932" s="17"/>
      <c r="B932" s="75"/>
      <c r="C932" s="1989" t="s">
        <v>2938</v>
      </c>
      <c r="D932" s="1989" t="s">
        <v>2939</v>
      </c>
      <c r="E932" s="1989">
        <v>0</v>
      </c>
      <c r="F932" s="38">
        <f t="shared" si="14"/>
        <v>0</v>
      </c>
      <c r="G932" s="459"/>
    </row>
    <row r="933" spans="1:7" outlineLevel="1" x14ac:dyDescent="0.2">
      <c r="A933" s="17"/>
      <c r="B933" s="75"/>
      <c r="C933" s="1989" t="s">
        <v>2940</v>
      </c>
      <c r="D933" s="1989" t="s">
        <v>2941</v>
      </c>
      <c r="E933" s="1989">
        <v>0</v>
      </c>
      <c r="F933" s="38">
        <f t="shared" si="14"/>
        <v>0</v>
      </c>
      <c r="G933" s="459"/>
    </row>
    <row r="934" spans="1:7" outlineLevel="1" x14ac:dyDescent="0.2">
      <c r="A934" s="17"/>
      <c r="B934" s="75"/>
      <c r="C934" s="1989" t="s">
        <v>996</v>
      </c>
      <c r="D934" s="1989" t="s">
        <v>1519</v>
      </c>
      <c r="E934" s="1989">
        <v>2.5099999999999998</v>
      </c>
      <c r="F934" s="38">
        <f t="shared" si="14"/>
        <v>204.1163124</v>
      </c>
      <c r="G934" s="459"/>
    </row>
    <row r="935" spans="1:7" outlineLevel="1" x14ac:dyDescent="0.2">
      <c r="A935" s="17"/>
      <c r="B935" s="75"/>
      <c r="C935" s="1989" t="s">
        <v>997</v>
      </c>
      <c r="D935" s="1989" t="s">
        <v>1521</v>
      </c>
      <c r="E935" s="1989">
        <v>2.5099999999999998</v>
      </c>
      <c r="F935" s="38">
        <f t="shared" si="14"/>
        <v>204.1163124</v>
      </c>
      <c r="G935" s="459"/>
    </row>
    <row r="936" spans="1:7" outlineLevel="1" x14ac:dyDescent="0.2">
      <c r="A936" s="17"/>
      <c r="B936" s="75"/>
      <c r="C936" s="1989" t="s">
        <v>1539</v>
      </c>
      <c r="D936" s="1989" t="s">
        <v>5542</v>
      </c>
      <c r="E936" s="1989">
        <v>2.7</v>
      </c>
      <c r="F936" s="38">
        <f t="shared" si="14"/>
        <v>219.56734800000004</v>
      </c>
      <c r="G936" s="459"/>
    </row>
    <row r="937" spans="1:7" outlineLevel="1" x14ac:dyDescent="0.2">
      <c r="A937" s="17"/>
      <c r="B937" s="75"/>
      <c r="C937" s="1989" t="s">
        <v>2602</v>
      </c>
      <c r="D937" s="1989" t="s">
        <v>2603</v>
      </c>
      <c r="E937" s="1989">
        <v>0.86</v>
      </c>
      <c r="F937" s="38">
        <f t="shared" si="14"/>
        <v>69.936266400000008</v>
      </c>
      <c r="G937" s="459"/>
    </row>
    <row r="938" spans="1:7" outlineLevel="1" x14ac:dyDescent="0.2">
      <c r="A938" s="17"/>
      <c r="B938" s="75"/>
      <c r="C938" s="1989" t="s">
        <v>2604</v>
      </c>
      <c r="D938" s="1989" t="s">
        <v>2942</v>
      </c>
      <c r="E938" s="1989">
        <v>1.3</v>
      </c>
      <c r="F938" s="38">
        <f t="shared" si="14"/>
        <v>105.71761200000002</v>
      </c>
      <c r="G938" s="459"/>
    </row>
    <row r="939" spans="1:7" outlineLevel="1" x14ac:dyDescent="0.2">
      <c r="A939" s="17"/>
      <c r="B939" s="75"/>
      <c r="C939" s="1989" t="s">
        <v>2605</v>
      </c>
      <c r="D939" s="1989" t="s">
        <v>7584</v>
      </c>
      <c r="E939" s="1989">
        <v>2.54</v>
      </c>
      <c r="F939" s="38">
        <f t="shared" si="14"/>
        <v>206.55594960000002</v>
      </c>
      <c r="G939" s="459"/>
    </row>
    <row r="940" spans="1:7" outlineLevel="1" x14ac:dyDescent="0.2">
      <c r="A940" s="17"/>
      <c r="B940" s="75"/>
      <c r="C940" s="1989" t="s">
        <v>2607</v>
      </c>
      <c r="D940" s="1989" t="s">
        <v>5543</v>
      </c>
      <c r="E940" s="1989">
        <v>4.87</v>
      </c>
      <c r="F940" s="38">
        <f t="shared" si="14"/>
        <v>396.03443880000003</v>
      </c>
      <c r="G940" s="459"/>
    </row>
    <row r="941" spans="1:7" outlineLevel="1" x14ac:dyDescent="0.2">
      <c r="A941" s="17"/>
      <c r="B941" s="75"/>
      <c r="C941" s="1989" t="s">
        <v>1547</v>
      </c>
      <c r="D941" s="1989" t="s">
        <v>7585</v>
      </c>
      <c r="E941" s="1989">
        <v>2.62</v>
      </c>
      <c r="F941" s="38">
        <f t="shared" si="14"/>
        <v>213.06164880000003</v>
      </c>
      <c r="G941" s="459"/>
    </row>
    <row r="942" spans="1:7" outlineLevel="1" x14ac:dyDescent="0.2">
      <c r="A942" s="17"/>
      <c r="B942" s="75"/>
      <c r="C942" s="1989" t="s">
        <v>3798</v>
      </c>
      <c r="D942" s="1989" t="s">
        <v>5544</v>
      </c>
      <c r="E942" s="1989">
        <v>0</v>
      </c>
      <c r="F942" s="38">
        <f t="shared" si="14"/>
        <v>0</v>
      </c>
      <c r="G942" s="459"/>
    </row>
    <row r="943" spans="1:7" outlineLevel="1" x14ac:dyDescent="0.2">
      <c r="A943" s="17"/>
      <c r="B943" s="75"/>
      <c r="C943" s="1989" t="s">
        <v>3801</v>
      </c>
      <c r="D943" s="1989" t="s">
        <v>7586</v>
      </c>
      <c r="E943" s="1989">
        <v>0</v>
      </c>
      <c r="F943" s="38">
        <f t="shared" si="14"/>
        <v>0</v>
      </c>
      <c r="G943" s="459"/>
    </row>
    <row r="944" spans="1:7" outlineLevel="1" x14ac:dyDescent="0.2">
      <c r="A944" s="17"/>
      <c r="B944" s="75"/>
      <c r="C944" s="1989" t="s">
        <v>3262</v>
      </c>
      <c r="D944" s="1989" t="s">
        <v>5545</v>
      </c>
      <c r="E944" s="1989">
        <v>1.36</v>
      </c>
      <c r="F944" s="38">
        <f t="shared" si="14"/>
        <v>110.59688640000002</v>
      </c>
      <c r="G944" s="459"/>
    </row>
    <row r="945" spans="1:7" outlineLevel="1" x14ac:dyDescent="0.2">
      <c r="A945" s="17"/>
      <c r="B945" s="75"/>
      <c r="C945" s="1989" t="s">
        <v>2024</v>
      </c>
      <c r="D945" s="1989" t="s">
        <v>7587</v>
      </c>
      <c r="E945" s="1989">
        <v>2.4900000000000002</v>
      </c>
      <c r="F945" s="38">
        <f t="shared" si="14"/>
        <v>202.4898876</v>
      </c>
      <c r="G945" s="459"/>
    </row>
    <row r="946" spans="1:7" outlineLevel="1" x14ac:dyDescent="0.2">
      <c r="A946" s="17"/>
      <c r="B946" s="75"/>
      <c r="C946" s="1989" t="s">
        <v>2039</v>
      </c>
      <c r="D946" s="1989" t="s">
        <v>5546</v>
      </c>
      <c r="E946" s="1989">
        <v>2.7</v>
      </c>
      <c r="F946" s="38">
        <f t="shared" si="14"/>
        <v>219.56734800000004</v>
      </c>
      <c r="G946" s="459"/>
    </row>
    <row r="947" spans="1:7" outlineLevel="1" x14ac:dyDescent="0.2">
      <c r="A947" s="17"/>
      <c r="B947" s="75"/>
      <c r="C947" s="1989" t="s">
        <v>722</v>
      </c>
      <c r="D947" s="1989" t="s">
        <v>5547</v>
      </c>
      <c r="E947" s="1989">
        <v>2.74</v>
      </c>
      <c r="F947" s="38">
        <f t="shared" si="14"/>
        <v>222.82019760000003</v>
      </c>
      <c r="G947" s="459"/>
    </row>
    <row r="948" spans="1:7" outlineLevel="1" x14ac:dyDescent="0.2">
      <c r="A948" s="17"/>
      <c r="B948" s="75"/>
      <c r="C948" s="1989" t="s">
        <v>1009</v>
      </c>
      <c r="D948" s="1989" t="s">
        <v>734</v>
      </c>
      <c r="E948" s="1989">
        <v>1.05</v>
      </c>
      <c r="F948" s="38">
        <f t="shared" si="14"/>
        <v>85.387302000000005</v>
      </c>
      <c r="G948" s="459"/>
    </row>
    <row r="949" spans="1:7" outlineLevel="1" x14ac:dyDescent="0.2">
      <c r="A949" s="17"/>
      <c r="B949" s="75"/>
      <c r="C949" s="1989" t="s">
        <v>2174</v>
      </c>
      <c r="D949" s="1989" t="s">
        <v>736</v>
      </c>
      <c r="E949" s="1989">
        <v>1.05</v>
      </c>
      <c r="F949" s="38">
        <f t="shared" si="14"/>
        <v>85.387302000000005</v>
      </c>
      <c r="G949" s="459"/>
    </row>
    <row r="950" spans="1:7" outlineLevel="1" x14ac:dyDescent="0.2">
      <c r="A950" s="17"/>
      <c r="B950" s="75"/>
      <c r="C950" s="1989" t="s">
        <v>741</v>
      </c>
      <c r="D950" s="1989" t="s">
        <v>7588</v>
      </c>
      <c r="E950" s="1989">
        <v>2.4900000000000002</v>
      </c>
      <c r="F950" s="38">
        <f t="shared" si="14"/>
        <v>202.4898876</v>
      </c>
      <c r="G950" s="459"/>
    </row>
    <row r="951" spans="1:7" outlineLevel="1" x14ac:dyDescent="0.2">
      <c r="A951" s="17"/>
      <c r="B951" s="75"/>
      <c r="C951" s="1989" t="s">
        <v>743</v>
      </c>
      <c r="D951" s="1989" t="s">
        <v>7589</v>
      </c>
      <c r="E951" s="1989">
        <v>2.57</v>
      </c>
      <c r="F951" s="38">
        <f t="shared" si="14"/>
        <v>208.99558679999998</v>
      </c>
      <c r="G951" s="459"/>
    </row>
    <row r="952" spans="1:7" outlineLevel="1" x14ac:dyDescent="0.2">
      <c r="A952" s="17"/>
      <c r="B952" s="75"/>
      <c r="C952" s="1989" t="s">
        <v>2454</v>
      </c>
      <c r="D952" s="1989" t="s">
        <v>2455</v>
      </c>
      <c r="E952" s="1989">
        <v>1.69</v>
      </c>
      <c r="F952" s="38">
        <f t="shared" si="14"/>
        <v>137.43289560000002</v>
      </c>
      <c r="G952" s="459"/>
    </row>
    <row r="953" spans="1:7" outlineLevel="1" x14ac:dyDescent="0.2">
      <c r="A953" s="17"/>
      <c r="B953" s="75"/>
      <c r="C953" s="1989" t="s">
        <v>751</v>
      </c>
      <c r="D953" s="1989" t="s">
        <v>5548</v>
      </c>
      <c r="E953" s="1989">
        <v>2.7</v>
      </c>
      <c r="F953" s="38">
        <f t="shared" si="14"/>
        <v>219.56734800000004</v>
      </c>
      <c r="G953" s="459"/>
    </row>
    <row r="954" spans="1:7" outlineLevel="1" x14ac:dyDescent="0.2">
      <c r="A954" s="17"/>
      <c r="B954" s="75"/>
      <c r="C954" s="1989" t="s">
        <v>3263</v>
      </c>
      <c r="D954" s="1989" t="s">
        <v>3264</v>
      </c>
      <c r="E954" s="1989">
        <v>8.9</v>
      </c>
      <c r="F954" s="38">
        <f t="shared" si="14"/>
        <v>723.75903600000004</v>
      </c>
      <c r="G954" s="459"/>
    </row>
    <row r="955" spans="1:7" outlineLevel="1" x14ac:dyDescent="0.2">
      <c r="A955" s="17"/>
      <c r="B955" s="75"/>
      <c r="C955" s="1989" t="s">
        <v>757</v>
      </c>
      <c r="D955" s="1989" t="s">
        <v>5549</v>
      </c>
      <c r="E955" s="1989">
        <v>2.64</v>
      </c>
      <c r="F955" s="38">
        <f t="shared" si="14"/>
        <v>214.68807360000002</v>
      </c>
      <c r="G955" s="459"/>
    </row>
    <row r="956" spans="1:7" outlineLevel="1" x14ac:dyDescent="0.2">
      <c r="A956" s="17"/>
      <c r="B956" s="75"/>
      <c r="C956" s="1989" t="s">
        <v>765</v>
      </c>
      <c r="D956" s="1989" t="s">
        <v>7590</v>
      </c>
      <c r="E956" s="1989">
        <v>2.56</v>
      </c>
      <c r="F956" s="38">
        <f t="shared" si="14"/>
        <v>208.18237440000001</v>
      </c>
      <c r="G956" s="459"/>
    </row>
    <row r="957" spans="1:7" outlineLevel="1" x14ac:dyDescent="0.2">
      <c r="A957" s="17"/>
      <c r="B957" s="75"/>
      <c r="C957" s="1989" t="s">
        <v>2469</v>
      </c>
      <c r="D957" s="1989" t="s">
        <v>2470</v>
      </c>
      <c r="E957" s="1989">
        <v>1.56</v>
      </c>
      <c r="F957" s="38">
        <f t="shared" si="14"/>
        <v>126.8611344</v>
      </c>
      <c r="G957" s="459"/>
    </row>
    <row r="958" spans="1:7" outlineLevel="1" x14ac:dyDescent="0.2">
      <c r="A958" s="17"/>
      <c r="B958" s="75"/>
      <c r="C958" s="1989" t="s">
        <v>1427</v>
      </c>
      <c r="D958" s="1989" t="s">
        <v>5550</v>
      </c>
      <c r="E958" s="1989">
        <v>4.1500000000000004</v>
      </c>
      <c r="F958" s="38">
        <f t="shared" si="14"/>
        <v>337.48314600000003</v>
      </c>
      <c r="G958" s="459"/>
    </row>
    <row r="959" spans="1:7" outlineLevel="1" x14ac:dyDescent="0.2">
      <c r="A959" s="17"/>
      <c r="B959" s="75"/>
      <c r="C959" s="1989" t="s">
        <v>775</v>
      </c>
      <c r="D959" s="1989" t="s">
        <v>7591</v>
      </c>
      <c r="E959" s="1989">
        <v>2.62</v>
      </c>
      <c r="F959" s="38">
        <f t="shared" si="14"/>
        <v>213.06164880000003</v>
      </c>
      <c r="G959" s="459"/>
    </row>
    <row r="960" spans="1:7" outlineLevel="1" x14ac:dyDescent="0.2">
      <c r="A960" s="17"/>
      <c r="B960" s="75"/>
      <c r="C960" s="1989" t="s">
        <v>778</v>
      </c>
      <c r="D960" s="1989" t="s">
        <v>7592</v>
      </c>
      <c r="E960" s="1989">
        <v>2.62</v>
      </c>
      <c r="F960" s="38">
        <f t="shared" si="14"/>
        <v>213.06164880000003</v>
      </c>
      <c r="G960" s="459"/>
    </row>
    <row r="961" spans="1:7" outlineLevel="1" x14ac:dyDescent="0.2">
      <c r="A961" s="17"/>
      <c r="B961" s="75"/>
      <c r="C961" s="1989" t="s">
        <v>3265</v>
      </c>
      <c r="D961" s="1989" t="s">
        <v>7593</v>
      </c>
      <c r="E961" s="1989">
        <v>0</v>
      </c>
      <c r="F961" s="38">
        <f t="shared" si="14"/>
        <v>0</v>
      </c>
      <c r="G961" s="459"/>
    </row>
    <row r="962" spans="1:7" outlineLevel="1" x14ac:dyDescent="0.2">
      <c r="A962" s="17"/>
      <c r="B962" s="75"/>
      <c r="C962" s="1989" t="s">
        <v>28</v>
      </c>
      <c r="D962" s="1989" t="s">
        <v>7594</v>
      </c>
      <c r="E962" s="1989">
        <v>2.6</v>
      </c>
      <c r="F962" s="38">
        <f t="shared" si="14"/>
        <v>211.43522400000003</v>
      </c>
      <c r="G962" s="459"/>
    </row>
    <row r="963" spans="1:7" outlineLevel="1" x14ac:dyDescent="0.2">
      <c r="A963" s="17"/>
      <c r="B963" s="75"/>
      <c r="C963" s="1989" t="s">
        <v>29</v>
      </c>
      <c r="D963" s="1989" t="s">
        <v>5551</v>
      </c>
      <c r="E963" s="1989">
        <v>2.64</v>
      </c>
      <c r="F963" s="38">
        <f t="shared" si="14"/>
        <v>214.68807360000002</v>
      </c>
      <c r="G963" s="459"/>
    </row>
    <row r="964" spans="1:7" outlineLevel="1" x14ac:dyDescent="0.2">
      <c r="A964" s="17"/>
      <c r="B964" s="75"/>
      <c r="C964" s="1989" t="s">
        <v>1425</v>
      </c>
      <c r="D964" s="1989" t="s">
        <v>5552</v>
      </c>
      <c r="E964" s="1989">
        <v>5.26</v>
      </c>
      <c r="F964" s="38">
        <f t="shared" si="14"/>
        <v>427.7497224</v>
      </c>
      <c r="G964" s="459"/>
    </row>
    <row r="965" spans="1:7" outlineLevel="1" x14ac:dyDescent="0.2">
      <c r="A965" s="17"/>
      <c r="B965" s="75"/>
      <c r="C965" s="1989" t="s">
        <v>30</v>
      </c>
      <c r="D965" s="1989" t="s">
        <v>5553</v>
      </c>
      <c r="E965" s="1989">
        <v>2.74</v>
      </c>
      <c r="F965" s="38">
        <f t="shared" si="14"/>
        <v>222.82019760000003</v>
      </c>
      <c r="G965" s="459"/>
    </row>
    <row r="966" spans="1:7" outlineLevel="1" x14ac:dyDescent="0.2">
      <c r="A966" s="17"/>
      <c r="B966" s="75"/>
      <c r="C966" s="1989" t="s">
        <v>2943</v>
      </c>
      <c r="D966" s="1989" t="s">
        <v>2944</v>
      </c>
      <c r="E966" s="1989">
        <v>12.46</v>
      </c>
      <c r="F966" s="38">
        <f t="shared" si="14"/>
        <v>1013.2626504000001</v>
      </c>
      <c r="G966" s="459"/>
    </row>
    <row r="967" spans="1:7" outlineLevel="1" x14ac:dyDescent="0.2">
      <c r="A967" s="17"/>
      <c r="B967" s="75"/>
      <c r="C967" s="1989" t="s">
        <v>3266</v>
      </c>
      <c r="D967" s="1989" t="s">
        <v>3267</v>
      </c>
      <c r="E967" s="1989">
        <v>11.27</v>
      </c>
      <c r="F967" s="38">
        <f t="shared" si="14"/>
        <v>916.49037480000004</v>
      </c>
      <c r="G967" s="459"/>
    </row>
    <row r="968" spans="1:7" outlineLevel="1" x14ac:dyDescent="0.2">
      <c r="A968" s="17"/>
      <c r="B968" s="75"/>
      <c r="C968" s="1989" t="s">
        <v>3268</v>
      </c>
      <c r="D968" s="1989" t="s">
        <v>3269</v>
      </c>
      <c r="E968" s="1989">
        <v>12.67</v>
      </c>
      <c r="F968" s="38">
        <f t="shared" si="14"/>
        <v>1030.3401108</v>
      </c>
      <c r="G968" s="459"/>
    </row>
    <row r="969" spans="1:7" outlineLevel="1" x14ac:dyDescent="0.2">
      <c r="A969" s="17"/>
      <c r="B969" s="75"/>
      <c r="C969" s="1989" t="s">
        <v>2945</v>
      </c>
      <c r="D969" s="1989" t="s">
        <v>5554</v>
      </c>
      <c r="E969" s="1989">
        <v>1.42</v>
      </c>
      <c r="F969" s="38">
        <f t="shared" si="14"/>
        <v>115.4761608</v>
      </c>
      <c r="G969" s="459"/>
    </row>
    <row r="970" spans="1:7" outlineLevel="1" x14ac:dyDescent="0.2">
      <c r="A970" s="17"/>
      <c r="B970" s="75"/>
      <c r="C970" s="1989" t="s">
        <v>1423</v>
      </c>
      <c r="D970" s="1989" t="s">
        <v>5555</v>
      </c>
      <c r="E970" s="1989">
        <v>5.82</v>
      </c>
      <c r="F970" s="38">
        <f t="shared" si="14"/>
        <v>473.28961680000003</v>
      </c>
      <c r="G970" s="459"/>
    </row>
    <row r="971" spans="1:7" outlineLevel="1" x14ac:dyDescent="0.2">
      <c r="A971" s="17"/>
      <c r="B971" s="75"/>
      <c r="C971" s="1989" t="s">
        <v>1856</v>
      </c>
      <c r="D971" s="1989" t="s">
        <v>1857</v>
      </c>
      <c r="E971" s="1989">
        <v>2.68</v>
      </c>
      <c r="F971" s="38">
        <f t="shared" si="14"/>
        <v>217.94092320000004</v>
      </c>
      <c r="G971" s="459"/>
    </row>
    <row r="972" spans="1:7" outlineLevel="1" x14ac:dyDescent="0.2">
      <c r="A972" s="17"/>
      <c r="B972" s="75"/>
      <c r="C972" s="1989" t="s">
        <v>1860</v>
      </c>
      <c r="D972" s="1989" t="s">
        <v>1861</v>
      </c>
      <c r="E972" s="1989">
        <v>2.68</v>
      </c>
      <c r="F972" s="38">
        <f t="shared" si="14"/>
        <v>217.94092320000004</v>
      </c>
      <c r="G972" s="459"/>
    </row>
    <row r="973" spans="1:7" outlineLevel="1" x14ac:dyDescent="0.2">
      <c r="A973" s="17"/>
      <c r="B973" s="75"/>
      <c r="C973" s="1989" t="s">
        <v>1897</v>
      </c>
      <c r="D973" s="1989" t="s">
        <v>7595</v>
      </c>
      <c r="E973" s="1989">
        <v>2.56</v>
      </c>
      <c r="F973" s="38">
        <f t="shared" si="14"/>
        <v>208.18237440000001</v>
      </c>
      <c r="G973" s="459"/>
    </row>
    <row r="974" spans="1:7" outlineLevel="1" x14ac:dyDescent="0.2">
      <c r="A974" s="17"/>
      <c r="B974" s="75"/>
      <c r="C974" s="1989" t="s">
        <v>1908</v>
      </c>
      <c r="D974" s="1989" t="s">
        <v>1909</v>
      </c>
      <c r="E974" s="1989">
        <v>2.23</v>
      </c>
      <c r="F974" s="38">
        <f t="shared" si="14"/>
        <v>181.34636519999998</v>
      </c>
      <c r="G974" s="459"/>
    </row>
    <row r="975" spans="1:7" outlineLevel="1" x14ac:dyDescent="0.2">
      <c r="A975" s="17"/>
      <c r="B975" s="75"/>
      <c r="C975" s="1989" t="s">
        <v>1912</v>
      </c>
      <c r="D975" s="1989" t="s">
        <v>1913</v>
      </c>
      <c r="E975" s="1989">
        <v>2.23</v>
      </c>
      <c r="F975" s="38">
        <f t="shared" si="14"/>
        <v>181.34636519999998</v>
      </c>
      <c r="G975" s="459"/>
    </row>
    <row r="976" spans="1:7" outlineLevel="1" x14ac:dyDescent="0.2">
      <c r="A976" s="17"/>
      <c r="B976" s="75"/>
      <c r="C976" s="1989" t="s">
        <v>988</v>
      </c>
      <c r="D976" s="1989" t="s">
        <v>1915</v>
      </c>
      <c r="E976" s="1989">
        <v>2.5099999999999998</v>
      </c>
      <c r="F976" s="38">
        <f t="shared" si="14"/>
        <v>204.1163124</v>
      </c>
      <c r="G976" s="459"/>
    </row>
    <row r="977" spans="1:7" outlineLevel="1" x14ac:dyDescent="0.2">
      <c r="A977" s="17"/>
      <c r="B977" s="75"/>
      <c r="C977" s="1989" t="s">
        <v>991</v>
      </c>
      <c r="D977" s="1989" t="s">
        <v>5556</v>
      </c>
      <c r="E977" s="1989">
        <v>2.5099999999999998</v>
      </c>
      <c r="F977" s="38">
        <f t="shared" si="14"/>
        <v>204.1163124</v>
      </c>
      <c r="G977" s="459"/>
    </row>
    <row r="978" spans="1:7" outlineLevel="1" x14ac:dyDescent="0.2">
      <c r="A978" s="17"/>
      <c r="B978" s="75"/>
      <c r="C978" s="1989" t="s">
        <v>1918</v>
      </c>
      <c r="D978" s="1989" t="s">
        <v>1919</v>
      </c>
      <c r="E978" s="1989">
        <v>2.41</v>
      </c>
      <c r="F978" s="38">
        <f t="shared" si="14"/>
        <v>195.98418839999999</v>
      </c>
      <c r="G978" s="459"/>
    </row>
    <row r="979" spans="1:7" outlineLevel="1" x14ac:dyDescent="0.2">
      <c r="A979" s="17"/>
      <c r="B979" s="75"/>
      <c r="C979" s="1989" t="s">
        <v>1921</v>
      </c>
      <c r="D979" s="1989" t="s">
        <v>5557</v>
      </c>
      <c r="E979" s="1989">
        <v>2.41</v>
      </c>
      <c r="F979" s="38">
        <f t="shared" si="14"/>
        <v>195.98418839999999</v>
      </c>
      <c r="G979" s="459"/>
    </row>
    <row r="980" spans="1:7" outlineLevel="1" x14ac:dyDescent="0.2">
      <c r="A980" s="17"/>
      <c r="B980" s="75"/>
      <c r="C980" s="1989" t="s">
        <v>1924</v>
      </c>
      <c r="D980" s="1989" t="s">
        <v>5558</v>
      </c>
      <c r="E980" s="1989">
        <v>2.63</v>
      </c>
      <c r="F980" s="38">
        <f t="shared" si="14"/>
        <v>213.8748612</v>
      </c>
      <c r="G980" s="459"/>
    </row>
    <row r="981" spans="1:7" outlineLevel="1" x14ac:dyDescent="0.2">
      <c r="A981" s="17"/>
      <c r="B981" s="75"/>
      <c r="C981" s="1989" t="s">
        <v>1927</v>
      </c>
      <c r="D981" s="1989" t="s">
        <v>1928</v>
      </c>
      <c r="E981" s="1989">
        <v>2.63</v>
      </c>
      <c r="F981" s="38">
        <f t="shared" si="14"/>
        <v>213.8748612</v>
      </c>
      <c r="G981" s="459"/>
    </row>
    <row r="982" spans="1:7" outlineLevel="1" x14ac:dyDescent="0.2">
      <c r="A982" s="17"/>
      <c r="B982" s="75"/>
      <c r="C982" s="1989" t="s">
        <v>983</v>
      </c>
      <c r="D982" s="1989" t="s">
        <v>1930</v>
      </c>
      <c r="E982" s="1989">
        <v>2.58</v>
      </c>
      <c r="F982" s="38">
        <f t="shared" si="14"/>
        <v>209.80879920000001</v>
      </c>
      <c r="G982" s="459"/>
    </row>
    <row r="983" spans="1:7" outlineLevel="1" x14ac:dyDescent="0.2">
      <c r="A983" s="17"/>
      <c r="B983" s="75"/>
      <c r="C983" s="1989" t="s">
        <v>982</v>
      </c>
      <c r="D983" s="1989" t="s">
        <v>5559</v>
      </c>
      <c r="E983" s="1989">
        <v>2.58</v>
      </c>
      <c r="F983" s="38">
        <f t="shared" si="14"/>
        <v>209.80879920000001</v>
      </c>
      <c r="G983" s="459"/>
    </row>
    <row r="984" spans="1:7" outlineLevel="1" x14ac:dyDescent="0.2">
      <c r="A984" s="17"/>
      <c r="B984" s="75"/>
      <c r="C984" s="1989" t="s">
        <v>1472</v>
      </c>
      <c r="D984" s="1989" t="s">
        <v>7596</v>
      </c>
      <c r="E984" s="1989">
        <v>2.57</v>
      </c>
      <c r="F984" s="38">
        <f t="shared" si="14"/>
        <v>208.99558679999998</v>
      </c>
      <c r="G984" s="459"/>
    </row>
    <row r="985" spans="1:7" outlineLevel="1" x14ac:dyDescent="0.2">
      <c r="A985" s="17"/>
      <c r="B985" s="75"/>
      <c r="C985" s="1989" t="s">
        <v>1005</v>
      </c>
      <c r="D985" s="1989" t="s">
        <v>1473</v>
      </c>
      <c r="E985" s="1989">
        <v>1.42</v>
      </c>
      <c r="F985" s="38">
        <f t="shared" si="14"/>
        <v>115.4761608</v>
      </c>
      <c r="G985" s="459"/>
    </row>
    <row r="986" spans="1:7" outlineLevel="1" x14ac:dyDescent="0.2">
      <c r="A986" s="17"/>
      <c r="B986" s="75"/>
      <c r="C986" s="1989" t="s">
        <v>1004</v>
      </c>
      <c r="D986" s="1989" t="s">
        <v>5560</v>
      </c>
      <c r="E986" s="1989">
        <v>1.42</v>
      </c>
      <c r="F986" s="38">
        <f t="shared" si="14"/>
        <v>115.4761608</v>
      </c>
      <c r="G986" s="459"/>
    </row>
    <row r="987" spans="1:7" outlineLevel="1" x14ac:dyDescent="0.2">
      <c r="A987" s="17"/>
      <c r="B987" s="75"/>
      <c r="C987" s="1989" t="s">
        <v>2571</v>
      </c>
      <c r="D987" s="1989" t="s">
        <v>5561</v>
      </c>
      <c r="E987" s="1989">
        <v>0.79</v>
      </c>
      <c r="F987" s="38">
        <f t="shared" si="14"/>
        <v>64.243779599999996</v>
      </c>
      <c r="G987" s="459"/>
    </row>
    <row r="988" spans="1:7" outlineLevel="1" x14ac:dyDescent="0.2">
      <c r="A988" s="17"/>
      <c r="B988" s="75"/>
      <c r="C988" s="1989" t="s">
        <v>2573</v>
      </c>
      <c r="D988" s="1989" t="s">
        <v>5562</v>
      </c>
      <c r="E988" s="1989">
        <v>0.79</v>
      </c>
      <c r="F988" s="38">
        <f t="shared" si="14"/>
        <v>64.243779599999996</v>
      </c>
      <c r="G988" s="459"/>
    </row>
    <row r="989" spans="1:7" outlineLevel="1" x14ac:dyDescent="0.2">
      <c r="A989" s="17"/>
      <c r="B989" s="75"/>
      <c r="C989" s="1989" t="s">
        <v>3270</v>
      </c>
      <c r="D989" s="1989" t="s">
        <v>3271</v>
      </c>
      <c r="E989" s="1989">
        <v>0</v>
      </c>
      <c r="F989" s="38">
        <f t="shared" si="14"/>
        <v>0</v>
      </c>
      <c r="G989" s="459"/>
    </row>
    <row r="990" spans="1:7" outlineLevel="1" x14ac:dyDescent="0.2">
      <c r="A990" s="17"/>
      <c r="B990" s="75"/>
      <c r="C990" s="1989" t="s">
        <v>3272</v>
      </c>
      <c r="D990" s="1989" t="s">
        <v>3273</v>
      </c>
      <c r="E990" s="1989">
        <v>0</v>
      </c>
      <c r="F990" s="38">
        <f t="shared" si="14"/>
        <v>0</v>
      </c>
      <c r="G990" s="459"/>
    </row>
    <row r="991" spans="1:7" outlineLevel="1" x14ac:dyDescent="0.2">
      <c r="A991" s="17"/>
      <c r="B991" s="75"/>
      <c r="C991" s="1989" t="s">
        <v>2577</v>
      </c>
      <c r="D991" s="1989" t="s">
        <v>3274</v>
      </c>
      <c r="E991" s="1989">
        <v>0</v>
      </c>
      <c r="F991" s="38">
        <f t="shared" ref="F991:F1054" si="15">E991*$G$4*$J$4</f>
        <v>0</v>
      </c>
      <c r="G991" s="459"/>
    </row>
    <row r="992" spans="1:7" outlineLevel="1" x14ac:dyDescent="0.2">
      <c r="A992" s="17"/>
      <c r="B992" s="75"/>
      <c r="C992" s="1989" t="s">
        <v>2580</v>
      </c>
      <c r="D992" s="1989" t="s">
        <v>3275</v>
      </c>
      <c r="E992" s="1989">
        <v>0</v>
      </c>
      <c r="F992" s="38">
        <f t="shared" si="15"/>
        <v>0</v>
      </c>
      <c r="G992" s="459"/>
    </row>
    <row r="993" spans="1:7" outlineLevel="1" x14ac:dyDescent="0.2">
      <c r="A993" s="17"/>
      <c r="B993" s="75"/>
      <c r="C993" s="1989" t="s">
        <v>1491</v>
      </c>
      <c r="D993" s="1989" t="s">
        <v>1492</v>
      </c>
      <c r="E993" s="1989">
        <v>2.57</v>
      </c>
      <c r="F993" s="38">
        <f t="shared" si="15"/>
        <v>208.99558679999998</v>
      </c>
      <c r="G993" s="459"/>
    </row>
    <row r="994" spans="1:7" outlineLevel="1" x14ac:dyDescent="0.2">
      <c r="A994" s="17"/>
      <c r="B994" s="75"/>
      <c r="C994" s="1989" t="s">
        <v>1495</v>
      </c>
      <c r="D994" s="1989" t="s">
        <v>1496</v>
      </c>
      <c r="E994" s="1989">
        <v>2.57</v>
      </c>
      <c r="F994" s="38">
        <f t="shared" si="15"/>
        <v>208.99558679999998</v>
      </c>
      <c r="G994" s="459"/>
    </row>
    <row r="995" spans="1:7" outlineLevel="1" x14ac:dyDescent="0.2">
      <c r="A995" s="17"/>
      <c r="B995" s="75"/>
      <c r="C995" s="1989" t="s">
        <v>1499</v>
      </c>
      <c r="D995" s="1989" t="s">
        <v>1500</v>
      </c>
      <c r="E995" s="1989">
        <v>2.5</v>
      </c>
      <c r="F995" s="38">
        <f t="shared" si="15"/>
        <v>203.30310000000003</v>
      </c>
      <c r="G995" s="459"/>
    </row>
    <row r="996" spans="1:7" outlineLevel="1" x14ac:dyDescent="0.2">
      <c r="A996" s="17"/>
      <c r="B996" s="75"/>
      <c r="C996" s="1989" t="s">
        <v>1503</v>
      </c>
      <c r="D996" s="1989" t="s">
        <v>1504</v>
      </c>
      <c r="E996" s="1989">
        <v>2.5</v>
      </c>
      <c r="F996" s="38">
        <f t="shared" si="15"/>
        <v>203.30310000000003</v>
      </c>
      <c r="G996" s="459"/>
    </row>
    <row r="997" spans="1:7" outlineLevel="1" x14ac:dyDescent="0.2">
      <c r="A997" s="17"/>
      <c r="B997" s="75"/>
      <c r="C997" s="1989" t="s">
        <v>992</v>
      </c>
      <c r="D997" s="1989" t="s">
        <v>1506</v>
      </c>
      <c r="E997" s="1989">
        <v>2.58</v>
      </c>
      <c r="F997" s="38">
        <f t="shared" si="15"/>
        <v>209.80879920000001</v>
      </c>
      <c r="G997" s="459"/>
    </row>
    <row r="998" spans="1:7" outlineLevel="1" x14ac:dyDescent="0.2">
      <c r="A998" s="17"/>
      <c r="B998" s="75"/>
      <c r="C998" s="1989" t="s">
        <v>993</v>
      </c>
      <c r="D998" s="1989" t="s">
        <v>1508</v>
      </c>
      <c r="E998" s="1989">
        <v>2.58</v>
      </c>
      <c r="F998" s="38">
        <f t="shared" si="15"/>
        <v>209.80879920000001</v>
      </c>
      <c r="G998" s="459"/>
    </row>
    <row r="999" spans="1:7" outlineLevel="1" x14ac:dyDescent="0.2">
      <c r="A999" s="17"/>
      <c r="B999" s="75"/>
      <c r="C999" s="1989" t="s">
        <v>3276</v>
      </c>
      <c r="D999" s="1989" t="s">
        <v>3277</v>
      </c>
      <c r="E999" s="1989">
        <v>0</v>
      </c>
      <c r="F999" s="38">
        <f t="shared" si="15"/>
        <v>0</v>
      </c>
      <c r="G999" s="459"/>
    </row>
    <row r="1000" spans="1:7" outlineLevel="1" x14ac:dyDescent="0.2">
      <c r="A1000" s="17"/>
      <c r="B1000" s="75"/>
      <c r="C1000" s="1989" t="s">
        <v>3278</v>
      </c>
      <c r="D1000" s="1989" t="s">
        <v>3279</v>
      </c>
      <c r="E1000" s="1989">
        <v>0</v>
      </c>
      <c r="F1000" s="38">
        <f t="shared" si="15"/>
        <v>0</v>
      </c>
      <c r="G1000" s="459"/>
    </row>
    <row r="1001" spans="1:7" outlineLevel="1" x14ac:dyDescent="0.2">
      <c r="A1001" s="17"/>
      <c r="B1001" s="75"/>
      <c r="C1001" s="1989" t="s">
        <v>1000</v>
      </c>
      <c r="D1001" s="1989" t="s">
        <v>5563</v>
      </c>
      <c r="E1001" s="1989">
        <v>1.55</v>
      </c>
      <c r="F1001" s="38">
        <f t="shared" si="15"/>
        <v>126.047922</v>
      </c>
      <c r="G1001" s="459"/>
    </row>
    <row r="1002" spans="1:7" outlineLevel="1" x14ac:dyDescent="0.2">
      <c r="A1002" s="17"/>
      <c r="B1002" s="75"/>
      <c r="C1002" s="1989" t="s">
        <v>1001</v>
      </c>
      <c r="D1002" s="1989" t="s">
        <v>1512</v>
      </c>
      <c r="E1002" s="1989">
        <v>1.55</v>
      </c>
      <c r="F1002" s="38">
        <f t="shared" si="15"/>
        <v>126.047922</v>
      </c>
      <c r="G1002" s="459"/>
    </row>
    <row r="1003" spans="1:7" outlineLevel="1" x14ac:dyDescent="0.2">
      <c r="A1003" s="17"/>
      <c r="B1003" s="75"/>
      <c r="C1003" s="1989" t="s">
        <v>2177</v>
      </c>
      <c r="D1003" s="1989" t="s">
        <v>2585</v>
      </c>
      <c r="E1003" s="1989">
        <v>0.68</v>
      </c>
      <c r="F1003" s="38">
        <f t="shared" si="15"/>
        <v>55.298443200000008</v>
      </c>
      <c r="G1003" s="459"/>
    </row>
    <row r="1004" spans="1:7" outlineLevel="1" x14ac:dyDescent="0.2">
      <c r="A1004" s="17"/>
      <c r="B1004" s="75"/>
      <c r="C1004" s="1989" t="s">
        <v>1514</v>
      </c>
      <c r="D1004" s="1989" t="s">
        <v>2587</v>
      </c>
      <c r="E1004" s="1989">
        <v>0.79</v>
      </c>
      <c r="F1004" s="38">
        <f t="shared" si="15"/>
        <v>64.243779599999996</v>
      </c>
      <c r="G1004" s="459"/>
    </row>
    <row r="1005" spans="1:7" outlineLevel="1" x14ac:dyDescent="0.2">
      <c r="A1005" s="17"/>
      <c r="B1005" s="75"/>
      <c r="C1005" s="1989" t="s">
        <v>990</v>
      </c>
      <c r="D1005" s="1989" t="s">
        <v>1520</v>
      </c>
      <c r="E1005" s="1989">
        <v>2.5099999999999998</v>
      </c>
      <c r="F1005" s="38">
        <f t="shared" si="15"/>
        <v>204.1163124</v>
      </c>
      <c r="G1005" s="459"/>
    </row>
    <row r="1006" spans="1:7" outlineLevel="1" x14ac:dyDescent="0.2">
      <c r="A1006" s="17"/>
      <c r="B1006" s="75"/>
      <c r="C1006" s="1989" t="s">
        <v>989</v>
      </c>
      <c r="D1006" s="1989" t="s">
        <v>1522</v>
      </c>
      <c r="E1006" s="1989">
        <v>2.5099999999999998</v>
      </c>
      <c r="F1006" s="38">
        <f t="shared" si="15"/>
        <v>204.1163124</v>
      </c>
      <c r="G1006" s="459"/>
    </row>
    <row r="1007" spans="1:7" outlineLevel="1" x14ac:dyDescent="0.2">
      <c r="A1007" s="17"/>
      <c r="B1007" s="75"/>
      <c r="C1007" s="1989" t="s">
        <v>2946</v>
      </c>
      <c r="D1007" s="1989" t="s">
        <v>7597</v>
      </c>
      <c r="E1007" s="1989">
        <v>6.09</v>
      </c>
      <c r="F1007" s="38">
        <f t="shared" si="15"/>
        <v>495.24635160000003</v>
      </c>
      <c r="G1007" s="459"/>
    </row>
    <row r="1008" spans="1:7" outlineLevel="1" x14ac:dyDescent="0.2">
      <c r="A1008" s="17"/>
      <c r="B1008" s="75"/>
      <c r="C1008" s="1989" t="s">
        <v>3280</v>
      </c>
      <c r="D1008" s="1989" t="s">
        <v>3281</v>
      </c>
      <c r="E1008" s="1989">
        <v>0.83</v>
      </c>
      <c r="F1008" s="38">
        <f t="shared" si="15"/>
        <v>67.496629200000001</v>
      </c>
      <c r="G1008" s="459"/>
    </row>
    <row r="1009" spans="1:7" outlineLevel="1" x14ac:dyDescent="0.2">
      <c r="A1009" s="17"/>
      <c r="B1009" s="75"/>
      <c r="C1009" s="1989" t="s">
        <v>2608</v>
      </c>
      <c r="D1009" s="1989" t="s">
        <v>2609</v>
      </c>
      <c r="E1009" s="1989">
        <v>4.87</v>
      </c>
      <c r="F1009" s="38">
        <f t="shared" si="15"/>
        <v>396.03443880000003</v>
      </c>
      <c r="G1009" s="459"/>
    </row>
    <row r="1010" spans="1:7" outlineLevel="1" x14ac:dyDescent="0.2">
      <c r="A1010" s="17"/>
      <c r="B1010" s="75"/>
      <c r="C1010" s="1989" t="s">
        <v>1548</v>
      </c>
      <c r="D1010" s="1989" t="s">
        <v>7598</v>
      </c>
      <c r="E1010" s="1989">
        <v>2.6</v>
      </c>
      <c r="F1010" s="38">
        <f t="shared" si="15"/>
        <v>211.43522400000003</v>
      </c>
      <c r="G1010" s="459"/>
    </row>
    <row r="1011" spans="1:7" outlineLevel="1" x14ac:dyDescent="0.2">
      <c r="A1011" s="17"/>
      <c r="B1011" s="75"/>
      <c r="C1011" s="1989" t="s">
        <v>3799</v>
      </c>
      <c r="D1011" s="1989" t="s">
        <v>3800</v>
      </c>
      <c r="E1011" s="1989">
        <v>0</v>
      </c>
      <c r="F1011" s="38">
        <f t="shared" si="15"/>
        <v>0</v>
      </c>
      <c r="G1011" s="459"/>
    </row>
    <row r="1012" spans="1:7" outlineLevel="1" x14ac:dyDescent="0.2">
      <c r="A1012" s="17"/>
      <c r="B1012" s="75"/>
      <c r="C1012" s="1989" t="s">
        <v>3802</v>
      </c>
      <c r="D1012" s="1989" t="s">
        <v>7599</v>
      </c>
      <c r="E1012" s="1989">
        <v>0</v>
      </c>
      <c r="F1012" s="38">
        <f t="shared" si="15"/>
        <v>0</v>
      </c>
      <c r="G1012" s="459"/>
    </row>
    <row r="1013" spans="1:7" outlineLevel="1" x14ac:dyDescent="0.2">
      <c r="A1013" s="17"/>
      <c r="B1013" s="75"/>
      <c r="C1013" s="1989" t="s">
        <v>2947</v>
      </c>
      <c r="D1013" s="1989" t="s">
        <v>2948</v>
      </c>
      <c r="E1013" s="1989">
        <v>5.0999999999999996</v>
      </c>
      <c r="F1013" s="38">
        <f t="shared" si="15"/>
        <v>414.73832399999998</v>
      </c>
      <c r="G1013" s="459"/>
    </row>
    <row r="1014" spans="1:7" outlineLevel="1" x14ac:dyDescent="0.2">
      <c r="A1014" s="17"/>
      <c r="B1014" s="75"/>
      <c r="C1014" s="1989" t="s">
        <v>2949</v>
      </c>
      <c r="D1014" s="1989" t="s">
        <v>2950</v>
      </c>
      <c r="E1014" s="1989">
        <v>5.0999999999999996</v>
      </c>
      <c r="F1014" s="38">
        <f t="shared" si="15"/>
        <v>414.73832399999998</v>
      </c>
      <c r="G1014" s="459"/>
    </row>
    <row r="1015" spans="1:7" outlineLevel="1" x14ac:dyDescent="0.2">
      <c r="A1015" s="17"/>
      <c r="B1015" s="75"/>
      <c r="C1015" s="1989" t="s">
        <v>2952</v>
      </c>
      <c r="D1015" s="1989" t="s">
        <v>2953</v>
      </c>
      <c r="E1015" s="1989">
        <v>1.36</v>
      </c>
      <c r="F1015" s="38">
        <f t="shared" si="15"/>
        <v>110.59688640000002</v>
      </c>
      <c r="G1015" s="459"/>
    </row>
    <row r="1016" spans="1:7" outlineLevel="1" x14ac:dyDescent="0.2">
      <c r="A1016" s="17"/>
      <c r="B1016" s="75"/>
      <c r="C1016" s="1989" t="s">
        <v>2955</v>
      </c>
      <c r="D1016" s="1989" t="s">
        <v>2956</v>
      </c>
      <c r="E1016" s="1989">
        <v>5.0199999999999996</v>
      </c>
      <c r="F1016" s="38">
        <f t="shared" si="15"/>
        <v>408.2326248</v>
      </c>
      <c r="G1016" s="459"/>
    </row>
    <row r="1017" spans="1:7" outlineLevel="1" x14ac:dyDescent="0.2">
      <c r="A1017" s="17"/>
      <c r="B1017" s="75"/>
      <c r="C1017" s="1989" t="s">
        <v>2957</v>
      </c>
      <c r="D1017" s="1989" t="s">
        <v>2958</v>
      </c>
      <c r="E1017" s="1989">
        <v>5.0199999999999996</v>
      </c>
      <c r="F1017" s="38">
        <f t="shared" si="15"/>
        <v>408.2326248</v>
      </c>
      <c r="G1017" s="459"/>
    </row>
    <row r="1018" spans="1:7" outlineLevel="1" x14ac:dyDescent="0.2">
      <c r="A1018" s="17"/>
      <c r="B1018" s="75"/>
      <c r="C1018" s="1989" t="s">
        <v>2959</v>
      </c>
      <c r="D1018" s="1989" t="s">
        <v>2960</v>
      </c>
      <c r="E1018" s="1989">
        <v>11.88</v>
      </c>
      <c r="F1018" s="38">
        <f t="shared" si="15"/>
        <v>966.09633120000012</v>
      </c>
      <c r="G1018" s="459"/>
    </row>
    <row r="1019" spans="1:7" outlineLevel="1" x14ac:dyDescent="0.2">
      <c r="A1019" s="17"/>
      <c r="B1019" s="75"/>
      <c r="C1019" s="1989" t="s">
        <v>2961</v>
      </c>
      <c r="D1019" s="1989" t="s">
        <v>2962</v>
      </c>
      <c r="E1019" s="1989">
        <v>1.6</v>
      </c>
      <c r="F1019" s="38">
        <f t="shared" si="15"/>
        <v>130.11398400000002</v>
      </c>
      <c r="G1019" s="459"/>
    </row>
    <row r="1020" spans="1:7" outlineLevel="1" x14ac:dyDescent="0.2">
      <c r="A1020" s="17"/>
      <c r="B1020" s="75"/>
      <c r="C1020" s="1989" t="s">
        <v>2963</v>
      </c>
      <c r="D1020" s="1989" t="s">
        <v>2964</v>
      </c>
      <c r="E1020" s="1989">
        <v>1.6</v>
      </c>
      <c r="F1020" s="38">
        <f t="shared" si="15"/>
        <v>130.11398400000002</v>
      </c>
      <c r="G1020" s="459"/>
    </row>
    <row r="1021" spans="1:7" outlineLevel="1" x14ac:dyDescent="0.2">
      <c r="A1021" s="17"/>
      <c r="B1021" s="75"/>
      <c r="C1021" s="1989" t="s">
        <v>2965</v>
      </c>
      <c r="D1021" s="1989" t="s">
        <v>2966</v>
      </c>
      <c r="E1021" s="1989">
        <v>19.09</v>
      </c>
      <c r="F1021" s="38">
        <f t="shared" si="15"/>
        <v>1552.4224715999999</v>
      </c>
      <c r="G1021" s="459"/>
    </row>
    <row r="1022" spans="1:7" outlineLevel="1" x14ac:dyDescent="0.2">
      <c r="A1022" s="17"/>
      <c r="B1022" s="75"/>
      <c r="C1022" s="1989" t="s">
        <v>3909</v>
      </c>
      <c r="D1022" s="1989" t="s">
        <v>5564</v>
      </c>
      <c r="E1022" s="1989">
        <v>11.48</v>
      </c>
      <c r="F1022" s="38">
        <f t="shared" si="15"/>
        <v>933.5678352000001</v>
      </c>
      <c r="G1022" s="459"/>
    </row>
    <row r="1023" spans="1:7" outlineLevel="1" x14ac:dyDescent="0.2">
      <c r="A1023" s="17"/>
      <c r="B1023" s="75"/>
      <c r="C1023" s="1989" t="s">
        <v>3282</v>
      </c>
      <c r="D1023" s="1989" t="s">
        <v>2956</v>
      </c>
      <c r="E1023" s="1989">
        <v>5.81</v>
      </c>
      <c r="F1023" s="38">
        <f t="shared" si="15"/>
        <v>472.47640439999998</v>
      </c>
      <c r="G1023" s="459"/>
    </row>
    <row r="1024" spans="1:7" outlineLevel="1" x14ac:dyDescent="0.2">
      <c r="A1024" s="17"/>
      <c r="B1024" s="75"/>
      <c r="C1024" s="1989" t="s">
        <v>3283</v>
      </c>
      <c r="D1024" s="1989" t="s">
        <v>2948</v>
      </c>
      <c r="E1024" s="1989">
        <v>5.89</v>
      </c>
      <c r="F1024" s="38">
        <f t="shared" si="15"/>
        <v>478.98210360000002</v>
      </c>
      <c r="G1024" s="459"/>
    </row>
    <row r="1025" spans="1:7" outlineLevel="1" x14ac:dyDescent="0.2">
      <c r="A1025" s="17"/>
      <c r="B1025" s="75"/>
      <c r="C1025" s="1989" t="s">
        <v>3284</v>
      </c>
      <c r="D1025" s="1989" t="s">
        <v>2958</v>
      </c>
      <c r="E1025" s="1989">
        <v>5.81</v>
      </c>
      <c r="F1025" s="38">
        <f t="shared" si="15"/>
        <v>472.47640439999998</v>
      </c>
      <c r="G1025" s="459"/>
    </row>
    <row r="1026" spans="1:7" outlineLevel="1" x14ac:dyDescent="0.2">
      <c r="A1026" s="17"/>
      <c r="B1026" s="75"/>
      <c r="C1026" s="1989" t="s">
        <v>3285</v>
      </c>
      <c r="D1026" s="1989" t="s">
        <v>2950</v>
      </c>
      <c r="E1026" s="1989">
        <v>5.89</v>
      </c>
      <c r="F1026" s="38">
        <f t="shared" si="15"/>
        <v>478.98210360000002</v>
      </c>
      <c r="G1026" s="459"/>
    </row>
    <row r="1027" spans="1:7" outlineLevel="1" x14ac:dyDescent="0.2">
      <c r="A1027" s="17"/>
      <c r="B1027" s="75"/>
      <c r="C1027" s="1989" t="s">
        <v>3910</v>
      </c>
      <c r="D1027" s="1989" t="s">
        <v>3911</v>
      </c>
      <c r="E1027" s="1989">
        <v>5.72</v>
      </c>
      <c r="F1027" s="38">
        <f t="shared" si="15"/>
        <v>465.1574928</v>
      </c>
      <c r="G1027" s="459"/>
    </row>
    <row r="1028" spans="1:7" outlineLevel="1" x14ac:dyDescent="0.2">
      <c r="A1028" s="17"/>
      <c r="B1028" s="75"/>
      <c r="C1028" s="1989" t="s">
        <v>3912</v>
      </c>
      <c r="D1028" s="1989" t="s">
        <v>5565</v>
      </c>
      <c r="E1028" s="1989">
        <v>11.14</v>
      </c>
      <c r="F1028" s="38">
        <f t="shared" si="15"/>
        <v>905.91861360000007</v>
      </c>
      <c r="G1028" s="459"/>
    </row>
    <row r="1029" spans="1:7" outlineLevel="1" x14ac:dyDescent="0.2">
      <c r="A1029" s="17"/>
      <c r="B1029" s="75"/>
      <c r="C1029" s="1989" t="s">
        <v>3913</v>
      </c>
      <c r="D1029" s="1989" t="s">
        <v>3914</v>
      </c>
      <c r="E1029" s="1989">
        <v>5.72</v>
      </c>
      <c r="F1029" s="38">
        <f t="shared" si="15"/>
        <v>465.1574928</v>
      </c>
      <c r="G1029" s="459"/>
    </row>
    <row r="1030" spans="1:7" outlineLevel="1" x14ac:dyDescent="0.2">
      <c r="A1030" s="17"/>
      <c r="B1030" s="75"/>
      <c r="C1030" s="1989" t="s">
        <v>6686</v>
      </c>
      <c r="D1030" s="1989" t="s">
        <v>5566</v>
      </c>
      <c r="E1030" s="1989">
        <v>6.67</v>
      </c>
      <c r="F1030" s="38">
        <f t="shared" si="15"/>
        <v>542.4126708</v>
      </c>
      <c r="G1030" s="459"/>
    </row>
    <row r="1031" spans="1:7" outlineLevel="1" x14ac:dyDescent="0.2">
      <c r="A1031" s="17"/>
      <c r="B1031" s="75"/>
      <c r="C1031" s="1989" t="s">
        <v>6687</v>
      </c>
      <c r="D1031" s="1989" t="s">
        <v>5567</v>
      </c>
      <c r="E1031" s="1989">
        <v>1.97</v>
      </c>
      <c r="F1031" s="38">
        <f t="shared" si="15"/>
        <v>160.20284280000001</v>
      </c>
      <c r="G1031" s="459"/>
    </row>
    <row r="1032" spans="1:7" outlineLevel="1" x14ac:dyDescent="0.2">
      <c r="A1032" s="17"/>
      <c r="B1032" s="75"/>
      <c r="C1032" s="1989" t="s">
        <v>6688</v>
      </c>
      <c r="D1032" s="1989" t="s">
        <v>7600</v>
      </c>
      <c r="E1032" s="1989">
        <v>2.96</v>
      </c>
      <c r="F1032" s="38">
        <f t="shared" si="15"/>
        <v>240.71087040000003</v>
      </c>
      <c r="G1032" s="459"/>
    </row>
    <row r="1033" spans="1:7" outlineLevel="1" x14ac:dyDescent="0.2">
      <c r="A1033" s="17"/>
      <c r="B1033" s="75"/>
      <c r="C1033" s="1989" t="s">
        <v>6689</v>
      </c>
      <c r="D1033" s="1989" t="s">
        <v>5569</v>
      </c>
      <c r="E1033" s="1989">
        <v>2.5499999999999998</v>
      </c>
      <c r="F1033" s="38">
        <f t="shared" si="15"/>
        <v>207.36916199999999</v>
      </c>
      <c r="G1033" s="459"/>
    </row>
    <row r="1034" spans="1:7" outlineLevel="1" x14ac:dyDescent="0.2">
      <c r="A1034" s="17"/>
      <c r="B1034" s="75"/>
      <c r="C1034" s="1989" t="s">
        <v>6690</v>
      </c>
      <c r="D1034" s="1989" t="s">
        <v>5570</v>
      </c>
      <c r="E1034" s="1989">
        <v>1.05</v>
      </c>
      <c r="F1034" s="38">
        <f t="shared" si="15"/>
        <v>85.387302000000005</v>
      </c>
      <c r="G1034" s="459"/>
    </row>
    <row r="1035" spans="1:7" outlineLevel="1" x14ac:dyDescent="0.2">
      <c r="A1035" s="17"/>
      <c r="B1035" s="75"/>
      <c r="C1035" s="1989" t="s">
        <v>6691</v>
      </c>
      <c r="D1035" s="1989" t="s">
        <v>5571</v>
      </c>
      <c r="E1035" s="1989">
        <v>0.54</v>
      </c>
      <c r="F1035" s="38">
        <f t="shared" si="15"/>
        <v>43.913469600000006</v>
      </c>
      <c r="G1035" s="459"/>
    </row>
    <row r="1036" spans="1:7" outlineLevel="1" x14ac:dyDescent="0.2">
      <c r="A1036" s="17"/>
      <c r="B1036" s="75"/>
      <c r="C1036" s="1989" t="s">
        <v>6692</v>
      </c>
      <c r="D1036" s="1989" t="s">
        <v>5572</v>
      </c>
      <c r="E1036" s="1989">
        <v>1.56</v>
      </c>
      <c r="F1036" s="38">
        <f t="shared" si="15"/>
        <v>126.8611344</v>
      </c>
      <c r="G1036" s="459"/>
    </row>
    <row r="1037" spans="1:7" outlineLevel="1" x14ac:dyDescent="0.2">
      <c r="A1037" s="17"/>
      <c r="B1037" s="75"/>
      <c r="C1037" s="1989" t="s">
        <v>6693</v>
      </c>
      <c r="D1037" s="1989" t="s">
        <v>5573</v>
      </c>
      <c r="E1037" s="1989">
        <v>2.64</v>
      </c>
      <c r="F1037" s="38">
        <f t="shared" si="15"/>
        <v>214.68807360000002</v>
      </c>
      <c r="G1037" s="459"/>
    </row>
    <row r="1038" spans="1:7" outlineLevel="1" x14ac:dyDescent="0.2">
      <c r="A1038" s="17"/>
      <c r="B1038" s="75"/>
      <c r="C1038" s="1989" t="s">
        <v>6694</v>
      </c>
      <c r="D1038" s="1989" t="s">
        <v>5574</v>
      </c>
      <c r="E1038" s="1989">
        <v>6.86</v>
      </c>
      <c r="F1038" s="38">
        <f t="shared" si="15"/>
        <v>557.86370639999996</v>
      </c>
      <c r="G1038" s="459"/>
    </row>
    <row r="1039" spans="1:7" outlineLevel="1" x14ac:dyDescent="0.2">
      <c r="A1039" s="17"/>
      <c r="B1039" s="75"/>
      <c r="C1039" s="1989" t="s">
        <v>7601</v>
      </c>
      <c r="D1039" s="1989" t="s">
        <v>5582</v>
      </c>
      <c r="E1039" s="1989">
        <v>2.68</v>
      </c>
      <c r="F1039" s="38">
        <f t="shared" si="15"/>
        <v>217.94092320000004</v>
      </c>
      <c r="G1039" s="459"/>
    </row>
    <row r="1040" spans="1:7" outlineLevel="1" x14ac:dyDescent="0.2">
      <c r="A1040" s="17"/>
      <c r="B1040" s="75"/>
      <c r="C1040" s="1989" t="s">
        <v>6695</v>
      </c>
      <c r="D1040" s="1989" t="s">
        <v>5575</v>
      </c>
      <c r="E1040" s="1989">
        <v>6.86</v>
      </c>
      <c r="F1040" s="38">
        <f t="shared" si="15"/>
        <v>557.86370639999996</v>
      </c>
      <c r="G1040" s="459"/>
    </row>
    <row r="1041" spans="1:7" outlineLevel="1" x14ac:dyDescent="0.2">
      <c r="A1041" s="17"/>
      <c r="B1041" s="75"/>
      <c r="C1041" s="1989" t="s">
        <v>6696</v>
      </c>
      <c r="D1041" s="1989" t="s">
        <v>5576</v>
      </c>
      <c r="E1041" s="1989">
        <v>6.69</v>
      </c>
      <c r="F1041" s="38">
        <f t="shared" si="15"/>
        <v>544.03909560000011</v>
      </c>
      <c r="G1041" s="459"/>
    </row>
    <row r="1042" spans="1:7" outlineLevel="1" x14ac:dyDescent="0.2">
      <c r="A1042" s="17"/>
      <c r="B1042" s="75"/>
      <c r="C1042" s="1989" t="s">
        <v>6697</v>
      </c>
      <c r="D1042" s="1989" t="s">
        <v>5577</v>
      </c>
      <c r="E1042" s="1989">
        <v>6.69</v>
      </c>
      <c r="F1042" s="38">
        <f t="shared" si="15"/>
        <v>544.03909560000011</v>
      </c>
      <c r="G1042" s="459"/>
    </row>
    <row r="1043" spans="1:7" outlineLevel="1" x14ac:dyDescent="0.2">
      <c r="A1043" s="17"/>
      <c r="B1043" s="75"/>
      <c r="C1043" s="1989" t="s">
        <v>2951</v>
      </c>
      <c r="D1043" s="1989" t="s">
        <v>5578</v>
      </c>
      <c r="E1043" s="1989">
        <v>1.69</v>
      </c>
      <c r="F1043" s="38">
        <f t="shared" si="15"/>
        <v>137.43289560000002</v>
      </c>
      <c r="G1043" s="459"/>
    </row>
    <row r="1044" spans="1:7" outlineLevel="1" x14ac:dyDescent="0.2">
      <c r="A1044" s="17"/>
      <c r="B1044" s="75"/>
      <c r="C1044" s="1989" t="s">
        <v>2954</v>
      </c>
      <c r="D1044" s="1989" t="s">
        <v>5579</v>
      </c>
      <c r="E1044" s="1989">
        <v>3.52</v>
      </c>
      <c r="F1044" s="38">
        <f t="shared" si="15"/>
        <v>286.25076480000001</v>
      </c>
      <c r="G1044" s="459"/>
    </row>
    <row r="1045" spans="1:7" outlineLevel="1" x14ac:dyDescent="0.2">
      <c r="A1045" s="17"/>
      <c r="B1045" s="75"/>
      <c r="C1045" s="1989" t="s">
        <v>6698</v>
      </c>
      <c r="D1045" s="1989" t="s">
        <v>5580</v>
      </c>
      <c r="E1045" s="1989">
        <v>0.54</v>
      </c>
      <c r="F1045" s="38">
        <f t="shared" si="15"/>
        <v>43.913469600000006</v>
      </c>
      <c r="G1045" s="459"/>
    </row>
    <row r="1046" spans="1:7" outlineLevel="1" x14ac:dyDescent="0.2">
      <c r="A1046" s="17"/>
      <c r="B1046" s="75"/>
      <c r="C1046" s="1989" t="s">
        <v>6699</v>
      </c>
      <c r="D1046" s="1989" t="s">
        <v>5581</v>
      </c>
      <c r="E1046" s="1989">
        <v>2.0099999999999998</v>
      </c>
      <c r="F1046" s="38">
        <f t="shared" si="15"/>
        <v>163.45569239999998</v>
      </c>
      <c r="G1046" s="459"/>
    </row>
    <row r="1047" spans="1:7" outlineLevel="1" x14ac:dyDescent="0.2">
      <c r="A1047" s="17"/>
      <c r="B1047" s="75"/>
      <c r="C1047" s="1989" t="s">
        <v>6700</v>
      </c>
      <c r="D1047" s="1989" t="s">
        <v>7602</v>
      </c>
      <c r="E1047" s="1989">
        <v>2.96</v>
      </c>
      <c r="F1047" s="38">
        <f t="shared" si="15"/>
        <v>240.71087040000003</v>
      </c>
      <c r="G1047" s="459"/>
    </row>
    <row r="1048" spans="1:7" outlineLevel="1" x14ac:dyDescent="0.2">
      <c r="A1048" s="17"/>
      <c r="B1048" s="75"/>
      <c r="C1048" s="1989" t="s">
        <v>6701</v>
      </c>
      <c r="D1048" s="1989" t="s">
        <v>5583</v>
      </c>
      <c r="E1048" s="1989">
        <v>6.69</v>
      </c>
      <c r="F1048" s="38">
        <f t="shared" si="15"/>
        <v>544.03909560000011</v>
      </c>
      <c r="G1048" s="459"/>
    </row>
    <row r="1049" spans="1:7" outlineLevel="1" x14ac:dyDescent="0.2">
      <c r="A1049" s="17"/>
      <c r="B1049" s="75"/>
      <c r="C1049" s="1989" t="s">
        <v>6702</v>
      </c>
      <c r="D1049" s="1989" t="s">
        <v>5584</v>
      </c>
      <c r="E1049" s="1989">
        <v>6.69</v>
      </c>
      <c r="F1049" s="38">
        <f t="shared" si="15"/>
        <v>544.03909560000011</v>
      </c>
      <c r="G1049" s="459"/>
    </row>
    <row r="1050" spans="1:7" outlineLevel="1" x14ac:dyDescent="0.2">
      <c r="A1050" s="17"/>
      <c r="B1050" s="75"/>
      <c r="C1050" s="1989" t="s">
        <v>6703</v>
      </c>
      <c r="D1050" s="1989" t="s">
        <v>5585</v>
      </c>
      <c r="E1050" s="1989">
        <v>6.69</v>
      </c>
      <c r="F1050" s="38">
        <f t="shared" si="15"/>
        <v>544.03909560000011</v>
      </c>
      <c r="G1050" s="459"/>
    </row>
    <row r="1051" spans="1:7" outlineLevel="1" x14ac:dyDescent="0.2">
      <c r="A1051" s="17"/>
      <c r="B1051" s="75"/>
      <c r="C1051" s="1989" t="s">
        <v>6704</v>
      </c>
      <c r="D1051" s="1989" t="s">
        <v>5586</v>
      </c>
      <c r="E1051" s="1989">
        <v>6.69</v>
      </c>
      <c r="F1051" s="38">
        <f t="shared" si="15"/>
        <v>544.03909560000011</v>
      </c>
      <c r="G1051" s="459"/>
    </row>
    <row r="1052" spans="1:7" outlineLevel="1" x14ac:dyDescent="0.2">
      <c r="A1052" s="17"/>
      <c r="B1052" s="75"/>
      <c r="C1052" s="1989" t="s">
        <v>7603</v>
      </c>
      <c r="D1052" s="1989" t="s">
        <v>7604</v>
      </c>
      <c r="E1052" s="1989">
        <v>7.63</v>
      </c>
      <c r="F1052" s="38">
        <f t="shared" si="15"/>
        <v>620.4810612</v>
      </c>
      <c r="G1052" s="459"/>
    </row>
    <row r="1053" spans="1:7" outlineLevel="1" x14ac:dyDescent="0.2">
      <c r="A1053" s="17"/>
      <c r="B1053" s="75"/>
      <c r="C1053" s="1989" t="s">
        <v>7605</v>
      </c>
      <c r="D1053" s="1989" t="s">
        <v>7606</v>
      </c>
      <c r="E1053" s="1989">
        <v>7.63</v>
      </c>
      <c r="F1053" s="38">
        <f t="shared" si="15"/>
        <v>620.4810612</v>
      </c>
      <c r="G1053" s="459"/>
    </row>
    <row r="1054" spans="1:7" outlineLevel="1" x14ac:dyDescent="0.2">
      <c r="A1054" s="17"/>
      <c r="B1054" s="75"/>
      <c r="C1054" s="1989" t="s">
        <v>6705</v>
      </c>
      <c r="D1054" s="1989" t="s">
        <v>5587</v>
      </c>
      <c r="E1054" s="1989">
        <v>4.8600000000000003</v>
      </c>
      <c r="F1054" s="38">
        <f t="shared" si="15"/>
        <v>395.22122640000003</v>
      </c>
      <c r="G1054" s="459"/>
    </row>
    <row r="1055" spans="1:7" outlineLevel="1" x14ac:dyDescent="0.2">
      <c r="A1055" s="17"/>
      <c r="B1055" s="75"/>
      <c r="C1055" s="1989" t="s">
        <v>6706</v>
      </c>
      <c r="D1055" s="1989" t="s">
        <v>5588</v>
      </c>
      <c r="E1055" s="1989">
        <v>4.8600000000000003</v>
      </c>
      <c r="F1055" s="38">
        <f t="shared" ref="F1055:F1118" si="16">E1055*$G$4*$J$4</f>
        <v>395.22122640000003</v>
      </c>
      <c r="G1055" s="459"/>
    </row>
    <row r="1056" spans="1:7" outlineLevel="1" x14ac:dyDescent="0.2">
      <c r="A1056" s="17"/>
      <c r="B1056" s="75"/>
      <c r="C1056" s="1989" t="s">
        <v>6707</v>
      </c>
      <c r="D1056" s="1989" t="s">
        <v>5589</v>
      </c>
      <c r="E1056" s="1989">
        <v>1.05</v>
      </c>
      <c r="F1056" s="38">
        <f t="shared" si="16"/>
        <v>85.387302000000005</v>
      </c>
      <c r="G1056" s="459"/>
    </row>
    <row r="1057" spans="1:7" outlineLevel="1" x14ac:dyDescent="0.2">
      <c r="A1057" s="17"/>
      <c r="B1057" s="75"/>
      <c r="C1057" s="1989" t="s">
        <v>6708</v>
      </c>
      <c r="D1057" s="1989" t="s">
        <v>5590</v>
      </c>
      <c r="E1057" s="1989">
        <v>2.5499999999999998</v>
      </c>
      <c r="F1057" s="38">
        <f t="shared" si="16"/>
        <v>207.36916199999999</v>
      </c>
      <c r="G1057" s="459"/>
    </row>
    <row r="1058" spans="1:7" outlineLevel="1" x14ac:dyDescent="0.2">
      <c r="A1058" s="17"/>
      <c r="B1058" s="75"/>
      <c r="C1058" s="1989" t="s">
        <v>6709</v>
      </c>
      <c r="D1058" s="1989" t="s">
        <v>5591</v>
      </c>
      <c r="E1058" s="1989">
        <v>0.83</v>
      </c>
      <c r="F1058" s="38">
        <f t="shared" si="16"/>
        <v>67.496629200000001</v>
      </c>
      <c r="G1058" s="459"/>
    </row>
    <row r="1059" spans="1:7" outlineLevel="1" x14ac:dyDescent="0.2">
      <c r="A1059" s="17"/>
      <c r="B1059" s="75"/>
      <c r="C1059" s="1989" t="s">
        <v>6710</v>
      </c>
      <c r="D1059" s="1989" t="s">
        <v>5592</v>
      </c>
      <c r="E1059" s="1989">
        <v>0.83</v>
      </c>
      <c r="F1059" s="38">
        <f t="shared" si="16"/>
        <v>67.496629200000001</v>
      </c>
      <c r="G1059" s="459"/>
    </row>
    <row r="1060" spans="1:7" outlineLevel="1" x14ac:dyDescent="0.2">
      <c r="A1060" s="17"/>
      <c r="B1060" s="75"/>
      <c r="C1060" s="1989" t="s">
        <v>6711</v>
      </c>
      <c r="D1060" s="1989" t="s">
        <v>5593</v>
      </c>
      <c r="E1060" s="1989">
        <v>2.6</v>
      </c>
      <c r="F1060" s="38">
        <f t="shared" si="16"/>
        <v>211.43522400000003</v>
      </c>
      <c r="G1060" s="459"/>
    </row>
    <row r="1061" spans="1:7" outlineLevel="1" x14ac:dyDescent="0.2">
      <c r="A1061" s="17"/>
      <c r="B1061" s="75"/>
      <c r="C1061" s="1989" t="s">
        <v>6712</v>
      </c>
      <c r="D1061" s="1989" t="s">
        <v>5594</v>
      </c>
      <c r="E1061" s="1989">
        <v>0.42</v>
      </c>
      <c r="F1061" s="38">
        <f t="shared" si="16"/>
        <v>34.154920799999999</v>
      </c>
      <c r="G1061" s="459"/>
    </row>
    <row r="1062" spans="1:7" outlineLevel="1" x14ac:dyDescent="0.2">
      <c r="A1062" s="17"/>
      <c r="B1062" s="75"/>
      <c r="C1062" s="1989" t="s">
        <v>6713</v>
      </c>
      <c r="D1062" s="1989" t="s">
        <v>5595</v>
      </c>
      <c r="E1062" s="1989">
        <v>0.42</v>
      </c>
      <c r="F1062" s="38">
        <f t="shared" si="16"/>
        <v>34.154920799999999</v>
      </c>
      <c r="G1062" s="459"/>
    </row>
    <row r="1063" spans="1:7" outlineLevel="1" x14ac:dyDescent="0.2">
      <c r="A1063" s="17"/>
      <c r="B1063" s="75"/>
      <c r="C1063" s="1989" t="s">
        <v>6714</v>
      </c>
      <c r="D1063" s="1989" t="s">
        <v>5596</v>
      </c>
      <c r="E1063" s="1989">
        <v>6.77</v>
      </c>
      <c r="F1063" s="38">
        <f t="shared" si="16"/>
        <v>550.54479479999998</v>
      </c>
      <c r="G1063" s="459"/>
    </row>
    <row r="1064" spans="1:7" outlineLevel="1" x14ac:dyDescent="0.2">
      <c r="A1064" s="17"/>
      <c r="B1064" s="75"/>
      <c r="C1064" s="1989" t="s">
        <v>6715</v>
      </c>
      <c r="D1064" s="1989" t="s">
        <v>5597</v>
      </c>
      <c r="E1064" s="1989">
        <v>2.0099999999999998</v>
      </c>
      <c r="F1064" s="38">
        <f t="shared" si="16"/>
        <v>163.45569239999998</v>
      </c>
      <c r="G1064" s="459"/>
    </row>
    <row r="1065" spans="1:7" outlineLevel="1" x14ac:dyDescent="0.2">
      <c r="A1065" s="17"/>
      <c r="B1065" s="75"/>
      <c r="C1065" s="1989" t="s">
        <v>6716</v>
      </c>
      <c r="D1065" s="1989" t="s">
        <v>5598</v>
      </c>
      <c r="E1065" s="1989">
        <v>6.77</v>
      </c>
      <c r="F1065" s="38">
        <f t="shared" si="16"/>
        <v>550.54479479999998</v>
      </c>
      <c r="G1065" s="459"/>
    </row>
    <row r="1066" spans="1:7" outlineLevel="1" x14ac:dyDescent="0.2">
      <c r="A1066" s="17"/>
      <c r="B1066" s="75"/>
      <c r="C1066" s="1989" t="s">
        <v>7607</v>
      </c>
      <c r="D1066" s="1989" t="s">
        <v>7608</v>
      </c>
      <c r="E1066" s="1989">
        <v>0</v>
      </c>
      <c r="F1066" s="38">
        <f t="shared" si="16"/>
        <v>0</v>
      </c>
      <c r="G1066" s="459"/>
    </row>
    <row r="1067" spans="1:7" outlineLevel="1" x14ac:dyDescent="0.2">
      <c r="A1067" s="17"/>
      <c r="B1067" s="75"/>
      <c r="C1067" s="1989" t="s">
        <v>7609</v>
      </c>
      <c r="D1067" s="1989" t="s">
        <v>7610</v>
      </c>
      <c r="E1067" s="1989">
        <v>0</v>
      </c>
      <c r="F1067" s="38">
        <f t="shared" si="16"/>
        <v>0</v>
      </c>
      <c r="G1067" s="459"/>
    </row>
    <row r="1068" spans="1:7" outlineLevel="1" x14ac:dyDescent="0.2">
      <c r="A1068" s="17"/>
      <c r="B1068" s="75"/>
      <c r="C1068" s="1989" t="s">
        <v>6717</v>
      </c>
      <c r="D1068" s="1989" t="s">
        <v>5599</v>
      </c>
      <c r="E1068" s="1989">
        <v>4.8</v>
      </c>
      <c r="F1068" s="38">
        <f t="shared" si="16"/>
        <v>390.34195199999999</v>
      </c>
      <c r="G1068" s="459"/>
    </row>
    <row r="1069" spans="1:7" outlineLevel="1" x14ac:dyDescent="0.2">
      <c r="A1069" s="17"/>
      <c r="B1069" s="75"/>
      <c r="C1069" s="1989" t="s">
        <v>6718</v>
      </c>
      <c r="D1069" s="1989" t="s">
        <v>5600</v>
      </c>
      <c r="E1069" s="1989">
        <v>4.8</v>
      </c>
      <c r="F1069" s="38">
        <f t="shared" si="16"/>
        <v>390.34195199999999</v>
      </c>
      <c r="G1069" s="459"/>
    </row>
    <row r="1070" spans="1:7" outlineLevel="1" x14ac:dyDescent="0.2">
      <c r="A1070" s="17"/>
      <c r="B1070" s="75"/>
      <c r="C1070" s="1989" t="s">
        <v>3244</v>
      </c>
      <c r="D1070" s="1989" t="s">
        <v>5601</v>
      </c>
      <c r="E1070" s="1989">
        <v>0.11</v>
      </c>
      <c r="F1070" s="38">
        <f t="shared" si="16"/>
        <v>8.9453364000000004</v>
      </c>
      <c r="G1070" s="459"/>
    </row>
    <row r="1071" spans="1:7" outlineLevel="1" x14ac:dyDescent="0.2">
      <c r="A1071" s="17"/>
      <c r="B1071" s="75"/>
      <c r="C1071" s="1989" t="s">
        <v>1895</v>
      </c>
      <c r="D1071" s="1989" t="s">
        <v>5602</v>
      </c>
      <c r="E1071" s="1989">
        <v>5.68</v>
      </c>
      <c r="F1071" s="38">
        <f t="shared" si="16"/>
        <v>461.90464320000001</v>
      </c>
      <c r="G1071" s="459"/>
    </row>
    <row r="1072" spans="1:7" outlineLevel="1" x14ac:dyDescent="0.2">
      <c r="A1072" s="17"/>
      <c r="B1072" s="75"/>
      <c r="C1072" s="1989" t="s">
        <v>1310</v>
      </c>
      <c r="D1072" s="1989" t="s">
        <v>5603</v>
      </c>
      <c r="E1072" s="1989">
        <v>3.73</v>
      </c>
      <c r="F1072" s="38">
        <f t="shared" si="16"/>
        <v>303.32822520000002</v>
      </c>
      <c r="G1072" s="459"/>
    </row>
    <row r="1073" spans="1:7" outlineLevel="1" x14ac:dyDescent="0.2">
      <c r="A1073" s="17"/>
      <c r="B1073" s="75"/>
      <c r="C1073" s="1989" t="s">
        <v>6719</v>
      </c>
      <c r="D1073" s="1989" t="s">
        <v>5604</v>
      </c>
      <c r="E1073" s="1989">
        <v>3.52</v>
      </c>
      <c r="F1073" s="38">
        <f t="shared" si="16"/>
        <v>286.25076480000001</v>
      </c>
      <c r="G1073" s="459"/>
    </row>
    <row r="1074" spans="1:7" outlineLevel="1" x14ac:dyDescent="0.2">
      <c r="A1074" s="17"/>
      <c r="B1074" s="75"/>
      <c r="C1074" s="1989" t="s">
        <v>6720</v>
      </c>
      <c r="D1074" s="1989" t="s">
        <v>5605</v>
      </c>
      <c r="E1074" s="1989">
        <v>1.42</v>
      </c>
      <c r="F1074" s="38">
        <f t="shared" si="16"/>
        <v>115.4761608</v>
      </c>
      <c r="G1074" s="459"/>
    </row>
    <row r="1075" spans="1:7" outlineLevel="1" x14ac:dyDescent="0.2">
      <c r="A1075" s="17"/>
      <c r="B1075" s="75"/>
      <c r="C1075" s="1989" t="s">
        <v>6721</v>
      </c>
      <c r="D1075" s="1989" t="s">
        <v>5606</v>
      </c>
      <c r="E1075" s="1989">
        <v>1.42</v>
      </c>
      <c r="F1075" s="38">
        <f t="shared" si="16"/>
        <v>115.4761608</v>
      </c>
      <c r="G1075" s="459"/>
    </row>
    <row r="1076" spans="1:7" outlineLevel="1" x14ac:dyDescent="0.2">
      <c r="A1076" s="17"/>
      <c r="B1076" s="75"/>
      <c r="C1076" s="1989" t="s">
        <v>6722</v>
      </c>
      <c r="D1076" s="1989" t="s">
        <v>5607</v>
      </c>
      <c r="E1076" s="1989">
        <v>0.77</v>
      </c>
      <c r="F1076" s="38">
        <f t="shared" si="16"/>
        <v>62.617354800000001</v>
      </c>
      <c r="G1076" s="459"/>
    </row>
    <row r="1077" spans="1:7" outlineLevel="1" x14ac:dyDescent="0.2">
      <c r="A1077" s="17"/>
      <c r="B1077" s="75"/>
      <c r="C1077" s="1989" t="s">
        <v>6723</v>
      </c>
      <c r="D1077" s="1989" t="s">
        <v>5608</v>
      </c>
      <c r="E1077" s="1989">
        <v>0.77</v>
      </c>
      <c r="F1077" s="38">
        <f t="shared" si="16"/>
        <v>62.617354800000001</v>
      </c>
      <c r="G1077" s="459"/>
    </row>
    <row r="1078" spans="1:7" outlineLevel="1" x14ac:dyDescent="0.2">
      <c r="A1078" s="17"/>
      <c r="B1078" s="75"/>
      <c r="C1078" s="1989" t="s">
        <v>6724</v>
      </c>
      <c r="D1078" s="1989" t="s">
        <v>5609</v>
      </c>
      <c r="E1078" s="1989">
        <v>1.55</v>
      </c>
      <c r="F1078" s="38">
        <f t="shared" si="16"/>
        <v>126.047922</v>
      </c>
      <c r="G1078" s="459"/>
    </row>
    <row r="1079" spans="1:7" outlineLevel="1" x14ac:dyDescent="0.2">
      <c r="A1079" s="17"/>
      <c r="B1079" s="75"/>
      <c r="C1079" s="1989" t="s">
        <v>6725</v>
      </c>
      <c r="D1079" s="1989" t="s">
        <v>5610</v>
      </c>
      <c r="E1079" s="1989">
        <v>1.55</v>
      </c>
      <c r="F1079" s="38">
        <f t="shared" si="16"/>
        <v>126.047922</v>
      </c>
      <c r="G1079" s="459"/>
    </row>
    <row r="1080" spans="1:7" outlineLevel="1" x14ac:dyDescent="0.2">
      <c r="A1080" s="17"/>
      <c r="B1080" s="75"/>
      <c r="C1080" s="1989" t="s">
        <v>6726</v>
      </c>
      <c r="D1080" s="1989" t="s">
        <v>5611</v>
      </c>
      <c r="E1080" s="1989">
        <v>17.11</v>
      </c>
      <c r="F1080" s="38">
        <f t="shared" si="16"/>
        <v>1391.4064164000001</v>
      </c>
      <c r="G1080" s="459"/>
    </row>
    <row r="1081" spans="1:7" outlineLevel="1" x14ac:dyDescent="0.2">
      <c r="A1081" s="17"/>
      <c r="B1081" s="75"/>
      <c r="C1081" s="1989" t="s">
        <v>7611</v>
      </c>
      <c r="D1081" s="1989" t="s">
        <v>5568</v>
      </c>
      <c r="E1081" s="1989">
        <v>2.68</v>
      </c>
      <c r="F1081" s="38">
        <f t="shared" si="16"/>
        <v>217.94092320000004</v>
      </c>
      <c r="G1081" s="459"/>
    </row>
    <row r="1082" spans="1:7" outlineLevel="1" x14ac:dyDescent="0.2">
      <c r="A1082" s="17"/>
      <c r="B1082" s="75"/>
      <c r="C1082" s="1989" t="s">
        <v>6727</v>
      </c>
      <c r="D1082" s="1989" t="s">
        <v>5612</v>
      </c>
      <c r="E1082" s="1989">
        <v>2.64</v>
      </c>
      <c r="F1082" s="38">
        <f t="shared" si="16"/>
        <v>214.68807360000002</v>
      </c>
      <c r="G1082" s="459"/>
    </row>
    <row r="1083" spans="1:7" outlineLevel="1" x14ac:dyDescent="0.2">
      <c r="A1083" s="17"/>
      <c r="B1083" s="75"/>
      <c r="C1083" s="1989" t="s">
        <v>6728</v>
      </c>
      <c r="D1083" s="1989" t="s">
        <v>5613</v>
      </c>
      <c r="E1083" s="1989">
        <v>1.97</v>
      </c>
      <c r="F1083" s="38">
        <f t="shared" si="16"/>
        <v>160.20284280000001</v>
      </c>
      <c r="G1083" s="459"/>
    </row>
    <row r="1084" spans="1:7" outlineLevel="1" x14ac:dyDescent="0.2">
      <c r="A1084" s="17"/>
      <c r="B1084" s="75"/>
      <c r="C1084" s="1989" t="s">
        <v>6729</v>
      </c>
      <c r="D1084" s="1989" t="s">
        <v>5614</v>
      </c>
      <c r="E1084" s="1989">
        <v>2.6</v>
      </c>
      <c r="F1084" s="38">
        <f t="shared" si="16"/>
        <v>211.43522400000003</v>
      </c>
      <c r="G1084" s="459"/>
    </row>
    <row r="1085" spans="1:7" outlineLevel="1" x14ac:dyDescent="0.2">
      <c r="A1085" s="17"/>
      <c r="B1085" s="75"/>
      <c r="C1085" s="1989" t="s">
        <v>6730</v>
      </c>
      <c r="D1085" s="1989" t="s">
        <v>5615</v>
      </c>
      <c r="E1085" s="1989">
        <v>14.6</v>
      </c>
      <c r="F1085" s="38">
        <f t="shared" si="16"/>
        <v>1187.2901040000002</v>
      </c>
      <c r="G1085" s="459"/>
    </row>
    <row r="1086" spans="1:7" outlineLevel="1" x14ac:dyDescent="0.2">
      <c r="A1086" s="17"/>
      <c r="B1086" s="75"/>
      <c r="C1086" s="1989" t="s">
        <v>2967</v>
      </c>
      <c r="D1086" s="1989" t="s">
        <v>2968</v>
      </c>
      <c r="E1086" s="1989">
        <v>5.77</v>
      </c>
      <c r="F1086" s="38">
        <f t="shared" si="16"/>
        <v>469.22355479999999</v>
      </c>
      <c r="G1086" s="459"/>
    </row>
    <row r="1087" spans="1:7" outlineLevel="1" x14ac:dyDescent="0.2">
      <c r="A1087" s="17"/>
      <c r="B1087" s="75"/>
      <c r="C1087" s="1989" t="s">
        <v>6731</v>
      </c>
      <c r="D1087" s="1989" t="s">
        <v>5616</v>
      </c>
      <c r="E1087" s="1989">
        <v>5.99</v>
      </c>
      <c r="F1087" s="38">
        <f t="shared" si="16"/>
        <v>487.11422759999999</v>
      </c>
      <c r="G1087" s="459"/>
    </row>
    <row r="1088" spans="1:7" outlineLevel="1" x14ac:dyDescent="0.2">
      <c r="A1088" s="17"/>
      <c r="B1088" s="75"/>
      <c r="C1088" s="1989" t="s">
        <v>3915</v>
      </c>
      <c r="D1088" s="1989" t="s">
        <v>3916</v>
      </c>
      <c r="E1088" s="1989">
        <v>15.41</v>
      </c>
      <c r="F1088" s="38">
        <f t="shared" si="16"/>
        <v>1253.1603084000001</v>
      </c>
      <c r="G1088" s="459"/>
    </row>
    <row r="1089" spans="1:7" outlineLevel="1" x14ac:dyDescent="0.2">
      <c r="A1089" s="17"/>
      <c r="B1089" s="75"/>
      <c r="C1089" s="1989" t="s">
        <v>2029</v>
      </c>
      <c r="D1089" s="1989" t="s">
        <v>5617</v>
      </c>
      <c r="E1089" s="1989">
        <v>0.55000000000000004</v>
      </c>
      <c r="F1089" s="38">
        <f t="shared" si="16"/>
        <v>44.726682000000004</v>
      </c>
      <c r="G1089" s="459"/>
    </row>
    <row r="1090" spans="1:7" outlineLevel="1" x14ac:dyDescent="0.2">
      <c r="A1090" s="17"/>
      <c r="B1090" s="75"/>
      <c r="C1090" s="1989" t="s">
        <v>2030</v>
      </c>
      <c r="D1090" s="1989" t="s">
        <v>2031</v>
      </c>
      <c r="E1090" s="1989">
        <v>0.5</v>
      </c>
      <c r="F1090" s="38">
        <f t="shared" si="16"/>
        <v>40.660620000000002</v>
      </c>
      <c r="G1090" s="459"/>
    </row>
    <row r="1091" spans="1:7" outlineLevel="1" x14ac:dyDescent="0.2">
      <c r="A1091" s="17"/>
      <c r="B1091" s="75"/>
      <c r="C1091" s="1989" t="s">
        <v>4543</v>
      </c>
      <c r="D1091" s="1989" t="s">
        <v>4544</v>
      </c>
      <c r="E1091" s="1989">
        <v>5.99</v>
      </c>
      <c r="F1091" s="38">
        <f t="shared" si="16"/>
        <v>487.11422759999999</v>
      </c>
      <c r="G1091" s="459"/>
    </row>
    <row r="1092" spans="1:7" outlineLevel="1" x14ac:dyDescent="0.2">
      <c r="A1092" s="17"/>
      <c r="B1092" s="75"/>
      <c r="C1092" s="1989" t="s">
        <v>2038</v>
      </c>
      <c r="D1092" s="1989" t="s">
        <v>5618</v>
      </c>
      <c r="E1092" s="1989">
        <v>0.5</v>
      </c>
      <c r="F1092" s="38">
        <f t="shared" si="16"/>
        <v>40.660620000000002</v>
      </c>
      <c r="G1092" s="459"/>
    </row>
    <row r="1093" spans="1:7" outlineLevel="1" x14ac:dyDescent="0.2">
      <c r="A1093" s="17"/>
      <c r="B1093" s="75"/>
      <c r="C1093" s="1989" t="s">
        <v>730</v>
      </c>
      <c r="D1093" s="1989" t="s">
        <v>731</v>
      </c>
      <c r="E1093" s="1989">
        <v>0.55000000000000004</v>
      </c>
      <c r="F1093" s="38">
        <f t="shared" si="16"/>
        <v>44.726682000000004</v>
      </c>
      <c r="G1093" s="459"/>
    </row>
    <row r="1094" spans="1:7" outlineLevel="1" x14ac:dyDescent="0.2">
      <c r="A1094" s="17"/>
      <c r="B1094" s="75"/>
      <c r="C1094" s="1989" t="s">
        <v>7612</v>
      </c>
      <c r="D1094" s="1989" t="s">
        <v>7613</v>
      </c>
      <c r="E1094" s="1989">
        <v>0</v>
      </c>
      <c r="F1094" s="38">
        <f t="shared" si="16"/>
        <v>0</v>
      </c>
      <c r="G1094" s="459"/>
    </row>
    <row r="1095" spans="1:7" outlineLevel="1" x14ac:dyDescent="0.2">
      <c r="A1095" s="17"/>
      <c r="B1095" s="75"/>
      <c r="C1095" s="1989" t="s">
        <v>2814</v>
      </c>
      <c r="D1095" s="1989" t="s">
        <v>2969</v>
      </c>
      <c r="E1095" s="1989">
        <v>6.6</v>
      </c>
      <c r="F1095" s="38">
        <f t="shared" si="16"/>
        <v>536.72018400000002</v>
      </c>
      <c r="G1095" s="459"/>
    </row>
    <row r="1096" spans="1:7" outlineLevel="1" x14ac:dyDescent="0.2">
      <c r="A1096" s="17"/>
      <c r="B1096" s="75"/>
      <c r="C1096" s="1989" t="s">
        <v>779</v>
      </c>
      <c r="D1096" s="1989" t="s">
        <v>5619</v>
      </c>
      <c r="E1096" s="1989">
        <v>0.5</v>
      </c>
      <c r="F1096" s="38">
        <f t="shared" si="16"/>
        <v>40.660620000000002</v>
      </c>
      <c r="G1096" s="459"/>
    </row>
    <row r="1097" spans="1:7" outlineLevel="1" x14ac:dyDescent="0.2">
      <c r="A1097" s="17"/>
      <c r="B1097" s="75"/>
      <c r="C1097" s="1989" t="s">
        <v>2</v>
      </c>
      <c r="D1097" s="1989" t="s">
        <v>5620</v>
      </c>
      <c r="E1097" s="1989">
        <v>0.55000000000000004</v>
      </c>
      <c r="F1097" s="38">
        <f t="shared" si="16"/>
        <v>44.726682000000004</v>
      </c>
      <c r="G1097" s="459"/>
    </row>
    <row r="1098" spans="1:7" outlineLevel="1" x14ac:dyDescent="0.2">
      <c r="A1098" s="17"/>
      <c r="B1098" s="75"/>
      <c r="C1098" s="1989" t="s">
        <v>4</v>
      </c>
      <c r="D1098" s="1989" t="s">
        <v>5621</v>
      </c>
      <c r="E1098" s="1989">
        <v>0.55000000000000004</v>
      </c>
      <c r="F1098" s="38">
        <f t="shared" si="16"/>
        <v>44.726682000000004</v>
      </c>
      <c r="G1098" s="459"/>
    </row>
    <row r="1099" spans="1:7" outlineLevel="1" x14ac:dyDescent="0.2">
      <c r="A1099" s="17"/>
      <c r="B1099" s="75"/>
      <c r="C1099" s="1989" t="s">
        <v>2817</v>
      </c>
      <c r="D1099" s="1989" t="s">
        <v>2970</v>
      </c>
      <c r="E1099" s="1989">
        <v>6.6</v>
      </c>
      <c r="F1099" s="38">
        <f t="shared" si="16"/>
        <v>536.72018400000002</v>
      </c>
      <c r="G1099" s="459"/>
    </row>
    <row r="1100" spans="1:7" outlineLevel="1" x14ac:dyDescent="0.2">
      <c r="A1100" s="17"/>
      <c r="B1100" s="75"/>
      <c r="C1100" s="1989" t="s">
        <v>7614</v>
      </c>
      <c r="D1100" s="1989" t="s">
        <v>7615</v>
      </c>
      <c r="E1100" s="1989">
        <v>0</v>
      </c>
      <c r="F1100" s="38">
        <f t="shared" si="16"/>
        <v>0</v>
      </c>
      <c r="G1100" s="459"/>
    </row>
    <row r="1101" spans="1:7" outlineLevel="1" x14ac:dyDescent="0.2">
      <c r="A1101" s="17"/>
      <c r="B1101" s="75"/>
      <c r="C1101" s="1989" t="s">
        <v>2971</v>
      </c>
      <c r="D1101" s="1989" t="s">
        <v>2972</v>
      </c>
      <c r="E1101" s="1989">
        <v>5.77</v>
      </c>
      <c r="F1101" s="38">
        <f t="shared" si="16"/>
        <v>469.22355479999999</v>
      </c>
      <c r="G1101" s="459"/>
    </row>
    <row r="1102" spans="1:7" outlineLevel="1" x14ac:dyDescent="0.2">
      <c r="A1102" s="17"/>
      <c r="B1102" s="75"/>
      <c r="C1102" s="1989" t="s">
        <v>34</v>
      </c>
      <c r="D1102" s="1989" t="s">
        <v>35</v>
      </c>
      <c r="E1102" s="1989">
        <v>0.11</v>
      </c>
      <c r="F1102" s="38">
        <f t="shared" si="16"/>
        <v>8.9453364000000004</v>
      </c>
      <c r="G1102" s="459"/>
    </row>
    <row r="1103" spans="1:7" outlineLevel="1" x14ac:dyDescent="0.2">
      <c r="A1103" s="17"/>
      <c r="B1103" s="75"/>
      <c r="C1103" s="1989" t="s">
        <v>53</v>
      </c>
      <c r="D1103" s="1989" t="s">
        <v>54</v>
      </c>
      <c r="E1103" s="1989">
        <v>0.55000000000000004</v>
      </c>
      <c r="F1103" s="38">
        <f t="shared" si="16"/>
        <v>44.726682000000004</v>
      </c>
      <c r="G1103" s="459"/>
    </row>
    <row r="1104" spans="1:7" outlineLevel="1" x14ac:dyDescent="0.2">
      <c r="A1104" s="17"/>
      <c r="B1104" s="75"/>
      <c r="C1104" s="1989" t="s">
        <v>2973</v>
      </c>
      <c r="D1104" s="1989" t="s">
        <v>7616</v>
      </c>
      <c r="E1104" s="1989">
        <v>0.55000000000000004</v>
      </c>
      <c r="F1104" s="38">
        <f t="shared" si="16"/>
        <v>44.726682000000004</v>
      </c>
      <c r="G1104" s="459"/>
    </row>
    <row r="1105" spans="1:7" outlineLevel="1" x14ac:dyDescent="0.2">
      <c r="A1105" s="17"/>
      <c r="B1105" s="75"/>
      <c r="C1105" s="1989" t="s">
        <v>2760</v>
      </c>
      <c r="D1105" s="1989" t="s">
        <v>2974</v>
      </c>
      <c r="E1105" s="1989">
        <v>6.6</v>
      </c>
      <c r="F1105" s="38">
        <f t="shared" si="16"/>
        <v>536.72018400000002</v>
      </c>
      <c r="G1105" s="459"/>
    </row>
    <row r="1106" spans="1:7" outlineLevel="1" x14ac:dyDescent="0.2">
      <c r="A1106" s="17"/>
      <c r="B1106" s="75"/>
      <c r="C1106" s="1989" t="s">
        <v>2975</v>
      </c>
      <c r="D1106" s="1989" t="s">
        <v>2976</v>
      </c>
      <c r="E1106" s="1989">
        <v>5.77</v>
      </c>
      <c r="F1106" s="38">
        <f t="shared" si="16"/>
        <v>469.22355479999999</v>
      </c>
      <c r="G1106" s="459"/>
    </row>
    <row r="1107" spans="1:7" outlineLevel="1" x14ac:dyDescent="0.2">
      <c r="A1107" s="17"/>
      <c r="B1107" s="75"/>
      <c r="C1107" s="1989" t="s">
        <v>1873</v>
      </c>
      <c r="D1107" s="1989" t="s">
        <v>5622</v>
      </c>
      <c r="E1107" s="1989">
        <v>0.5</v>
      </c>
      <c r="F1107" s="38">
        <f t="shared" si="16"/>
        <v>40.660620000000002</v>
      </c>
      <c r="G1107" s="459"/>
    </row>
    <row r="1108" spans="1:7" outlineLevel="1" x14ac:dyDescent="0.2">
      <c r="A1108" s="17"/>
      <c r="B1108" s="75"/>
      <c r="C1108" s="1989" t="s">
        <v>1879</v>
      </c>
      <c r="D1108" s="1989" t="s">
        <v>1880</v>
      </c>
      <c r="E1108" s="1989">
        <v>0.55000000000000004</v>
      </c>
      <c r="F1108" s="38">
        <f t="shared" si="16"/>
        <v>44.726682000000004</v>
      </c>
      <c r="G1108" s="459"/>
    </row>
    <row r="1109" spans="1:7" outlineLevel="1" x14ac:dyDescent="0.2">
      <c r="A1109" s="17"/>
      <c r="B1109" s="75"/>
      <c r="C1109" s="1989" t="s">
        <v>7617</v>
      </c>
      <c r="D1109" s="1989" t="s">
        <v>7618</v>
      </c>
      <c r="E1109" s="1989">
        <v>0</v>
      </c>
      <c r="F1109" s="38">
        <f t="shared" si="16"/>
        <v>0</v>
      </c>
      <c r="G1109" s="459"/>
    </row>
    <row r="1110" spans="1:7" outlineLevel="1" x14ac:dyDescent="0.2">
      <c r="A1110" s="17"/>
      <c r="B1110" s="75"/>
      <c r="C1110" s="1989" t="s">
        <v>7619</v>
      </c>
      <c r="D1110" s="1989" t="s">
        <v>7620</v>
      </c>
      <c r="E1110" s="1989">
        <v>0</v>
      </c>
      <c r="F1110" s="38">
        <f t="shared" si="16"/>
        <v>0</v>
      </c>
      <c r="G1110" s="459"/>
    </row>
    <row r="1111" spans="1:7" outlineLevel="1" x14ac:dyDescent="0.2">
      <c r="A1111" s="17"/>
      <c r="B1111" s="75"/>
      <c r="C1111" s="1989" t="s">
        <v>1515</v>
      </c>
      <c r="D1111" s="1989" t="s">
        <v>5623</v>
      </c>
      <c r="E1111" s="1989">
        <v>0.5</v>
      </c>
      <c r="F1111" s="38">
        <f t="shared" si="16"/>
        <v>40.660620000000002</v>
      </c>
      <c r="G1111" s="459"/>
    </row>
    <row r="1112" spans="1:7" outlineLevel="1" x14ac:dyDescent="0.2">
      <c r="A1112" s="17"/>
      <c r="B1112" s="75"/>
      <c r="C1112" s="1989" t="s">
        <v>1517</v>
      </c>
      <c r="D1112" s="1989" t="s">
        <v>1518</v>
      </c>
      <c r="E1112" s="1989">
        <v>0.11</v>
      </c>
      <c r="F1112" s="38">
        <f t="shared" si="16"/>
        <v>8.9453364000000004</v>
      </c>
      <c r="G1112" s="459"/>
    </row>
    <row r="1113" spans="1:7" outlineLevel="1" x14ac:dyDescent="0.2">
      <c r="A1113" s="17"/>
      <c r="B1113" s="75"/>
      <c r="C1113" s="1989" t="s">
        <v>2977</v>
      </c>
      <c r="D1113" s="1989" t="s">
        <v>7621</v>
      </c>
      <c r="E1113" s="1989">
        <v>0.55000000000000004</v>
      </c>
      <c r="F1113" s="38">
        <f t="shared" si="16"/>
        <v>44.726682000000004</v>
      </c>
      <c r="G1113" s="459"/>
    </row>
    <row r="1114" spans="1:7" outlineLevel="1" x14ac:dyDescent="0.2">
      <c r="A1114" s="17"/>
      <c r="B1114" s="75"/>
      <c r="C1114" s="1989" t="s">
        <v>1549</v>
      </c>
      <c r="D1114" s="1989" t="s">
        <v>5624</v>
      </c>
      <c r="E1114" s="1989">
        <v>0.5</v>
      </c>
      <c r="F1114" s="38">
        <f t="shared" si="16"/>
        <v>40.660620000000002</v>
      </c>
      <c r="G1114" s="459"/>
    </row>
    <row r="1115" spans="1:7" outlineLevel="1" x14ac:dyDescent="0.2">
      <c r="A1115" s="17"/>
      <c r="B1115" s="75"/>
      <c r="C1115" s="1989" t="s">
        <v>4545</v>
      </c>
      <c r="D1115" s="1989" t="s">
        <v>4546</v>
      </c>
      <c r="E1115" s="1989">
        <v>0</v>
      </c>
      <c r="F1115" s="38">
        <f t="shared" si="16"/>
        <v>0</v>
      </c>
      <c r="G1115" s="459"/>
    </row>
    <row r="1116" spans="1:7" outlineLevel="1" x14ac:dyDescent="0.2">
      <c r="A1116" s="17"/>
      <c r="B1116" s="75"/>
      <c r="C1116" s="1989" t="s">
        <v>3917</v>
      </c>
      <c r="D1116" s="1989" t="s">
        <v>5625</v>
      </c>
      <c r="E1116" s="1989">
        <v>1.03</v>
      </c>
      <c r="F1116" s="38">
        <f t="shared" si="16"/>
        <v>83.76087720000001</v>
      </c>
      <c r="G1116" s="459"/>
    </row>
    <row r="1117" spans="1:7" outlineLevel="1" x14ac:dyDescent="0.2">
      <c r="A1117" s="17"/>
      <c r="B1117" s="75"/>
      <c r="C1117" s="1989" t="s">
        <v>3918</v>
      </c>
      <c r="D1117" s="1989" t="s">
        <v>5626</v>
      </c>
      <c r="E1117" s="1989">
        <v>5.82</v>
      </c>
      <c r="F1117" s="38">
        <f t="shared" si="16"/>
        <v>473.28961680000003</v>
      </c>
      <c r="G1117" s="459"/>
    </row>
    <row r="1118" spans="1:7" outlineLevel="1" x14ac:dyDescent="0.2">
      <c r="A1118" s="17"/>
      <c r="B1118" s="75"/>
      <c r="C1118" s="1989" t="s">
        <v>3919</v>
      </c>
      <c r="D1118" s="1989" t="s">
        <v>3920</v>
      </c>
      <c r="E1118" s="1989">
        <v>5.82</v>
      </c>
      <c r="F1118" s="38">
        <f t="shared" si="16"/>
        <v>473.28961680000003</v>
      </c>
      <c r="G1118" s="459"/>
    </row>
    <row r="1119" spans="1:7" outlineLevel="1" x14ac:dyDescent="0.2">
      <c r="A1119" s="17"/>
      <c r="B1119" s="75"/>
      <c r="C1119" s="1989" t="s">
        <v>3921</v>
      </c>
      <c r="D1119" s="1989" t="s">
        <v>5627</v>
      </c>
      <c r="E1119" s="1989">
        <v>8.98</v>
      </c>
      <c r="F1119" s="38">
        <f t="shared" ref="F1119:F1182" si="17">E1119*$G$4*$J$4</f>
        <v>730.26473520000002</v>
      </c>
      <c r="G1119" s="459"/>
    </row>
    <row r="1120" spans="1:7" outlineLevel="1" x14ac:dyDescent="0.2">
      <c r="A1120" s="17"/>
      <c r="B1120" s="75"/>
      <c r="C1120" s="1989" t="s">
        <v>3922</v>
      </c>
      <c r="D1120" s="1989" t="s">
        <v>3923</v>
      </c>
      <c r="E1120" s="1989">
        <v>8.98</v>
      </c>
      <c r="F1120" s="38">
        <f t="shared" si="17"/>
        <v>730.26473520000002</v>
      </c>
      <c r="G1120" s="459"/>
    </row>
    <row r="1121" spans="1:7" outlineLevel="1" x14ac:dyDescent="0.2">
      <c r="A1121" s="17"/>
      <c r="B1121" s="75"/>
      <c r="C1121" s="1989" t="s">
        <v>3924</v>
      </c>
      <c r="D1121" s="1989" t="s">
        <v>3925</v>
      </c>
      <c r="E1121" s="1989">
        <v>0.21</v>
      </c>
      <c r="F1121" s="38">
        <f t="shared" si="17"/>
        <v>17.0774604</v>
      </c>
      <c r="G1121" s="459"/>
    </row>
    <row r="1122" spans="1:7" outlineLevel="1" x14ac:dyDescent="0.2">
      <c r="A1122" s="17"/>
      <c r="B1122" s="75"/>
      <c r="C1122" s="1989" t="s">
        <v>3926</v>
      </c>
      <c r="D1122" s="1989" t="s">
        <v>5628</v>
      </c>
      <c r="E1122" s="1989">
        <v>5.82</v>
      </c>
      <c r="F1122" s="38">
        <f t="shared" si="17"/>
        <v>473.28961680000003</v>
      </c>
      <c r="G1122" s="459"/>
    </row>
    <row r="1123" spans="1:7" outlineLevel="1" x14ac:dyDescent="0.2">
      <c r="A1123" s="17"/>
      <c r="B1123" s="75"/>
      <c r="C1123" s="1989" t="s">
        <v>3927</v>
      </c>
      <c r="D1123" s="1989" t="s">
        <v>5629</v>
      </c>
      <c r="E1123" s="1989">
        <v>5.82</v>
      </c>
      <c r="F1123" s="38">
        <f t="shared" si="17"/>
        <v>473.28961680000003</v>
      </c>
      <c r="G1123" s="459"/>
    </row>
    <row r="1124" spans="1:7" outlineLevel="1" x14ac:dyDescent="0.2">
      <c r="A1124" s="17"/>
      <c r="B1124" s="75"/>
      <c r="C1124" s="1989" t="s">
        <v>3928</v>
      </c>
      <c r="D1124" s="1989" t="s">
        <v>3929</v>
      </c>
      <c r="E1124" s="1989">
        <v>5.82</v>
      </c>
      <c r="F1124" s="38">
        <f t="shared" si="17"/>
        <v>473.28961680000003</v>
      </c>
      <c r="G1124" s="459"/>
    </row>
    <row r="1125" spans="1:7" outlineLevel="1" x14ac:dyDescent="0.2">
      <c r="A1125" s="17"/>
      <c r="B1125" s="75"/>
      <c r="C1125" s="1989" t="s">
        <v>3930</v>
      </c>
      <c r="D1125" s="1989" t="s">
        <v>5630</v>
      </c>
      <c r="E1125" s="1989">
        <v>0.5</v>
      </c>
      <c r="F1125" s="38">
        <f t="shared" si="17"/>
        <v>40.660620000000002</v>
      </c>
      <c r="G1125" s="459"/>
    </row>
    <row r="1126" spans="1:7" outlineLevel="1" x14ac:dyDescent="0.2">
      <c r="A1126" s="17"/>
      <c r="B1126" s="75"/>
      <c r="C1126" s="1989" t="s">
        <v>3931</v>
      </c>
      <c r="D1126" s="1989" t="s">
        <v>5631</v>
      </c>
      <c r="E1126" s="1989">
        <v>0.5</v>
      </c>
      <c r="F1126" s="38">
        <f t="shared" si="17"/>
        <v>40.660620000000002</v>
      </c>
      <c r="G1126" s="459"/>
    </row>
    <row r="1127" spans="1:7" outlineLevel="1" x14ac:dyDescent="0.2">
      <c r="A1127" s="17"/>
      <c r="B1127" s="75"/>
      <c r="C1127" s="1989" t="s">
        <v>3932</v>
      </c>
      <c r="D1127" s="1989" t="s">
        <v>5632</v>
      </c>
      <c r="E1127" s="1989">
        <v>5.82</v>
      </c>
      <c r="F1127" s="38">
        <f t="shared" si="17"/>
        <v>473.28961680000003</v>
      </c>
      <c r="G1127" s="459"/>
    </row>
    <row r="1128" spans="1:7" outlineLevel="1" x14ac:dyDescent="0.2">
      <c r="A1128" s="17"/>
      <c r="B1128" s="75"/>
      <c r="C1128" s="1989" t="s">
        <v>3933</v>
      </c>
      <c r="D1128" s="1989" t="s">
        <v>5633</v>
      </c>
      <c r="E1128" s="1989">
        <v>7.21</v>
      </c>
      <c r="F1128" s="38">
        <f t="shared" si="17"/>
        <v>586.32614039999999</v>
      </c>
      <c r="G1128" s="459"/>
    </row>
    <row r="1129" spans="1:7" outlineLevel="1" x14ac:dyDescent="0.2">
      <c r="A1129" s="17"/>
      <c r="B1129" s="75"/>
      <c r="C1129" s="1989" t="s">
        <v>3934</v>
      </c>
      <c r="D1129" s="1989" t="s">
        <v>3935</v>
      </c>
      <c r="E1129" s="1989">
        <v>7.21</v>
      </c>
      <c r="F1129" s="38">
        <f t="shared" si="17"/>
        <v>586.32614039999999</v>
      </c>
      <c r="G1129" s="459"/>
    </row>
    <row r="1130" spans="1:7" outlineLevel="1" x14ac:dyDescent="0.2">
      <c r="A1130" s="17"/>
      <c r="B1130" s="75"/>
      <c r="C1130" s="1989" t="s">
        <v>3936</v>
      </c>
      <c r="D1130" s="1989" t="s">
        <v>5634</v>
      </c>
      <c r="E1130" s="1989">
        <v>7.21</v>
      </c>
      <c r="F1130" s="38">
        <f t="shared" si="17"/>
        <v>586.32614039999999</v>
      </c>
      <c r="G1130" s="459"/>
    </row>
    <row r="1131" spans="1:7" outlineLevel="1" x14ac:dyDescent="0.2">
      <c r="A1131" s="17"/>
      <c r="B1131" s="75"/>
      <c r="C1131" s="1989" t="s">
        <v>3937</v>
      </c>
      <c r="D1131" s="1989" t="s">
        <v>3938</v>
      </c>
      <c r="E1131" s="1989">
        <v>7.21</v>
      </c>
      <c r="F1131" s="38">
        <f t="shared" si="17"/>
        <v>586.32614039999999</v>
      </c>
      <c r="G1131" s="459"/>
    </row>
    <row r="1132" spans="1:7" outlineLevel="1" x14ac:dyDescent="0.2">
      <c r="A1132" s="17"/>
      <c r="B1132" s="75"/>
      <c r="C1132" s="1989" t="s">
        <v>3939</v>
      </c>
      <c r="D1132" s="1989" t="s">
        <v>5635</v>
      </c>
      <c r="E1132" s="1989">
        <v>7.21</v>
      </c>
      <c r="F1132" s="38">
        <f t="shared" si="17"/>
        <v>586.32614039999999</v>
      </c>
      <c r="G1132" s="459"/>
    </row>
    <row r="1133" spans="1:7" outlineLevel="1" x14ac:dyDescent="0.2">
      <c r="A1133" s="17"/>
      <c r="B1133" s="75"/>
      <c r="C1133" s="1989" t="s">
        <v>3940</v>
      </c>
      <c r="D1133" s="1989" t="s">
        <v>3941</v>
      </c>
      <c r="E1133" s="1989">
        <v>7.21</v>
      </c>
      <c r="F1133" s="38">
        <f t="shared" si="17"/>
        <v>586.32614039999999</v>
      </c>
      <c r="G1133" s="459"/>
    </row>
    <row r="1134" spans="1:7" outlineLevel="1" x14ac:dyDescent="0.2">
      <c r="A1134" s="17"/>
      <c r="B1134" s="75"/>
      <c r="C1134" s="1989" t="s">
        <v>3942</v>
      </c>
      <c r="D1134" s="1989" t="s">
        <v>5636</v>
      </c>
      <c r="E1134" s="1989">
        <v>7.26</v>
      </c>
      <c r="F1134" s="38">
        <f t="shared" si="17"/>
        <v>590.39220239999997</v>
      </c>
      <c r="G1134" s="459"/>
    </row>
    <row r="1135" spans="1:7" outlineLevel="1" x14ac:dyDescent="0.2">
      <c r="A1135" s="17"/>
      <c r="B1135" s="75"/>
      <c r="C1135" s="1989" t="s">
        <v>3943</v>
      </c>
      <c r="D1135" s="1989" t="s">
        <v>3944</v>
      </c>
      <c r="E1135" s="1989">
        <v>7.26</v>
      </c>
      <c r="F1135" s="38">
        <f t="shared" si="17"/>
        <v>590.39220239999997</v>
      </c>
      <c r="G1135" s="459"/>
    </row>
    <row r="1136" spans="1:7" outlineLevel="1" x14ac:dyDescent="0.2">
      <c r="A1136" s="17"/>
      <c r="B1136" s="75"/>
      <c r="C1136" s="1989" t="s">
        <v>3945</v>
      </c>
      <c r="D1136" s="1989" t="s">
        <v>5637</v>
      </c>
      <c r="E1136" s="1989">
        <v>7.32</v>
      </c>
      <c r="F1136" s="38">
        <f t="shared" si="17"/>
        <v>595.27147680000007</v>
      </c>
      <c r="G1136" s="459"/>
    </row>
    <row r="1137" spans="1:7" outlineLevel="1" x14ac:dyDescent="0.2">
      <c r="A1137" s="17"/>
      <c r="B1137" s="75"/>
      <c r="C1137" s="1989" t="s">
        <v>3946</v>
      </c>
      <c r="D1137" s="1989" t="s">
        <v>3947</v>
      </c>
      <c r="E1137" s="1989">
        <v>7.32</v>
      </c>
      <c r="F1137" s="38">
        <f t="shared" si="17"/>
        <v>595.27147680000007</v>
      </c>
      <c r="G1137" s="459"/>
    </row>
    <row r="1138" spans="1:7" outlineLevel="1" x14ac:dyDescent="0.2">
      <c r="A1138" s="17"/>
      <c r="B1138" s="75"/>
      <c r="C1138" s="1989" t="s">
        <v>3948</v>
      </c>
      <c r="D1138" s="1989" t="s">
        <v>5638</v>
      </c>
      <c r="E1138" s="1989">
        <v>7.38</v>
      </c>
      <c r="F1138" s="38">
        <f t="shared" si="17"/>
        <v>600.15075120000006</v>
      </c>
      <c r="G1138" s="459"/>
    </row>
    <row r="1139" spans="1:7" outlineLevel="1" x14ac:dyDescent="0.2">
      <c r="A1139" s="17"/>
      <c r="B1139" s="75"/>
      <c r="C1139" s="1989" t="s">
        <v>3949</v>
      </c>
      <c r="D1139" s="1989" t="s">
        <v>3950</v>
      </c>
      <c r="E1139" s="1989">
        <v>7.38</v>
      </c>
      <c r="F1139" s="38">
        <f t="shared" si="17"/>
        <v>600.15075120000006</v>
      </c>
      <c r="G1139" s="459"/>
    </row>
    <row r="1140" spans="1:7" outlineLevel="1" x14ac:dyDescent="0.2">
      <c r="A1140" s="17"/>
      <c r="B1140" s="75"/>
      <c r="C1140" s="1989" t="s">
        <v>3951</v>
      </c>
      <c r="D1140" s="1989" t="s">
        <v>3952</v>
      </c>
      <c r="E1140" s="1989">
        <v>5.82</v>
      </c>
      <c r="F1140" s="38">
        <f t="shared" si="17"/>
        <v>473.28961680000003</v>
      </c>
      <c r="G1140" s="459"/>
    </row>
    <row r="1141" spans="1:7" outlineLevel="1" x14ac:dyDescent="0.2">
      <c r="A1141" s="17"/>
      <c r="B1141" s="75"/>
      <c r="C1141" s="1989" t="s">
        <v>1228</v>
      </c>
      <c r="D1141" s="1989" t="s">
        <v>7622</v>
      </c>
      <c r="E1141" s="1989">
        <v>1.32</v>
      </c>
      <c r="F1141" s="38">
        <f t="shared" si="17"/>
        <v>107.34403680000001</v>
      </c>
      <c r="G1141" s="459"/>
    </row>
    <row r="1142" spans="1:7" outlineLevel="1" x14ac:dyDescent="0.2">
      <c r="A1142" s="17"/>
      <c r="B1142" s="75"/>
      <c r="C1142" s="1989" t="s">
        <v>1192</v>
      </c>
      <c r="D1142" s="1989" t="s">
        <v>5639</v>
      </c>
      <c r="E1142" s="1989">
        <v>1.37</v>
      </c>
      <c r="F1142" s="38">
        <f t="shared" si="17"/>
        <v>111.41009880000001</v>
      </c>
      <c r="G1142" s="459"/>
    </row>
    <row r="1143" spans="1:7" outlineLevel="1" x14ac:dyDescent="0.2">
      <c r="A1143" s="17"/>
      <c r="B1143" s="75"/>
      <c r="C1143" s="1989" t="s">
        <v>948</v>
      </c>
      <c r="D1143" s="1989" t="s">
        <v>5640</v>
      </c>
      <c r="E1143" s="1989">
        <v>1.44</v>
      </c>
      <c r="F1143" s="38">
        <f t="shared" si="17"/>
        <v>117.10258560000001</v>
      </c>
      <c r="G1143" s="459"/>
    </row>
    <row r="1144" spans="1:7" outlineLevel="1" x14ac:dyDescent="0.2">
      <c r="A1144" s="17"/>
      <c r="B1144" s="75"/>
      <c r="C1144" s="1989" t="s">
        <v>949</v>
      </c>
      <c r="D1144" s="1989" t="s">
        <v>7623</v>
      </c>
      <c r="E1144" s="1989">
        <v>1.22</v>
      </c>
      <c r="F1144" s="38">
        <f t="shared" si="17"/>
        <v>99.211912800000007</v>
      </c>
      <c r="G1144" s="459"/>
    </row>
    <row r="1145" spans="1:7" outlineLevel="1" x14ac:dyDescent="0.2">
      <c r="A1145" s="17"/>
      <c r="B1145" s="75"/>
      <c r="C1145" s="1989" t="s">
        <v>2173</v>
      </c>
      <c r="D1145" s="1989" t="s">
        <v>7624</v>
      </c>
      <c r="E1145" s="1989">
        <v>3</v>
      </c>
      <c r="F1145" s="38">
        <f t="shared" si="17"/>
        <v>243.96372</v>
      </c>
      <c r="G1145" s="459"/>
    </row>
    <row r="1146" spans="1:7" outlineLevel="1" x14ac:dyDescent="0.2">
      <c r="A1146" s="17"/>
      <c r="B1146" s="75"/>
      <c r="C1146" s="1989" t="s">
        <v>950</v>
      </c>
      <c r="D1146" s="1989" t="s">
        <v>7625</v>
      </c>
      <c r="E1146" s="1989">
        <v>1.29</v>
      </c>
      <c r="F1146" s="38">
        <f t="shared" si="17"/>
        <v>104.9043996</v>
      </c>
      <c r="G1146" s="459"/>
    </row>
    <row r="1147" spans="1:7" outlineLevel="1" x14ac:dyDescent="0.2">
      <c r="A1147" s="17"/>
      <c r="B1147" s="75"/>
      <c r="C1147" s="1989" t="s">
        <v>2554</v>
      </c>
      <c r="D1147" s="1989" t="s">
        <v>5641</v>
      </c>
      <c r="E1147" s="1989">
        <v>0</v>
      </c>
      <c r="F1147" s="38">
        <f t="shared" si="17"/>
        <v>0</v>
      </c>
      <c r="G1147" s="459"/>
    </row>
    <row r="1148" spans="1:7" outlineLevel="1" x14ac:dyDescent="0.2">
      <c r="A1148" s="17"/>
      <c r="B1148" s="75"/>
      <c r="C1148" s="1989" t="s">
        <v>2555</v>
      </c>
      <c r="D1148" s="1989" t="s">
        <v>7626</v>
      </c>
      <c r="E1148" s="1989">
        <v>0</v>
      </c>
      <c r="F1148" s="38">
        <f t="shared" si="17"/>
        <v>0</v>
      </c>
      <c r="G1148" s="459"/>
    </row>
    <row r="1149" spans="1:7" outlineLevel="1" x14ac:dyDescent="0.2">
      <c r="A1149" s="17"/>
      <c r="B1149" s="75"/>
      <c r="C1149" s="1989" t="s">
        <v>2556</v>
      </c>
      <c r="D1149" s="1989" t="s">
        <v>7627</v>
      </c>
      <c r="E1149" s="1989">
        <v>0</v>
      </c>
      <c r="F1149" s="38">
        <f t="shared" si="17"/>
        <v>0</v>
      </c>
      <c r="G1149" s="459"/>
    </row>
    <row r="1150" spans="1:7" outlineLevel="1" x14ac:dyDescent="0.2">
      <c r="A1150" s="17"/>
      <c r="B1150" s="75"/>
      <c r="C1150" s="1989" t="s">
        <v>2557</v>
      </c>
      <c r="D1150" s="1989" t="s">
        <v>5642</v>
      </c>
      <c r="E1150" s="1989">
        <v>41.54</v>
      </c>
      <c r="F1150" s="38">
        <f t="shared" si="17"/>
        <v>3378.0843096000003</v>
      </c>
      <c r="G1150" s="459"/>
    </row>
    <row r="1151" spans="1:7" outlineLevel="1" x14ac:dyDescent="0.2">
      <c r="A1151" s="17"/>
      <c r="B1151" s="75"/>
      <c r="C1151" s="1989" t="s">
        <v>3953</v>
      </c>
      <c r="D1151" s="1989" t="s">
        <v>5643</v>
      </c>
      <c r="E1151" s="1989">
        <v>0</v>
      </c>
      <c r="F1151" s="38">
        <f t="shared" si="17"/>
        <v>0</v>
      </c>
      <c r="G1151" s="459"/>
    </row>
    <row r="1152" spans="1:7" outlineLevel="1" x14ac:dyDescent="0.2">
      <c r="A1152" s="17"/>
      <c r="B1152" s="75"/>
      <c r="C1152" s="1989" t="s">
        <v>2765</v>
      </c>
      <c r="D1152" s="1989" t="s">
        <v>5644</v>
      </c>
      <c r="E1152" s="1989">
        <v>1.4</v>
      </c>
      <c r="F1152" s="38">
        <f t="shared" si="17"/>
        <v>113.84973600000001</v>
      </c>
      <c r="G1152" s="459"/>
    </row>
    <row r="1153" spans="1:7" outlineLevel="1" x14ac:dyDescent="0.2">
      <c r="A1153" s="17"/>
      <c r="B1153" s="75"/>
      <c r="C1153" s="1989" t="s">
        <v>2559</v>
      </c>
      <c r="D1153" s="1989" t="s">
        <v>2560</v>
      </c>
      <c r="E1153" s="1989">
        <v>0</v>
      </c>
      <c r="F1153" s="38">
        <f t="shared" si="17"/>
        <v>0</v>
      </c>
      <c r="G1153" s="459"/>
    </row>
    <row r="1154" spans="1:7" outlineLevel="1" x14ac:dyDescent="0.2">
      <c r="A1154" s="17"/>
      <c r="B1154" s="75"/>
      <c r="C1154" s="1989" t="s">
        <v>3286</v>
      </c>
      <c r="D1154" s="1989" t="s">
        <v>5645</v>
      </c>
      <c r="E1154" s="1989">
        <v>0</v>
      </c>
      <c r="F1154" s="38">
        <f t="shared" si="17"/>
        <v>0</v>
      </c>
      <c r="G1154" s="459"/>
    </row>
    <row r="1155" spans="1:7" outlineLevel="1" x14ac:dyDescent="0.2">
      <c r="A1155" s="17"/>
      <c r="B1155" s="75"/>
      <c r="C1155" s="1989" t="s">
        <v>3287</v>
      </c>
      <c r="D1155" s="1989" t="s">
        <v>5646</v>
      </c>
      <c r="E1155" s="1989">
        <v>0</v>
      </c>
      <c r="F1155" s="38">
        <f t="shared" si="17"/>
        <v>0</v>
      </c>
      <c r="G1155" s="459"/>
    </row>
    <row r="1156" spans="1:7" outlineLevel="1" x14ac:dyDescent="0.2">
      <c r="A1156" s="17"/>
      <c r="B1156" s="75"/>
      <c r="C1156" s="1989" t="s">
        <v>2561</v>
      </c>
      <c r="D1156" s="1989" t="s">
        <v>2562</v>
      </c>
      <c r="E1156" s="1989">
        <v>0</v>
      </c>
      <c r="F1156" s="38">
        <f t="shared" si="17"/>
        <v>0</v>
      </c>
      <c r="G1156" s="459"/>
    </row>
    <row r="1157" spans="1:7" outlineLevel="1" x14ac:dyDescent="0.2">
      <c r="A1157" s="17"/>
      <c r="B1157" s="75"/>
      <c r="C1157" s="1989" t="s">
        <v>2563</v>
      </c>
      <c r="D1157" s="1989" t="s">
        <v>2564</v>
      </c>
      <c r="E1157" s="1989">
        <v>0</v>
      </c>
      <c r="F1157" s="38">
        <f t="shared" si="17"/>
        <v>0</v>
      </c>
      <c r="G1157" s="459"/>
    </row>
    <row r="1158" spans="1:7" outlineLevel="1" x14ac:dyDescent="0.2">
      <c r="A1158" s="17"/>
      <c r="B1158" s="75"/>
      <c r="C1158" s="1989" t="s">
        <v>2565</v>
      </c>
      <c r="D1158" s="1989" t="s">
        <v>3288</v>
      </c>
      <c r="E1158" s="1989">
        <v>0</v>
      </c>
      <c r="F1158" s="38">
        <f t="shared" si="17"/>
        <v>0</v>
      </c>
      <c r="G1158" s="459"/>
    </row>
    <row r="1159" spans="1:7" outlineLevel="1" x14ac:dyDescent="0.2">
      <c r="A1159" s="17"/>
      <c r="B1159" s="75"/>
      <c r="C1159" s="1989" t="s">
        <v>3289</v>
      </c>
      <c r="D1159" s="1989" t="s">
        <v>3290</v>
      </c>
      <c r="E1159" s="1989">
        <v>0</v>
      </c>
      <c r="F1159" s="38">
        <f t="shared" si="17"/>
        <v>0</v>
      </c>
      <c r="G1159" s="459"/>
    </row>
    <row r="1160" spans="1:7" outlineLevel="1" x14ac:dyDescent="0.2">
      <c r="A1160" s="17"/>
      <c r="B1160" s="75"/>
      <c r="C1160" s="1989" t="s">
        <v>2089</v>
      </c>
      <c r="D1160" s="1989" t="s">
        <v>7628</v>
      </c>
      <c r="E1160" s="1989">
        <v>1.25</v>
      </c>
      <c r="F1160" s="38">
        <f t="shared" si="17"/>
        <v>101.65155000000001</v>
      </c>
      <c r="G1160" s="459"/>
    </row>
    <row r="1161" spans="1:7" outlineLevel="1" x14ac:dyDescent="0.2">
      <c r="A1161" s="17"/>
      <c r="B1161" s="75"/>
      <c r="C1161" s="1989" t="s">
        <v>1614</v>
      </c>
      <c r="D1161" s="1989" t="s">
        <v>7629</v>
      </c>
      <c r="E1161" s="1989">
        <v>1.29</v>
      </c>
      <c r="F1161" s="38">
        <f t="shared" si="17"/>
        <v>104.9043996</v>
      </c>
      <c r="G1161" s="459"/>
    </row>
    <row r="1162" spans="1:7" outlineLevel="1" x14ac:dyDescent="0.2">
      <c r="A1162" s="17"/>
      <c r="B1162" s="75"/>
      <c r="C1162" s="1989" t="s">
        <v>331</v>
      </c>
      <c r="D1162" s="1989" t="s">
        <v>5647</v>
      </c>
      <c r="E1162" s="1989">
        <v>5.66</v>
      </c>
      <c r="F1162" s="38">
        <f t="shared" si="17"/>
        <v>460.27821840000001</v>
      </c>
      <c r="G1162" s="459"/>
    </row>
    <row r="1163" spans="1:7" outlineLevel="1" x14ac:dyDescent="0.2">
      <c r="A1163" s="17"/>
      <c r="B1163" s="75"/>
      <c r="C1163" s="1989" t="s">
        <v>330</v>
      </c>
      <c r="D1163" s="1989" t="s">
        <v>5648</v>
      </c>
      <c r="E1163" s="1989">
        <v>5.66</v>
      </c>
      <c r="F1163" s="38">
        <f t="shared" si="17"/>
        <v>460.27821840000001</v>
      </c>
      <c r="G1163" s="459"/>
    </row>
    <row r="1164" spans="1:7" outlineLevel="1" x14ac:dyDescent="0.2">
      <c r="A1164" s="17"/>
      <c r="B1164" s="75"/>
      <c r="C1164" s="1989" t="s">
        <v>333</v>
      </c>
      <c r="D1164" s="1989" t="s">
        <v>5649</v>
      </c>
      <c r="E1164" s="1989">
        <v>5.66</v>
      </c>
      <c r="F1164" s="38">
        <f t="shared" si="17"/>
        <v>460.27821840000001</v>
      </c>
      <c r="G1164" s="459"/>
    </row>
    <row r="1165" spans="1:7" outlineLevel="1" x14ac:dyDescent="0.2">
      <c r="A1165" s="17"/>
      <c r="B1165" s="75"/>
      <c r="C1165" s="1989" t="s">
        <v>332</v>
      </c>
      <c r="D1165" s="1989" t="s">
        <v>5650</v>
      </c>
      <c r="E1165" s="1989">
        <v>5.66</v>
      </c>
      <c r="F1165" s="38">
        <f t="shared" si="17"/>
        <v>460.27821840000001</v>
      </c>
      <c r="G1165" s="459"/>
    </row>
    <row r="1166" spans="1:7" outlineLevel="1" x14ac:dyDescent="0.2">
      <c r="A1166" s="17"/>
      <c r="B1166" s="75"/>
      <c r="C1166" s="1989" t="s">
        <v>2166</v>
      </c>
      <c r="D1166" s="1989" t="s">
        <v>5651</v>
      </c>
      <c r="E1166" s="1989">
        <v>5.66</v>
      </c>
      <c r="F1166" s="38">
        <f t="shared" si="17"/>
        <v>460.27821840000001</v>
      </c>
      <c r="G1166" s="459"/>
    </row>
    <row r="1167" spans="1:7" outlineLevel="1" x14ac:dyDescent="0.2">
      <c r="A1167" s="17"/>
      <c r="B1167" s="75"/>
      <c r="C1167" s="1989" t="s">
        <v>2165</v>
      </c>
      <c r="D1167" s="1989" t="s">
        <v>5652</v>
      </c>
      <c r="E1167" s="1989">
        <v>5.66</v>
      </c>
      <c r="F1167" s="38">
        <f t="shared" si="17"/>
        <v>460.27821840000001</v>
      </c>
      <c r="G1167" s="459"/>
    </row>
    <row r="1168" spans="1:7" outlineLevel="1" x14ac:dyDescent="0.2">
      <c r="A1168" s="17"/>
      <c r="B1168" s="75"/>
      <c r="C1168" s="1989" t="s">
        <v>2168</v>
      </c>
      <c r="D1168" s="1989" t="s">
        <v>5653</v>
      </c>
      <c r="E1168" s="1989">
        <v>5.69</v>
      </c>
      <c r="F1168" s="38">
        <f t="shared" si="17"/>
        <v>462.71785560000006</v>
      </c>
      <c r="G1168" s="459"/>
    </row>
    <row r="1169" spans="1:7" outlineLevel="1" x14ac:dyDescent="0.2">
      <c r="A1169" s="17"/>
      <c r="B1169" s="75"/>
      <c r="C1169" s="1989" t="s">
        <v>2167</v>
      </c>
      <c r="D1169" s="1989" t="s">
        <v>5654</v>
      </c>
      <c r="E1169" s="1989">
        <v>5.69</v>
      </c>
      <c r="F1169" s="38">
        <f t="shared" si="17"/>
        <v>462.71785560000006</v>
      </c>
      <c r="G1169" s="459"/>
    </row>
    <row r="1170" spans="1:7" outlineLevel="1" x14ac:dyDescent="0.2">
      <c r="A1170" s="17"/>
      <c r="B1170" s="75"/>
      <c r="C1170" s="1989" t="s">
        <v>2170</v>
      </c>
      <c r="D1170" s="1989" t="s">
        <v>5655</v>
      </c>
      <c r="E1170" s="1989">
        <v>5.71</v>
      </c>
      <c r="F1170" s="38">
        <f t="shared" si="17"/>
        <v>464.3442804</v>
      </c>
      <c r="G1170" s="459"/>
    </row>
    <row r="1171" spans="1:7" outlineLevel="1" x14ac:dyDescent="0.2">
      <c r="A1171" s="17"/>
      <c r="B1171" s="75"/>
      <c r="C1171" s="1989" t="s">
        <v>2169</v>
      </c>
      <c r="D1171" s="1989" t="s">
        <v>5656</v>
      </c>
      <c r="E1171" s="1989">
        <v>5.71</v>
      </c>
      <c r="F1171" s="38">
        <f t="shared" si="17"/>
        <v>464.3442804</v>
      </c>
      <c r="G1171" s="459"/>
    </row>
    <row r="1172" spans="1:7" outlineLevel="1" x14ac:dyDescent="0.2">
      <c r="A1172" s="17"/>
      <c r="B1172" s="75"/>
      <c r="C1172" s="1989" t="s">
        <v>2172</v>
      </c>
      <c r="D1172" s="1989" t="s">
        <v>5657</v>
      </c>
      <c r="E1172" s="1989">
        <v>5.75</v>
      </c>
      <c r="F1172" s="38">
        <f t="shared" si="17"/>
        <v>467.59712999999999</v>
      </c>
      <c r="G1172" s="459"/>
    </row>
    <row r="1173" spans="1:7" outlineLevel="1" x14ac:dyDescent="0.2">
      <c r="A1173" s="17"/>
      <c r="B1173" s="75"/>
      <c r="C1173" s="1989" t="s">
        <v>2171</v>
      </c>
      <c r="D1173" s="1989" t="s">
        <v>5658</v>
      </c>
      <c r="E1173" s="1989">
        <v>5.75</v>
      </c>
      <c r="F1173" s="38">
        <f t="shared" si="17"/>
        <v>467.59712999999999</v>
      </c>
      <c r="G1173" s="459"/>
    </row>
    <row r="1174" spans="1:7" outlineLevel="1" x14ac:dyDescent="0.2">
      <c r="A1174" s="17"/>
      <c r="B1174" s="75"/>
      <c r="C1174" s="1989" t="s">
        <v>3291</v>
      </c>
      <c r="D1174" s="1989" t="s">
        <v>5659</v>
      </c>
      <c r="E1174" s="1989">
        <v>1.4</v>
      </c>
      <c r="F1174" s="38">
        <f t="shared" si="17"/>
        <v>113.84973600000001</v>
      </c>
      <c r="G1174" s="459"/>
    </row>
    <row r="1175" spans="1:7" outlineLevel="1" x14ac:dyDescent="0.2">
      <c r="A1175" s="17"/>
      <c r="B1175" s="75"/>
      <c r="C1175" s="1989" t="s">
        <v>1615</v>
      </c>
      <c r="D1175" s="1989" t="s">
        <v>7630</v>
      </c>
      <c r="E1175" s="1989">
        <v>1.25</v>
      </c>
      <c r="F1175" s="38">
        <f t="shared" si="17"/>
        <v>101.65155000000001</v>
      </c>
      <c r="G1175" s="459"/>
    </row>
    <row r="1176" spans="1:7" outlineLevel="1" x14ac:dyDescent="0.2">
      <c r="A1176" s="17"/>
      <c r="B1176" s="75"/>
      <c r="C1176" s="1989" t="s">
        <v>1616</v>
      </c>
      <c r="D1176" s="1989" t="s">
        <v>7631</v>
      </c>
      <c r="E1176" s="1989">
        <v>1.32</v>
      </c>
      <c r="F1176" s="38">
        <f t="shared" si="17"/>
        <v>107.34403680000001</v>
      </c>
      <c r="G1176" s="459"/>
    </row>
    <row r="1177" spans="1:7" outlineLevel="1" x14ac:dyDescent="0.2">
      <c r="A1177" s="17"/>
      <c r="B1177" s="75"/>
      <c r="C1177" s="1989" t="s">
        <v>1617</v>
      </c>
      <c r="D1177" s="1989" t="s">
        <v>7632</v>
      </c>
      <c r="E1177" s="1989">
        <v>1.37</v>
      </c>
      <c r="F1177" s="38">
        <f t="shared" si="17"/>
        <v>111.41009880000001</v>
      </c>
      <c r="G1177" s="459"/>
    </row>
    <row r="1178" spans="1:7" outlineLevel="1" x14ac:dyDescent="0.2">
      <c r="A1178" s="17"/>
      <c r="B1178" s="75"/>
      <c r="C1178" s="1989" t="s">
        <v>218</v>
      </c>
      <c r="D1178" s="1989" t="s">
        <v>7633</v>
      </c>
      <c r="E1178" s="1989">
        <v>6.96</v>
      </c>
      <c r="F1178" s="38">
        <f t="shared" si="17"/>
        <v>565.99583040000005</v>
      </c>
      <c r="G1178" s="459"/>
    </row>
    <row r="1179" spans="1:7" outlineLevel="1" x14ac:dyDescent="0.2">
      <c r="A1179" s="17"/>
      <c r="B1179" s="75"/>
      <c r="C1179" s="1989" t="s">
        <v>219</v>
      </c>
      <c r="D1179" s="1989" t="s">
        <v>7634</v>
      </c>
      <c r="E1179" s="1989">
        <v>6.96</v>
      </c>
      <c r="F1179" s="38">
        <f t="shared" si="17"/>
        <v>565.99583040000005</v>
      </c>
      <c r="G1179" s="459"/>
    </row>
    <row r="1180" spans="1:7" outlineLevel="1" x14ac:dyDescent="0.2">
      <c r="A1180" s="17"/>
      <c r="B1180" s="75"/>
      <c r="C1180" s="1989" t="s">
        <v>1619</v>
      </c>
      <c r="D1180" s="1989" t="s">
        <v>7635</v>
      </c>
      <c r="E1180" s="1989">
        <v>3.21</v>
      </c>
      <c r="F1180" s="38">
        <f t="shared" si="17"/>
        <v>261.04118040000003</v>
      </c>
      <c r="G1180" s="459"/>
    </row>
    <row r="1181" spans="1:7" outlineLevel="1" x14ac:dyDescent="0.2">
      <c r="A1181" s="17"/>
      <c r="B1181" s="75"/>
      <c r="C1181" s="1989" t="s">
        <v>220</v>
      </c>
      <c r="D1181" s="1989" t="s">
        <v>7636</v>
      </c>
      <c r="E1181" s="1989">
        <v>7.28</v>
      </c>
      <c r="F1181" s="38">
        <f t="shared" si="17"/>
        <v>592.01862720000008</v>
      </c>
      <c r="G1181" s="459"/>
    </row>
    <row r="1182" spans="1:7" outlineLevel="1" x14ac:dyDescent="0.2">
      <c r="A1182" s="17"/>
      <c r="B1182" s="75"/>
      <c r="C1182" s="1989" t="s">
        <v>947</v>
      </c>
      <c r="D1182" s="1989" t="s">
        <v>5660</v>
      </c>
      <c r="E1182" s="1989">
        <v>7.28</v>
      </c>
      <c r="F1182" s="38">
        <f t="shared" si="17"/>
        <v>592.01862720000008</v>
      </c>
      <c r="G1182" s="459"/>
    </row>
    <row r="1183" spans="1:7" outlineLevel="1" x14ac:dyDescent="0.2">
      <c r="A1183" s="17"/>
      <c r="B1183" s="75"/>
      <c r="C1183" s="1989" t="s">
        <v>3954</v>
      </c>
      <c r="D1183" s="1989" t="s">
        <v>3955</v>
      </c>
      <c r="E1183" s="1989">
        <v>5.82</v>
      </c>
      <c r="F1183" s="38">
        <f t="shared" ref="F1183:F1246" si="18">E1183*$G$4*$J$4</f>
        <v>473.28961680000003</v>
      </c>
      <c r="G1183" s="459"/>
    </row>
    <row r="1184" spans="1:7" outlineLevel="1" x14ac:dyDescent="0.2">
      <c r="A1184" s="17"/>
      <c r="B1184" s="75"/>
      <c r="C1184" s="1989" t="s">
        <v>4547</v>
      </c>
      <c r="D1184" s="1989" t="s">
        <v>4548</v>
      </c>
      <c r="E1184" s="1989">
        <v>14.74</v>
      </c>
      <c r="F1184" s="38">
        <f t="shared" si="18"/>
        <v>1198.6750775999999</v>
      </c>
      <c r="G1184" s="459"/>
    </row>
    <row r="1185" spans="1:7" outlineLevel="1" x14ac:dyDescent="0.2">
      <c r="A1185" s="17"/>
      <c r="B1185" s="75"/>
      <c r="C1185" s="1989" t="s">
        <v>181</v>
      </c>
      <c r="D1185" s="1989" t="s">
        <v>5661</v>
      </c>
      <c r="E1185" s="1989">
        <v>1.1399999999999999</v>
      </c>
      <c r="F1185" s="38">
        <f t="shared" si="18"/>
        <v>92.706213599999998</v>
      </c>
      <c r="G1185" s="459"/>
    </row>
    <row r="1186" spans="1:7" outlineLevel="1" x14ac:dyDescent="0.2">
      <c r="A1186" s="17"/>
      <c r="B1186" s="75"/>
      <c r="C1186" s="1989" t="s">
        <v>1166</v>
      </c>
      <c r="D1186" s="1989" t="s">
        <v>7637</v>
      </c>
      <c r="E1186" s="1989">
        <v>2.17</v>
      </c>
      <c r="F1186" s="38">
        <f t="shared" si="18"/>
        <v>176.46709079999999</v>
      </c>
      <c r="G1186" s="459"/>
    </row>
    <row r="1187" spans="1:7" outlineLevel="1" x14ac:dyDescent="0.2">
      <c r="A1187" s="17"/>
      <c r="B1187" s="75"/>
      <c r="C1187" s="1989" t="s">
        <v>3956</v>
      </c>
      <c r="D1187" s="1989" t="s">
        <v>7638</v>
      </c>
      <c r="E1187" s="1989">
        <v>58.06</v>
      </c>
      <c r="F1187" s="38">
        <f t="shared" si="18"/>
        <v>4721.5111944</v>
      </c>
      <c r="G1187" s="459"/>
    </row>
    <row r="1188" spans="1:7" outlineLevel="1" x14ac:dyDescent="0.2">
      <c r="A1188" s="17"/>
      <c r="B1188" s="75"/>
      <c r="C1188" s="1989" t="s">
        <v>182</v>
      </c>
      <c r="D1188" s="1989" t="s">
        <v>5662</v>
      </c>
      <c r="E1188" s="1989">
        <v>13.06</v>
      </c>
      <c r="F1188" s="38">
        <f t="shared" si="18"/>
        <v>1062.0553944000001</v>
      </c>
      <c r="G1188" s="459"/>
    </row>
    <row r="1189" spans="1:7" outlineLevel="1" x14ac:dyDescent="0.2">
      <c r="A1189" s="17"/>
      <c r="B1189" s="75"/>
      <c r="C1189" s="1989" t="s">
        <v>1170</v>
      </c>
      <c r="D1189" s="1989" t="s">
        <v>5663</v>
      </c>
      <c r="E1189" s="1989">
        <v>59.83</v>
      </c>
      <c r="F1189" s="38">
        <f t="shared" si="18"/>
        <v>4865.4497891999999</v>
      </c>
      <c r="G1189" s="459"/>
    </row>
    <row r="1190" spans="1:7" outlineLevel="1" x14ac:dyDescent="0.2">
      <c r="A1190" s="17"/>
      <c r="B1190" s="75"/>
      <c r="C1190" s="1989" t="s">
        <v>2819</v>
      </c>
      <c r="D1190" s="1989" t="s">
        <v>3957</v>
      </c>
      <c r="E1190" s="1989">
        <v>0</v>
      </c>
      <c r="F1190" s="38">
        <f t="shared" si="18"/>
        <v>0</v>
      </c>
      <c r="G1190" s="459"/>
    </row>
    <row r="1191" spans="1:7" outlineLevel="1" x14ac:dyDescent="0.2">
      <c r="A1191" s="17"/>
      <c r="B1191" s="75"/>
      <c r="C1191" s="1989" t="s">
        <v>1803</v>
      </c>
      <c r="D1191" s="1989" t="s">
        <v>7639</v>
      </c>
      <c r="E1191" s="1989">
        <v>2.02</v>
      </c>
      <c r="F1191" s="38">
        <f t="shared" si="18"/>
        <v>164.2689048</v>
      </c>
      <c r="G1191" s="459"/>
    </row>
    <row r="1192" spans="1:7" outlineLevel="1" x14ac:dyDescent="0.2">
      <c r="A1192" s="17"/>
      <c r="B1192" s="75"/>
      <c r="C1192" s="1989" t="s">
        <v>1804</v>
      </c>
      <c r="D1192" s="1989" t="s">
        <v>7640</v>
      </c>
      <c r="E1192" s="1989">
        <v>55.45</v>
      </c>
      <c r="F1192" s="38">
        <f t="shared" si="18"/>
        <v>4509.2627580000008</v>
      </c>
      <c r="G1192" s="459"/>
    </row>
    <row r="1193" spans="1:7" outlineLevel="1" x14ac:dyDescent="0.2">
      <c r="A1193" s="17"/>
      <c r="B1193" s="75"/>
      <c r="C1193" s="1989" t="s">
        <v>183</v>
      </c>
      <c r="D1193" s="1989" t="s">
        <v>5664</v>
      </c>
      <c r="E1193" s="1989">
        <v>66.290000000000006</v>
      </c>
      <c r="F1193" s="38">
        <f t="shared" si="18"/>
        <v>5390.7849996000004</v>
      </c>
      <c r="G1193" s="459"/>
    </row>
    <row r="1194" spans="1:7" outlineLevel="1" x14ac:dyDescent="0.2">
      <c r="A1194" s="17"/>
      <c r="B1194" s="75"/>
      <c r="C1194" s="1989" t="s">
        <v>184</v>
      </c>
      <c r="D1194" s="1989" t="s">
        <v>7641</v>
      </c>
      <c r="E1194" s="1989">
        <v>1.44</v>
      </c>
      <c r="F1194" s="38">
        <f t="shared" si="18"/>
        <v>117.10258560000001</v>
      </c>
      <c r="G1194" s="459"/>
    </row>
    <row r="1195" spans="1:7" outlineLevel="1" x14ac:dyDescent="0.2">
      <c r="A1195" s="17"/>
      <c r="B1195" s="75"/>
      <c r="C1195" s="1989" t="s">
        <v>6732</v>
      </c>
      <c r="D1195" s="1989" t="s">
        <v>7642</v>
      </c>
      <c r="E1195" s="1989">
        <v>120.93</v>
      </c>
      <c r="F1195" s="38">
        <f t="shared" si="18"/>
        <v>9834.1775532000011</v>
      </c>
      <c r="G1195" s="459"/>
    </row>
    <row r="1196" spans="1:7" outlineLevel="1" x14ac:dyDescent="0.2">
      <c r="A1196" s="17"/>
      <c r="B1196" s="75"/>
      <c r="C1196" s="1989" t="s">
        <v>185</v>
      </c>
      <c r="D1196" s="1989" t="s">
        <v>3958</v>
      </c>
      <c r="E1196" s="1989">
        <v>118.64</v>
      </c>
      <c r="F1196" s="38">
        <f t="shared" si="18"/>
        <v>9647.9519135999999</v>
      </c>
      <c r="G1196" s="459"/>
    </row>
    <row r="1197" spans="1:7" outlineLevel="1" x14ac:dyDescent="0.2">
      <c r="A1197" s="17"/>
      <c r="B1197" s="75"/>
      <c r="C1197" s="1989" t="s">
        <v>2478</v>
      </c>
      <c r="D1197" s="1989" t="s">
        <v>5665</v>
      </c>
      <c r="E1197" s="1989">
        <v>6.55</v>
      </c>
      <c r="F1197" s="38">
        <f t="shared" si="18"/>
        <v>532.65412200000003</v>
      </c>
      <c r="G1197" s="459"/>
    </row>
    <row r="1198" spans="1:7" outlineLevel="1" x14ac:dyDescent="0.2">
      <c r="A1198" s="17"/>
      <c r="B1198" s="75"/>
      <c r="C1198" s="1989" t="s">
        <v>1807</v>
      </c>
      <c r="D1198" s="1989" t="s">
        <v>5666</v>
      </c>
      <c r="E1198" s="1989">
        <v>3.78</v>
      </c>
      <c r="F1198" s="38">
        <f t="shared" si="18"/>
        <v>307.39428720000001</v>
      </c>
      <c r="G1198" s="459"/>
    </row>
    <row r="1199" spans="1:7" outlineLevel="1" x14ac:dyDescent="0.2">
      <c r="A1199" s="17"/>
      <c r="B1199" s="75"/>
      <c r="C1199" s="1989" t="s">
        <v>186</v>
      </c>
      <c r="D1199" s="1989" t="s">
        <v>7643</v>
      </c>
      <c r="E1199" s="1989">
        <v>118.57</v>
      </c>
      <c r="F1199" s="38">
        <f t="shared" si="18"/>
        <v>9642.2594267999993</v>
      </c>
      <c r="G1199" s="459"/>
    </row>
    <row r="1200" spans="1:7" outlineLevel="1" x14ac:dyDescent="0.2">
      <c r="A1200" s="17"/>
      <c r="B1200" s="75"/>
      <c r="C1200" s="1989" t="s">
        <v>1808</v>
      </c>
      <c r="D1200" s="1989" t="s">
        <v>5667</v>
      </c>
      <c r="E1200" s="1989">
        <v>5.09</v>
      </c>
      <c r="F1200" s="38">
        <f t="shared" si="18"/>
        <v>413.92511159999998</v>
      </c>
      <c r="G1200" s="459"/>
    </row>
    <row r="1201" spans="1:7" outlineLevel="1" x14ac:dyDescent="0.2">
      <c r="A1201" s="17"/>
      <c r="B1201" s="75"/>
      <c r="C1201" s="1989" t="s">
        <v>553</v>
      </c>
      <c r="D1201" s="1989" t="s">
        <v>5668</v>
      </c>
      <c r="E1201" s="1989">
        <v>9.7200000000000006</v>
      </c>
      <c r="F1201" s="38">
        <f t="shared" si="18"/>
        <v>790.44245280000007</v>
      </c>
      <c r="G1201" s="459"/>
    </row>
    <row r="1202" spans="1:7" outlineLevel="1" x14ac:dyDescent="0.2">
      <c r="A1202" s="17"/>
      <c r="B1202" s="75"/>
      <c r="C1202" s="1989" t="s">
        <v>554</v>
      </c>
      <c r="D1202" s="1989" t="s">
        <v>5669</v>
      </c>
      <c r="E1202" s="1989">
        <v>9.7200000000000006</v>
      </c>
      <c r="F1202" s="38">
        <f t="shared" si="18"/>
        <v>790.44245280000007</v>
      </c>
      <c r="G1202" s="459"/>
    </row>
    <row r="1203" spans="1:7" outlineLevel="1" x14ac:dyDescent="0.2">
      <c r="A1203" s="17"/>
      <c r="B1203" s="75"/>
      <c r="C1203" s="1989" t="s">
        <v>1394</v>
      </c>
      <c r="D1203" s="1989" t="s">
        <v>7644</v>
      </c>
      <c r="E1203" s="1989">
        <v>4.53</v>
      </c>
      <c r="F1203" s="38">
        <f t="shared" si="18"/>
        <v>368.3852172</v>
      </c>
      <c r="G1203" s="459"/>
    </row>
    <row r="1204" spans="1:7" outlineLevel="1" x14ac:dyDescent="0.2">
      <c r="A1204" s="17"/>
      <c r="B1204" s="75"/>
      <c r="C1204" s="1989" t="s">
        <v>5166</v>
      </c>
      <c r="D1204" s="1989" t="s">
        <v>7645</v>
      </c>
      <c r="E1204" s="1989">
        <v>88.7</v>
      </c>
      <c r="F1204" s="38">
        <f t="shared" si="18"/>
        <v>7213.193988</v>
      </c>
      <c r="G1204" s="459"/>
    </row>
    <row r="1205" spans="1:7" outlineLevel="1" x14ac:dyDescent="0.2">
      <c r="A1205" s="17"/>
      <c r="B1205" s="75"/>
      <c r="C1205" s="1989" t="s">
        <v>1398</v>
      </c>
      <c r="D1205" s="1989" t="s">
        <v>7646</v>
      </c>
      <c r="E1205" s="1989">
        <v>1.59</v>
      </c>
      <c r="F1205" s="38">
        <f t="shared" si="18"/>
        <v>129.30077159999999</v>
      </c>
      <c r="G1205" s="459"/>
    </row>
    <row r="1206" spans="1:7" outlineLevel="1" x14ac:dyDescent="0.2">
      <c r="A1206" s="17"/>
      <c r="B1206" s="75"/>
      <c r="C1206" s="1989" t="s">
        <v>325</v>
      </c>
      <c r="D1206" s="1989" t="s">
        <v>3959</v>
      </c>
      <c r="E1206" s="1989">
        <v>4.66</v>
      </c>
      <c r="F1206" s="38">
        <f t="shared" si="18"/>
        <v>378.95697840000003</v>
      </c>
      <c r="G1206" s="459"/>
    </row>
    <row r="1207" spans="1:7" outlineLevel="1" x14ac:dyDescent="0.2">
      <c r="A1207" s="17"/>
      <c r="B1207" s="75"/>
      <c r="C1207" s="1989" t="s">
        <v>326</v>
      </c>
      <c r="D1207" s="1989" t="s">
        <v>7647</v>
      </c>
      <c r="E1207" s="1989">
        <v>6.53</v>
      </c>
      <c r="F1207" s="38">
        <f t="shared" si="18"/>
        <v>531.02769720000003</v>
      </c>
      <c r="G1207" s="459"/>
    </row>
    <row r="1208" spans="1:7" outlineLevel="1" x14ac:dyDescent="0.2">
      <c r="A1208" s="17"/>
      <c r="B1208" s="75"/>
      <c r="C1208" s="1989" t="s">
        <v>2820</v>
      </c>
      <c r="D1208" s="1989" t="s">
        <v>7648</v>
      </c>
      <c r="E1208" s="1989">
        <v>0</v>
      </c>
      <c r="F1208" s="38">
        <f t="shared" si="18"/>
        <v>0</v>
      </c>
      <c r="G1208" s="459"/>
    </row>
    <row r="1209" spans="1:7" outlineLevel="1" x14ac:dyDescent="0.2">
      <c r="A1209" s="17"/>
      <c r="B1209" s="75"/>
      <c r="C1209" s="1989" t="s">
        <v>570</v>
      </c>
      <c r="D1209" s="1989" t="s">
        <v>5670</v>
      </c>
      <c r="E1209" s="1989">
        <v>0.56999999999999995</v>
      </c>
      <c r="F1209" s="38">
        <f t="shared" si="18"/>
        <v>46.353106799999999</v>
      </c>
      <c r="G1209" s="459"/>
    </row>
    <row r="1210" spans="1:7" outlineLevel="1" x14ac:dyDescent="0.2">
      <c r="A1210" s="17"/>
      <c r="B1210" s="75"/>
      <c r="C1210" s="1989" t="s">
        <v>139</v>
      </c>
      <c r="D1210" s="1989" t="s">
        <v>7649</v>
      </c>
      <c r="E1210" s="1989">
        <v>0.38</v>
      </c>
      <c r="F1210" s="38">
        <f t="shared" si="18"/>
        <v>30.902071199999998</v>
      </c>
      <c r="G1210" s="459"/>
    </row>
    <row r="1211" spans="1:7" outlineLevel="1" x14ac:dyDescent="0.2">
      <c r="A1211" s="17"/>
      <c r="B1211" s="75"/>
      <c r="C1211" s="1989" t="s">
        <v>244</v>
      </c>
      <c r="D1211" s="1989" t="s">
        <v>3960</v>
      </c>
      <c r="E1211" s="1989">
        <v>2.73</v>
      </c>
      <c r="F1211" s="38">
        <f t="shared" si="18"/>
        <v>222.0069852</v>
      </c>
      <c r="G1211" s="459"/>
    </row>
    <row r="1212" spans="1:7" outlineLevel="1" x14ac:dyDescent="0.2">
      <c r="A1212" s="17"/>
      <c r="B1212" s="75"/>
      <c r="C1212" s="1989" t="s">
        <v>137</v>
      </c>
      <c r="D1212" s="1989" t="s">
        <v>3961</v>
      </c>
      <c r="E1212" s="1989">
        <v>6.38</v>
      </c>
      <c r="F1212" s="38">
        <f t="shared" si="18"/>
        <v>518.82951120000007</v>
      </c>
      <c r="G1212" s="459"/>
    </row>
    <row r="1213" spans="1:7" outlineLevel="1" x14ac:dyDescent="0.2">
      <c r="A1213" s="17"/>
      <c r="B1213" s="75"/>
      <c r="C1213" s="1989" t="s">
        <v>136</v>
      </c>
      <c r="D1213" s="1989" t="s">
        <v>3962</v>
      </c>
      <c r="E1213" s="1989">
        <v>5.55</v>
      </c>
      <c r="F1213" s="38">
        <f t="shared" si="18"/>
        <v>451.33288199999998</v>
      </c>
      <c r="G1213" s="459"/>
    </row>
    <row r="1214" spans="1:7" outlineLevel="1" x14ac:dyDescent="0.2">
      <c r="A1214" s="17"/>
      <c r="B1214" s="75"/>
      <c r="C1214" s="1989" t="s">
        <v>135</v>
      </c>
      <c r="D1214" s="1989" t="s">
        <v>5671</v>
      </c>
      <c r="E1214" s="1989">
        <v>6.36</v>
      </c>
      <c r="F1214" s="38">
        <f t="shared" si="18"/>
        <v>517.20308639999996</v>
      </c>
      <c r="G1214" s="459"/>
    </row>
    <row r="1215" spans="1:7" outlineLevel="1" x14ac:dyDescent="0.2">
      <c r="A1215" s="17"/>
      <c r="B1215" s="75"/>
      <c r="C1215" s="1989" t="s">
        <v>245</v>
      </c>
      <c r="D1215" s="1989" t="s">
        <v>7650</v>
      </c>
      <c r="E1215" s="1989">
        <v>0.73</v>
      </c>
      <c r="F1215" s="38">
        <f t="shared" si="18"/>
        <v>59.364505200000004</v>
      </c>
      <c r="G1215" s="459"/>
    </row>
    <row r="1216" spans="1:7" outlineLevel="1" x14ac:dyDescent="0.2">
      <c r="A1216" s="17"/>
      <c r="B1216" s="75"/>
      <c r="C1216" s="1989" t="s">
        <v>327</v>
      </c>
      <c r="D1216" s="1989" t="s">
        <v>5672</v>
      </c>
      <c r="E1216" s="1989">
        <v>17.71</v>
      </c>
      <c r="F1216" s="38">
        <f t="shared" si="18"/>
        <v>1440.1991604</v>
      </c>
      <c r="G1216" s="459"/>
    </row>
    <row r="1217" spans="1:7" outlineLevel="1" x14ac:dyDescent="0.2">
      <c r="A1217" s="17"/>
      <c r="B1217" s="75"/>
      <c r="C1217" s="1989" t="s">
        <v>3963</v>
      </c>
      <c r="D1217" s="1989" t="s">
        <v>3964</v>
      </c>
      <c r="E1217" s="1989">
        <v>0</v>
      </c>
      <c r="F1217" s="38">
        <f t="shared" si="18"/>
        <v>0</v>
      </c>
      <c r="G1217" s="459"/>
    </row>
    <row r="1218" spans="1:7" outlineLevel="1" x14ac:dyDescent="0.2">
      <c r="A1218" s="17"/>
      <c r="B1218" s="75"/>
      <c r="C1218" s="1989" t="s">
        <v>328</v>
      </c>
      <c r="D1218" s="1989" t="s">
        <v>3965</v>
      </c>
      <c r="E1218" s="1989">
        <v>4.32</v>
      </c>
      <c r="F1218" s="38">
        <f t="shared" si="18"/>
        <v>351.30775680000005</v>
      </c>
      <c r="G1218" s="459"/>
    </row>
    <row r="1219" spans="1:7" outlineLevel="1" x14ac:dyDescent="0.2">
      <c r="A1219" s="17"/>
      <c r="B1219" s="75"/>
      <c r="C1219" s="1989" t="s">
        <v>329</v>
      </c>
      <c r="D1219" s="1989" t="s">
        <v>5673</v>
      </c>
      <c r="E1219" s="1989">
        <v>9.2899999999999991</v>
      </c>
      <c r="F1219" s="38">
        <f t="shared" si="18"/>
        <v>755.47431959999994</v>
      </c>
      <c r="G1219" s="459"/>
    </row>
    <row r="1220" spans="1:7" outlineLevel="1" x14ac:dyDescent="0.2">
      <c r="A1220" s="17"/>
      <c r="B1220" s="75"/>
      <c r="C1220" s="1989" t="s">
        <v>569</v>
      </c>
      <c r="D1220" s="1989" t="s">
        <v>3966</v>
      </c>
      <c r="E1220" s="1989">
        <v>40.700000000000003</v>
      </c>
      <c r="F1220" s="38">
        <f t="shared" si="18"/>
        <v>3309.7744680000005</v>
      </c>
      <c r="G1220" s="459"/>
    </row>
    <row r="1221" spans="1:7" outlineLevel="1" x14ac:dyDescent="0.2">
      <c r="A1221" s="17"/>
      <c r="B1221" s="75"/>
      <c r="C1221" s="1989" t="s">
        <v>138</v>
      </c>
      <c r="D1221" s="1989" t="s">
        <v>3967</v>
      </c>
      <c r="E1221" s="1989">
        <v>0.56999999999999995</v>
      </c>
      <c r="F1221" s="38">
        <f t="shared" si="18"/>
        <v>46.353106799999999</v>
      </c>
      <c r="G1221" s="459"/>
    </row>
    <row r="1222" spans="1:7" outlineLevel="1" x14ac:dyDescent="0.2">
      <c r="A1222" s="17"/>
      <c r="B1222" s="75"/>
      <c r="C1222" s="1989" t="s">
        <v>140</v>
      </c>
      <c r="D1222" s="1989" t="s">
        <v>7651</v>
      </c>
      <c r="E1222" s="1989">
        <v>2.57</v>
      </c>
      <c r="F1222" s="38">
        <f t="shared" si="18"/>
        <v>208.99558679999998</v>
      </c>
      <c r="G1222" s="459"/>
    </row>
    <row r="1223" spans="1:7" outlineLevel="1" x14ac:dyDescent="0.2">
      <c r="A1223" s="17"/>
      <c r="B1223" s="75"/>
      <c r="C1223" s="1989" t="s">
        <v>897</v>
      </c>
      <c r="D1223" s="1989" t="s">
        <v>5674</v>
      </c>
      <c r="E1223" s="1989">
        <v>1.1399999999999999</v>
      </c>
      <c r="F1223" s="38">
        <f t="shared" si="18"/>
        <v>92.706213599999998</v>
      </c>
      <c r="G1223" s="459"/>
    </row>
    <row r="1224" spans="1:7" outlineLevel="1" x14ac:dyDescent="0.2">
      <c r="A1224" s="17"/>
      <c r="B1224" s="75"/>
      <c r="C1224" s="1989" t="s">
        <v>898</v>
      </c>
      <c r="D1224" s="1989" t="s">
        <v>3968</v>
      </c>
      <c r="E1224" s="1989">
        <v>5.0599999999999996</v>
      </c>
      <c r="F1224" s="38">
        <f t="shared" si="18"/>
        <v>411.48547439999999</v>
      </c>
      <c r="G1224" s="459"/>
    </row>
    <row r="1225" spans="1:7" outlineLevel="1" x14ac:dyDescent="0.2">
      <c r="A1225" s="17"/>
      <c r="B1225" s="75"/>
      <c r="C1225" s="1989" t="s">
        <v>899</v>
      </c>
      <c r="D1225" s="1989" t="s">
        <v>3969</v>
      </c>
      <c r="E1225" s="1989">
        <v>15.92</v>
      </c>
      <c r="F1225" s="38">
        <f t="shared" si="18"/>
        <v>1294.6341408000001</v>
      </c>
      <c r="G1225" s="459"/>
    </row>
    <row r="1226" spans="1:7" outlineLevel="1" x14ac:dyDescent="0.2">
      <c r="A1226" s="17"/>
      <c r="B1226" s="75"/>
      <c r="C1226" s="1989" t="s">
        <v>1121</v>
      </c>
      <c r="D1226" s="1989" t="s">
        <v>3970</v>
      </c>
      <c r="E1226" s="1989">
        <v>1.57</v>
      </c>
      <c r="F1226" s="38">
        <f t="shared" si="18"/>
        <v>127.67434680000001</v>
      </c>
      <c r="G1226" s="459"/>
    </row>
    <row r="1227" spans="1:7" outlineLevel="1" x14ac:dyDescent="0.2">
      <c r="A1227" s="17"/>
      <c r="B1227" s="75"/>
      <c r="C1227" s="1989" t="s">
        <v>1571</v>
      </c>
      <c r="D1227" s="1989" t="s">
        <v>5675</v>
      </c>
      <c r="E1227" s="1989">
        <v>18.420000000000002</v>
      </c>
      <c r="F1227" s="38">
        <f t="shared" si="18"/>
        <v>1497.9372408000004</v>
      </c>
      <c r="G1227" s="459"/>
    </row>
    <row r="1228" spans="1:7" outlineLevel="1" x14ac:dyDescent="0.2">
      <c r="A1228" s="17"/>
      <c r="B1228" s="75"/>
      <c r="C1228" s="1989" t="s">
        <v>1586</v>
      </c>
      <c r="D1228" s="1989" t="s">
        <v>7652</v>
      </c>
      <c r="E1228" s="1989">
        <v>132.99</v>
      </c>
      <c r="F1228" s="38">
        <f t="shared" si="18"/>
        <v>10814.9117076</v>
      </c>
      <c r="G1228" s="459"/>
    </row>
    <row r="1229" spans="1:7" outlineLevel="1" x14ac:dyDescent="0.2">
      <c r="A1229" s="17"/>
      <c r="B1229" s="75"/>
      <c r="C1229" s="1989" t="s">
        <v>1589</v>
      </c>
      <c r="D1229" s="1989" t="s">
        <v>3971</v>
      </c>
      <c r="E1229" s="1989">
        <v>5.09</v>
      </c>
      <c r="F1229" s="38">
        <f t="shared" si="18"/>
        <v>413.92511159999998</v>
      </c>
      <c r="G1229" s="459"/>
    </row>
    <row r="1230" spans="1:7" outlineLevel="1" x14ac:dyDescent="0.2">
      <c r="A1230" s="17"/>
      <c r="B1230" s="75"/>
      <c r="C1230" s="1989" t="s">
        <v>1592</v>
      </c>
      <c r="D1230" s="1989" t="s">
        <v>3972</v>
      </c>
      <c r="E1230" s="1989">
        <v>3.45</v>
      </c>
      <c r="F1230" s="38">
        <f t="shared" si="18"/>
        <v>280.55827799999997</v>
      </c>
      <c r="G1230" s="459"/>
    </row>
    <row r="1231" spans="1:7" outlineLevel="1" x14ac:dyDescent="0.2">
      <c r="A1231" s="17"/>
      <c r="B1231" s="75"/>
      <c r="C1231" s="1989" t="s">
        <v>2207</v>
      </c>
      <c r="D1231" s="1989" t="s">
        <v>7653</v>
      </c>
      <c r="E1231" s="1989">
        <v>84.7</v>
      </c>
      <c r="F1231" s="38">
        <f t="shared" si="18"/>
        <v>6887.9090280000009</v>
      </c>
      <c r="G1231" s="459"/>
    </row>
    <row r="1232" spans="1:7" outlineLevel="1" x14ac:dyDescent="0.2">
      <c r="A1232" s="17"/>
      <c r="B1232" s="75"/>
      <c r="C1232" s="1989" t="s">
        <v>3292</v>
      </c>
      <c r="D1232" s="1989" t="s">
        <v>5676</v>
      </c>
      <c r="E1232" s="1989">
        <v>39.909999999999997</v>
      </c>
      <c r="F1232" s="38">
        <f t="shared" si="18"/>
        <v>3245.5306884000001</v>
      </c>
      <c r="G1232" s="459"/>
    </row>
    <row r="1233" spans="1:7" outlineLevel="1" x14ac:dyDescent="0.2">
      <c r="A1233" s="17"/>
      <c r="B1233" s="75"/>
      <c r="C1233" s="1989" t="s">
        <v>814</v>
      </c>
      <c r="D1233" s="1989" t="s">
        <v>5677</v>
      </c>
      <c r="E1233" s="1989">
        <v>0.73</v>
      </c>
      <c r="F1233" s="38">
        <f t="shared" si="18"/>
        <v>59.364505200000004</v>
      </c>
      <c r="G1233" s="459"/>
    </row>
    <row r="1234" spans="1:7" outlineLevel="1" x14ac:dyDescent="0.2">
      <c r="A1234" s="17"/>
      <c r="B1234" s="75"/>
      <c r="C1234" s="1989" t="s">
        <v>815</v>
      </c>
      <c r="D1234" s="1989" t="s">
        <v>5678</v>
      </c>
      <c r="E1234" s="1989">
        <v>1.1000000000000001</v>
      </c>
      <c r="F1234" s="38">
        <f t="shared" si="18"/>
        <v>89.453364000000008</v>
      </c>
      <c r="G1234" s="459"/>
    </row>
    <row r="1235" spans="1:7" outlineLevel="1" x14ac:dyDescent="0.2">
      <c r="A1235" s="17"/>
      <c r="B1235" s="75"/>
      <c r="C1235" s="1989" t="s">
        <v>546</v>
      </c>
      <c r="D1235" s="1989" t="s">
        <v>2414</v>
      </c>
      <c r="E1235" s="1989">
        <v>1.1000000000000001</v>
      </c>
      <c r="F1235" s="38">
        <f t="shared" si="18"/>
        <v>89.453364000000008</v>
      </c>
      <c r="G1235" s="459"/>
    </row>
    <row r="1236" spans="1:7" outlineLevel="1" x14ac:dyDescent="0.2">
      <c r="A1236" s="17"/>
      <c r="B1236" s="75"/>
      <c r="C1236" s="1989" t="s">
        <v>829</v>
      </c>
      <c r="D1236" s="1989" t="s">
        <v>5679</v>
      </c>
      <c r="E1236" s="1989">
        <v>1.29</v>
      </c>
      <c r="F1236" s="38">
        <f t="shared" si="18"/>
        <v>104.9043996</v>
      </c>
      <c r="G1236" s="459"/>
    </row>
    <row r="1237" spans="1:7" outlineLevel="1" x14ac:dyDescent="0.2">
      <c r="A1237" s="17"/>
      <c r="B1237" s="75"/>
      <c r="C1237" s="1989" t="s">
        <v>470</v>
      </c>
      <c r="D1237" s="1989" t="s">
        <v>7654</v>
      </c>
      <c r="E1237" s="1989">
        <v>18.43</v>
      </c>
      <c r="F1237" s="38">
        <f t="shared" si="18"/>
        <v>1498.7504532</v>
      </c>
      <c r="G1237" s="459"/>
    </row>
    <row r="1238" spans="1:7" outlineLevel="1" x14ac:dyDescent="0.2">
      <c r="A1238" s="17"/>
      <c r="B1238" s="75"/>
      <c r="C1238" s="1989" t="s">
        <v>1625</v>
      </c>
      <c r="D1238" s="1989" t="s">
        <v>7655</v>
      </c>
      <c r="E1238" s="1989">
        <v>2.83</v>
      </c>
      <c r="F1238" s="38">
        <f t="shared" si="18"/>
        <v>230.13910920000001</v>
      </c>
      <c r="G1238" s="459"/>
    </row>
    <row r="1239" spans="1:7" outlineLevel="1" x14ac:dyDescent="0.2">
      <c r="A1239" s="17"/>
      <c r="B1239" s="75"/>
      <c r="C1239" s="1989" t="s">
        <v>1217</v>
      </c>
      <c r="D1239" s="1989" t="s">
        <v>7656</v>
      </c>
      <c r="E1239" s="1989">
        <v>2.83</v>
      </c>
      <c r="F1239" s="38">
        <f t="shared" si="18"/>
        <v>230.13910920000001</v>
      </c>
      <c r="G1239" s="459"/>
    </row>
    <row r="1240" spans="1:7" outlineLevel="1" x14ac:dyDescent="0.2">
      <c r="A1240" s="17"/>
      <c r="B1240" s="75"/>
      <c r="C1240" s="1989" t="s">
        <v>3973</v>
      </c>
      <c r="D1240" s="1989" t="s">
        <v>7657</v>
      </c>
      <c r="E1240" s="1989">
        <v>0</v>
      </c>
      <c r="F1240" s="38">
        <f t="shared" si="18"/>
        <v>0</v>
      </c>
      <c r="G1240" s="459"/>
    </row>
    <row r="1241" spans="1:7" outlineLevel="1" x14ac:dyDescent="0.2">
      <c r="A1241" s="17"/>
      <c r="B1241" s="75"/>
      <c r="C1241" s="1989" t="s">
        <v>890</v>
      </c>
      <c r="D1241" s="1989" t="s">
        <v>7658</v>
      </c>
      <c r="E1241" s="1989">
        <v>43.19</v>
      </c>
      <c r="F1241" s="38">
        <f t="shared" si="18"/>
        <v>3512.2643555999998</v>
      </c>
      <c r="G1241" s="459"/>
    </row>
    <row r="1242" spans="1:7" outlineLevel="1" x14ac:dyDescent="0.2">
      <c r="A1242" s="17"/>
      <c r="B1242" s="75"/>
      <c r="C1242" s="1989" t="s">
        <v>3974</v>
      </c>
      <c r="D1242" s="1989" t="s">
        <v>7659</v>
      </c>
      <c r="E1242" s="1989">
        <v>0</v>
      </c>
      <c r="F1242" s="38">
        <f t="shared" si="18"/>
        <v>0</v>
      </c>
      <c r="G1242" s="459"/>
    </row>
    <row r="1243" spans="1:7" outlineLevel="1" x14ac:dyDescent="0.2">
      <c r="A1243" s="17"/>
      <c r="B1243" s="75"/>
      <c r="C1243" s="1989" t="s">
        <v>4549</v>
      </c>
      <c r="D1243" s="1989" t="s">
        <v>7660</v>
      </c>
      <c r="E1243" s="1989">
        <v>80.709999999999994</v>
      </c>
      <c r="F1243" s="38">
        <f t="shared" si="18"/>
        <v>6563.4372803999995</v>
      </c>
      <c r="G1243" s="459"/>
    </row>
    <row r="1244" spans="1:7" outlineLevel="1" x14ac:dyDescent="0.2">
      <c r="A1244" s="17"/>
      <c r="B1244" s="75"/>
      <c r="C1244" s="1989" t="s">
        <v>1319</v>
      </c>
      <c r="D1244" s="1989" t="s">
        <v>7661</v>
      </c>
      <c r="E1244" s="1989">
        <v>37.520000000000003</v>
      </c>
      <c r="F1244" s="38">
        <f t="shared" si="18"/>
        <v>3051.1729248000001</v>
      </c>
      <c r="G1244" s="459"/>
    </row>
    <row r="1245" spans="1:7" outlineLevel="1" x14ac:dyDescent="0.2">
      <c r="A1245" s="17"/>
      <c r="B1245" s="75"/>
      <c r="C1245" s="1989" t="s">
        <v>3975</v>
      </c>
      <c r="D1245" s="1989" t="s">
        <v>7662</v>
      </c>
      <c r="E1245" s="1989">
        <v>73.05</v>
      </c>
      <c r="F1245" s="38">
        <f t="shared" si="18"/>
        <v>5940.5165820000002</v>
      </c>
      <c r="G1245" s="459"/>
    </row>
    <row r="1246" spans="1:7" outlineLevel="1" x14ac:dyDescent="0.2">
      <c r="A1246" s="17"/>
      <c r="B1246" s="75"/>
      <c r="C1246" s="1989" t="s">
        <v>1326</v>
      </c>
      <c r="D1246" s="1989" t="s">
        <v>5680</v>
      </c>
      <c r="E1246" s="1989">
        <v>66.53</v>
      </c>
      <c r="F1246" s="38">
        <f t="shared" si="18"/>
        <v>5410.3020972000004</v>
      </c>
      <c r="G1246" s="459"/>
    </row>
    <row r="1247" spans="1:7" outlineLevel="1" x14ac:dyDescent="0.2">
      <c r="A1247" s="17"/>
      <c r="B1247" s="75"/>
      <c r="C1247" s="1989" t="s">
        <v>1327</v>
      </c>
      <c r="D1247" s="1989" t="s">
        <v>5681</v>
      </c>
      <c r="E1247" s="1989">
        <v>74.930000000000007</v>
      </c>
      <c r="F1247" s="38">
        <f t="shared" ref="F1247:F1310" si="19">E1247*$G$4*$J$4</f>
        <v>6093.4005132000011</v>
      </c>
      <c r="G1247" s="459"/>
    </row>
    <row r="1248" spans="1:7" outlineLevel="1" x14ac:dyDescent="0.2">
      <c r="A1248" s="17"/>
      <c r="B1248" s="75"/>
      <c r="C1248" s="1989" t="s">
        <v>1384</v>
      </c>
      <c r="D1248" s="1989" t="s">
        <v>5682</v>
      </c>
      <c r="E1248" s="1989">
        <v>55.29</v>
      </c>
      <c r="F1248" s="38">
        <f t="shared" si="19"/>
        <v>4496.2513595999999</v>
      </c>
      <c r="G1248" s="459"/>
    </row>
    <row r="1249" spans="1:7" outlineLevel="1" x14ac:dyDescent="0.2">
      <c r="A1249" s="17"/>
      <c r="B1249" s="75"/>
      <c r="C1249" s="1989" t="s">
        <v>3976</v>
      </c>
      <c r="D1249" s="1989" t="s">
        <v>3977</v>
      </c>
      <c r="E1249" s="1989">
        <v>20.72</v>
      </c>
      <c r="F1249" s="38">
        <f t="shared" si="19"/>
        <v>1684.9760927999998</v>
      </c>
      <c r="G1249" s="459"/>
    </row>
    <row r="1250" spans="1:7" outlineLevel="1" x14ac:dyDescent="0.2">
      <c r="A1250" s="17"/>
      <c r="B1250" s="75"/>
      <c r="C1250" s="1989" t="s">
        <v>2453</v>
      </c>
      <c r="D1250" s="1989" t="s">
        <v>5683</v>
      </c>
      <c r="E1250" s="1989">
        <v>117.09</v>
      </c>
      <c r="F1250" s="38">
        <f t="shared" si="19"/>
        <v>9521.903991600002</v>
      </c>
      <c r="G1250" s="459"/>
    </row>
    <row r="1251" spans="1:7" outlineLevel="1" x14ac:dyDescent="0.2">
      <c r="A1251" s="17"/>
      <c r="B1251" s="75"/>
      <c r="C1251" s="1989" t="s">
        <v>1284</v>
      </c>
      <c r="D1251" s="1989" t="s">
        <v>3293</v>
      </c>
      <c r="E1251" s="1989">
        <v>16.39</v>
      </c>
      <c r="F1251" s="38">
        <f t="shared" si="19"/>
        <v>1332.8551236000001</v>
      </c>
      <c r="G1251" s="459"/>
    </row>
    <row r="1252" spans="1:7" outlineLevel="1" x14ac:dyDescent="0.2">
      <c r="A1252" s="17"/>
      <c r="B1252" s="75"/>
      <c r="C1252" s="1989" t="s">
        <v>500</v>
      </c>
      <c r="D1252" s="1989" t="s">
        <v>7663</v>
      </c>
      <c r="E1252" s="1989">
        <v>40.89</v>
      </c>
      <c r="F1252" s="38">
        <f t="shared" si="19"/>
        <v>3325.2255036000001</v>
      </c>
      <c r="G1252" s="459"/>
    </row>
    <row r="1253" spans="1:7" outlineLevel="1" x14ac:dyDescent="0.2">
      <c r="A1253" s="17"/>
      <c r="B1253" s="75"/>
      <c r="C1253" s="1989" t="s">
        <v>2978</v>
      </c>
      <c r="D1253" s="1989" t="s">
        <v>7664</v>
      </c>
      <c r="E1253" s="1989">
        <v>75.78</v>
      </c>
      <c r="F1253" s="38">
        <f t="shared" si="19"/>
        <v>6162.5235671999999</v>
      </c>
      <c r="G1253" s="459"/>
    </row>
    <row r="1254" spans="1:7" outlineLevel="1" x14ac:dyDescent="0.2">
      <c r="A1254" s="17"/>
      <c r="B1254" s="75"/>
      <c r="C1254" s="1989" t="s">
        <v>501</v>
      </c>
      <c r="D1254" s="1989" t="s">
        <v>3294</v>
      </c>
      <c r="E1254" s="1989">
        <v>25.83</v>
      </c>
      <c r="F1254" s="38">
        <f t="shared" si="19"/>
        <v>2100.5276291999999</v>
      </c>
      <c r="G1254" s="459"/>
    </row>
    <row r="1255" spans="1:7" outlineLevel="1" x14ac:dyDescent="0.2">
      <c r="A1255" s="17"/>
      <c r="B1255" s="75"/>
      <c r="C1255" s="1989" t="s">
        <v>1269</v>
      </c>
      <c r="D1255" s="1989" t="s">
        <v>1045</v>
      </c>
      <c r="E1255" s="1989">
        <v>6.96</v>
      </c>
      <c r="F1255" s="38">
        <f t="shared" si="19"/>
        <v>565.99583040000005</v>
      </c>
      <c r="G1255" s="459"/>
    </row>
    <row r="1256" spans="1:7" outlineLevel="1" x14ac:dyDescent="0.2">
      <c r="A1256" s="17"/>
      <c r="B1256" s="75"/>
      <c r="C1256" s="1989" t="s">
        <v>1270</v>
      </c>
      <c r="D1256" s="1989" t="s">
        <v>1047</v>
      </c>
      <c r="E1256" s="1989">
        <v>10.02</v>
      </c>
      <c r="F1256" s="38">
        <f t="shared" si="19"/>
        <v>814.8388248</v>
      </c>
      <c r="G1256" s="459"/>
    </row>
    <row r="1257" spans="1:7" outlineLevel="1" x14ac:dyDescent="0.2">
      <c r="A1257" s="17"/>
      <c r="B1257" s="75"/>
      <c r="C1257" s="1989" t="s">
        <v>1271</v>
      </c>
      <c r="D1257" s="1989" t="s">
        <v>130</v>
      </c>
      <c r="E1257" s="1989">
        <v>14.69</v>
      </c>
      <c r="F1257" s="38">
        <f t="shared" si="19"/>
        <v>1194.6090156</v>
      </c>
      <c r="G1257" s="459"/>
    </row>
    <row r="1258" spans="1:7" outlineLevel="1" x14ac:dyDescent="0.2">
      <c r="A1258" s="17"/>
      <c r="B1258" s="75"/>
      <c r="C1258" s="1989" t="s">
        <v>1272</v>
      </c>
      <c r="D1258" s="1989" t="s">
        <v>1046</v>
      </c>
      <c r="E1258" s="1989">
        <v>10.11</v>
      </c>
      <c r="F1258" s="38">
        <f t="shared" si="19"/>
        <v>822.15773640000009</v>
      </c>
      <c r="G1258" s="459"/>
    </row>
    <row r="1259" spans="1:7" outlineLevel="1" x14ac:dyDescent="0.2">
      <c r="A1259" s="17"/>
      <c r="B1259" s="75"/>
      <c r="C1259" s="1989" t="s">
        <v>1552</v>
      </c>
      <c r="D1259" s="1989" t="s">
        <v>5684</v>
      </c>
      <c r="E1259" s="1989">
        <v>43.53</v>
      </c>
      <c r="F1259" s="38">
        <f t="shared" si="19"/>
        <v>3539.9135772</v>
      </c>
      <c r="G1259" s="459"/>
    </row>
    <row r="1260" spans="1:7" outlineLevel="1" x14ac:dyDescent="0.2">
      <c r="A1260" s="17"/>
      <c r="B1260" s="75"/>
      <c r="C1260" s="1989" t="s">
        <v>936</v>
      </c>
      <c r="D1260" s="1989" t="s">
        <v>1048</v>
      </c>
      <c r="E1260" s="1989">
        <v>3.52</v>
      </c>
      <c r="F1260" s="38">
        <f t="shared" si="19"/>
        <v>286.25076480000001</v>
      </c>
      <c r="G1260" s="459"/>
    </row>
    <row r="1261" spans="1:7" outlineLevel="1" x14ac:dyDescent="0.2">
      <c r="A1261" s="17"/>
      <c r="B1261" s="75"/>
      <c r="C1261" s="1989" t="s">
        <v>748</v>
      </c>
      <c r="D1261" s="1989" t="s">
        <v>749</v>
      </c>
      <c r="E1261" s="1989">
        <v>3.56</v>
      </c>
      <c r="F1261" s="38">
        <f t="shared" si="19"/>
        <v>289.50361440000006</v>
      </c>
      <c r="G1261" s="459"/>
    </row>
    <row r="1262" spans="1:7" outlineLevel="1" x14ac:dyDescent="0.2">
      <c r="A1262" s="17"/>
      <c r="B1262" s="75"/>
      <c r="C1262" s="1989" t="s">
        <v>937</v>
      </c>
      <c r="D1262" s="1989" t="s">
        <v>478</v>
      </c>
      <c r="E1262" s="1989">
        <v>0.52</v>
      </c>
      <c r="F1262" s="38">
        <f t="shared" si="19"/>
        <v>42.287044800000004</v>
      </c>
      <c r="G1262" s="459"/>
    </row>
    <row r="1263" spans="1:7" outlineLevel="1" x14ac:dyDescent="0.2">
      <c r="A1263" s="17"/>
      <c r="B1263" s="75"/>
      <c r="C1263" s="1989" t="s">
        <v>944</v>
      </c>
      <c r="D1263" s="1989" t="s">
        <v>3295</v>
      </c>
      <c r="E1263" s="1989">
        <v>28.4</v>
      </c>
      <c r="F1263" s="38">
        <f t="shared" si="19"/>
        <v>2309.523216</v>
      </c>
      <c r="G1263" s="459"/>
    </row>
    <row r="1264" spans="1:7" outlineLevel="1" x14ac:dyDescent="0.2">
      <c r="A1264" s="17"/>
      <c r="B1264" s="75"/>
      <c r="C1264" s="1989" t="s">
        <v>945</v>
      </c>
      <c r="D1264" s="1989" t="s">
        <v>3296</v>
      </c>
      <c r="E1264" s="1989">
        <v>29.3</v>
      </c>
      <c r="F1264" s="38">
        <f t="shared" si="19"/>
        <v>2382.7123320000001</v>
      </c>
      <c r="G1264" s="459"/>
    </row>
    <row r="1265" spans="1:7" outlineLevel="1" x14ac:dyDescent="0.2">
      <c r="A1265" s="17"/>
      <c r="B1265" s="75"/>
      <c r="C1265" s="1989" t="s">
        <v>4550</v>
      </c>
      <c r="D1265" s="1989" t="s">
        <v>4551</v>
      </c>
      <c r="E1265" s="1989">
        <v>0</v>
      </c>
      <c r="F1265" s="38">
        <f t="shared" si="19"/>
        <v>0</v>
      </c>
      <c r="G1265" s="459"/>
    </row>
    <row r="1266" spans="1:7" outlineLevel="1" x14ac:dyDescent="0.2">
      <c r="A1266" s="17"/>
      <c r="B1266" s="75"/>
      <c r="C1266" s="1989" t="s">
        <v>1579</v>
      </c>
      <c r="D1266" s="1989" t="s">
        <v>5685</v>
      </c>
      <c r="E1266" s="1989">
        <v>38.619999999999997</v>
      </c>
      <c r="F1266" s="38">
        <f t="shared" si="19"/>
        <v>3140.6262887999997</v>
      </c>
      <c r="G1266" s="459"/>
    </row>
    <row r="1267" spans="1:7" outlineLevel="1" x14ac:dyDescent="0.2">
      <c r="A1267" s="17"/>
      <c r="B1267" s="75"/>
      <c r="C1267" s="1989" t="s">
        <v>2184</v>
      </c>
      <c r="D1267" s="1989" t="s">
        <v>5686</v>
      </c>
      <c r="E1267" s="1989">
        <v>12.7</v>
      </c>
      <c r="F1267" s="38">
        <f t="shared" si="19"/>
        <v>1032.7797479999999</v>
      </c>
      <c r="G1267" s="459"/>
    </row>
    <row r="1268" spans="1:7" outlineLevel="1" x14ac:dyDescent="0.2">
      <c r="A1268" s="17"/>
      <c r="B1268" s="75"/>
      <c r="C1268" s="1989" t="s">
        <v>2185</v>
      </c>
      <c r="D1268" s="1989" t="s">
        <v>672</v>
      </c>
      <c r="E1268" s="1989">
        <v>11.45</v>
      </c>
      <c r="F1268" s="38">
        <f t="shared" si="19"/>
        <v>931.128198</v>
      </c>
      <c r="G1268" s="459"/>
    </row>
    <row r="1269" spans="1:7" outlineLevel="1" x14ac:dyDescent="0.2">
      <c r="A1269" s="17"/>
      <c r="B1269" s="75"/>
      <c r="C1269" s="1989" t="s">
        <v>2483</v>
      </c>
      <c r="D1269" s="1989" t="s">
        <v>7665</v>
      </c>
      <c r="E1269" s="1989">
        <v>3.74</v>
      </c>
      <c r="F1269" s="38">
        <f t="shared" si="19"/>
        <v>304.14143760000007</v>
      </c>
      <c r="G1269" s="459"/>
    </row>
    <row r="1270" spans="1:7" outlineLevel="1" x14ac:dyDescent="0.2">
      <c r="A1270" s="17"/>
      <c r="B1270" s="75"/>
      <c r="C1270" s="1989" t="s">
        <v>3297</v>
      </c>
      <c r="D1270" s="1989" t="s">
        <v>7666</v>
      </c>
      <c r="E1270" s="1989">
        <v>5.36</v>
      </c>
      <c r="F1270" s="38">
        <f t="shared" si="19"/>
        <v>435.88184640000009</v>
      </c>
      <c r="G1270" s="459"/>
    </row>
    <row r="1271" spans="1:7" outlineLevel="1" x14ac:dyDescent="0.2">
      <c r="A1271" s="17"/>
      <c r="B1271" s="75"/>
      <c r="C1271" s="1989" t="s">
        <v>2484</v>
      </c>
      <c r="D1271" s="1989" t="s">
        <v>7667</v>
      </c>
      <c r="E1271" s="1989">
        <v>8.43</v>
      </c>
      <c r="F1271" s="38">
        <f t="shared" si="19"/>
        <v>685.53805320000004</v>
      </c>
      <c r="G1271" s="459"/>
    </row>
    <row r="1272" spans="1:7" outlineLevel="1" x14ac:dyDescent="0.2">
      <c r="A1272" s="17"/>
      <c r="B1272" s="75"/>
      <c r="C1272" s="1989" t="s">
        <v>551</v>
      </c>
      <c r="D1272" s="1989" t="s">
        <v>7668</v>
      </c>
      <c r="E1272" s="1989">
        <v>1.31</v>
      </c>
      <c r="F1272" s="38">
        <f t="shared" si="19"/>
        <v>106.53082440000001</v>
      </c>
      <c r="G1272" s="459"/>
    </row>
    <row r="1273" spans="1:7" outlineLevel="1" x14ac:dyDescent="0.2">
      <c r="A1273" s="17"/>
      <c r="B1273" s="75"/>
      <c r="C1273" s="1989" t="s">
        <v>552</v>
      </c>
      <c r="D1273" s="1989" t="s">
        <v>5687</v>
      </c>
      <c r="E1273" s="1989">
        <v>1.97</v>
      </c>
      <c r="F1273" s="38">
        <f t="shared" si="19"/>
        <v>160.20284280000001</v>
      </c>
      <c r="G1273" s="459"/>
    </row>
    <row r="1274" spans="1:7" outlineLevel="1" x14ac:dyDescent="0.2">
      <c r="A1274" s="17"/>
      <c r="B1274" s="75"/>
      <c r="C1274" s="1989" t="s">
        <v>2145</v>
      </c>
      <c r="D1274" s="1989" t="s">
        <v>7669</v>
      </c>
      <c r="E1274" s="1989">
        <v>15.45</v>
      </c>
      <c r="F1274" s="38">
        <f t="shared" si="19"/>
        <v>1256.4131580000001</v>
      </c>
      <c r="G1274" s="459"/>
    </row>
    <row r="1275" spans="1:7" outlineLevel="1" x14ac:dyDescent="0.2">
      <c r="A1275" s="17"/>
      <c r="B1275" s="75"/>
      <c r="C1275" s="1989" t="s">
        <v>23</v>
      </c>
      <c r="D1275" s="1989" t="s">
        <v>7670</v>
      </c>
      <c r="E1275" s="1989">
        <v>15.98</v>
      </c>
      <c r="F1275" s="38">
        <f t="shared" si="19"/>
        <v>1299.5134152000001</v>
      </c>
      <c r="G1275" s="459"/>
    </row>
    <row r="1276" spans="1:7" outlineLevel="1" x14ac:dyDescent="0.2">
      <c r="A1276" s="17"/>
      <c r="B1276" s="75"/>
      <c r="C1276" s="1989" t="s">
        <v>2146</v>
      </c>
      <c r="D1276" s="1989" t="s">
        <v>7671</v>
      </c>
      <c r="E1276" s="1989">
        <v>0.76</v>
      </c>
      <c r="F1276" s="38">
        <f t="shared" si="19"/>
        <v>61.804142399999996</v>
      </c>
      <c r="G1276" s="459"/>
    </row>
    <row r="1277" spans="1:7" outlineLevel="1" x14ac:dyDescent="0.2">
      <c r="A1277" s="17"/>
      <c r="B1277" s="75"/>
      <c r="C1277" s="1989" t="s">
        <v>2489</v>
      </c>
      <c r="D1277" s="1989" t="s">
        <v>7672</v>
      </c>
      <c r="E1277" s="1989">
        <v>0</v>
      </c>
      <c r="F1277" s="38">
        <f t="shared" si="19"/>
        <v>0</v>
      </c>
      <c r="G1277" s="459"/>
    </row>
    <row r="1278" spans="1:7" outlineLevel="1" x14ac:dyDescent="0.2">
      <c r="A1278" s="17"/>
      <c r="B1278" s="75"/>
      <c r="C1278" s="1989" t="s">
        <v>3978</v>
      </c>
      <c r="D1278" s="1989" t="s">
        <v>3979</v>
      </c>
      <c r="E1278" s="1989">
        <v>30.3</v>
      </c>
      <c r="F1278" s="38">
        <f t="shared" si="19"/>
        <v>2464.0335720000003</v>
      </c>
      <c r="G1278" s="459"/>
    </row>
    <row r="1279" spans="1:7" outlineLevel="1" x14ac:dyDescent="0.2">
      <c r="A1279" s="17"/>
      <c r="B1279" s="75"/>
      <c r="C1279" s="1989" t="s">
        <v>1198</v>
      </c>
      <c r="D1279" s="1989" t="s">
        <v>7673</v>
      </c>
      <c r="E1279" s="1989">
        <v>16.170000000000002</v>
      </c>
      <c r="F1279" s="38">
        <f t="shared" si="19"/>
        <v>1314.9644508000001</v>
      </c>
      <c r="G1279" s="459"/>
    </row>
    <row r="1280" spans="1:7" outlineLevel="1" x14ac:dyDescent="0.2">
      <c r="A1280" s="17"/>
      <c r="B1280" s="75"/>
      <c r="C1280" s="1989" t="s">
        <v>115</v>
      </c>
      <c r="D1280" s="1989" t="s">
        <v>7674</v>
      </c>
      <c r="E1280" s="1989">
        <v>24.04</v>
      </c>
      <c r="F1280" s="38">
        <f t="shared" si="19"/>
        <v>1954.9626096000002</v>
      </c>
      <c r="G1280" s="459"/>
    </row>
    <row r="1281" spans="1:7" outlineLevel="1" x14ac:dyDescent="0.2">
      <c r="A1281" s="17"/>
      <c r="B1281" s="75"/>
      <c r="C1281" s="1989" t="s">
        <v>1200</v>
      </c>
      <c r="D1281" s="1989" t="s">
        <v>7675</v>
      </c>
      <c r="E1281" s="1989">
        <v>20.78</v>
      </c>
      <c r="F1281" s="38">
        <f t="shared" si="19"/>
        <v>1689.8553672</v>
      </c>
      <c r="G1281" s="459"/>
    </row>
    <row r="1282" spans="1:7" outlineLevel="1" x14ac:dyDescent="0.2">
      <c r="A1282" s="17"/>
      <c r="B1282" s="75"/>
      <c r="C1282" s="1989" t="s">
        <v>1202</v>
      </c>
      <c r="D1282" s="1989" t="s">
        <v>7676</v>
      </c>
      <c r="E1282" s="1989">
        <v>24.17</v>
      </c>
      <c r="F1282" s="38">
        <f t="shared" si="19"/>
        <v>1965.5343708000003</v>
      </c>
      <c r="G1282" s="459"/>
    </row>
    <row r="1283" spans="1:7" outlineLevel="1" x14ac:dyDescent="0.2">
      <c r="A1283" s="17"/>
      <c r="B1283" s="75"/>
      <c r="C1283" s="1989" t="s">
        <v>1209</v>
      </c>
      <c r="D1283" s="1989" t="s">
        <v>5688</v>
      </c>
      <c r="E1283" s="1989">
        <v>41.71</v>
      </c>
      <c r="F1283" s="38">
        <f t="shared" si="19"/>
        <v>3391.9089204000002</v>
      </c>
      <c r="G1283" s="459"/>
    </row>
    <row r="1284" spans="1:7" outlineLevel="1" x14ac:dyDescent="0.2">
      <c r="A1284" s="17"/>
      <c r="B1284" s="75"/>
      <c r="C1284" s="1989" t="s">
        <v>4552</v>
      </c>
      <c r="D1284" s="1989" t="s">
        <v>5689</v>
      </c>
      <c r="E1284" s="1989">
        <v>55.71</v>
      </c>
      <c r="F1284" s="38">
        <f t="shared" si="19"/>
        <v>4530.4062804000005</v>
      </c>
      <c r="G1284" s="459"/>
    </row>
    <row r="1285" spans="1:7" outlineLevel="1" x14ac:dyDescent="0.2">
      <c r="A1285" s="17"/>
      <c r="B1285" s="75"/>
      <c r="C1285" s="1989" t="s">
        <v>1190</v>
      </c>
      <c r="D1285" s="1989" t="s">
        <v>7677</v>
      </c>
      <c r="E1285" s="1989">
        <v>43.96</v>
      </c>
      <c r="F1285" s="38">
        <f t="shared" si="19"/>
        <v>3574.8817104000004</v>
      </c>
      <c r="G1285" s="459"/>
    </row>
    <row r="1286" spans="1:7" outlineLevel="1" x14ac:dyDescent="0.2">
      <c r="A1286" s="17"/>
      <c r="B1286" s="75"/>
      <c r="C1286" s="1989" t="s">
        <v>1191</v>
      </c>
      <c r="D1286" s="1989" t="s">
        <v>7678</v>
      </c>
      <c r="E1286" s="1989">
        <v>37.229999999999997</v>
      </c>
      <c r="F1286" s="38">
        <f t="shared" si="19"/>
        <v>3027.5897651999999</v>
      </c>
      <c r="G1286" s="459"/>
    </row>
    <row r="1287" spans="1:7" outlineLevel="1" x14ac:dyDescent="0.2">
      <c r="A1287" s="17"/>
      <c r="B1287" s="75"/>
      <c r="C1287" s="1989" t="s">
        <v>1207</v>
      </c>
      <c r="D1287" s="1989" t="s">
        <v>3298</v>
      </c>
      <c r="E1287" s="1989">
        <v>23.08</v>
      </c>
      <c r="F1287" s="38">
        <f t="shared" si="19"/>
        <v>1876.8942192</v>
      </c>
      <c r="G1287" s="459"/>
    </row>
    <row r="1288" spans="1:7" outlineLevel="1" x14ac:dyDescent="0.2">
      <c r="A1288" s="17"/>
      <c r="B1288" s="75"/>
      <c r="C1288" s="1989" t="s">
        <v>667</v>
      </c>
      <c r="D1288" s="1989" t="s">
        <v>5690</v>
      </c>
      <c r="E1288" s="1989">
        <v>34.619999999999997</v>
      </c>
      <c r="F1288" s="38">
        <f t="shared" si="19"/>
        <v>2815.3413288000002</v>
      </c>
      <c r="G1288" s="459"/>
    </row>
    <row r="1289" spans="1:7" outlineLevel="1" x14ac:dyDescent="0.2">
      <c r="A1289" s="17"/>
      <c r="B1289" s="75"/>
      <c r="C1289" s="1989" t="s">
        <v>664</v>
      </c>
      <c r="D1289" s="1989" t="s">
        <v>5691</v>
      </c>
      <c r="E1289" s="1989">
        <v>28.46</v>
      </c>
      <c r="F1289" s="38">
        <f t="shared" si="19"/>
        <v>2314.4024904000003</v>
      </c>
      <c r="G1289" s="459"/>
    </row>
    <row r="1290" spans="1:7" outlineLevel="1" x14ac:dyDescent="0.2">
      <c r="A1290" s="17"/>
      <c r="B1290" s="75"/>
      <c r="C1290" s="1989" t="s">
        <v>662</v>
      </c>
      <c r="D1290" s="1989" t="s">
        <v>7679</v>
      </c>
      <c r="E1290" s="1989">
        <v>48.99</v>
      </c>
      <c r="F1290" s="38">
        <f t="shared" si="19"/>
        <v>3983.9275476000003</v>
      </c>
      <c r="G1290" s="459"/>
    </row>
    <row r="1291" spans="1:7" outlineLevel="1" x14ac:dyDescent="0.2">
      <c r="A1291" s="17"/>
      <c r="B1291" s="75"/>
      <c r="C1291" s="1989" t="s">
        <v>665</v>
      </c>
      <c r="D1291" s="1989" t="s">
        <v>5692</v>
      </c>
      <c r="E1291" s="1989">
        <v>42.76</v>
      </c>
      <c r="F1291" s="38">
        <f t="shared" si="19"/>
        <v>3477.2962224000003</v>
      </c>
      <c r="G1291" s="459"/>
    </row>
    <row r="1292" spans="1:7" outlineLevel="1" x14ac:dyDescent="0.2">
      <c r="A1292" s="17"/>
      <c r="B1292" s="75"/>
      <c r="C1292" s="1989" t="s">
        <v>683</v>
      </c>
      <c r="D1292" s="1989" t="s">
        <v>7680</v>
      </c>
      <c r="E1292" s="1989">
        <v>50.04</v>
      </c>
      <c r="F1292" s="38">
        <f t="shared" si="19"/>
        <v>4069.3148495999999</v>
      </c>
      <c r="G1292" s="459"/>
    </row>
    <row r="1293" spans="1:7" outlineLevel="1" x14ac:dyDescent="0.2">
      <c r="A1293" s="17"/>
      <c r="B1293" s="75"/>
      <c r="C1293" s="1989" t="s">
        <v>666</v>
      </c>
      <c r="D1293" s="1989" t="s">
        <v>5693</v>
      </c>
      <c r="E1293" s="1989">
        <v>58.24</v>
      </c>
      <c r="F1293" s="38">
        <f t="shared" si="19"/>
        <v>4736.1490176000007</v>
      </c>
      <c r="G1293" s="459"/>
    </row>
    <row r="1294" spans="1:7" outlineLevel="1" x14ac:dyDescent="0.2">
      <c r="A1294" s="17"/>
      <c r="B1294" s="75"/>
      <c r="C1294" s="1989" t="s">
        <v>668</v>
      </c>
      <c r="D1294" s="1989" t="s">
        <v>7681</v>
      </c>
      <c r="E1294" s="1989">
        <v>25.75</v>
      </c>
      <c r="F1294" s="38">
        <f t="shared" si="19"/>
        <v>2094.0219299999999</v>
      </c>
      <c r="G1294" s="459"/>
    </row>
    <row r="1295" spans="1:7" outlineLevel="1" x14ac:dyDescent="0.2">
      <c r="A1295" s="17"/>
      <c r="B1295" s="75"/>
      <c r="C1295" s="1989" t="s">
        <v>1739</v>
      </c>
      <c r="D1295" s="1989" t="s">
        <v>7682</v>
      </c>
      <c r="E1295" s="1989">
        <v>27.99</v>
      </c>
      <c r="F1295" s="38">
        <f t="shared" si="19"/>
        <v>2276.1815075999998</v>
      </c>
      <c r="G1295" s="459"/>
    </row>
    <row r="1296" spans="1:7" outlineLevel="1" x14ac:dyDescent="0.2">
      <c r="A1296" s="17"/>
      <c r="B1296" s="75"/>
      <c r="C1296" s="1989" t="s">
        <v>1743</v>
      </c>
      <c r="D1296" s="1989" t="s">
        <v>1137</v>
      </c>
      <c r="E1296" s="1989">
        <v>75.28</v>
      </c>
      <c r="F1296" s="38">
        <f t="shared" si="19"/>
        <v>6121.8629472000002</v>
      </c>
      <c r="G1296" s="459"/>
    </row>
    <row r="1297" spans="1:7" outlineLevel="1" x14ac:dyDescent="0.2">
      <c r="A1297" s="17"/>
      <c r="B1297" s="75"/>
      <c r="C1297" s="1989" t="s">
        <v>1746</v>
      </c>
      <c r="D1297" s="1989" t="s">
        <v>1125</v>
      </c>
      <c r="E1297" s="1989">
        <v>75.53</v>
      </c>
      <c r="F1297" s="38">
        <f t="shared" si="19"/>
        <v>6142.1932572000005</v>
      </c>
      <c r="G1297" s="459"/>
    </row>
    <row r="1298" spans="1:7" outlineLevel="1" x14ac:dyDescent="0.2">
      <c r="A1298" s="17"/>
      <c r="B1298" s="75"/>
      <c r="C1298" s="1989" t="s">
        <v>1749</v>
      </c>
      <c r="D1298" s="1989" t="s">
        <v>1018</v>
      </c>
      <c r="E1298" s="1989">
        <v>72.3</v>
      </c>
      <c r="F1298" s="38">
        <f t="shared" si="19"/>
        <v>5879.5256520000003</v>
      </c>
      <c r="G1298" s="459"/>
    </row>
    <row r="1299" spans="1:7" outlineLevel="1" x14ac:dyDescent="0.2">
      <c r="A1299" s="17"/>
      <c r="B1299" s="75"/>
      <c r="C1299" s="1989" t="s">
        <v>1752</v>
      </c>
      <c r="D1299" s="1989" t="s">
        <v>1849</v>
      </c>
      <c r="E1299" s="1989">
        <v>124.55</v>
      </c>
      <c r="F1299" s="38">
        <f t="shared" si="19"/>
        <v>10128.560442</v>
      </c>
      <c r="G1299" s="459"/>
    </row>
    <row r="1300" spans="1:7" outlineLevel="1" x14ac:dyDescent="0.2">
      <c r="A1300" s="17"/>
      <c r="B1300" s="75"/>
      <c r="C1300" s="1989" t="s">
        <v>1751</v>
      </c>
      <c r="D1300" s="1989" t="s">
        <v>1020</v>
      </c>
      <c r="E1300" s="1989">
        <v>105.62</v>
      </c>
      <c r="F1300" s="38">
        <f t="shared" si="19"/>
        <v>8589.149368800001</v>
      </c>
      <c r="G1300" s="459"/>
    </row>
    <row r="1301" spans="1:7" outlineLevel="1" x14ac:dyDescent="0.2">
      <c r="A1301" s="17"/>
      <c r="B1301" s="75"/>
      <c r="C1301" s="1989" t="s">
        <v>3299</v>
      </c>
      <c r="D1301" s="1989" t="s">
        <v>3300</v>
      </c>
      <c r="E1301" s="1989">
        <v>0</v>
      </c>
      <c r="F1301" s="38">
        <f t="shared" si="19"/>
        <v>0</v>
      </c>
      <c r="G1301" s="459"/>
    </row>
    <row r="1302" spans="1:7" outlineLevel="1" x14ac:dyDescent="0.2">
      <c r="A1302" s="17"/>
      <c r="B1302" s="75"/>
      <c r="C1302" s="1989" t="s">
        <v>1742</v>
      </c>
      <c r="D1302" s="1989" t="s">
        <v>1136</v>
      </c>
      <c r="E1302" s="1989">
        <v>64.97</v>
      </c>
      <c r="F1302" s="38">
        <f t="shared" si="19"/>
        <v>5283.4409628000003</v>
      </c>
      <c r="G1302" s="459"/>
    </row>
    <row r="1303" spans="1:7" outlineLevel="1" x14ac:dyDescent="0.2">
      <c r="A1303" s="17"/>
      <c r="B1303" s="75"/>
      <c r="C1303" s="1989" t="s">
        <v>1748</v>
      </c>
      <c r="D1303" s="1989" t="s">
        <v>1017</v>
      </c>
      <c r="E1303" s="1989">
        <v>74.67</v>
      </c>
      <c r="F1303" s="38">
        <f t="shared" si="19"/>
        <v>6072.2569908000005</v>
      </c>
      <c r="G1303" s="459"/>
    </row>
    <row r="1304" spans="1:7" outlineLevel="1" x14ac:dyDescent="0.2">
      <c r="A1304" s="17"/>
      <c r="B1304" s="75"/>
      <c r="C1304" s="1989" t="s">
        <v>1750</v>
      </c>
      <c r="D1304" s="1989" t="s">
        <v>1019</v>
      </c>
      <c r="E1304" s="1989">
        <v>85</v>
      </c>
      <c r="F1304" s="38">
        <f t="shared" si="19"/>
        <v>6912.3054000000002</v>
      </c>
      <c r="G1304" s="459"/>
    </row>
    <row r="1305" spans="1:7" outlineLevel="1" x14ac:dyDescent="0.2">
      <c r="A1305" s="17"/>
      <c r="B1305" s="75"/>
      <c r="C1305" s="1989" t="s">
        <v>1744</v>
      </c>
      <c r="D1305" s="1989" t="s">
        <v>1124</v>
      </c>
      <c r="E1305" s="1989">
        <v>65.209999999999994</v>
      </c>
      <c r="F1305" s="38">
        <f t="shared" si="19"/>
        <v>5302.9580604000002</v>
      </c>
      <c r="G1305" s="459"/>
    </row>
    <row r="1306" spans="1:7" outlineLevel="1" x14ac:dyDescent="0.2">
      <c r="A1306" s="17"/>
      <c r="B1306" s="75"/>
      <c r="C1306" s="1989" t="s">
        <v>1745</v>
      </c>
      <c r="D1306" s="1989" t="s">
        <v>1647</v>
      </c>
      <c r="E1306" s="1989">
        <v>70.72</v>
      </c>
      <c r="F1306" s="38">
        <f t="shared" si="19"/>
        <v>5751.0380927999995</v>
      </c>
      <c r="G1306" s="459"/>
    </row>
    <row r="1307" spans="1:7" outlineLevel="1" x14ac:dyDescent="0.2">
      <c r="A1307" s="17"/>
      <c r="B1307" s="75"/>
      <c r="C1307" s="1989" t="s">
        <v>1747</v>
      </c>
      <c r="D1307" s="1989" t="s">
        <v>1648</v>
      </c>
      <c r="E1307" s="1989">
        <v>86.68</v>
      </c>
      <c r="F1307" s="38">
        <f t="shared" si="19"/>
        <v>7048.9250832000007</v>
      </c>
      <c r="G1307" s="459"/>
    </row>
    <row r="1308" spans="1:7" outlineLevel="1" x14ac:dyDescent="0.2">
      <c r="A1308" s="17"/>
      <c r="B1308" s="75"/>
      <c r="C1308" s="1989" t="s">
        <v>39</v>
      </c>
      <c r="D1308" s="1989" t="s">
        <v>40</v>
      </c>
      <c r="E1308" s="1989">
        <v>142.85</v>
      </c>
      <c r="F1308" s="38">
        <f t="shared" si="19"/>
        <v>11616.739133999999</v>
      </c>
      <c r="G1308" s="459"/>
    </row>
    <row r="1309" spans="1:7" outlineLevel="1" x14ac:dyDescent="0.2">
      <c r="A1309" s="17"/>
      <c r="B1309" s="75"/>
      <c r="C1309" s="1989" t="s">
        <v>1066</v>
      </c>
      <c r="D1309" s="1989" t="s">
        <v>1848</v>
      </c>
      <c r="E1309" s="1989">
        <v>102.67</v>
      </c>
      <c r="F1309" s="38">
        <f t="shared" si="19"/>
        <v>8349.2517107999993</v>
      </c>
      <c r="G1309" s="459"/>
    </row>
    <row r="1310" spans="1:7" outlineLevel="1" x14ac:dyDescent="0.2">
      <c r="A1310" s="17"/>
      <c r="B1310" s="75"/>
      <c r="C1310" s="1989" t="s">
        <v>3980</v>
      </c>
      <c r="D1310" s="1989" t="s">
        <v>3981</v>
      </c>
      <c r="E1310" s="1989">
        <v>105.54</v>
      </c>
      <c r="F1310" s="38">
        <f t="shared" si="19"/>
        <v>8582.6436696000001</v>
      </c>
      <c r="G1310" s="459"/>
    </row>
    <row r="1311" spans="1:7" outlineLevel="1" x14ac:dyDescent="0.2">
      <c r="A1311" s="17"/>
      <c r="B1311" s="75"/>
      <c r="C1311" s="1989" t="s">
        <v>646</v>
      </c>
      <c r="D1311" s="1989" t="s">
        <v>684</v>
      </c>
      <c r="E1311" s="1989">
        <v>142.78</v>
      </c>
      <c r="F1311" s="38">
        <f t="shared" ref="F1311:F1374" si="20">E1311*$G$4*$J$4</f>
        <v>11611.046647199999</v>
      </c>
      <c r="G1311" s="459"/>
    </row>
    <row r="1312" spans="1:7" outlineLevel="1" x14ac:dyDescent="0.2">
      <c r="A1312" s="17"/>
      <c r="B1312" s="75"/>
      <c r="C1312" s="1989" t="s">
        <v>2500</v>
      </c>
      <c r="D1312" s="1989" t="s">
        <v>5694</v>
      </c>
      <c r="E1312" s="1989">
        <v>138.52000000000001</v>
      </c>
      <c r="F1312" s="38">
        <f t="shared" si="20"/>
        <v>11264.618164800002</v>
      </c>
      <c r="G1312" s="459"/>
    </row>
    <row r="1313" spans="1:7" outlineLevel="1" x14ac:dyDescent="0.2">
      <c r="A1313" s="17"/>
      <c r="B1313" s="75"/>
      <c r="C1313" s="1989" t="s">
        <v>1741</v>
      </c>
      <c r="D1313" s="1989" t="s">
        <v>805</v>
      </c>
      <c r="E1313" s="1989">
        <v>86.21</v>
      </c>
      <c r="F1313" s="38">
        <f t="shared" si="20"/>
        <v>7010.7041003999993</v>
      </c>
      <c r="G1313" s="459"/>
    </row>
    <row r="1314" spans="1:7" outlineLevel="1" x14ac:dyDescent="0.2">
      <c r="A1314" s="17"/>
      <c r="B1314" s="75"/>
      <c r="C1314" s="1989" t="s">
        <v>1740</v>
      </c>
      <c r="D1314" s="1989" t="s">
        <v>806</v>
      </c>
      <c r="E1314" s="1989">
        <v>72.77</v>
      </c>
      <c r="F1314" s="38">
        <f t="shared" si="20"/>
        <v>5917.7466348000007</v>
      </c>
      <c r="G1314" s="459"/>
    </row>
    <row r="1315" spans="1:7" outlineLevel="1" x14ac:dyDescent="0.2">
      <c r="A1315" s="17"/>
      <c r="B1315" s="75"/>
      <c r="C1315" s="1989" t="s">
        <v>42</v>
      </c>
      <c r="D1315" s="1989" t="s">
        <v>43</v>
      </c>
      <c r="E1315" s="1989">
        <v>140.54</v>
      </c>
      <c r="F1315" s="38">
        <f t="shared" si="20"/>
        <v>11428.887069600001</v>
      </c>
      <c r="G1315" s="459"/>
    </row>
    <row r="1316" spans="1:7" outlineLevel="1" x14ac:dyDescent="0.2">
      <c r="A1316" s="17"/>
      <c r="B1316" s="75"/>
      <c r="C1316" s="1989" t="s">
        <v>44</v>
      </c>
      <c r="D1316" s="1989" t="s">
        <v>45</v>
      </c>
      <c r="E1316" s="1989">
        <v>116.11</v>
      </c>
      <c r="F1316" s="38">
        <f t="shared" si="20"/>
        <v>9442.2091763999997</v>
      </c>
      <c r="G1316" s="459"/>
    </row>
    <row r="1317" spans="1:7" outlineLevel="1" x14ac:dyDescent="0.2">
      <c r="A1317" s="17"/>
      <c r="B1317" s="75"/>
      <c r="C1317" s="1989" t="s">
        <v>1065</v>
      </c>
      <c r="D1317" s="1989" t="s">
        <v>5695</v>
      </c>
      <c r="E1317" s="1989">
        <v>44.1</v>
      </c>
      <c r="F1317" s="38">
        <f t="shared" si="20"/>
        <v>3586.2666840000002</v>
      </c>
      <c r="G1317" s="459"/>
    </row>
    <row r="1318" spans="1:7" outlineLevel="1" x14ac:dyDescent="0.2">
      <c r="A1318" s="17"/>
      <c r="B1318" s="75"/>
      <c r="C1318" s="1989" t="s">
        <v>2504</v>
      </c>
      <c r="D1318" s="1989" t="s">
        <v>5696</v>
      </c>
      <c r="E1318" s="1989">
        <v>0</v>
      </c>
      <c r="F1318" s="38">
        <f t="shared" si="20"/>
        <v>0</v>
      </c>
      <c r="G1318" s="459"/>
    </row>
    <row r="1319" spans="1:7" outlineLevel="1" x14ac:dyDescent="0.2">
      <c r="A1319" s="17"/>
      <c r="B1319" s="75"/>
      <c r="C1319" s="1989" t="s">
        <v>2505</v>
      </c>
      <c r="D1319" s="1989" t="s">
        <v>5697</v>
      </c>
      <c r="E1319" s="1989">
        <v>0</v>
      </c>
      <c r="F1319" s="38">
        <f t="shared" si="20"/>
        <v>0</v>
      </c>
      <c r="G1319" s="459"/>
    </row>
    <row r="1320" spans="1:7" outlineLevel="1" x14ac:dyDescent="0.2">
      <c r="A1320" s="17"/>
      <c r="B1320" s="75"/>
      <c r="C1320" s="1989" t="s">
        <v>1206</v>
      </c>
      <c r="D1320" s="1989" t="s">
        <v>5698</v>
      </c>
      <c r="E1320" s="1989">
        <v>99.79</v>
      </c>
      <c r="F1320" s="38">
        <f t="shared" si="20"/>
        <v>8115.0465396000009</v>
      </c>
      <c r="G1320" s="459"/>
    </row>
    <row r="1321" spans="1:7" outlineLevel="1" x14ac:dyDescent="0.2">
      <c r="A1321" s="17"/>
      <c r="B1321" s="75"/>
      <c r="C1321" s="1989" t="s">
        <v>686</v>
      </c>
      <c r="D1321" s="1989" t="s">
        <v>50</v>
      </c>
      <c r="E1321" s="1989">
        <v>146.6</v>
      </c>
      <c r="F1321" s="38">
        <f t="shared" si="20"/>
        <v>11921.693783999999</v>
      </c>
      <c r="G1321" s="459"/>
    </row>
    <row r="1322" spans="1:7" outlineLevel="1" x14ac:dyDescent="0.2">
      <c r="A1322" s="17"/>
      <c r="B1322" s="75"/>
      <c r="C1322" s="1989" t="s">
        <v>1064</v>
      </c>
      <c r="D1322" s="1989" t="s">
        <v>5699</v>
      </c>
      <c r="E1322" s="1989">
        <v>113.33</v>
      </c>
      <c r="F1322" s="38">
        <f t="shared" si="20"/>
        <v>9216.1361292000001</v>
      </c>
      <c r="G1322" s="459"/>
    </row>
    <row r="1323" spans="1:7" outlineLevel="1" x14ac:dyDescent="0.2">
      <c r="A1323" s="17"/>
      <c r="B1323" s="75"/>
      <c r="C1323" s="1989" t="s">
        <v>243</v>
      </c>
      <c r="D1323" s="1989" t="s">
        <v>5700</v>
      </c>
      <c r="E1323" s="1989">
        <v>0.41</v>
      </c>
      <c r="F1323" s="38">
        <f t="shared" si="20"/>
        <v>33.341708400000002</v>
      </c>
      <c r="G1323" s="459"/>
    </row>
    <row r="1324" spans="1:7" outlineLevel="1" x14ac:dyDescent="0.2">
      <c r="A1324" s="17"/>
      <c r="B1324" s="75"/>
      <c r="C1324" s="1989" t="s">
        <v>2514</v>
      </c>
      <c r="D1324" s="1989" t="s">
        <v>2515</v>
      </c>
      <c r="E1324" s="1989">
        <v>0.46</v>
      </c>
      <c r="F1324" s="38">
        <f t="shared" si="20"/>
        <v>37.407770400000004</v>
      </c>
      <c r="G1324" s="459"/>
    </row>
    <row r="1325" spans="1:7" outlineLevel="1" x14ac:dyDescent="0.2">
      <c r="A1325" s="17"/>
      <c r="B1325" s="75"/>
      <c r="C1325" s="1989" t="s">
        <v>2197</v>
      </c>
      <c r="D1325" s="1989" t="s">
        <v>7683</v>
      </c>
      <c r="E1325" s="1989">
        <v>38.83</v>
      </c>
      <c r="F1325" s="38">
        <f t="shared" si="20"/>
        <v>3157.7037491999999</v>
      </c>
      <c r="G1325" s="459"/>
    </row>
    <row r="1326" spans="1:7" outlineLevel="1" x14ac:dyDescent="0.2">
      <c r="A1326" s="17"/>
      <c r="B1326" s="75"/>
      <c r="C1326" s="1989" t="s">
        <v>1706</v>
      </c>
      <c r="D1326" s="1989" t="s">
        <v>7684</v>
      </c>
      <c r="E1326" s="1989">
        <v>36.409999999999997</v>
      </c>
      <c r="F1326" s="38">
        <f t="shared" si="20"/>
        <v>2960.9063483999998</v>
      </c>
      <c r="G1326" s="459"/>
    </row>
    <row r="1327" spans="1:7" outlineLevel="1" x14ac:dyDescent="0.2">
      <c r="A1327" s="17"/>
      <c r="B1327" s="75"/>
      <c r="C1327" s="1989" t="s">
        <v>2598</v>
      </c>
      <c r="D1327" s="1989" t="s">
        <v>7685</v>
      </c>
      <c r="E1327" s="1989">
        <v>0</v>
      </c>
      <c r="F1327" s="38">
        <f t="shared" si="20"/>
        <v>0</v>
      </c>
      <c r="G1327" s="459"/>
    </row>
    <row r="1328" spans="1:7" outlineLevel="1" x14ac:dyDescent="0.2">
      <c r="A1328" s="17"/>
      <c r="B1328" s="75"/>
      <c r="C1328" s="1989" t="s">
        <v>2599</v>
      </c>
      <c r="D1328" s="1989" t="s">
        <v>7686</v>
      </c>
      <c r="E1328" s="1989">
        <v>0</v>
      </c>
      <c r="F1328" s="38">
        <f t="shared" si="20"/>
        <v>0</v>
      </c>
      <c r="G1328" s="459"/>
    </row>
    <row r="1329" spans="1:7" outlineLevel="1" x14ac:dyDescent="0.2">
      <c r="A1329" s="17"/>
      <c r="B1329" s="75"/>
      <c r="C1329" s="1989" t="s">
        <v>1763</v>
      </c>
      <c r="D1329" s="1989" t="s">
        <v>7687</v>
      </c>
      <c r="E1329" s="1989">
        <v>215.28</v>
      </c>
      <c r="F1329" s="38">
        <f t="shared" si="20"/>
        <v>17506.8365472</v>
      </c>
      <c r="G1329" s="459"/>
    </row>
    <row r="1330" spans="1:7" outlineLevel="1" x14ac:dyDescent="0.2">
      <c r="A1330" s="17"/>
      <c r="B1330" s="75"/>
      <c r="C1330" s="1989" t="s">
        <v>4553</v>
      </c>
      <c r="D1330" s="1989" t="s">
        <v>7688</v>
      </c>
      <c r="E1330" s="1989">
        <v>0</v>
      </c>
      <c r="F1330" s="38">
        <f t="shared" si="20"/>
        <v>0</v>
      </c>
      <c r="G1330" s="459"/>
    </row>
    <row r="1331" spans="1:7" outlineLevel="1" x14ac:dyDescent="0.2">
      <c r="A1331" s="17"/>
      <c r="B1331" s="75"/>
      <c r="C1331" s="1989" t="s">
        <v>4554</v>
      </c>
      <c r="D1331" s="1989" t="s">
        <v>7689</v>
      </c>
      <c r="E1331" s="1989">
        <v>0</v>
      </c>
      <c r="F1331" s="38">
        <f t="shared" si="20"/>
        <v>0</v>
      </c>
      <c r="G1331" s="459"/>
    </row>
    <row r="1332" spans="1:7" outlineLevel="1" x14ac:dyDescent="0.2">
      <c r="A1332" s="17"/>
      <c r="B1332" s="75"/>
      <c r="C1332" s="1989" t="s">
        <v>4555</v>
      </c>
      <c r="D1332" s="1989" t="s">
        <v>7690</v>
      </c>
      <c r="E1332" s="1989">
        <v>0</v>
      </c>
      <c r="F1332" s="38">
        <f t="shared" si="20"/>
        <v>0</v>
      </c>
      <c r="G1332" s="459"/>
    </row>
    <row r="1333" spans="1:7" outlineLevel="1" x14ac:dyDescent="0.2">
      <c r="A1333" s="17"/>
      <c r="B1333" s="75"/>
      <c r="C1333" s="1989" t="s">
        <v>4556</v>
      </c>
      <c r="D1333" s="1989" t="s">
        <v>7691</v>
      </c>
      <c r="E1333" s="1989">
        <v>0</v>
      </c>
      <c r="F1333" s="38">
        <f t="shared" si="20"/>
        <v>0</v>
      </c>
      <c r="G1333" s="459"/>
    </row>
    <row r="1334" spans="1:7" outlineLevel="1" x14ac:dyDescent="0.2">
      <c r="A1334" s="17"/>
      <c r="B1334" s="75"/>
      <c r="C1334" s="1989" t="s">
        <v>4557</v>
      </c>
      <c r="D1334" s="1989" t="s">
        <v>7692</v>
      </c>
      <c r="E1334" s="1989">
        <v>0</v>
      </c>
      <c r="F1334" s="38">
        <f t="shared" si="20"/>
        <v>0</v>
      </c>
      <c r="G1334" s="459"/>
    </row>
    <row r="1335" spans="1:7" outlineLevel="1" x14ac:dyDescent="0.2">
      <c r="A1335" s="17"/>
      <c r="B1335" s="75"/>
      <c r="C1335" s="1989" t="s">
        <v>4558</v>
      </c>
      <c r="D1335" s="1989" t="s">
        <v>7693</v>
      </c>
      <c r="E1335" s="1989">
        <v>0</v>
      </c>
      <c r="F1335" s="38">
        <f t="shared" si="20"/>
        <v>0</v>
      </c>
      <c r="G1335" s="459"/>
    </row>
    <row r="1336" spans="1:7" outlineLevel="1" x14ac:dyDescent="0.2">
      <c r="A1336" s="17"/>
      <c r="B1336" s="75"/>
      <c r="C1336" s="1989" t="s">
        <v>4559</v>
      </c>
      <c r="D1336" s="1989" t="s">
        <v>7694</v>
      </c>
      <c r="E1336" s="1989">
        <v>0</v>
      </c>
      <c r="F1336" s="38">
        <f t="shared" si="20"/>
        <v>0</v>
      </c>
      <c r="G1336" s="459"/>
    </row>
    <row r="1337" spans="1:7" outlineLevel="1" x14ac:dyDescent="0.2">
      <c r="A1337" s="17"/>
      <c r="B1337" s="75"/>
      <c r="C1337" s="1989" t="s">
        <v>4560</v>
      </c>
      <c r="D1337" s="1989" t="s">
        <v>7695</v>
      </c>
      <c r="E1337" s="1989">
        <v>0</v>
      </c>
      <c r="F1337" s="38">
        <f t="shared" si="20"/>
        <v>0</v>
      </c>
      <c r="G1337" s="459"/>
    </row>
    <row r="1338" spans="1:7" outlineLevel="1" x14ac:dyDescent="0.2">
      <c r="A1338" s="17"/>
      <c r="B1338" s="75"/>
      <c r="C1338" s="1989" t="s">
        <v>4561</v>
      </c>
      <c r="D1338" s="1989" t="s">
        <v>7696</v>
      </c>
      <c r="E1338" s="1989">
        <v>0</v>
      </c>
      <c r="F1338" s="38">
        <f t="shared" si="20"/>
        <v>0</v>
      </c>
      <c r="G1338" s="459"/>
    </row>
    <row r="1339" spans="1:7" outlineLevel="1" x14ac:dyDescent="0.2">
      <c r="A1339" s="17"/>
      <c r="B1339" s="75"/>
      <c r="C1339" s="1989" t="s">
        <v>4562</v>
      </c>
      <c r="D1339" s="1989" t="s">
        <v>7697</v>
      </c>
      <c r="E1339" s="1989">
        <v>0</v>
      </c>
      <c r="F1339" s="38">
        <f t="shared" si="20"/>
        <v>0</v>
      </c>
      <c r="G1339" s="459"/>
    </row>
    <row r="1340" spans="1:7" outlineLevel="1" x14ac:dyDescent="0.2">
      <c r="A1340" s="17"/>
      <c r="B1340" s="75"/>
      <c r="C1340" s="1989" t="s">
        <v>4563</v>
      </c>
      <c r="D1340" s="1989" t="s">
        <v>7698</v>
      </c>
      <c r="E1340" s="1989">
        <v>0</v>
      </c>
      <c r="F1340" s="38">
        <f t="shared" si="20"/>
        <v>0</v>
      </c>
      <c r="G1340" s="459"/>
    </row>
    <row r="1341" spans="1:7" outlineLevel="1" x14ac:dyDescent="0.2">
      <c r="A1341" s="17"/>
      <c r="B1341" s="75"/>
      <c r="C1341" s="1989" t="s">
        <v>4564</v>
      </c>
      <c r="D1341" s="1989" t="s">
        <v>7699</v>
      </c>
      <c r="E1341" s="1989">
        <v>0</v>
      </c>
      <c r="F1341" s="38">
        <f t="shared" si="20"/>
        <v>0</v>
      </c>
      <c r="G1341" s="459"/>
    </row>
    <row r="1342" spans="1:7" outlineLevel="1" x14ac:dyDescent="0.2">
      <c r="A1342" s="17"/>
      <c r="B1342" s="75"/>
      <c r="C1342" s="1989" t="s">
        <v>4565</v>
      </c>
      <c r="D1342" s="1989" t="s">
        <v>7700</v>
      </c>
      <c r="E1342" s="1989">
        <v>0</v>
      </c>
      <c r="F1342" s="38">
        <f t="shared" si="20"/>
        <v>0</v>
      </c>
      <c r="G1342" s="459"/>
    </row>
    <row r="1343" spans="1:7" outlineLevel="1" x14ac:dyDescent="0.2">
      <c r="A1343" s="17"/>
      <c r="B1343" s="75"/>
      <c r="C1343" s="1989" t="s">
        <v>4566</v>
      </c>
      <c r="D1343" s="1989" t="s">
        <v>7701</v>
      </c>
      <c r="E1343" s="1989">
        <v>0</v>
      </c>
      <c r="F1343" s="38">
        <f t="shared" si="20"/>
        <v>0</v>
      </c>
      <c r="G1343" s="459"/>
    </row>
    <row r="1344" spans="1:7" outlineLevel="1" x14ac:dyDescent="0.2">
      <c r="A1344" s="17"/>
      <c r="B1344" s="75"/>
      <c r="C1344" s="1989" t="s">
        <v>4567</v>
      </c>
      <c r="D1344" s="1989" t="s">
        <v>7702</v>
      </c>
      <c r="E1344" s="1989">
        <v>0</v>
      </c>
      <c r="F1344" s="38">
        <f t="shared" si="20"/>
        <v>0</v>
      </c>
      <c r="G1344" s="459"/>
    </row>
    <row r="1345" spans="1:7" outlineLevel="1" x14ac:dyDescent="0.2">
      <c r="A1345" s="17"/>
      <c r="B1345" s="75"/>
      <c r="C1345" s="1989" t="s">
        <v>4568</v>
      </c>
      <c r="D1345" s="1989" t="s">
        <v>7703</v>
      </c>
      <c r="E1345" s="1989">
        <v>0</v>
      </c>
      <c r="F1345" s="38">
        <f t="shared" si="20"/>
        <v>0</v>
      </c>
      <c r="G1345" s="459"/>
    </row>
    <row r="1346" spans="1:7" outlineLevel="1" x14ac:dyDescent="0.2">
      <c r="A1346" s="17"/>
      <c r="B1346" s="75"/>
      <c r="C1346" s="1989" t="s">
        <v>4569</v>
      </c>
      <c r="D1346" s="1989" t="s">
        <v>7704</v>
      </c>
      <c r="E1346" s="1989">
        <v>0</v>
      </c>
      <c r="F1346" s="38">
        <f t="shared" si="20"/>
        <v>0</v>
      </c>
      <c r="G1346" s="459"/>
    </row>
    <row r="1347" spans="1:7" outlineLevel="1" x14ac:dyDescent="0.2">
      <c r="A1347" s="17"/>
      <c r="B1347" s="75"/>
      <c r="C1347" s="1989" t="s">
        <v>4570</v>
      </c>
      <c r="D1347" s="1989" t="s">
        <v>7705</v>
      </c>
      <c r="E1347" s="1989">
        <v>0</v>
      </c>
      <c r="F1347" s="38">
        <f t="shared" si="20"/>
        <v>0</v>
      </c>
      <c r="G1347" s="459"/>
    </row>
    <row r="1348" spans="1:7" outlineLevel="1" x14ac:dyDescent="0.2">
      <c r="A1348" s="17"/>
      <c r="B1348" s="75"/>
      <c r="C1348" s="1989" t="s">
        <v>4571</v>
      </c>
      <c r="D1348" s="1989" t="s">
        <v>7706</v>
      </c>
      <c r="E1348" s="1989">
        <v>0</v>
      </c>
      <c r="F1348" s="38">
        <f t="shared" si="20"/>
        <v>0</v>
      </c>
      <c r="G1348" s="459"/>
    </row>
    <row r="1349" spans="1:7" outlineLevel="1" x14ac:dyDescent="0.2">
      <c r="A1349" s="17"/>
      <c r="B1349" s="75"/>
      <c r="C1349" s="1989" t="s">
        <v>4572</v>
      </c>
      <c r="D1349" s="1989" t="s">
        <v>7707</v>
      </c>
      <c r="E1349" s="1989">
        <v>0</v>
      </c>
      <c r="F1349" s="38">
        <f t="shared" si="20"/>
        <v>0</v>
      </c>
      <c r="G1349" s="459"/>
    </row>
    <row r="1350" spans="1:7" outlineLevel="1" x14ac:dyDescent="0.2">
      <c r="A1350" s="17"/>
      <c r="B1350" s="75"/>
      <c r="C1350" s="1989" t="s">
        <v>4573</v>
      </c>
      <c r="D1350" s="1989" t="s">
        <v>7708</v>
      </c>
      <c r="E1350" s="1989">
        <v>0</v>
      </c>
      <c r="F1350" s="38">
        <f t="shared" si="20"/>
        <v>0</v>
      </c>
      <c r="G1350" s="459"/>
    </row>
    <row r="1351" spans="1:7" outlineLevel="1" x14ac:dyDescent="0.2">
      <c r="A1351" s="17"/>
      <c r="B1351" s="75"/>
      <c r="C1351" s="1989" t="s">
        <v>4574</v>
      </c>
      <c r="D1351" s="1989" t="s">
        <v>7709</v>
      </c>
      <c r="E1351" s="1989">
        <v>0</v>
      </c>
      <c r="F1351" s="38">
        <f t="shared" si="20"/>
        <v>0</v>
      </c>
      <c r="G1351" s="459"/>
    </row>
    <row r="1352" spans="1:7" outlineLevel="1" x14ac:dyDescent="0.2">
      <c r="A1352" s="17"/>
      <c r="B1352" s="75"/>
      <c r="C1352" s="1989" t="s">
        <v>4575</v>
      </c>
      <c r="D1352" s="1989" t="s">
        <v>7710</v>
      </c>
      <c r="E1352" s="1989">
        <v>0</v>
      </c>
      <c r="F1352" s="38">
        <f t="shared" si="20"/>
        <v>0</v>
      </c>
      <c r="G1352" s="459"/>
    </row>
    <row r="1353" spans="1:7" outlineLevel="1" x14ac:dyDescent="0.2">
      <c r="A1353" s="17"/>
      <c r="B1353" s="75"/>
      <c r="C1353" s="1989" t="s">
        <v>4576</v>
      </c>
      <c r="D1353" s="1989" t="s">
        <v>7711</v>
      </c>
      <c r="E1353" s="1989">
        <v>0</v>
      </c>
      <c r="F1353" s="38">
        <f t="shared" si="20"/>
        <v>0</v>
      </c>
      <c r="G1353" s="459"/>
    </row>
    <row r="1354" spans="1:7" outlineLevel="1" x14ac:dyDescent="0.2">
      <c r="A1354" s="17"/>
      <c r="B1354" s="75"/>
      <c r="C1354" s="1989" t="s">
        <v>1851</v>
      </c>
      <c r="D1354" s="1989" t="s">
        <v>5701</v>
      </c>
      <c r="E1354" s="1989">
        <v>1.29</v>
      </c>
      <c r="F1354" s="38">
        <f t="shared" si="20"/>
        <v>104.9043996</v>
      </c>
      <c r="G1354" s="459"/>
    </row>
    <row r="1355" spans="1:7" outlineLevel="1" x14ac:dyDescent="0.2">
      <c r="A1355" s="17"/>
      <c r="B1355" s="75"/>
      <c r="C1355" s="1989" t="s">
        <v>1651</v>
      </c>
      <c r="D1355" s="1989" t="s">
        <v>5702</v>
      </c>
      <c r="E1355" s="1989">
        <v>1.29</v>
      </c>
      <c r="F1355" s="38">
        <f t="shared" si="20"/>
        <v>104.9043996</v>
      </c>
      <c r="G1355" s="459"/>
    </row>
    <row r="1356" spans="1:7" outlineLevel="1" x14ac:dyDescent="0.2">
      <c r="A1356" s="17"/>
      <c r="B1356" s="75"/>
      <c r="C1356" s="1989" t="s">
        <v>1431</v>
      </c>
      <c r="D1356" s="1989" t="s">
        <v>3982</v>
      </c>
      <c r="E1356" s="1989">
        <v>1.63</v>
      </c>
      <c r="F1356" s="38">
        <f t="shared" si="20"/>
        <v>132.55362119999998</v>
      </c>
      <c r="G1356" s="459"/>
    </row>
    <row r="1357" spans="1:7" outlineLevel="1" x14ac:dyDescent="0.2">
      <c r="A1357" s="17"/>
      <c r="B1357" s="75"/>
      <c r="C1357" s="1989" t="s">
        <v>1432</v>
      </c>
      <c r="D1357" s="1989" t="s">
        <v>5703</v>
      </c>
      <c r="E1357" s="1989">
        <v>1.63</v>
      </c>
      <c r="F1357" s="38">
        <f t="shared" si="20"/>
        <v>132.55362119999998</v>
      </c>
      <c r="G1357" s="459"/>
    </row>
    <row r="1358" spans="1:7" outlineLevel="1" x14ac:dyDescent="0.2">
      <c r="A1358" s="17"/>
      <c r="B1358" s="75"/>
      <c r="C1358" s="1989" t="s">
        <v>351</v>
      </c>
      <c r="D1358" s="1989" t="s">
        <v>1160</v>
      </c>
      <c r="E1358" s="1989">
        <v>3.14</v>
      </c>
      <c r="F1358" s="38">
        <f t="shared" si="20"/>
        <v>255.34869360000002</v>
      </c>
      <c r="G1358" s="459"/>
    </row>
    <row r="1359" spans="1:7" outlineLevel="1" x14ac:dyDescent="0.2">
      <c r="A1359" s="17"/>
      <c r="B1359" s="75"/>
      <c r="C1359" s="1989" t="s">
        <v>1161</v>
      </c>
      <c r="D1359" s="1989" t="s">
        <v>1162</v>
      </c>
      <c r="E1359" s="1989">
        <v>3.03</v>
      </c>
      <c r="F1359" s="38">
        <f t="shared" si="20"/>
        <v>246.40335719999999</v>
      </c>
      <c r="G1359" s="459"/>
    </row>
    <row r="1360" spans="1:7" outlineLevel="1" x14ac:dyDescent="0.2">
      <c r="A1360" s="17"/>
      <c r="B1360" s="75"/>
      <c r="C1360" s="1989" t="s">
        <v>358</v>
      </c>
      <c r="D1360" s="1989" t="s">
        <v>5704</v>
      </c>
      <c r="E1360" s="1989">
        <v>3.14</v>
      </c>
      <c r="F1360" s="38">
        <f t="shared" si="20"/>
        <v>255.34869360000002</v>
      </c>
      <c r="G1360" s="459"/>
    </row>
    <row r="1361" spans="1:7" outlineLevel="1" x14ac:dyDescent="0.2">
      <c r="A1361" s="17"/>
      <c r="B1361" s="75"/>
      <c r="C1361" s="1989" t="s">
        <v>1163</v>
      </c>
      <c r="D1361" s="1989" t="s">
        <v>1164</v>
      </c>
      <c r="E1361" s="1989">
        <v>3.03</v>
      </c>
      <c r="F1361" s="38">
        <f t="shared" si="20"/>
        <v>246.40335719999999</v>
      </c>
      <c r="G1361" s="459"/>
    </row>
    <row r="1362" spans="1:7" outlineLevel="1" x14ac:dyDescent="0.2">
      <c r="A1362" s="17"/>
      <c r="B1362" s="75"/>
      <c r="C1362" s="1989" t="s">
        <v>231</v>
      </c>
      <c r="D1362" s="1989" t="s">
        <v>5705</v>
      </c>
      <c r="E1362" s="1989">
        <v>3.19</v>
      </c>
      <c r="F1362" s="38">
        <f t="shared" si="20"/>
        <v>259.41475560000003</v>
      </c>
      <c r="G1362" s="459"/>
    </row>
    <row r="1363" spans="1:7" outlineLevel="1" x14ac:dyDescent="0.2">
      <c r="A1363" s="17"/>
      <c r="B1363" s="75"/>
      <c r="C1363" s="1989" t="s">
        <v>359</v>
      </c>
      <c r="D1363" s="1989" t="s">
        <v>2190</v>
      </c>
      <c r="E1363" s="1989">
        <v>3.08</v>
      </c>
      <c r="F1363" s="38">
        <f t="shared" si="20"/>
        <v>250.4694192</v>
      </c>
      <c r="G1363" s="459"/>
    </row>
    <row r="1364" spans="1:7" outlineLevel="1" x14ac:dyDescent="0.2">
      <c r="A1364" s="17"/>
      <c r="B1364" s="75"/>
      <c r="C1364" s="1989" t="s">
        <v>2065</v>
      </c>
      <c r="D1364" s="1989" t="s">
        <v>5706</v>
      </c>
      <c r="E1364" s="1989">
        <v>3.19</v>
      </c>
      <c r="F1364" s="38">
        <f t="shared" si="20"/>
        <v>259.41475560000003</v>
      </c>
      <c r="G1364" s="459"/>
    </row>
    <row r="1365" spans="1:7" outlineLevel="1" x14ac:dyDescent="0.2">
      <c r="A1365" s="17"/>
      <c r="B1365" s="75"/>
      <c r="C1365" s="1989" t="s">
        <v>2191</v>
      </c>
      <c r="D1365" s="1989" t="s">
        <v>1165</v>
      </c>
      <c r="E1365" s="1989">
        <v>3.08</v>
      </c>
      <c r="F1365" s="38">
        <f t="shared" si="20"/>
        <v>250.4694192</v>
      </c>
      <c r="G1365" s="459"/>
    </row>
    <row r="1366" spans="1:7" outlineLevel="1" x14ac:dyDescent="0.2">
      <c r="A1366" s="17"/>
      <c r="B1366" s="75"/>
      <c r="C1366" s="1989" t="s">
        <v>2215</v>
      </c>
      <c r="D1366" s="1989" t="s">
        <v>3301</v>
      </c>
      <c r="E1366" s="1989">
        <v>0.11</v>
      </c>
      <c r="F1366" s="38">
        <f t="shared" si="20"/>
        <v>8.9453364000000004</v>
      </c>
      <c r="G1366" s="459"/>
    </row>
    <row r="1367" spans="1:7" outlineLevel="1" x14ac:dyDescent="0.2">
      <c r="A1367" s="17"/>
      <c r="B1367" s="75"/>
      <c r="C1367" s="1989" t="s">
        <v>2216</v>
      </c>
      <c r="D1367" s="1989" t="s">
        <v>7712</v>
      </c>
      <c r="E1367" s="1989">
        <v>0.4</v>
      </c>
      <c r="F1367" s="38">
        <f t="shared" si="20"/>
        <v>32.528496000000004</v>
      </c>
      <c r="G1367" s="459"/>
    </row>
    <row r="1368" spans="1:7" outlineLevel="1" x14ac:dyDescent="0.2">
      <c r="A1368" s="17"/>
      <c r="B1368" s="75"/>
      <c r="C1368" s="1989" t="s">
        <v>1167</v>
      </c>
      <c r="D1368" s="1989" t="s">
        <v>5707</v>
      </c>
      <c r="E1368" s="1989">
        <v>0.51</v>
      </c>
      <c r="F1368" s="38">
        <f t="shared" si="20"/>
        <v>41.473832399999999</v>
      </c>
      <c r="G1368" s="459"/>
    </row>
    <row r="1369" spans="1:7" outlineLevel="1" x14ac:dyDescent="0.2">
      <c r="A1369" s="17"/>
      <c r="B1369" s="75"/>
      <c r="C1369" s="1989" t="s">
        <v>1168</v>
      </c>
      <c r="D1369" s="1989" t="s">
        <v>7713</v>
      </c>
      <c r="E1369" s="1989">
        <v>0.51</v>
      </c>
      <c r="F1369" s="38">
        <f t="shared" si="20"/>
        <v>41.473832399999999</v>
      </c>
      <c r="G1369" s="459"/>
    </row>
    <row r="1370" spans="1:7" outlineLevel="1" x14ac:dyDescent="0.2">
      <c r="A1370" s="17"/>
      <c r="B1370" s="75"/>
      <c r="C1370" s="1989" t="s">
        <v>2217</v>
      </c>
      <c r="D1370" s="1989" t="s">
        <v>5708</v>
      </c>
      <c r="E1370" s="1989">
        <v>0.4</v>
      </c>
      <c r="F1370" s="38">
        <f t="shared" si="20"/>
        <v>32.528496000000004</v>
      </c>
      <c r="G1370" s="459"/>
    </row>
    <row r="1371" spans="1:7" outlineLevel="1" x14ac:dyDescent="0.2">
      <c r="A1371" s="17"/>
      <c r="B1371" s="75"/>
      <c r="C1371" s="1989" t="s">
        <v>2192</v>
      </c>
      <c r="D1371" s="1989" t="s">
        <v>5709</v>
      </c>
      <c r="E1371" s="1989">
        <v>0.13</v>
      </c>
      <c r="F1371" s="38">
        <f t="shared" si="20"/>
        <v>10.571761200000001</v>
      </c>
      <c r="G1371" s="459"/>
    </row>
    <row r="1372" spans="1:7" outlineLevel="1" x14ac:dyDescent="0.2">
      <c r="A1372" s="17"/>
      <c r="B1372" s="75"/>
      <c r="C1372" s="1989" t="s">
        <v>2193</v>
      </c>
      <c r="D1372" s="1989" t="s">
        <v>5710</v>
      </c>
      <c r="E1372" s="1989">
        <v>0.13</v>
      </c>
      <c r="F1372" s="38">
        <f t="shared" si="20"/>
        <v>10.571761200000001</v>
      </c>
      <c r="G1372" s="459"/>
    </row>
    <row r="1373" spans="1:7" outlineLevel="1" x14ac:dyDescent="0.2">
      <c r="A1373" s="17"/>
      <c r="B1373" s="75"/>
      <c r="C1373" s="1989" t="s">
        <v>3302</v>
      </c>
      <c r="D1373" s="1989" t="s">
        <v>3303</v>
      </c>
      <c r="E1373" s="1989">
        <v>0.64</v>
      </c>
      <c r="F1373" s="38">
        <f t="shared" si="20"/>
        <v>52.045593600000004</v>
      </c>
      <c r="G1373" s="459"/>
    </row>
    <row r="1374" spans="1:7" outlineLevel="1" x14ac:dyDescent="0.2">
      <c r="A1374" s="17"/>
      <c r="B1374" s="75"/>
      <c r="C1374" s="1989" t="s">
        <v>693</v>
      </c>
      <c r="D1374" s="1989" t="s">
        <v>1722</v>
      </c>
      <c r="E1374" s="1989">
        <v>3.34</v>
      </c>
      <c r="F1374" s="38">
        <f t="shared" si="20"/>
        <v>271.6129416</v>
      </c>
      <c r="G1374" s="459"/>
    </row>
    <row r="1375" spans="1:7" outlineLevel="1" x14ac:dyDescent="0.2">
      <c r="A1375" s="17"/>
      <c r="B1375" s="75"/>
      <c r="C1375" s="1989" t="s">
        <v>694</v>
      </c>
      <c r="D1375" s="1989" t="s">
        <v>695</v>
      </c>
      <c r="E1375" s="1989">
        <v>3.26</v>
      </c>
      <c r="F1375" s="38">
        <f t="shared" ref="F1375:F1438" si="21">E1375*$G$4*$J$4</f>
        <v>265.10724239999996</v>
      </c>
      <c r="G1375" s="459"/>
    </row>
    <row r="1376" spans="1:7" outlineLevel="1" x14ac:dyDescent="0.2">
      <c r="A1376" s="17"/>
      <c r="B1376" s="75"/>
      <c r="C1376" s="1989" t="s">
        <v>696</v>
      </c>
      <c r="D1376" s="1989" t="s">
        <v>5711</v>
      </c>
      <c r="E1376" s="1989">
        <v>3.34</v>
      </c>
      <c r="F1376" s="38">
        <f t="shared" si="21"/>
        <v>271.6129416</v>
      </c>
      <c r="G1376" s="459"/>
    </row>
    <row r="1377" spans="1:7" outlineLevel="1" x14ac:dyDescent="0.2">
      <c r="A1377" s="17"/>
      <c r="B1377" s="75"/>
      <c r="C1377" s="1989" t="s">
        <v>697</v>
      </c>
      <c r="D1377" s="1989" t="s">
        <v>1825</v>
      </c>
      <c r="E1377" s="1989">
        <v>3.26</v>
      </c>
      <c r="F1377" s="38">
        <f t="shared" si="21"/>
        <v>265.10724239999996</v>
      </c>
      <c r="G1377" s="459"/>
    </row>
    <row r="1378" spans="1:7" outlineLevel="1" x14ac:dyDescent="0.2">
      <c r="A1378" s="17"/>
      <c r="B1378" s="75"/>
      <c r="C1378" s="1989" t="s">
        <v>1130</v>
      </c>
      <c r="D1378" s="1989" t="s">
        <v>3304</v>
      </c>
      <c r="E1378" s="1989">
        <v>1.26</v>
      </c>
      <c r="F1378" s="38">
        <f t="shared" si="21"/>
        <v>102.46476240000001</v>
      </c>
      <c r="G1378" s="459"/>
    </row>
    <row r="1379" spans="1:7" outlineLevel="1" x14ac:dyDescent="0.2">
      <c r="A1379" s="17"/>
      <c r="B1379" s="75"/>
      <c r="C1379" s="1989" t="s">
        <v>1131</v>
      </c>
      <c r="D1379" s="1989" t="s">
        <v>5712</v>
      </c>
      <c r="E1379" s="1989">
        <v>1.26</v>
      </c>
      <c r="F1379" s="38">
        <f t="shared" si="21"/>
        <v>102.46476240000001</v>
      </c>
      <c r="G1379" s="459"/>
    </row>
    <row r="1380" spans="1:7" outlineLevel="1" x14ac:dyDescent="0.2">
      <c r="A1380" s="17"/>
      <c r="B1380" s="75"/>
      <c r="C1380" s="1989" t="s">
        <v>1132</v>
      </c>
      <c r="D1380" s="1989" t="s">
        <v>3305</v>
      </c>
      <c r="E1380" s="1989">
        <v>1.39</v>
      </c>
      <c r="F1380" s="38">
        <f t="shared" si="21"/>
        <v>113.03652360000001</v>
      </c>
      <c r="G1380" s="459"/>
    </row>
    <row r="1381" spans="1:7" outlineLevel="1" x14ac:dyDescent="0.2">
      <c r="A1381" s="17"/>
      <c r="B1381" s="75"/>
      <c r="C1381" s="1989" t="s">
        <v>1133</v>
      </c>
      <c r="D1381" s="1989" t="s">
        <v>3306</v>
      </c>
      <c r="E1381" s="1989">
        <v>1.39</v>
      </c>
      <c r="F1381" s="38">
        <f t="shared" si="21"/>
        <v>113.03652360000001</v>
      </c>
      <c r="G1381" s="459"/>
    </row>
    <row r="1382" spans="1:7" outlineLevel="1" x14ac:dyDescent="0.2">
      <c r="A1382" s="17"/>
      <c r="B1382" s="75"/>
      <c r="C1382" s="1989" t="s">
        <v>1134</v>
      </c>
      <c r="D1382" s="1989" t="s">
        <v>5713</v>
      </c>
      <c r="E1382" s="1989">
        <v>1.36</v>
      </c>
      <c r="F1382" s="38">
        <f t="shared" si="21"/>
        <v>110.59688640000002</v>
      </c>
      <c r="G1382" s="459"/>
    </row>
    <row r="1383" spans="1:7" outlineLevel="1" x14ac:dyDescent="0.2">
      <c r="A1383" s="17"/>
      <c r="B1383" s="75"/>
      <c r="C1383" s="1989" t="s">
        <v>1135</v>
      </c>
      <c r="D1383" s="1989" t="s">
        <v>3983</v>
      </c>
      <c r="E1383" s="1989">
        <v>0.4</v>
      </c>
      <c r="F1383" s="38">
        <f t="shared" si="21"/>
        <v>32.528496000000004</v>
      </c>
      <c r="G1383" s="459"/>
    </row>
    <row r="1384" spans="1:7" outlineLevel="1" x14ac:dyDescent="0.2">
      <c r="A1384" s="17"/>
      <c r="B1384" s="75"/>
      <c r="C1384" s="1989" t="s">
        <v>1026</v>
      </c>
      <c r="D1384" s="1989" t="s">
        <v>5714</v>
      </c>
      <c r="E1384" s="1989">
        <v>1.35</v>
      </c>
      <c r="F1384" s="38">
        <f t="shared" si="21"/>
        <v>109.78367400000002</v>
      </c>
      <c r="G1384" s="459"/>
    </row>
    <row r="1385" spans="1:7" outlineLevel="1" x14ac:dyDescent="0.2">
      <c r="A1385" s="17"/>
      <c r="B1385" s="75"/>
      <c r="C1385" s="1989" t="s">
        <v>1029</v>
      </c>
      <c r="D1385" s="1989" t="s">
        <v>7714</v>
      </c>
      <c r="E1385" s="1989">
        <v>1.36</v>
      </c>
      <c r="F1385" s="38">
        <f t="shared" si="21"/>
        <v>110.59688640000002</v>
      </c>
      <c r="G1385" s="459"/>
    </row>
    <row r="1386" spans="1:7" outlineLevel="1" x14ac:dyDescent="0.2">
      <c r="A1386" s="17"/>
      <c r="B1386" s="75"/>
      <c r="C1386" s="1989" t="s">
        <v>1055</v>
      </c>
      <c r="D1386" s="1989" t="s">
        <v>5715</v>
      </c>
      <c r="E1386" s="1989">
        <v>1.59</v>
      </c>
      <c r="F1386" s="38">
        <f t="shared" si="21"/>
        <v>129.30077159999999</v>
      </c>
      <c r="G1386" s="459"/>
    </row>
    <row r="1387" spans="1:7" outlineLevel="1" x14ac:dyDescent="0.2">
      <c r="A1387" s="17"/>
      <c r="B1387" s="75"/>
      <c r="C1387" s="1989" t="s">
        <v>1057</v>
      </c>
      <c r="D1387" s="1989" t="s">
        <v>5716</v>
      </c>
      <c r="E1387" s="1989">
        <v>1.51</v>
      </c>
      <c r="F1387" s="38">
        <f t="shared" si="21"/>
        <v>122.7950724</v>
      </c>
      <c r="G1387" s="459"/>
    </row>
    <row r="1388" spans="1:7" outlineLevel="1" x14ac:dyDescent="0.2">
      <c r="A1388" s="17"/>
      <c r="B1388" s="75"/>
      <c r="C1388" s="1989" t="s">
        <v>1058</v>
      </c>
      <c r="D1388" s="1989" t="s">
        <v>7715</v>
      </c>
      <c r="E1388" s="1989">
        <v>1.35</v>
      </c>
      <c r="F1388" s="38">
        <f t="shared" si="21"/>
        <v>109.78367400000002</v>
      </c>
      <c r="G1388" s="459"/>
    </row>
    <row r="1389" spans="1:7" outlineLevel="1" x14ac:dyDescent="0.2">
      <c r="A1389" s="17"/>
      <c r="B1389" s="75"/>
      <c r="C1389" s="1989" t="s">
        <v>698</v>
      </c>
      <c r="D1389" s="1989" t="s">
        <v>5717</v>
      </c>
      <c r="E1389" s="1989">
        <v>3.62</v>
      </c>
      <c r="F1389" s="38">
        <f t="shared" si="21"/>
        <v>294.38288880000005</v>
      </c>
      <c r="G1389" s="459"/>
    </row>
    <row r="1390" spans="1:7" outlineLevel="1" x14ac:dyDescent="0.2">
      <c r="A1390" s="17"/>
      <c r="B1390" s="75"/>
      <c r="C1390" s="1989" t="s">
        <v>816</v>
      </c>
      <c r="D1390" s="1989" t="s">
        <v>817</v>
      </c>
      <c r="E1390" s="1989">
        <v>3.49</v>
      </c>
      <c r="F1390" s="38">
        <f t="shared" si="21"/>
        <v>283.81112760000002</v>
      </c>
      <c r="G1390" s="459"/>
    </row>
    <row r="1391" spans="1:7" outlineLevel="1" x14ac:dyDescent="0.2">
      <c r="A1391" s="17"/>
      <c r="B1391" s="75"/>
      <c r="C1391" s="1989" t="s">
        <v>699</v>
      </c>
      <c r="D1391" s="1989" t="s">
        <v>5718</v>
      </c>
      <c r="E1391" s="1989">
        <v>3.62</v>
      </c>
      <c r="F1391" s="38">
        <f t="shared" si="21"/>
        <v>294.38288880000005</v>
      </c>
      <c r="G1391" s="459"/>
    </row>
    <row r="1392" spans="1:7" outlineLevel="1" x14ac:dyDescent="0.2">
      <c r="A1392" s="17"/>
      <c r="B1392" s="75"/>
      <c r="C1392" s="1989" t="s">
        <v>818</v>
      </c>
      <c r="D1392" s="1989" t="s">
        <v>5719</v>
      </c>
      <c r="E1392" s="1989">
        <v>3.49</v>
      </c>
      <c r="F1392" s="38">
        <f t="shared" si="21"/>
        <v>283.81112760000002</v>
      </c>
      <c r="G1392" s="459"/>
    </row>
    <row r="1393" spans="1:7" outlineLevel="1" x14ac:dyDescent="0.2">
      <c r="A1393" s="17"/>
      <c r="B1393" s="75"/>
      <c r="C1393" s="1989" t="s">
        <v>821</v>
      </c>
      <c r="D1393" s="1989" t="s">
        <v>7716</v>
      </c>
      <c r="E1393" s="1989">
        <v>1.78</v>
      </c>
      <c r="F1393" s="38">
        <f t="shared" si="21"/>
        <v>144.75180720000003</v>
      </c>
      <c r="G1393" s="459"/>
    </row>
    <row r="1394" spans="1:7" outlineLevel="1" x14ac:dyDescent="0.2">
      <c r="A1394" s="17"/>
      <c r="B1394" s="75"/>
      <c r="C1394" s="1989" t="s">
        <v>3307</v>
      </c>
      <c r="D1394" s="1989" t="s">
        <v>3308</v>
      </c>
      <c r="E1394" s="1989">
        <v>13.19</v>
      </c>
      <c r="F1394" s="38">
        <f t="shared" si="21"/>
        <v>1072.6271556000002</v>
      </c>
      <c r="G1394" s="459"/>
    </row>
    <row r="1395" spans="1:7" outlineLevel="1" x14ac:dyDescent="0.2">
      <c r="A1395" s="17"/>
      <c r="B1395" s="75"/>
      <c r="C1395" s="1989" t="s">
        <v>2044</v>
      </c>
      <c r="D1395" s="1989" t="s">
        <v>5720</v>
      </c>
      <c r="E1395" s="1989">
        <v>0.9</v>
      </c>
      <c r="F1395" s="38">
        <f t="shared" si="21"/>
        <v>73.189116000000013</v>
      </c>
      <c r="G1395" s="459"/>
    </row>
    <row r="1396" spans="1:7" outlineLevel="1" x14ac:dyDescent="0.2">
      <c r="A1396" s="17"/>
      <c r="B1396" s="75"/>
      <c r="C1396" s="1989" t="s">
        <v>2045</v>
      </c>
      <c r="D1396" s="1989" t="s">
        <v>7717</v>
      </c>
      <c r="E1396" s="1989">
        <v>0.9</v>
      </c>
      <c r="F1396" s="38">
        <f t="shared" si="21"/>
        <v>73.189116000000013</v>
      </c>
      <c r="G1396" s="459"/>
    </row>
    <row r="1397" spans="1:7" outlineLevel="1" x14ac:dyDescent="0.2">
      <c r="A1397" s="17"/>
      <c r="B1397" s="75"/>
      <c r="C1397" s="1989" t="s">
        <v>1076</v>
      </c>
      <c r="D1397" s="1989" t="s">
        <v>3309</v>
      </c>
      <c r="E1397" s="1989">
        <v>9.65</v>
      </c>
      <c r="F1397" s="38">
        <f t="shared" si="21"/>
        <v>784.74996600000009</v>
      </c>
      <c r="G1397" s="459"/>
    </row>
    <row r="1398" spans="1:7" outlineLevel="1" x14ac:dyDescent="0.2">
      <c r="A1398" s="17"/>
      <c r="B1398" s="75"/>
      <c r="C1398" s="1989" t="s">
        <v>1418</v>
      </c>
      <c r="D1398" s="1989" t="s">
        <v>7718</v>
      </c>
      <c r="E1398" s="1989">
        <v>1.7</v>
      </c>
      <c r="F1398" s="38">
        <f t="shared" si="21"/>
        <v>138.24610800000002</v>
      </c>
      <c r="G1398" s="459"/>
    </row>
    <row r="1399" spans="1:7" outlineLevel="1" x14ac:dyDescent="0.2">
      <c r="A1399" s="17"/>
      <c r="B1399" s="75"/>
      <c r="C1399" s="1989" t="s">
        <v>1419</v>
      </c>
      <c r="D1399" s="1989" t="s">
        <v>3310</v>
      </c>
      <c r="E1399" s="1989">
        <v>1.03</v>
      </c>
      <c r="F1399" s="38">
        <f t="shared" si="21"/>
        <v>83.76087720000001</v>
      </c>
      <c r="G1399" s="459"/>
    </row>
    <row r="1400" spans="1:7" outlineLevel="1" x14ac:dyDescent="0.2">
      <c r="A1400" s="17"/>
      <c r="B1400" s="75"/>
      <c r="C1400" s="1989" t="s">
        <v>2160</v>
      </c>
      <c r="D1400" s="1989" t="s">
        <v>5721</v>
      </c>
      <c r="E1400" s="1989">
        <v>1.03</v>
      </c>
      <c r="F1400" s="38">
        <f t="shared" si="21"/>
        <v>83.76087720000001</v>
      </c>
      <c r="G1400" s="459"/>
    </row>
    <row r="1401" spans="1:7" outlineLevel="1" x14ac:dyDescent="0.2">
      <c r="A1401" s="17"/>
      <c r="B1401" s="75"/>
      <c r="C1401" s="1989" t="s">
        <v>2161</v>
      </c>
      <c r="D1401" s="1989" t="s">
        <v>5722</v>
      </c>
      <c r="E1401" s="1989">
        <v>1.03</v>
      </c>
      <c r="F1401" s="38">
        <f t="shared" si="21"/>
        <v>83.76087720000001</v>
      </c>
      <c r="G1401" s="459"/>
    </row>
    <row r="1402" spans="1:7" outlineLevel="1" x14ac:dyDescent="0.2">
      <c r="A1402" s="17"/>
      <c r="B1402" s="75"/>
      <c r="C1402" s="1989" t="s">
        <v>2162</v>
      </c>
      <c r="D1402" s="1989" t="s">
        <v>3311</v>
      </c>
      <c r="E1402" s="1989">
        <v>1.03</v>
      </c>
      <c r="F1402" s="38">
        <f t="shared" si="21"/>
        <v>83.76087720000001</v>
      </c>
      <c r="G1402" s="459"/>
    </row>
    <row r="1403" spans="1:7" outlineLevel="1" x14ac:dyDescent="0.2">
      <c r="A1403" s="17"/>
      <c r="B1403" s="75"/>
      <c r="C1403" s="1989" t="s">
        <v>700</v>
      </c>
      <c r="D1403" s="1989" t="s">
        <v>5723</v>
      </c>
      <c r="E1403" s="1989">
        <v>3.56</v>
      </c>
      <c r="F1403" s="38">
        <f t="shared" si="21"/>
        <v>289.50361440000006</v>
      </c>
      <c r="G1403" s="459"/>
    </row>
    <row r="1404" spans="1:7" outlineLevel="1" x14ac:dyDescent="0.2">
      <c r="A1404" s="17"/>
      <c r="B1404" s="75"/>
      <c r="C1404" s="1989" t="s">
        <v>466</v>
      </c>
      <c r="D1404" s="1989" t="s">
        <v>467</v>
      </c>
      <c r="E1404" s="1989">
        <v>3.45</v>
      </c>
      <c r="F1404" s="38">
        <f t="shared" si="21"/>
        <v>280.55827799999997</v>
      </c>
      <c r="G1404" s="459"/>
    </row>
    <row r="1405" spans="1:7" outlineLevel="1" x14ac:dyDescent="0.2">
      <c r="A1405" s="17"/>
      <c r="B1405" s="75"/>
      <c r="C1405" s="1989" t="s">
        <v>701</v>
      </c>
      <c r="D1405" s="1989" t="s">
        <v>5724</v>
      </c>
      <c r="E1405" s="1989">
        <v>3.56</v>
      </c>
      <c r="F1405" s="38">
        <f t="shared" si="21"/>
        <v>289.50361440000006</v>
      </c>
      <c r="G1405" s="459"/>
    </row>
    <row r="1406" spans="1:7" outlineLevel="1" x14ac:dyDescent="0.2">
      <c r="A1406" s="17"/>
      <c r="B1406" s="75"/>
      <c r="C1406" s="1989" t="s">
        <v>468</v>
      </c>
      <c r="D1406" s="1989" t="s">
        <v>2198</v>
      </c>
      <c r="E1406" s="1989">
        <v>3.45</v>
      </c>
      <c r="F1406" s="38">
        <f t="shared" si="21"/>
        <v>280.55827799999997</v>
      </c>
      <c r="G1406" s="459"/>
    </row>
    <row r="1407" spans="1:7" outlineLevel="1" x14ac:dyDescent="0.2">
      <c r="A1407" s="17"/>
      <c r="B1407" s="75"/>
      <c r="C1407" s="1989" t="s">
        <v>471</v>
      </c>
      <c r="D1407" s="1989" t="s">
        <v>7719</v>
      </c>
      <c r="E1407" s="1989">
        <v>3.43</v>
      </c>
      <c r="F1407" s="38">
        <f t="shared" si="21"/>
        <v>278.93185319999998</v>
      </c>
      <c r="G1407" s="459"/>
    </row>
    <row r="1408" spans="1:7" outlineLevel="1" x14ac:dyDescent="0.2">
      <c r="A1408" s="17"/>
      <c r="B1408" s="75"/>
      <c r="C1408" s="1989" t="s">
        <v>2676</v>
      </c>
      <c r="D1408" s="1989" t="s">
        <v>5725</v>
      </c>
      <c r="E1408" s="1989">
        <v>3.32</v>
      </c>
      <c r="F1408" s="38">
        <f t="shared" si="21"/>
        <v>269.9865168</v>
      </c>
      <c r="G1408" s="459"/>
    </row>
    <row r="1409" spans="1:252" outlineLevel="1" x14ac:dyDescent="0.2">
      <c r="A1409" s="17"/>
      <c r="B1409" s="75"/>
      <c r="C1409" s="1989" t="s">
        <v>2678</v>
      </c>
      <c r="D1409" s="1989" t="s">
        <v>5726</v>
      </c>
      <c r="E1409" s="1989">
        <v>3.16</v>
      </c>
      <c r="F1409" s="38">
        <f t="shared" si="21"/>
        <v>256.97511839999999</v>
      </c>
      <c r="G1409" s="459"/>
    </row>
    <row r="1410" spans="1:252" outlineLevel="1" x14ac:dyDescent="0.2">
      <c r="A1410" s="17"/>
      <c r="B1410" s="75"/>
      <c r="C1410" s="1989" t="s">
        <v>2695</v>
      </c>
      <c r="D1410" s="1989" t="s">
        <v>5727</v>
      </c>
      <c r="E1410" s="1989">
        <v>3.13</v>
      </c>
      <c r="F1410" s="38">
        <f t="shared" si="21"/>
        <v>254.53548119999999</v>
      </c>
      <c r="G1410" s="459"/>
    </row>
    <row r="1411" spans="1:252" outlineLevel="1" x14ac:dyDescent="0.2">
      <c r="A1411" s="17"/>
      <c r="B1411" s="75"/>
      <c r="C1411" s="1989" t="s">
        <v>1313</v>
      </c>
      <c r="D1411" s="1989" t="s">
        <v>5728</v>
      </c>
      <c r="E1411" s="1989">
        <v>2.2999999999999998</v>
      </c>
      <c r="F1411" s="38">
        <f t="shared" si="21"/>
        <v>187.03885199999999</v>
      </c>
      <c r="G1411" s="459"/>
    </row>
    <row r="1412" spans="1:252" outlineLevel="1" x14ac:dyDescent="0.2">
      <c r="A1412" s="17"/>
      <c r="B1412" s="75"/>
      <c r="C1412" s="1989" t="s">
        <v>2696</v>
      </c>
      <c r="D1412" s="1989" t="s">
        <v>5729</v>
      </c>
      <c r="E1412" s="1989">
        <v>3.13</v>
      </c>
      <c r="F1412" s="38">
        <f t="shared" si="21"/>
        <v>254.53548119999999</v>
      </c>
      <c r="G1412" s="459"/>
    </row>
    <row r="1413" spans="1:252" outlineLevel="1" x14ac:dyDescent="0.2">
      <c r="A1413" s="17"/>
      <c r="B1413" s="75"/>
      <c r="C1413" s="1989" t="s">
        <v>2186</v>
      </c>
      <c r="D1413" s="1989" t="s">
        <v>5730</v>
      </c>
      <c r="E1413" s="1989">
        <v>2.2999999999999998</v>
      </c>
      <c r="F1413" s="38">
        <f t="shared" si="21"/>
        <v>187.03885199999999</v>
      </c>
      <c r="G1413" s="459"/>
    </row>
    <row r="1414" spans="1:252" outlineLevel="1" x14ac:dyDescent="0.2">
      <c r="A1414" s="17"/>
      <c r="B1414" s="75"/>
      <c r="C1414" s="1989" t="s">
        <v>702</v>
      </c>
      <c r="D1414" s="1989" t="s">
        <v>5731</v>
      </c>
      <c r="E1414" s="1989">
        <v>3.52</v>
      </c>
      <c r="F1414" s="38">
        <f t="shared" si="21"/>
        <v>286.25076480000001</v>
      </c>
      <c r="G1414" s="459"/>
    </row>
    <row r="1415" spans="1:252" outlineLevel="1" x14ac:dyDescent="0.2">
      <c r="A1415" s="17"/>
      <c r="B1415" s="75"/>
      <c r="C1415" s="1989" t="s">
        <v>703</v>
      </c>
      <c r="D1415" s="1989" t="s">
        <v>704</v>
      </c>
      <c r="E1415" s="1989">
        <v>3.39</v>
      </c>
      <c r="F1415" s="38">
        <f t="shared" si="21"/>
        <v>275.67900359999999</v>
      </c>
      <c r="G1415" s="459"/>
    </row>
    <row r="1416" spans="1:252" outlineLevel="1" x14ac:dyDescent="0.2">
      <c r="A1416" s="17"/>
      <c r="B1416" s="75"/>
      <c r="C1416" s="1989" t="s">
        <v>705</v>
      </c>
      <c r="D1416" s="1989" t="s">
        <v>5732</v>
      </c>
      <c r="E1416" s="1989">
        <v>2.27</v>
      </c>
      <c r="F1416" s="38">
        <f t="shared" si="21"/>
        <v>184.5992148</v>
      </c>
      <c r="G1416" s="459"/>
      <c r="H1416" s="37"/>
      <c r="L1416" s="37"/>
      <c r="P1416" s="37"/>
      <c r="T1416" s="37"/>
      <c r="X1416" s="801"/>
      <c r="AB1416" s="801"/>
      <c r="AF1416" s="801"/>
      <c r="AJ1416" s="801"/>
      <c r="AN1416" s="801"/>
      <c r="AR1416" s="801"/>
      <c r="AV1416" s="6"/>
      <c r="AZ1416" s="6"/>
      <c r="BD1416" s="6"/>
      <c r="BH1416" s="6"/>
      <c r="BL1416" s="6"/>
      <c r="BP1416" s="6"/>
      <c r="BT1416" s="6"/>
      <c r="BX1416" s="6"/>
      <c r="CB1416" s="6"/>
      <c r="CF1416" s="6"/>
      <c r="CJ1416" s="6"/>
      <c r="CN1416" s="6"/>
      <c r="CR1416" s="6"/>
      <c r="CV1416" s="6"/>
      <c r="CZ1416" s="6"/>
      <c r="DD1416" s="6"/>
      <c r="DH1416" s="6"/>
      <c r="DL1416" s="6"/>
      <c r="DP1416" s="6"/>
      <c r="DT1416" s="6"/>
      <c r="DX1416" s="6"/>
      <c r="EB1416" s="6"/>
      <c r="EF1416" s="6"/>
      <c r="EJ1416" s="6"/>
      <c r="EN1416" s="6"/>
      <c r="ER1416" s="6"/>
      <c r="EV1416" s="6"/>
      <c r="EZ1416" s="6"/>
      <c r="FD1416" s="6"/>
      <c r="FH1416" s="6"/>
      <c r="FL1416" s="6"/>
      <c r="FP1416" s="6"/>
      <c r="FT1416" s="6"/>
      <c r="FX1416" s="6"/>
      <c r="GB1416" s="6"/>
      <c r="GF1416" s="6"/>
      <c r="GJ1416" s="6"/>
      <c r="GN1416" s="6"/>
      <c r="GR1416" s="6"/>
      <c r="GV1416" s="6"/>
      <c r="GZ1416" s="6"/>
      <c r="HD1416" s="6"/>
      <c r="HH1416" s="6"/>
      <c r="HL1416" s="6"/>
      <c r="HP1416" s="6"/>
      <c r="HT1416" s="6"/>
      <c r="HX1416" s="6"/>
      <c r="IB1416" s="6"/>
      <c r="IF1416" s="6"/>
      <c r="IJ1416" s="6"/>
      <c r="IN1416" s="6"/>
      <c r="IR1416" s="6"/>
    </row>
    <row r="1417" spans="1:252" outlineLevel="1" x14ac:dyDescent="0.2">
      <c r="A1417" s="17"/>
      <c r="B1417" s="75"/>
      <c r="C1417" s="1989" t="s">
        <v>1564</v>
      </c>
      <c r="D1417" s="1989" t="s">
        <v>2199</v>
      </c>
      <c r="E1417" s="1989">
        <v>2.21</v>
      </c>
      <c r="F1417" s="38">
        <f t="shared" si="21"/>
        <v>179.71994039999998</v>
      </c>
      <c r="G1417" s="459"/>
    </row>
    <row r="1418" spans="1:252" outlineLevel="1" x14ac:dyDescent="0.2">
      <c r="A1418" s="17"/>
      <c r="B1418" s="75"/>
      <c r="C1418" s="1989" t="s">
        <v>1707</v>
      </c>
      <c r="D1418" s="1989" t="s">
        <v>5733</v>
      </c>
      <c r="E1418" s="1989">
        <v>2.27</v>
      </c>
      <c r="F1418" s="38">
        <f t="shared" si="21"/>
        <v>184.5992148</v>
      </c>
      <c r="G1418" s="459"/>
    </row>
    <row r="1419" spans="1:252" outlineLevel="1" x14ac:dyDescent="0.2">
      <c r="A1419" s="17"/>
      <c r="B1419" s="75"/>
      <c r="C1419" s="1989" t="s">
        <v>1565</v>
      </c>
      <c r="D1419" s="1989" t="s">
        <v>5734</v>
      </c>
      <c r="E1419" s="1989">
        <v>2.21</v>
      </c>
      <c r="F1419" s="38">
        <f t="shared" si="21"/>
        <v>179.71994039999998</v>
      </c>
      <c r="G1419" s="459"/>
    </row>
    <row r="1420" spans="1:252" outlineLevel="1" x14ac:dyDescent="0.2">
      <c r="A1420" s="17"/>
      <c r="B1420" s="75"/>
      <c r="C1420" s="1989" t="s">
        <v>1708</v>
      </c>
      <c r="D1420" s="1989" t="s">
        <v>5735</v>
      </c>
      <c r="E1420" s="1989">
        <v>2.27</v>
      </c>
      <c r="F1420" s="38">
        <f t="shared" si="21"/>
        <v>184.5992148</v>
      </c>
      <c r="G1420" s="459"/>
    </row>
    <row r="1421" spans="1:252" outlineLevel="1" x14ac:dyDescent="0.2">
      <c r="A1421" s="17"/>
      <c r="B1421" s="75"/>
      <c r="C1421" s="1989" t="s">
        <v>1566</v>
      </c>
      <c r="D1421" s="1989" t="s">
        <v>1138</v>
      </c>
      <c r="E1421" s="1989">
        <v>2.21</v>
      </c>
      <c r="F1421" s="38">
        <f t="shared" si="21"/>
        <v>179.71994039999998</v>
      </c>
      <c r="G1421" s="459"/>
    </row>
    <row r="1422" spans="1:252" outlineLevel="1" x14ac:dyDescent="0.2">
      <c r="A1422" s="17"/>
      <c r="B1422" s="75"/>
      <c r="C1422" s="1989" t="s">
        <v>1709</v>
      </c>
      <c r="D1422" s="1989" t="s">
        <v>5736</v>
      </c>
      <c r="E1422" s="1989">
        <v>2.27</v>
      </c>
      <c r="F1422" s="38">
        <f t="shared" si="21"/>
        <v>184.5992148</v>
      </c>
      <c r="G1422" s="459"/>
    </row>
    <row r="1423" spans="1:252" outlineLevel="1" x14ac:dyDescent="0.2">
      <c r="A1423" s="17"/>
      <c r="B1423" s="75"/>
      <c r="C1423" s="1989" t="s">
        <v>1567</v>
      </c>
      <c r="D1423" s="1989" t="s">
        <v>5737</v>
      </c>
      <c r="E1423" s="1989">
        <v>2.21</v>
      </c>
      <c r="F1423" s="38">
        <f t="shared" si="21"/>
        <v>179.71994039999998</v>
      </c>
      <c r="G1423" s="459"/>
    </row>
    <row r="1424" spans="1:252" outlineLevel="1" x14ac:dyDescent="0.2">
      <c r="A1424" s="17"/>
      <c r="B1424" s="75"/>
      <c r="C1424" s="1989" t="s">
        <v>2143</v>
      </c>
      <c r="D1424" s="1989" t="s">
        <v>5738</v>
      </c>
      <c r="E1424" s="1989">
        <v>0.63</v>
      </c>
      <c r="F1424" s="38">
        <f t="shared" si="21"/>
        <v>51.232381200000006</v>
      </c>
      <c r="G1424" s="459"/>
    </row>
    <row r="1425" spans="1:7" outlineLevel="1" x14ac:dyDescent="0.2">
      <c r="A1425" s="17"/>
      <c r="B1425" s="75"/>
      <c r="C1425" s="1989" t="s">
        <v>1715</v>
      </c>
      <c r="D1425" s="1989" t="s">
        <v>5739</v>
      </c>
      <c r="E1425" s="1989">
        <v>0.67</v>
      </c>
      <c r="F1425" s="38">
        <f t="shared" si="21"/>
        <v>54.485230800000011</v>
      </c>
      <c r="G1425" s="459"/>
    </row>
    <row r="1426" spans="1:7" outlineLevel="1" x14ac:dyDescent="0.2">
      <c r="A1426" s="17"/>
      <c r="B1426" s="75"/>
      <c r="C1426" s="1989" t="s">
        <v>2144</v>
      </c>
      <c r="D1426" s="1989" t="s">
        <v>283</v>
      </c>
      <c r="E1426" s="1989">
        <v>0.63</v>
      </c>
      <c r="F1426" s="38">
        <f t="shared" si="21"/>
        <v>51.232381200000006</v>
      </c>
      <c r="G1426" s="459"/>
    </row>
    <row r="1427" spans="1:7" outlineLevel="1" x14ac:dyDescent="0.2">
      <c r="A1427" s="17"/>
      <c r="B1427" s="75"/>
      <c r="C1427" s="1989" t="s">
        <v>1714</v>
      </c>
      <c r="D1427" s="1989" t="s">
        <v>5740</v>
      </c>
      <c r="E1427" s="1989">
        <v>0.67</v>
      </c>
      <c r="F1427" s="38">
        <f t="shared" si="21"/>
        <v>54.485230800000011</v>
      </c>
      <c r="G1427" s="459"/>
    </row>
    <row r="1428" spans="1:7" outlineLevel="1" x14ac:dyDescent="0.2">
      <c r="A1428" s="17"/>
      <c r="B1428" s="75"/>
      <c r="C1428" s="1989" t="s">
        <v>1713</v>
      </c>
      <c r="D1428" s="1989" t="s">
        <v>5741</v>
      </c>
      <c r="E1428" s="1989">
        <v>3.52</v>
      </c>
      <c r="F1428" s="38">
        <f t="shared" si="21"/>
        <v>286.25076480000001</v>
      </c>
      <c r="G1428" s="459"/>
    </row>
    <row r="1429" spans="1:7" outlineLevel="1" x14ac:dyDescent="0.2">
      <c r="A1429" s="17"/>
      <c r="B1429" s="75"/>
      <c r="C1429" s="1989" t="s">
        <v>1710</v>
      </c>
      <c r="D1429" s="1989" t="s">
        <v>5742</v>
      </c>
      <c r="E1429" s="1989">
        <v>3.39</v>
      </c>
      <c r="F1429" s="38">
        <f t="shared" si="21"/>
        <v>275.67900359999999</v>
      </c>
      <c r="G1429" s="459"/>
    </row>
    <row r="1430" spans="1:7" outlineLevel="1" x14ac:dyDescent="0.2">
      <c r="A1430" s="17"/>
      <c r="B1430" s="75"/>
      <c r="C1430" s="1989" t="s">
        <v>1649</v>
      </c>
      <c r="D1430" s="1989" t="s">
        <v>1010</v>
      </c>
      <c r="E1430" s="1989">
        <v>3.67</v>
      </c>
      <c r="F1430" s="38">
        <f t="shared" si="21"/>
        <v>298.44895080000003</v>
      </c>
      <c r="G1430" s="459"/>
    </row>
    <row r="1431" spans="1:7" outlineLevel="1" x14ac:dyDescent="0.2">
      <c r="A1431" s="17"/>
      <c r="B1431" s="75"/>
      <c r="C1431" s="1989" t="s">
        <v>1375</v>
      </c>
      <c r="D1431" s="1989" t="s">
        <v>1376</v>
      </c>
      <c r="E1431" s="1989">
        <v>3.55</v>
      </c>
      <c r="F1431" s="38">
        <f t="shared" si="21"/>
        <v>288.69040200000001</v>
      </c>
      <c r="G1431" s="459"/>
    </row>
    <row r="1432" spans="1:7" outlineLevel="1" x14ac:dyDescent="0.2">
      <c r="A1432" s="17"/>
      <c r="B1432" s="75"/>
      <c r="C1432" s="1989" t="s">
        <v>1379</v>
      </c>
      <c r="D1432" s="1989" t="s">
        <v>5743</v>
      </c>
      <c r="E1432" s="1989">
        <v>3.67</v>
      </c>
      <c r="F1432" s="38">
        <f t="shared" si="21"/>
        <v>298.44895080000003</v>
      </c>
      <c r="G1432" s="459"/>
    </row>
    <row r="1433" spans="1:7" outlineLevel="1" x14ac:dyDescent="0.2">
      <c r="A1433" s="17"/>
      <c r="B1433" s="75"/>
      <c r="C1433" s="1989" t="s">
        <v>1374</v>
      </c>
      <c r="D1433" s="1989" t="s">
        <v>1380</v>
      </c>
      <c r="E1433" s="1989">
        <v>3.55</v>
      </c>
      <c r="F1433" s="38">
        <f t="shared" si="21"/>
        <v>288.69040200000001</v>
      </c>
      <c r="G1433" s="459"/>
    </row>
    <row r="1434" spans="1:7" outlineLevel="1" x14ac:dyDescent="0.2">
      <c r="A1434" s="17"/>
      <c r="B1434" s="75"/>
      <c r="C1434" s="1989" t="s">
        <v>1712</v>
      </c>
      <c r="D1434" s="1989" t="s">
        <v>5744</v>
      </c>
      <c r="E1434" s="1989">
        <v>2.4</v>
      </c>
      <c r="F1434" s="38">
        <f t="shared" si="21"/>
        <v>195.170976</v>
      </c>
      <c r="G1434" s="459"/>
    </row>
    <row r="1435" spans="1:7" outlineLevel="1" x14ac:dyDescent="0.2">
      <c r="A1435" s="17"/>
      <c r="B1435" s="75"/>
      <c r="C1435" s="1989" t="s">
        <v>1378</v>
      </c>
      <c r="D1435" s="1989" t="s">
        <v>1381</v>
      </c>
      <c r="E1435" s="1989">
        <v>2.35</v>
      </c>
      <c r="F1435" s="38">
        <f t="shared" si="21"/>
        <v>191.10491400000001</v>
      </c>
      <c r="G1435" s="459"/>
    </row>
    <row r="1436" spans="1:7" outlineLevel="1" x14ac:dyDescent="0.2">
      <c r="A1436" s="17"/>
      <c r="B1436" s="75"/>
      <c r="C1436" s="1989" t="s">
        <v>1711</v>
      </c>
      <c r="D1436" s="1989" t="s">
        <v>5745</v>
      </c>
      <c r="E1436" s="1989">
        <v>2.4</v>
      </c>
      <c r="F1436" s="38">
        <f t="shared" si="21"/>
        <v>195.170976</v>
      </c>
      <c r="G1436" s="459"/>
    </row>
    <row r="1437" spans="1:7" outlineLevel="1" x14ac:dyDescent="0.2">
      <c r="A1437" s="17"/>
      <c r="B1437" s="75"/>
      <c r="C1437" s="1989" t="s">
        <v>1377</v>
      </c>
      <c r="D1437" s="1989" t="s">
        <v>5746</v>
      </c>
      <c r="E1437" s="1989">
        <v>2.35</v>
      </c>
      <c r="F1437" s="38">
        <f t="shared" si="21"/>
        <v>191.10491400000001</v>
      </c>
      <c r="G1437" s="459"/>
    </row>
    <row r="1438" spans="1:7" outlineLevel="1" x14ac:dyDescent="0.2">
      <c r="A1438" s="17"/>
      <c r="B1438" s="75"/>
      <c r="C1438" s="1989" t="s">
        <v>2727</v>
      </c>
      <c r="D1438" s="1989" t="s">
        <v>5747</v>
      </c>
      <c r="E1438" s="1989">
        <v>6.8</v>
      </c>
      <c r="F1438" s="38">
        <f t="shared" si="21"/>
        <v>552.98443200000008</v>
      </c>
      <c r="G1438" s="459"/>
    </row>
    <row r="1439" spans="1:7" outlineLevel="1" x14ac:dyDescent="0.2">
      <c r="A1439" s="17"/>
      <c r="B1439" s="75"/>
      <c r="C1439" s="1989" t="s">
        <v>3312</v>
      </c>
      <c r="D1439" s="1989" t="s">
        <v>3313</v>
      </c>
      <c r="E1439" s="1989">
        <v>6.62</v>
      </c>
      <c r="F1439" s="38">
        <f t="shared" ref="F1439:F1502" si="22">E1439*$G$4*$J$4</f>
        <v>538.34660880000001</v>
      </c>
      <c r="G1439" s="459"/>
    </row>
    <row r="1440" spans="1:7" outlineLevel="1" x14ac:dyDescent="0.2">
      <c r="A1440" s="17"/>
      <c r="B1440" s="75"/>
      <c r="C1440" s="1989" t="s">
        <v>1149</v>
      </c>
      <c r="D1440" s="1989" t="s">
        <v>5748</v>
      </c>
      <c r="E1440" s="1989">
        <v>2.2400000000000002</v>
      </c>
      <c r="F1440" s="38">
        <f t="shared" si="22"/>
        <v>182.15957760000003</v>
      </c>
      <c r="G1440" s="459"/>
    </row>
    <row r="1441" spans="1:7" outlineLevel="1" x14ac:dyDescent="0.2">
      <c r="A1441" s="17"/>
      <c r="B1441" s="75"/>
      <c r="C1441" s="1989" t="s">
        <v>2180</v>
      </c>
      <c r="D1441" s="1989" t="s">
        <v>5749</v>
      </c>
      <c r="E1441" s="1989">
        <v>2.17</v>
      </c>
      <c r="F1441" s="38">
        <f t="shared" si="22"/>
        <v>176.46709079999999</v>
      </c>
      <c r="G1441" s="459"/>
    </row>
    <row r="1442" spans="1:7" outlineLevel="1" x14ac:dyDescent="0.2">
      <c r="A1442" s="17"/>
      <c r="B1442" s="75"/>
      <c r="C1442" s="1989" t="s">
        <v>1148</v>
      </c>
      <c r="D1442" s="1989" t="s">
        <v>5750</v>
      </c>
      <c r="E1442" s="1989">
        <v>2.2400000000000002</v>
      </c>
      <c r="F1442" s="38">
        <f t="shared" si="22"/>
        <v>182.15957760000003</v>
      </c>
      <c r="G1442" s="459"/>
    </row>
    <row r="1443" spans="1:7" outlineLevel="1" x14ac:dyDescent="0.2">
      <c r="A1443" s="17"/>
      <c r="B1443" s="75"/>
      <c r="C1443" s="1989" t="s">
        <v>2179</v>
      </c>
      <c r="D1443" s="1989" t="s">
        <v>5751</v>
      </c>
      <c r="E1443" s="1989">
        <v>2.17</v>
      </c>
      <c r="F1443" s="38">
        <f t="shared" si="22"/>
        <v>176.46709079999999</v>
      </c>
      <c r="G1443" s="459"/>
    </row>
    <row r="1444" spans="1:7" outlineLevel="1" x14ac:dyDescent="0.2">
      <c r="A1444" s="17"/>
      <c r="B1444" s="75"/>
      <c r="C1444" s="1989" t="s">
        <v>1795</v>
      </c>
      <c r="D1444" s="1989" t="s">
        <v>5752</v>
      </c>
      <c r="E1444" s="1989">
        <v>0.12</v>
      </c>
      <c r="F1444" s="38">
        <f t="shared" si="22"/>
        <v>9.7585487999999998</v>
      </c>
      <c r="G1444" s="459"/>
    </row>
    <row r="1445" spans="1:7" outlineLevel="1" x14ac:dyDescent="0.2">
      <c r="A1445" s="17"/>
      <c r="B1445" s="75"/>
      <c r="C1445" s="1989" t="s">
        <v>2744</v>
      </c>
      <c r="D1445" s="1989" t="s">
        <v>3314</v>
      </c>
      <c r="E1445" s="1989">
        <v>6.76</v>
      </c>
      <c r="F1445" s="38">
        <f t="shared" si="22"/>
        <v>549.73158240000009</v>
      </c>
      <c r="G1445" s="459"/>
    </row>
    <row r="1446" spans="1:7" outlineLevel="1" x14ac:dyDescent="0.2">
      <c r="A1446" s="17"/>
      <c r="B1446" s="75"/>
      <c r="C1446" s="1989" t="s">
        <v>93</v>
      </c>
      <c r="D1446" s="1989" t="s">
        <v>7720</v>
      </c>
      <c r="E1446" s="1989">
        <v>1.53</v>
      </c>
      <c r="F1446" s="38">
        <f t="shared" si="22"/>
        <v>124.4214972</v>
      </c>
      <c r="G1446" s="459"/>
    </row>
    <row r="1447" spans="1:7" outlineLevel="1" x14ac:dyDescent="0.2">
      <c r="A1447" s="17"/>
      <c r="B1447" s="75"/>
      <c r="C1447" s="1989" t="s">
        <v>1067</v>
      </c>
      <c r="D1447" s="1989" t="s">
        <v>5753</v>
      </c>
      <c r="E1447" s="1989">
        <v>2.38</v>
      </c>
      <c r="F1447" s="38">
        <f t="shared" si="22"/>
        <v>193.5445512</v>
      </c>
      <c r="G1447" s="459"/>
    </row>
    <row r="1448" spans="1:7" outlineLevel="1" x14ac:dyDescent="0.2">
      <c r="A1448" s="17"/>
      <c r="B1448" s="75"/>
      <c r="C1448" s="1989" t="s">
        <v>1151</v>
      </c>
      <c r="D1448" s="1989" t="s">
        <v>5754</v>
      </c>
      <c r="E1448" s="1989">
        <v>2.31</v>
      </c>
      <c r="F1448" s="38">
        <f t="shared" si="22"/>
        <v>187.85206439999999</v>
      </c>
      <c r="G1448" s="459"/>
    </row>
    <row r="1449" spans="1:7" outlineLevel="1" x14ac:dyDescent="0.2">
      <c r="A1449" s="17"/>
      <c r="B1449" s="75"/>
      <c r="C1449" s="1989" t="s">
        <v>1152</v>
      </c>
      <c r="D1449" s="1989" t="s">
        <v>5755</v>
      </c>
      <c r="E1449" s="1989">
        <v>2.38</v>
      </c>
      <c r="F1449" s="38">
        <f t="shared" si="22"/>
        <v>193.5445512</v>
      </c>
      <c r="G1449" s="459"/>
    </row>
    <row r="1450" spans="1:7" outlineLevel="1" x14ac:dyDescent="0.2">
      <c r="A1450" s="17"/>
      <c r="B1450" s="75"/>
      <c r="C1450" s="1989" t="s">
        <v>1150</v>
      </c>
      <c r="D1450" s="1989" t="s">
        <v>5756</v>
      </c>
      <c r="E1450" s="1989">
        <v>2.31</v>
      </c>
      <c r="F1450" s="38">
        <f t="shared" si="22"/>
        <v>187.85206439999999</v>
      </c>
      <c r="G1450" s="459"/>
    </row>
    <row r="1451" spans="1:7" outlineLevel="1" x14ac:dyDescent="0.2">
      <c r="A1451" s="17"/>
      <c r="B1451" s="75"/>
      <c r="C1451" s="1989" t="s">
        <v>1853</v>
      </c>
      <c r="D1451" s="1989" t="s">
        <v>5757</v>
      </c>
      <c r="E1451" s="1989">
        <v>0.7</v>
      </c>
      <c r="F1451" s="38">
        <f t="shared" si="22"/>
        <v>56.924868000000004</v>
      </c>
      <c r="G1451" s="459"/>
    </row>
    <row r="1452" spans="1:7" outlineLevel="1" x14ac:dyDescent="0.2">
      <c r="A1452" s="17"/>
      <c r="B1452" s="75"/>
      <c r="C1452" s="1989" t="s">
        <v>1855</v>
      </c>
      <c r="D1452" s="1989" t="s">
        <v>5758</v>
      </c>
      <c r="E1452" s="1989">
        <v>0.73</v>
      </c>
      <c r="F1452" s="38">
        <f t="shared" si="22"/>
        <v>59.364505200000004</v>
      </c>
      <c r="G1452" s="459"/>
    </row>
    <row r="1453" spans="1:7" outlineLevel="1" x14ac:dyDescent="0.2">
      <c r="A1453" s="17"/>
      <c r="B1453" s="75"/>
      <c r="C1453" s="1989" t="s">
        <v>1800</v>
      </c>
      <c r="D1453" s="1989" t="s">
        <v>5759</v>
      </c>
      <c r="E1453" s="1989">
        <v>0.7</v>
      </c>
      <c r="F1453" s="38">
        <f t="shared" si="22"/>
        <v>56.924868000000004</v>
      </c>
      <c r="G1453" s="459"/>
    </row>
    <row r="1454" spans="1:7" outlineLevel="1" x14ac:dyDescent="0.2">
      <c r="A1454" s="17"/>
      <c r="B1454" s="75"/>
      <c r="C1454" s="1989" t="s">
        <v>1854</v>
      </c>
      <c r="D1454" s="1989" t="s">
        <v>5760</v>
      </c>
      <c r="E1454" s="1989">
        <v>0.73</v>
      </c>
      <c r="F1454" s="38">
        <f t="shared" si="22"/>
        <v>59.364505200000004</v>
      </c>
      <c r="G1454" s="459"/>
    </row>
    <row r="1455" spans="1:7" outlineLevel="1" x14ac:dyDescent="0.2">
      <c r="A1455" s="17"/>
      <c r="B1455" s="75"/>
      <c r="C1455" s="1989" t="s">
        <v>1797</v>
      </c>
      <c r="D1455" s="1989" t="s">
        <v>5761</v>
      </c>
      <c r="E1455" s="1989">
        <v>0.64</v>
      </c>
      <c r="F1455" s="38">
        <f t="shared" si="22"/>
        <v>52.045593600000004</v>
      </c>
      <c r="G1455" s="459"/>
    </row>
    <row r="1456" spans="1:7" outlineLevel="1" x14ac:dyDescent="0.2">
      <c r="A1456" s="17"/>
      <c r="B1456" s="75"/>
      <c r="C1456" s="1989" t="s">
        <v>1799</v>
      </c>
      <c r="D1456" s="1989" t="s">
        <v>7721</v>
      </c>
      <c r="E1456" s="1989">
        <v>0.67</v>
      </c>
      <c r="F1456" s="38">
        <f t="shared" si="22"/>
        <v>54.485230800000011</v>
      </c>
      <c r="G1456" s="459"/>
    </row>
    <row r="1457" spans="1:7" outlineLevel="1" x14ac:dyDescent="0.2">
      <c r="A1457" s="17"/>
      <c r="B1457" s="75"/>
      <c r="C1457" s="1989" t="s">
        <v>1796</v>
      </c>
      <c r="D1457" s="1989" t="s">
        <v>5762</v>
      </c>
      <c r="E1457" s="1989">
        <v>0.64</v>
      </c>
      <c r="F1457" s="38">
        <f t="shared" si="22"/>
        <v>52.045593600000004</v>
      </c>
      <c r="G1457" s="459"/>
    </row>
    <row r="1458" spans="1:7" outlineLevel="1" x14ac:dyDescent="0.2">
      <c r="A1458" s="17"/>
      <c r="B1458" s="75"/>
      <c r="C1458" s="1989" t="s">
        <v>1798</v>
      </c>
      <c r="D1458" s="1989" t="s">
        <v>5763</v>
      </c>
      <c r="E1458" s="1989">
        <v>0.67</v>
      </c>
      <c r="F1458" s="38">
        <f t="shared" si="22"/>
        <v>54.485230800000011</v>
      </c>
      <c r="G1458" s="459"/>
    </row>
    <row r="1459" spans="1:7" outlineLevel="1" x14ac:dyDescent="0.2">
      <c r="A1459" s="17"/>
      <c r="B1459" s="75"/>
      <c r="C1459" s="1989" t="s">
        <v>2087</v>
      </c>
      <c r="D1459" s="1989" t="s">
        <v>320</v>
      </c>
      <c r="E1459" s="1989">
        <v>0.66</v>
      </c>
      <c r="F1459" s="38">
        <f t="shared" si="22"/>
        <v>53.672018400000006</v>
      </c>
      <c r="G1459" s="459"/>
    </row>
    <row r="1460" spans="1:7" outlineLevel="1" x14ac:dyDescent="0.2">
      <c r="A1460" s="17"/>
      <c r="B1460" s="75"/>
      <c r="C1460" s="1989" t="s">
        <v>397</v>
      </c>
      <c r="D1460" s="1989" t="s">
        <v>5764</v>
      </c>
      <c r="E1460" s="1989">
        <v>0.7</v>
      </c>
      <c r="F1460" s="38">
        <f t="shared" si="22"/>
        <v>56.924868000000004</v>
      </c>
      <c r="G1460" s="459"/>
    </row>
    <row r="1461" spans="1:7" outlineLevel="1" x14ac:dyDescent="0.2">
      <c r="A1461" s="17"/>
      <c r="B1461" s="75"/>
      <c r="C1461" s="1989" t="s">
        <v>1771</v>
      </c>
      <c r="D1461" s="1989" t="s">
        <v>5765</v>
      </c>
      <c r="E1461" s="1989">
        <v>0.66</v>
      </c>
      <c r="F1461" s="38">
        <f t="shared" si="22"/>
        <v>53.672018400000006</v>
      </c>
      <c r="G1461" s="459"/>
    </row>
    <row r="1462" spans="1:7" outlineLevel="1" x14ac:dyDescent="0.2">
      <c r="A1462" s="17"/>
      <c r="B1462" s="75"/>
      <c r="C1462" s="1989" t="s">
        <v>398</v>
      </c>
      <c r="D1462" s="1989" t="s">
        <v>5766</v>
      </c>
      <c r="E1462" s="1989">
        <v>0.7</v>
      </c>
      <c r="F1462" s="38">
        <f t="shared" si="22"/>
        <v>56.924868000000004</v>
      </c>
      <c r="G1462" s="459"/>
    </row>
    <row r="1463" spans="1:7" outlineLevel="1" x14ac:dyDescent="0.2">
      <c r="A1463" s="17"/>
      <c r="B1463" s="75"/>
      <c r="C1463" s="1989" t="s">
        <v>1770</v>
      </c>
      <c r="D1463" s="1989" t="s">
        <v>321</v>
      </c>
      <c r="E1463" s="1989">
        <v>0.66</v>
      </c>
      <c r="F1463" s="38">
        <f t="shared" si="22"/>
        <v>53.672018400000006</v>
      </c>
      <c r="G1463" s="459"/>
    </row>
    <row r="1464" spans="1:7" outlineLevel="1" x14ac:dyDescent="0.2">
      <c r="A1464" s="17"/>
      <c r="B1464" s="75"/>
      <c r="C1464" s="1989" t="s">
        <v>399</v>
      </c>
      <c r="D1464" s="1989" t="s">
        <v>5767</v>
      </c>
      <c r="E1464" s="1989">
        <v>0.67</v>
      </c>
      <c r="F1464" s="38">
        <f t="shared" si="22"/>
        <v>54.485230800000011</v>
      </c>
      <c r="G1464" s="459"/>
    </row>
    <row r="1465" spans="1:7" outlineLevel="1" x14ac:dyDescent="0.2">
      <c r="A1465" s="17"/>
      <c r="B1465" s="75"/>
      <c r="C1465" s="1989" t="s">
        <v>1769</v>
      </c>
      <c r="D1465" s="1989" t="s">
        <v>5768</v>
      </c>
      <c r="E1465" s="1989">
        <v>0.66</v>
      </c>
      <c r="F1465" s="38">
        <f t="shared" si="22"/>
        <v>53.672018400000006</v>
      </c>
      <c r="G1465" s="459"/>
    </row>
    <row r="1466" spans="1:7" outlineLevel="1" x14ac:dyDescent="0.2">
      <c r="A1466" s="17"/>
      <c r="B1466" s="75"/>
      <c r="C1466" s="1989" t="s">
        <v>400</v>
      </c>
      <c r="D1466" s="1989" t="s">
        <v>5769</v>
      </c>
      <c r="E1466" s="1989">
        <v>0.67</v>
      </c>
      <c r="F1466" s="38">
        <f t="shared" si="22"/>
        <v>54.485230800000011</v>
      </c>
      <c r="G1466" s="459"/>
    </row>
    <row r="1467" spans="1:7" outlineLevel="1" x14ac:dyDescent="0.2">
      <c r="A1467" s="17"/>
      <c r="B1467" s="75"/>
      <c r="C1467" s="1989" t="s">
        <v>401</v>
      </c>
      <c r="D1467" s="1989" t="s">
        <v>5770</v>
      </c>
      <c r="E1467" s="1989">
        <v>2.31</v>
      </c>
      <c r="F1467" s="38">
        <f t="shared" si="22"/>
        <v>187.85206439999999</v>
      </c>
      <c r="G1467" s="459"/>
    </row>
    <row r="1468" spans="1:7" outlineLevel="1" x14ac:dyDescent="0.2">
      <c r="A1468" s="17"/>
      <c r="B1468" s="75"/>
      <c r="C1468" s="1989" t="s">
        <v>2225</v>
      </c>
      <c r="D1468" s="1989" t="s">
        <v>5771</v>
      </c>
      <c r="E1468" s="1989">
        <v>2.25</v>
      </c>
      <c r="F1468" s="38">
        <f t="shared" si="22"/>
        <v>182.97279</v>
      </c>
      <c r="G1468" s="459"/>
    </row>
    <row r="1469" spans="1:7" outlineLevel="1" x14ac:dyDescent="0.2">
      <c r="A1469" s="17"/>
      <c r="B1469" s="75"/>
      <c r="C1469" s="1989" t="s">
        <v>402</v>
      </c>
      <c r="D1469" s="1989" t="s">
        <v>5772</v>
      </c>
      <c r="E1469" s="1989">
        <v>2.31</v>
      </c>
      <c r="F1469" s="38">
        <f t="shared" si="22"/>
        <v>187.85206439999999</v>
      </c>
      <c r="G1469" s="459"/>
    </row>
    <row r="1470" spans="1:7" outlineLevel="1" x14ac:dyDescent="0.2">
      <c r="A1470" s="17"/>
      <c r="B1470" s="75"/>
      <c r="C1470" s="1989" t="s">
        <v>1768</v>
      </c>
      <c r="D1470" s="1989" t="s">
        <v>322</v>
      </c>
      <c r="E1470" s="1989">
        <v>2.25</v>
      </c>
      <c r="F1470" s="38">
        <f t="shared" si="22"/>
        <v>182.97279</v>
      </c>
      <c r="G1470" s="459"/>
    </row>
    <row r="1471" spans="1:7" outlineLevel="1" x14ac:dyDescent="0.2">
      <c r="A1471" s="17"/>
      <c r="B1471" s="75"/>
      <c r="C1471" s="1989" t="s">
        <v>2223</v>
      </c>
      <c r="D1471" s="1989" t="s">
        <v>7722</v>
      </c>
      <c r="E1471" s="1989">
        <v>2.93</v>
      </c>
      <c r="F1471" s="38">
        <f t="shared" si="22"/>
        <v>238.27123320000001</v>
      </c>
      <c r="G1471" s="459"/>
    </row>
    <row r="1472" spans="1:7" outlineLevel="1" x14ac:dyDescent="0.2">
      <c r="A1472" s="17"/>
      <c r="B1472" s="75"/>
      <c r="C1472" s="1989" t="s">
        <v>2224</v>
      </c>
      <c r="D1472" s="1989" t="s">
        <v>7723</v>
      </c>
      <c r="E1472" s="1989">
        <v>2.93</v>
      </c>
      <c r="F1472" s="38">
        <f t="shared" si="22"/>
        <v>238.27123320000001</v>
      </c>
      <c r="G1472" s="459"/>
    </row>
    <row r="1473" spans="1:7" outlineLevel="1" x14ac:dyDescent="0.2">
      <c r="A1473" s="17"/>
      <c r="B1473" s="75"/>
      <c r="C1473" s="1989" t="s">
        <v>3984</v>
      </c>
      <c r="D1473" s="1989" t="s">
        <v>7724</v>
      </c>
      <c r="E1473" s="1989">
        <v>1.1200000000000001</v>
      </c>
      <c r="F1473" s="38">
        <f t="shared" si="22"/>
        <v>91.079788800000017</v>
      </c>
      <c r="G1473" s="459"/>
    </row>
    <row r="1474" spans="1:7" outlineLevel="1" x14ac:dyDescent="0.2">
      <c r="A1474" s="17"/>
      <c r="B1474" s="75"/>
      <c r="C1474" s="1989" t="s">
        <v>3140</v>
      </c>
      <c r="D1474" s="1989" t="s">
        <v>7725</v>
      </c>
      <c r="E1474" s="1989">
        <v>0.13</v>
      </c>
      <c r="F1474" s="38">
        <f t="shared" si="22"/>
        <v>10.571761200000001</v>
      </c>
      <c r="G1474" s="459"/>
    </row>
    <row r="1475" spans="1:7" outlineLevel="1" x14ac:dyDescent="0.2">
      <c r="A1475" s="17"/>
      <c r="B1475" s="75"/>
      <c r="C1475" s="1989" t="s">
        <v>3141</v>
      </c>
      <c r="D1475" s="1989" t="s">
        <v>7726</v>
      </c>
      <c r="E1475" s="1989">
        <v>0.14000000000000001</v>
      </c>
      <c r="F1475" s="38">
        <f t="shared" si="22"/>
        <v>11.384973600000002</v>
      </c>
      <c r="G1475" s="459"/>
    </row>
    <row r="1476" spans="1:7" outlineLevel="1" x14ac:dyDescent="0.2">
      <c r="A1476" s="17"/>
      <c r="B1476" s="75"/>
      <c r="C1476" s="1989" t="s">
        <v>1569</v>
      </c>
      <c r="D1476" s="1989" t="s">
        <v>278</v>
      </c>
      <c r="E1476" s="1989">
        <v>3.29</v>
      </c>
      <c r="F1476" s="38">
        <f t="shared" si="22"/>
        <v>267.54687960000001</v>
      </c>
      <c r="G1476" s="459"/>
    </row>
    <row r="1477" spans="1:7" outlineLevel="1" x14ac:dyDescent="0.2">
      <c r="A1477" s="17"/>
      <c r="B1477" s="75"/>
      <c r="C1477" s="1989" t="s">
        <v>279</v>
      </c>
      <c r="D1477" s="1989" t="s">
        <v>280</v>
      </c>
      <c r="E1477" s="1989">
        <v>3.21</v>
      </c>
      <c r="F1477" s="38">
        <f t="shared" si="22"/>
        <v>261.04118040000003</v>
      </c>
      <c r="G1477" s="459"/>
    </row>
    <row r="1478" spans="1:7" outlineLevel="1" x14ac:dyDescent="0.2">
      <c r="A1478" s="17"/>
      <c r="B1478" s="75"/>
      <c r="C1478" s="1989" t="s">
        <v>1570</v>
      </c>
      <c r="D1478" s="1989" t="s">
        <v>5773</v>
      </c>
      <c r="E1478" s="1989">
        <v>3.29</v>
      </c>
      <c r="F1478" s="38">
        <f t="shared" si="22"/>
        <v>267.54687960000001</v>
      </c>
      <c r="G1478" s="459"/>
    </row>
    <row r="1479" spans="1:7" outlineLevel="1" x14ac:dyDescent="0.2">
      <c r="A1479" s="17"/>
      <c r="B1479" s="75"/>
      <c r="C1479" s="1989" t="s">
        <v>281</v>
      </c>
      <c r="D1479" s="1989" t="s">
        <v>282</v>
      </c>
      <c r="E1479" s="1989">
        <v>3.21</v>
      </c>
      <c r="F1479" s="38">
        <f t="shared" si="22"/>
        <v>261.04118040000003</v>
      </c>
      <c r="G1479" s="459"/>
    </row>
    <row r="1480" spans="1:7" outlineLevel="1" x14ac:dyDescent="0.2">
      <c r="A1480" s="17"/>
      <c r="B1480" s="75"/>
      <c r="C1480" s="1989" t="s">
        <v>3985</v>
      </c>
      <c r="D1480" s="1989" t="s">
        <v>7727</v>
      </c>
      <c r="E1480" s="1989">
        <v>0.41</v>
      </c>
      <c r="F1480" s="38">
        <f t="shared" si="22"/>
        <v>33.341708400000002</v>
      </c>
      <c r="G1480" s="459"/>
    </row>
    <row r="1481" spans="1:7" outlineLevel="1" x14ac:dyDescent="0.2">
      <c r="A1481" s="17"/>
      <c r="B1481" s="75"/>
      <c r="C1481" s="1989" t="s">
        <v>2640</v>
      </c>
      <c r="D1481" s="1989" t="s">
        <v>7728</v>
      </c>
      <c r="E1481" s="1989">
        <v>0</v>
      </c>
      <c r="F1481" s="38">
        <f t="shared" si="22"/>
        <v>0</v>
      </c>
      <c r="G1481" s="459"/>
    </row>
    <row r="1482" spans="1:7" outlineLevel="1" x14ac:dyDescent="0.2">
      <c r="A1482" s="17"/>
      <c r="B1482" s="75"/>
      <c r="C1482" s="1989" t="s">
        <v>2213</v>
      </c>
      <c r="D1482" s="1989" t="s">
        <v>3986</v>
      </c>
      <c r="E1482" s="1989">
        <v>4.9800000000000004</v>
      </c>
      <c r="F1482" s="38">
        <f t="shared" si="22"/>
        <v>404.97977520000001</v>
      </c>
      <c r="G1482" s="459"/>
    </row>
    <row r="1483" spans="1:7" outlineLevel="1" x14ac:dyDescent="0.2">
      <c r="A1483" s="17"/>
      <c r="B1483" s="75"/>
      <c r="C1483" s="1989" t="s">
        <v>2220</v>
      </c>
      <c r="D1483" s="1989" t="s">
        <v>3987</v>
      </c>
      <c r="E1483" s="1989">
        <v>5.32</v>
      </c>
      <c r="F1483" s="38">
        <f t="shared" si="22"/>
        <v>432.62899680000004</v>
      </c>
      <c r="G1483" s="459"/>
    </row>
    <row r="1484" spans="1:7" outlineLevel="1" x14ac:dyDescent="0.2">
      <c r="A1484" s="17"/>
      <c r="B1484" s="75"/>
      <c r="C1484" s="1989" t="s">
        <v>2221</v>
      </c>
      <c r="D1484" s="1989" t="s">
        <v>7729</v>
      </c>
      <c r="E1484" s="1989">
        <v>5.66</v>
      </c>
      <c r="F1484" s="38">
        <f t="shared" si="22"/>
        <v>460.27821840000001</v>
      </c>
      <c r="G1484" s="459"/>
    </row>
    <row r="1485" spans="1:7" outlineLevel="1" x14ac:dyDescent="0.2">
      <c r="A1485" s="17"/>
      <c r="B1485" s="75"/>
      <c r="C1485" s="1989" t="s">
        <v>1443</v>
      </c>
      <c r="D1485" s="1989" t="s">
        <v>3988</v>
      </c>
      <c r="E1485" s="1989">
        <v>4.9800000000000004</v>
      </c>
      <c r="F1485" s="38">
        <f t="shared" si="22"/>
        <v>404.97977520000001</v>
      </c>
      <c r="G1485" s="459"/>
    </row>
    <row r="1486" spans="1:7" outlineLevel="1" x14ac:dyDescent="0.2">
      <c r="A1486" s="17"/>
      <c r="B1486" s="75"/>
      <c r="C1486" s="1989" t="s">
        <v>1444</v>
      </c>
      <c r="D1486" s="1989" t="s">
        <v>3989</v>
      </c>
      <c r="E1486" s="1989">
        <v>4.9800000000000004</v>
      </c>
      <c r="F1486" s="38">
        <f t="shared" si="22"/>
        <v>404.97977520000001</v>
      </c>
      <c r="G1486" s="459"/>
    </row>
    <row r="1487" spans="1:7" outlineLevel="1" x14ac:dyDescent="0.2">
      <c r="A1487" s="17"/>
      <c r="B1487" s="75"/>
      <c r="C1487" s="1989" t="s">
        <v>1445</v>
      </c>
      <c r="D1487" s="1989" t="s">
        <v>3990</v>
      </c>
      <c r="E1487" s="1989">
        <v>6.57</v>
      </c>
      <c r="F1487" s="38">
        <f t="shared" si="22"/>
        <v>534.28054680000002</v>
      </c>
      <c r="G1487" s="459"/>
    </row>
    <row r="1488" spans="1:7" outlineLevel="1" x14ac:dyDescent="0.2">
      <c r="A1488" s="17"/>
      <c r="B1488" s="75"/>
      <c r="C1488" s="1989" t="s">
        <v>1129</v>
      </c>
      <c r="D1488" s="1989" t="s">
        <v>3991</v>
      </c>
      <c r="E1488" s="1989">
        <v>6.02</v>
      </c>
      <c r="F1488" s="38">
        <f t="shared" si="22"/>
        <v>489.55386479999999</v>
      </c>
      <c r="G1488" s="459"/>
    </row>
    <row r="1489" spans="1:7" outlineLevel="1" x14ac:dyDescent="0.2">
      <c r="A1489" s="17"/>
      <c r="B1489" s="75"/>
      <c r="C1489" s="1989" t="s">
        <v>1169</v>
      </c>
      <c r="D1489" s="1989" t="s">
        <v>7730</v>
      </c>
      <c r="E1489" s="1989">
        <v>16.350000000000001</v>
      </c>
      <c r="F1489" s="38">
        <f t="shared" si="22"/>
        <v>1329.6022740000001</v>
      </c>
      <c r="G1489" s="459"/>
    </row>
    <row r="1490" spans="1:7" outlineLevel="1" x14ac:dyDescent="0.2">
      <c r="A1490" s="17"/>
      <c r="B1490" s="75"/>
      <c r="C1490" s="1989" t="s">
        <v>2645</v>
      </c>
      <c r="D1490" s="1989" t="s">
        <v>7731</v>
      </c>
      <c r="E1490" s="1989">
        <v>0</v>
      </c>
      <c r="F1490" s="38">
        <f t="shared" si="22"/>
        <v>0</v>
      </c>
      <c r="G1490" s="459"/>
    </row>
    <row r="1491" spans="1:7" outlineLevel="1" x14ac:dyDescent="0.2">
      <c r="A1491" s="17"/>
      <c r="B1491" s="75"/>
      <c r="C1491" s="1989" t="s">
        <v>1663</v>
      </c>
      <c r="D1491" s="1989" t="s">
        <v>7732</v>
      </c>
      <c r="E1491" s="1989">
        <v>0.24</v>
      </c>
      <c r="F1491" s="38">
        <f t="shared" si="22"/>
        <v>19.5170976</v>
      </c>
      <c r="G1491" s="459"/>
    </row>
    <row r="1492" spans="1:7" outlineLevel="1" x14ac:dyDescent="0.2">
      <c r="A1492" s="17"/>
      <c r="B1492" s="75"/>
      <c r="C1492" s="1989" t="s">
        <v>6733</v>
      </c>
      <c r="D1492" s="1989" t="s">
        <v>7733</v>
      </c>
      <c r="E1492" s="1989">
        <v>8.85</v>
      </c>
      <c r="F1492" s="38">
        <f t="shared" si="22"/>
        <v>719.69297400000005</v>
      </c>
      <c r="G1492" s="459"/>
    </row>
    <row r="1493" spans="1:7" outlineLevel="1" x14ac:dyDescent="0.2">
      <c r="A1493" s="17"/>
      <c r="B1493" s="75"/>
      <c r="C1493" s="1989" t="s">
        <v>1063</v>
      </c>
      <c r="D1493" s="1989" t="s">
        <v>5774</v>
      </c>
      <c r="E1493" s="1989">
        <v>0.18</v>
      </c>
      <c r="F1493" s="38">
        <f t="shared" si="22"/>
        <v>14.637823200000001</v>
      </c>
      <c r="G1493" s="459"/>
    </row>
    <row r="1494" spans="1:7" outlineLevel="1" x14ac:dyDescent="0.2">
      <c r="A1494" s="17"/>
      <c r="B1494" s="75"/>
      <c r="C1494" s="1989" t="s">
        <v>812</v>
      </c>
      <c r="D1494" s="1989" t="s">
        <v>7734</v>
      </c>
      <c r="E1494" s="1989">
        <v>0.61</v>
      </c>
      <c r="F1494" s="38">
        <f t="shared" si="22"/>
        <v>49.605956400000004</v>
      </c>
      <c r="G1494" s="459"/>
    </row>
    <row r="1495" spans="1:7" outlineLevel="1" x14ac:dyDescent="0.2">
      <c r="A1495" s="17"/>
      <c r="B1495" s="75"/>
      <c r="C1495" s="1989" t="s">
        <v>813</v>
      </c>
      <c r="D1495" s="1989" t="s">
        <v>7735</v>
      </c>
      <c r="E1495" s="1989">
        <v>0.61</v>
      </c>
      <c r="F1495" s="38">
        <f t="shared" si="22"/>
        <v>49.605956400000004</v>
      </c>
      <c r="G1495" s="459"/>
    </row>
    <row r="1496" spans="1:7" outlineLevel="1" x14ac:dyDescent="0.2">
      <c r="A1496" s="17"/>
      <c r="B1496" s="75"/>
      <c r="C1496" s="1989" t="s">
        <v>6734</v>
      </c>
      <c r="D1496" s="1989" t="s">
        <v>7736</v>
      </c>
      <c r="E1496" s="1989">
        <v>9.86</v>
      </c>
      <c r="F1496" s="38">
        <f t="shared" si="22"/>
        <v>801.82742640000004</v>
      </c>
      <c r="G1496" s="459"/>
    </row>
    <row r="1497" spans="1:7" outlineLevel="1" x14ac:dyDescent="0.2">
      <c r="A1497" s="17"/>
      <c r="B1497" s="75"/>
      <c r="C1497" s="1989" t="s">
        <v>1316</v>
      </c>
      <c r="D1497" s="1989" t="s">
        <v>7737</v>
      </c>
      <c r="E1497" s="1989">
        <v>0.19</v>
      </c>
      <c r="F1497" s="38">
        <f t="shared" si="22"/>
        <v>15.451035599999999</v>
      </c>
      <c r="G1497" s="459"/>
    </row>
    <row r="1498" spans="1:7" outlineLevel="1" x14ac:dyDescent="0.2">
      <c r="A1498" s="17"/>
      <c r="B1498" s="75"/>
      <c r="C1498" s="1989" t="s">
        <v>2682</v>
      </c>
      <c r="D1498" s="1989" t="s">
        <v>7738</v>
      </c>
      <c r="E1498" s="1989">
        <v>0.87</v>
      </c>
      <c r="F1498" s="38">
        <f t="shared" si="22"/>
        <v>70.749478800000006</v>
      </c>
      <c r="G1498" s="459"/>
    </row>
    <row r="1499" spans="1:7" outlineLevel="1" x14ac:dyDescent="0.2">
      <c r="A1499" s="17"/>
      <c r="B1499" s="75"/>
      <c r="C1499" s="1989" t="s">
        <v>2686</v>
      </c>
      <c r="D1499" s="1989" t="s">
        <v>7739</v>
      </c>
      <c r="E1499" s="1989">
        <v>0.24</v>
      </c>
      <c r="F1499" s="38">
        <f t="shared" si="22"/>
        <v>19.5170976</v>
      </c>
      <c r="G1499" s="459"/>
    </row>
    <row r="1500" spans="1:7" outlineLevel="1" x14ac:dyDescent="0.2">
      <c r="A1500" s="17"/>
      <c r="B1500" s="75"/>
      <c r="C1500" s="1989" t="s">
        <v>2979</v>
      </c>
      <c r="D1500" s="1989" t="s">
        <v>2980</v>
      </c>
      <c r="E1500" s="1989">
        <v>0.3</v>
      </c>
      <c r="F1500" s="38">
        <f t="shared" si="22"/>
        <v>24.396372</v>
      </c>
      <c r="G1500" s="459"/>
    </row>
    <row r="1501" spans="1:7" outlineLevel="1" x14ac:dyDescent="0.2">
      <c r="A1501" s="17"/>
      <c r="B1501" s="75"/>
      <c r="C1501" s="1989" t="s">
        <v>3992</v>
      </c>
      <c r="D1501" s="1989" t="s">
        <v>5775</v>
      </c>
      <c r="E1501" s="1989">
        <v>5.94</v>
      </c>
      <c r="F1501" s="38">
        <f t="shared" si="22"/>
        <v>483.04816560000006</v>
      </c>
      <c r="G1501" s="459"/>
    </row>
    <row r="1502" spans="1:7" outlineLevel="1" x14ac:dyDescent="0.2">
      <c r="A1502" s="17"/>
      <c r="B1502" s="75"/>
      <c r="C1502" s="1989" t="s">
        <v>3993</v>
      </c>
      <c r="D1502" s="1989" t="s">
        <v>5776</v>
      </c>
      <c r="E1502" s="1989">
        <v>5.94</v>
      </c>
      <c r="F1502" s="38">
        <f t="shared" si="22"/>
        <v>483.04816560000006</v>
      </c>
      <c r="G1502" s="459"/>
    </row>
    <row r="1503" spans="1:7" outlineLevel="1" x14ac:dyDescent="0.2">
      <c r="A1503" s="17"/>
      <c r="B1503" s="75"/>
      <c r="C1503" s="1989" t="s">
        <v>1555</v>
      </c>
      <c r="D1503" s="1989" t="s">
        <v>873</v>
      </c>
      <c r="E1503" s="1989">
        <v>13.51</v>
      </c>
      <c r="F1503" s="38">
        <f t="shared" ref="F1503:F1566" si="23">E1503*$G$4*$J$4</f>
        <v>1098.6499524000001</v>
      </c>
      <c r="G1503" s="459"/>
    </row>
    <row r="1504" spans="1:7" outlineLevel="1" x14ac:dyDescent="0.2">
      <c r="A1504" s="17"/>
      <c r="B1504" s="75"/>
      <c r="C1504" s="1989" t="s">
        <v>1556</v>
      </c>
      <c r="D1504" s="1989" t="s">
        <v>305</v>
      </c>
      <c r="E1504" s="1989">
        <v>13.78</v>
      </c>
      <c r="F1504" s="38">
        <f t="shared" si="23"/>
        <v>1120.6066871999999</v>
      </c>
      <c r="G1504" s="459"/>
    </row>
    <row r="1505" spans="1:7" outlineLevel="1" x14ac:dyDescent="0.2">
      <c r="A1505" s="17"/>
      <c r="B1505" s="75"/>
      <c r="C1505" s="1989" t="s">
        <v>1557</v>
      </c>
      <c r="D1505" s="1989" t="s">
        <v>1682</v>
      </c>
      <c r="E1505" s="1989">
        <v>12.99</v>
      </c>
      <c r="F1505" s="38">
        <f t="shared" si="23"/>
        <v>1056.3629076</v>
      </c>
      <c r="G1505" s="459"/>
    </row>
    <row r="1506" spans="1:7" outlineLevel="1" x14ac:dyDescent="0.2">
      <c r="A1506" s="17"/>
      <c r="B1506" s="75"/>
      <c r="C1506" s="1989" t="s">
        <v>1558</v>
      </c>
      <c r="D1506" s="1989" t="s">
        <v>306</v>
      </c>
      <c r="E1506" s="1989">
        <v>13.25</v>
      </c>
      <c r="F1506" s="38">
        <f t="shared" si="23"/>
        <v>1077.5064299999999</v>
      </c>
      <c r="G1506" s="459"/>
    </row>
    <row r="1507" spans="1:7" outlineLevel="1" x14ac:dyDescent="0.2">
      <c r="A1507" s="17"/>
      <c r="B1507" s="75"/>
      <c r="C1507" s="1989" t="s">
        <v>1559</v>
      </c>
      <c r="D1507" s="1989" t="s">
        <v>382</v>
      </c>
      <c r="E1507" s="1989">
        <v>12.99</v>
      </c>
      <c r="F1507" s="38">
        <f t="shared" si="23"/>
        <v>1056.3629076</v>
      </c>
      <c r="G1507" s="459"/>
    </row>
    <row r="1508" spans="1:7" outlineLevel="1" x14ac:dyDescent="0.2">
      <c r="A1508" s="17"/>
      <c r="B1508" s="75"/>
      <c r="C1508" s="1989" t="s">
        <v>1560</v>
      </c>
      <c r="D1508" s="1989" t="s">
        <v>383</v>
      </c>
      <c r="E1508" s="1989">
        <v>14.75</v>
      </c>
      <c r="F1508" s="38">
        <f t="shared" si="23"/>
        <v>1199.48829</v>
      </c>
      <c r="G1508" s="459"/>
    </row>
    <row r="1509" spans="1:7" outlineLevel="1" x14ac:dyDescent="0.2">
      <c r="A1509" s="17"/>
      <c r="B1509" s="75"/>
      <c r="C1509" s="1989" t="s">
        <v>1561</v>
      </c>
      <c r="D1509" s="1989" t="s">
        <v>384</v>
      </c>
      <c r="E1509" s="1989">
        <v>12.99</v>
      </c>
      <c r="F1509" s="38">
        <f t="shared" si="23"/>
        <v>1056.3629076</v>
      </c>
      <c r="G1509" s="459"/>
    </row>
    <row r="1510" spans="1:7" outlineLevel="1" x14ac:dyDescent="0.2">
      <c r="A1510" s="17"/>
      <c r="B1510" s="75"/>
      <c r="C1510" s="1989" t="s">
        <v>1562</v>
      </c>
      <c r="D1510" s="1989" t="s">
        <v>1262</v>
      </c>
      <c r="E1510" s="1989">
        <v>12.99</v>
      </c>
      <c r="F1510" s="38">
        <f t="shared" si="23"/>
        <v>1056.3629076</v>
      </c>
      <c r="G1510" s="459"/>
    </row>
    <row r="1511" spans="1:7" outlineLevel="1" x14ac:dyDescent="0.2">
      <c r="A1511" s="17"/>
      <c r="B1511" s="75"/>
      <c r="C1511" s="1989" t="s">
        <v>1806</v>
      </c>
      <c r="D1511" s="1989" t="s">
        <v>7740</v>
      </c>
      <c r="E1511" s="1989">
        <v>16.350000000000001</v>
      </c>
      <c r="F1511" s="38">
        <f t="shared" si="23"/>
        <v>1329.6022740000001</v>
      </c>
      <c r="G1511" s="459"/>
    </row>
    <row r="1512" spans="1:7" outlineLevel="1" x14ac:dyDescent="0.2">
      <c r="A1512" s="17"/>
      <c r="B1512" s="75"/>
      <c r="C1512" s="1989" t="s">
        <v>1563</v>
      </c>
      <c r="D1512" s="1989" t="s">
        <v>5777</v>
      </c>
      <c r="E1512" s="1989">
        <v>11.36</v>
      </c>
      <c r="F1512" s="38">
        <f t="shared" si="23"/>
        <v>923.80928640000002</v>
      </c>
      <c r="G1512" s="459"/>
    </row>
    <row r="1513" spans="1:7" outlineLevel="1" x14ac:dyDescent="0.2">
      <c r="A1513" s="17"/>
      <c r="B1513" s="75"/>
      <c r="C1513" s="1989" t="s">
        <v>2136</v>
      </c>
      <c r="D1513" s="1989" t="s">
        <v>5778</v>
      </c>
      <c r="E1513" s="1989">
        <v>8.99</v>
      </c>
      <c r="F1513" s="38">
        <f t="shared" si="23"/>
        <v>731.07794760000002</v>
      </c>
      <c r="G1513" s="459"/>
    </row>
    <row r="1514" spans="1:7" outlineLevel="1" x14ac:dyDescent="0.2">
      <c r="A1514" s="17"/>
      <c r="B1514" s="75"/>
      <c r="C1514" s="1989" t="s">
        <v>2137</v>
      </c>
      <c r="D1514" s="1989" t="s">
        <v>5779</v>
      </c>
      <c r="E1514" s="1989">
        <v>8.99</v>
      </c>
      <c r="F1514" s="38">
        <f t="shared" si="23"/>
        <v>731.07794760000002</v>
      </c>
      <c r="G1514" s="459"/>
    </row>
    <row r="1515" spans="1:7" outlineLevel="1" x14ac:dyDescent="0.2">
      <c r="A1515" s="17"/>
      <c r="B1515" s="75"/>
      <c r="C1515" s="1989" t="s">
        <v>2138</v>
      </c>
      <c r="D1515" s="1989" t="s">
        <v>5780</v>
      </c>
      <c r="E1515" s="1989">
        <v>8.99</v>
      </c>
      <c r="F1515" s="38">
        <f t="shared" si="23"/>
        <v>731.07794760000002</v>
      </c>
      <c r="G1515" s="459"/>
    </row>
    <row r="1516" spans="1:7" outlineLevel="1" x14ac:dyDescent="0.2">
      <c r="A1516" s="17"/>
      <c r="B1516" s="75"/>
      <c r="C1516" s="1989" t="s">
        <v>2139</v>
      </c>
      <c r="D1516" s="1989" t="s">
        <v>5781</v>
      </c>
      <c r="E1516" s="1989">
        <v>8.85</v>
      </c>
      <c r="F1516" s="38">
        <f t="shared" si="23"/>
        <v>719.69297400000005</v>
      </c>
      <c r="G1516" s="459"/>
    </row>
    <row r="1517" spans="1:7" outlineLevel="1" x14ac:dyDescent="0.2">
      <c r="A1517" s="17"/>
      <c r="B1517" s="75"/>
      <c r="C1517" s="1989" t="s">
        <v>2140</v>
      </c>
      <c r="D1517" s="1989" t="s">
        <v>5782</v>
      </c>
      <c r="E1517" s="1989">
        <v>9.1199999999999992</v>
      </c>
      <c r="F1517" s="38">
        <f t="shared" si="23"/>
        <v>741.64970879999998</v>
      </c>
      <c r="G1517" s="459"/>
    </row>
    <row r="1518" spans="1:7" outlineLevel="1" x14ac:dyDescent="0.2">
      <c r="A1518" s="17"/>
      <c r="B1518" s="75"/>
      <c r="C1518" s="1989" t="s">
        <v>2141</v>
      </c>
      <c r="D1518" s="1989" t="s">
        <v>5783</v>
      </c>
      <c r="E1518" s="1989">
        <v>9.3699999999999992</v>
      </c>
      <c r="F1518" s="38">
        <f t="shared" si="23"/>
        <v>761.98001879999993</v>
      </c>
      <c r="G1518" s="459"/>
    </row>
    <row r="1519" spans="1:7" outlineLevel="1" x14ac:dyDescent="0.2">
      <c r="A1519" s="17"/>
      <c r="B1519" s="75"/>
      <c r="C1519" s="1989" t="s">
        <v>2142</v>
      </c>
      <c r="D1519" s="1989" t="s">
        <v>5784</v>
      </c>
      <c r="E1519" s="1989">
        <v>9.86</v>
      </c>
      <c r="F1519" s="38">
        <f t="shared" si="23"/>
        <v>801.82742640000004</v>
      </c>
      <c r="G1519" s="459"/>
    </row>
    <row r="1520" spans="1:7" outlineLevel="1" x14ac:dyDescent="0.2">
      <c r="A1520" s="17"/>
      <c r="B1520" s="75"/>
      <c r="C1520" s="1989" t="s">
        <v>208</v>
      </c>
      <c r="D1520" s="1989" t="s">
        <v>5785</v>
      </c>
      <c r="E1520" s="1989">
        <v>19.75</v>
      </c>
      <c r="F1520" s="38">
        <f t="shared" si="23"/>
        <v>1606.0944900000002</v>
      </c>
      <c r="G1520" s="459"/>
    </row>
    <row r="1521" spans="1:7" outlineLevel="1" x14ac:dyDescent="0.2">
      <c r="A1521" s="17"/>
      <c r="B1521" s="75"/>
      <c r="C1521" s="1989" t="s">
        <v>209</v>
      </c>
      <c r="D1521" s="1989" t="s">
        <v>5786</v>
      </c>
      <c r="E1521" s="1989">
        <v>19.75</v>
      </c>
      <c r="F1521" s="38">
        <f t="shared" si="23"/>
        <v>1606.0944900000002</v>
      </c>
      <c r="G1521" s="459"/>
    </row>
    <row r="1522" spans="1:7" outlineLevel="1" x14ac:dyDescent="0.2">
      <c r="A1522" s="17"/>
      <c r="B1522" s="75"/>
      <c r="C1522" s="1989" t="s">
        <v>210</v>
      </c>
      <c r="D1522" s="1989" t="s">
        <v>5787</v>
      </c>
      <c r="E1522" s="1989">
        <v>19.75</v>
      </c>
      <c r="F1522" s="38">
        <f t="shared" si="23"/>
        <v>1606.0944900000002</v>
      </c>
      <c r="G1522" s="459"/>
    </row>
    <row r="1523" spans="1:7" outlineLevel="1" x14ac:dyDescent="0.2">
      <c r="A1523" s="17"/>
      <c r="B1523" s="75"/>
      <c r="C1523" s="1989" t="s">
        <v>1365</v>
      </c>
      <c r="D1523" s="1989" t="s">
        <v>5788</v>
      </c>
      <c r="E1523" s="1989">
        <v>19.75</v>
      </c>
      <c r="F1523" s="38">
        <f t="shared" si="23"/>
        <v>1606.0944900000002</v>
      </c>
      <c r="G1523" s="459"/>
    </row>
    <row r="1524" spans="1:7" outlineLevel="1" x14ac:dyDescent="0.2">
      <c r="A1524" s="17"/>
      <c r="B1524" s="75"/>
      <c r="C1524" s="1989" t="s">
        <v>1366</v>
      </c>
      <c r="D1524" s="1989" t="s">
        <v>5789</v>
      </c>
      <c r="E1524" s="1989">
        <v>20.010000000000002</v>
      </c>
      <c r="F1524" s="38">
        <f t="shared" si="23"/>
        <v>1627.2380124000001</v>
      </c>
      <c r="G1524" s="459"/>
    </row>
    <row r="1525" spans="1:7" outlineLevel="1" x14ac:dyDescent="0.2">
      <c r="A1525" s="17"/>
      <c r="B1525" s="75"/>
      <c r="C1525" s="1989" t="s">
        <v>1367</v>
      </c>
      <c r="D1525" s="1989" t="s">
        <v>5790</v>
      </c>
      <c r="E1525" s="1989">
        <v>20.27</v>
      </c>
      <c r="F1525" s="38">
        <f t="shared" si="23"/>
        <v>1648.3815348000001</v>
      </c>
      <c r="G1525" s="459"/>
    </row>
    <row r="1526" spans="1:7" outlineLevel="1" x14ac:dyDescent="0.2">
      <c r="A1526" s="17"/>
      <c r="B1526" s="75"/>
      <c r="C1526" s="1989" t="s">
        <v>1368</v>
      </c>
      <c r="D1526" s="1989" t="s">
        <v>5791</v>
      </c>
      <c r="E1526" s="1989">
        <v>20.53</v>
      </c>
      <c r="F1526" s="38">
        <f t="shared" si="23"/>
        <v>1669.5250572</v>
      </c>
      <c r="G1526" s="459"/>
    </row>
    <row r="1527" spans="1:7" outlineLevel="1" x14ac:dyDescent="0.2">
      <c r="A1527" s="17"/>
      <c r="B1527" s="75"/>
      <c r="C1527" s="1989" t="s">
        <v>4577</v>
      </c>
      <c r="D1527" s="1989" t="s">
        <v>5792</v>
      </c>
      <c r="E1527" s="1989">
        <v>0</v>
      </c>
      <c r="F1527" s="38">
        <f t="shared" si="23"/>
        <v>0</v>
      </c>
      <c r="G1527" s="459"/>
    </row>
    <row r="1528" spans="1:7" outlineLevel="1" x14ac:dyDescent="0.2">
      <c r="A1528" s="17"/>
      <c r="B1528" s="75"/>
      <c r="C1528" s="1989" t="s">
        <v>1369</v>
      </c>
      <c r="D1528" s="1989" t="s">
        <v>5793</v>
      </c>
      <c r="E1528" s="1989">
        <v>21.5</v>
      </c>
      <c r="F1528" s="38">
        <f t="shared" si="23"/>
        <v>1748.4066600000001</v>
      </c>
      <c r="G1528" s="459"/>
    </row>
    <row r="1529" spans="1:7" outlineLevel="1" x14ac:dyDescent="0.2">
      <c r="A1529" s="17"/>
      <c r="B1529" s="75"/>
      <c r="C1529" s="1989" t="s">
        <v>3994</v>
      </c>
      <c r="D1529" s="1989" t="s">
        <v>5794</v>
      </c>
      <c r="E1529" s="1989">
        <v>5.94</v>
      </c>
      <c r="F1529" s="38">
        <f t="shared" si="23"/>
        <v>483.04816560000006</v>
      </c>
      <c r="G1529" s="459"/>
    </row>
    <row r="1530" spans="1:7" outlineLevel="1" x14ac:dyDescent="0.2">
      <c r="A1530" s="17"/>
      <c r="B1530" s="75"/>
      <c r="C1530" s="1989" t="s">
        <v>3995</v>
      </c>
      <c r="D1530" s="1989" t="s">
        <v>5795</v>
      </c>
      <c r="E1530" s="1989">
        <v>6.2</v>
      </c>
      <c r="F1530" s="38">
        <f t="shared" si="23"/>
        <v>504.191688</v>
      </c>
      <c r="G1530" s="459"/>
    </row>
    <row r="1531" spans="1:7" outlineLevel="1" x14ac:dyDescent="0.2">
      <c r="A1531" s="17"/>
      <c r="B1531" s="75"/>
      <c r="C1531" s="1989" t="s">
        <v>6735</v>
      </c>
      <c r="D1531" s="1989" t="s">
        <v>7741</v>
      </c>
      <c r="E1531" s="1989">
        <v>0</v>
      </c>
      <c r="F1531" s="38">
        <f t="shared" si="23"/>
        <v>0</v>
      </c>
      <c r="G1531" s="459"/>
    </row>
    <row r="1532" spans="1:7" outlineLevel="1" x14ac:dyDescent="0.2">
      <c r="A1532" s="17"/>
      <c r="B1532" s="75"/>
      <c r="C1532" s="1989" t="s">
        <v>3996</v>
      </c>
      <c r="D1532" s="1989" t="s">
        <v>5796</v>
      </c>
      <c r="E1532" s="1989">
        <v>10.3</v>
      </c>
      <c r="F1532" s="38">
        <f t="shared" si="23"/>
        <v>837.60877200000016</v>
      </c>
      <c r="G1532" s="459"/>
    </row>
    <row r="1533" spans="1:7" outlineLevel="1" x14ac:dyDescent="0.2">
      <c r="A1533" s="17"/>
      <c r="B1533" s="75"/>
      <c r="C1533" s="1989" t="s">
        <v>6736</v>
      </c>
      <c r="D1533" s="1989" t="s">
        <v>7742</v>
      </c>
      <c r="E1533" s="1989">
        <v>9.1199999999999992</v>
      </c>
      <c r="F1533" s="38">
        <f t="shared" si="23"/>
        <v>741.64970879999998</v>
      </c>
      <c r="G1533" s="459"/>
    </row>
    <row r="1534" spans="1:7" outlineLevel="1" x14ac:dyDescent="0.2">
      <c r="A1534" s="17"/>
      <c r="B1534" s="75"/>
      <c r="C1534" s="1989" t="s">
        <v>3997</v>
      </c>
      <c r="D1534" s="1989" t="s">
        <v>5797</v>
      </c>
      <c r="E1534" s="1989">
        <v>6.07</v>
      </c>
      <c r="F1534" s="38">
        <f t="shared" si="23"/>
        <v>493.61992680000003</v>
      </c>
      <c r="G1534" s="459"/>
    </row>
    <row r="1535" spans="1:7" outlineLevel="1" x14ac:dyDescent="0.2">
      <c r="A1535" s="17"/>
      <c r="B1535" s="75"/>
      <c r="C1535" s="1989" t="s">
        <v>3998</v>
      </c>
      <c r="D1535" s="1989" t="s">
        <v>5798</v>
      </c>
      <c r="E1535" s="1989">
        <v>7.38</v>
      </c>
      <c r="F1535" s="38">
        <f t="shared" si="23"/>
        <v>600.15075120000006</v>
      </c>
      <c r="G1535" s="459"/>
    </row>
    <row r="1536" spans="1:7" outlineLevel="1" x14ac:dyDescent="0.2">
      <c r="A1536" s="17"/>
      <c r="B1536" s="75"/>
      <c r="C1536" s="1989" t="s">
        <v>6737</v>
      </c>
      <c r="D1536" s="1989" t="s">
        <v>7743</v>
      </c>
      <c r="E1536" s="1989">
        <v>9.3699999999999992</v>
      </c>
      <c r="F1536" s="38">
        <f t="shared" si="23"/>
        <v>761.98001879999993</v>
      </c>
      <c r="G1536" s="459"/>
    </row>
    <row r="1537" spans="1:7" outlineLevel="1" x14ac:dyDescent="0.2">
      <c r="A1537" s="17"/>
      <c r="B1537" s="75"/>
      <c r="C1537" s="1989" t="s">
        <v>3999</v>
      </c>
      <c r="D1537" s="1989" t="s">
        <v>5799</v>
      </c>
      <c r="E1537" s="1989">
        <v>6.32</v>
      </c>
      <c r="F1537" s="38">
        <f t="shared" si="23"/>
        <v>513.95023679999997</v>
      </c>
      <c r="G1537" s="459"/>
    </row>
    <row r="1538" spans="1:7" outlineLevel="1" x14ac:dyDescent="0.2">
      <c r="A1538" s="17"/>
      <c r="B1538" s="75"/>
      <c r="C1538" s="1989" t="s">
        <v>323</v>
      </c>
      <c r="D1538" s="1989" t="s">
        <v>5800</v>
      </c>
      <c r="E1538" s="1989">
        <v>24.78</v>
      </c>
      <c r="F1538" s="38">
        <f t="shared" si="23"/>
        <v>2015.1403272000002</v>
      </c>
      <c r="G1538" s="459"/>
    </row>
    <row r="1539" spans="1:7" outlineLevel="1" x14ac:dyDescent="0.2">
      <c r="A1539" s="17"/>
      <c r="B1539" s="75"/>
      <c r="C1539" s="1989" t="s">
        <v>964</v>
      </c>
      <c r="D1539" s="1989" t="s">
        <v>5801</v>
      </c>
      <c r="E1539" s="1989">
        <v>24.52</v>
      </c>
      <c r="F1539" s="38">
        <f t="shared" si="23"/>
        <v>1993.9968048000001</v>
      </c>
      <c r="G1539" s="459"/>
    </row>
    <row r="1540" spans="1:7" outlineLevel="1" x14ac:dyDescent="0.2">
      <c r="A1540" s="17"/>
      <c r="B1540" s="75"/>
      <c r="C1540" s="1989" t="s">
        <v>316</v>
      </c>
      <c r="D1540" s="1989" t="s">
        <v>5802</v>
      </c>
      <c r="E1540" s="1989">
        <v>25.76</v>
      </c>
      <c r="F1540" s="38">
        <f t="shared" si="23"/>
        <v>2094.8351424000002</v>
      </c>
      <c r="G1540" s="459"/>
    </row>
    <row r="1541" spans="1:7" outlineLevel="1" x14ac:dyDescent="0.2">
      <c r="A1541" s="17"/>
      <c r="B1541" s="75"/>
      <c r="C1541" s="1989" t="s">
        <v>2090</v>
      </c>
      <c r="D1541" s="1989" t="s">
        <v>5803</v>
      </c>
      <c r="E1541" s="1989">
        <v>28.36</v>
      </c>
      <c r="F1541" s="38">
        <f t="shared" si="23"/>
        <v>2306.2703664000001</v>
      </c>
      <c r="G1541" s="459"/>
    </row>
    <row r="1542" spans="1:7" outlineLevel="1" x14ac:dyDescent="0.2">
      <c r="A1542" s="17"/>
      <c r="B1542" s="75"/>
      <c r="C1542" s="1989" t="s">
        <v>2091</v>
      </c>
      <c r="D1542" s="1989" t="s">
        <v>5804</v>
      </c>
      <c r="E1542" s="1989">
        <v>29.32</v>
      </c>
      <c r="F1542" s="38">
        <f t="shared" si="23"/>
        <v>2384.3387567999998</v>
      </c>
      <c r="G1542" s="459"/>
    </row>
    <row r="1543" spans="1:7" outlineLevel="1" x14ac:dyDescent="0.2">
      <c r="A1543" s="17"/>
      <c r="B1543" s="75"/>
      <c r="C1543" s="1989" t="s">
        <v>324</v>
      </c>
      <c r="D1543" s="1989" t="s">
        <v>5805</v>
      </c>
      <c r="E1543" s="1989">
        <v>31.92</v>
      </c>
      <c r="F1543" s="38">
        <f t="shared" si="23"/>
        <v>2595.7739808000001</v>
      </c>
      <c r="G1543" s="459"/>
    </row>
    <row r="1544" spans="1:7" outlineLevel="1" x14ac:dyDescent="0.2">
      <c r="A1544" s="17"/>
      <c r="B1544" s="75"/>
      <c r="C1544" s="1989" t="s">
        <v>2096</v>
      </c>
      <c r="D1544" s="1989" t="s">
        <v>5806</v>
      </c>
      <c r="E1544" s="1989">
        <v>34.520000000000003</v>
      </c>
      <c r="F1544" s="38">
        <f t="shared" si="23"/>
        <v>2807.2092048</v>
      </c>
      <c r="G1544" s="459"/>
    </row>
    <row r="1545" spans="1:7" outlineLevel="1" x14ac:dyDescent="0.2">
      <c r="A1545" s="17"/>
      <c r="B1545" s="75"/>
      <c r="C1545" s="1989" t="s">
        <v>980</v>
      </c>
      <c r="D1545" s="1989" t="s">
        <v>981</v>
      </c>
      <c r="E1545" s="1989">
        <v>2.69</v>
      </c>
      <c r="F1545" s="38">
        <f t="shared" si="23"/>
        <v>218.75413560000001</v>
      </c>
      <c r="G1545" s="459"/>
    </row>
    <row r="1546" spans="1:7" outlineLevel="1" x14ac:dyDescent="0.2">
      <c r="A1546" s="17"/>
      <c r="B1546" s="75"/>
      <c r="C1546" s="1989" t="s">
        <v>979</v>
      </c>
      <c r="D1546" s="1989" t="s">
        <v>5807</v>
      </c>
      <c r="E1546" s="1989">
        <v>2.69</v>
      </c>
      <c r="F1546" s="38">
        <f t="shared" si="23"/>
        <v>218.75413560000001</v>
      </c>
      <c r="G1546" s="459"/>
    </row>
    <row r="1547" spans="1:7" outlineLevel="1" x14ac:dyDescent="0.2">
      <c r="A1547" s="17"/>
      <c r="B1547" s="75"/>
      <c r="C1547" s="1989" t="s">
        <v>146</v>
      </c>
      <c r="D1547" s="1989" t="s">
        <v>4578</v>
      </c>
      <c r="E1547" s="1989">
        <v>3.02</v>
      </c>
      <c r="F1547" s="38">
        <f t="shared" si="23"/>
        <v>245.59014479999999</v>
      </c>
      <c r="G1547" s="459"/>
    </row>
    <row r="1548" spans="1:7" outlineLevel="1" x14ac:dyDescent="0.2">
      <c r="A1548" s="17"/>
      <c r="B1548" s="75"/>
      <c r="C1548" s="1989" t="s">
        <v>147</v>
      </c>
      <c r="D1548" s="1989" t="s">
        <v>5808</v>
      </c>
      <c r="E1548" s="1989">
        <v>3.02</v>
      </c>
      <c r="F1548" s="38">
        <f t="shared" si="23"/>
        <v>245.59014479999999</v>
      </c>
      <c r="G1548" s="459"/>
    </row>
    <row r="1549" spans="1:7" outlineLevel="1" x14ac:dyDescent="0.2">
      <c r="A1549" s="17"/>
      <c r="B1549" s="75"/>
      <c r="C1549" s="1989" t="s">
        <v>4000</v>
      </c>
      <c r="D1549" s="1989" t="s">
        <v>7744</v>
      </c>
      <c r="E1549" s="1989">
        <v>2.69</v>
      </c>
      <c r="F1549" s="38">
        <f t="shared" si="23"/>
        <v>218.75413560000001</v>
      </c>
      <c r="G1549" s="459"/>
    </row>
    <row r="1550" spans="1:7" outlineLevel="1" x14ac:dyDescent="0.2">
      <c r="A1550" s="17"/>
      <c r="B1550" s="75"/>
      <c r="C1550" s="1989" t="s">
        <v>4001</v>
      </c>
      <c r="D1550" s="1989" t="s">
        <v>7745</v>
      </c>
      <c r="E1550" s="1989">
        <v>2.69</v>
      </c>
      <c r="F1550" s="38">
        <f t="shared" si="23"/>
        <v>218.75413560000001</v>
      </c>
      <c r="G1550" s="459"/>
    </row>
    <row r="1551" spans="1:7" outlineLevel="1" x14ac:dyDescent="0.2">
      <c r="A1551" s="17"/>
      <c r="B1551" s="75"/>
      <c r="C1551" s="1989" t="s">
        <v>977</v>
      </c>
      <c r="D1551" s="1989" t="s">
        <v>5809</v>
      </c>
      <c r="E1551" s="1989">
        <v>2.9</v>
      </c>
      <c r="F1551" s="38">
        <f t="shared" si="23"/>
        <v>235.83159600000002</v>
      </c>
      <c r="G1551" s="459"/>
    </row>
    <row r="1552" spans="1:7" outlineLevel="1" x14ac:dyDescent="0.2">
      <c r="A1552" s="17"/>
      <c r="B1552" s="75"/>
      <c r="C1552" s="1989" t="s">
        <v>978</v>
      </c>
      <c r="D1552" s="1989" t="s">
        <v>4579</v>
      </c>
      <c r="E1552" s="1989">
        <v>2.9</v>
      </c>
      <c r="F1552" s="38">
        <f t="shared" si="23"/>
        <v>235.83159600000002</v>
      </c>
      <c r="G1552" s="459"/>
    </row>
    <row r="1553" spans="1:7" outlineLevel="1" x14ac:dyDescent="0.2">
      <c r="A1553" s="17"/>
      <c r="B1553" s="75"/>
      <c r="C1553" s="1989" t="s">
        <v>148</v>
      </c>
      <c r="D1553" s="1989" t="s">
        <v>5810</v>
      </c>
      <c r="E1553" s="1989">
        <v>2.67</v>
      </c>
      <c r="F1553" s="38">
        <f t="shared" si="23"/>
        <v>217.12771079999999</v>
      </c>
      <c r="G1553" s="459"/>
    </row>
    <row r="1554" spans="1:7" outlineLevel="1" x14ac:dyDescent="0.2">
      <c r="A1554" s="17"/>
      <c r="B1554" s="75"/>
      <c r="C1554" s="1989" t="s">
        <v>149</v>
      </c>
      <c r="D1554" s="1989" t="s">
        <v>4002</v>
      </c>
      <c r="E1554" s="1989">
        <v>2.67</v>
      </c>
      <c r="F1554" s="38">
        <f t="shared" si="23"/>
        <v>217.12771079999999</v>
      </c>
      <c r="G1554" s="459"/>
    </row>
    <row r="1555" spans="1:7" outlineLevel="1" x14ac:dyDescent="0.2">
      <c r="A1555" s="17"/>
      <c r="B1555" s="75"/>
      <c r="C1555" s="1989" t="s">
        <v>150</v>
      </c>
      <c r="D1555" s="1989" t="s">
        <v>5811</v>
      </c>
      <c r="E1555" s="1989">
        <v>3.26</v>
      </c>
      <c r="F1555" s="38">
        <f t="shared" si="23"/>
        <v>265.10724239999996</v>
      </c>
      <c r="G1555" s="459"/>
    </row>
    <row r="1556" spans="1:7" outlineLevel="1" x14ac:dyDescent="0.2">
      <c r="A1556" s="17"/>
      <c r="B1556" s="75"/>
      <c r="C1556" s="1989" t="s">
        <v>151</v>
      </c>
      <c r="D1556" s="1989" t="s">
        <v>4580</v>
      </c>
      <c r="E1556" s="1989">
        <v>3.26</v>
      </c>
      <c r="F1556" s="38">
        <f t="shared" si="23"/>
        <v>265.10724239999996</v>
      </c>
      <c r="G1556" s="459"/>
    </row>
    <row r="1557" spans="1:7" outlineLevel="1" x14ac:dyDescent="0.2">
      <c r="A1557" s="17"/>
      <c r="B1557" s="75"/>
      <c r="C1557" s="1989" t="s">
        <v>2981</v>
      </c>
      <c r="D1557" s="1989" t="s">
        <v>5812</v>
      </c>
      <c r="E1557" s="1989">
        <v>2.3199999999999998</v>
      </c>
      <c r="F1557" s="38">
        <f t="shared" si="23"/>
        <v>188.66527679999999</v>
      </c>
      <c r="G1557" s="459"/>
    </row>
    <row r="1558" spans="1:7" outlineLevel="1" x14ac:dyDescent="0.2">
      <c r="A1558" s="17"/>
      <c r="B1558" s="75"/>
      <c r="C1558" s="1989" t="s">
        <v>2982</v>
      </c>
      <c r="D1558" s="1989" t="s">
        <v>4581</v>
      </c>
      <c r="E1558" s="1989">
        <v>2.3199999999999998</v>
      </c>
      <c r="F1558" s="38">
        <f t="shared" si="23"/>
        <v>188.66527679999999</v>
      </c>
      <c r="G1558" s="459"/>
    </row>
    <row r="1559" spans="1:7" outlineLevel="1" x14ac:dyDescent="0.2">
      <c r="B1559" s="28"/>
      <c r="C1559" s="1989" t="s">
        <v>4003</v>
      </c>
      <c r="D1559" s="1989" t="s">
        <v>7746</v>
      </c>
      <c r="E1559" s="1989">
        <v>2.76</v>
      </c>
      <c r="F1559" s="38">
        <f t="shared" si="23"/>
        <v>224.4466224</v>
      </c>
      <c r="G1559" s="459"/>
    </row>
    <row r="1560" spans="1:7" outlineLevel="1" x14ac:dyDescent="0.2">
      <c r="B1560" s="28"/>
      <c r="C1560" s="1989" t="s">
        <v>4004</v>
      </c>
      <c r="D1560" s="1989" t="s">
        <v>7747</v>
      </c>
      <c r="E1560" s="1989">
        <v>2.76</v>
      </c>
      <c r="F1560" s="38">
        <f t="shared" si="23"/>
        <v>224.4466224</v>
      </c>
      <c r="G1560" s="459"/>
    </row>
    <row r="1561" spans="1:7" outlineLevel="1" x14ac:dyDescent="0.2">
      <c r="B1561" s="28"/>
      <c r="C1561" s="1989" t="s">
        <v>4005</v>
      </c>
      <c r="D1561" s="1989" t="s">
        <v>7748</v>
      </c>
      <c r="E1561" s="1989">
        <v>2.82</v>
      </c>
      <c r="F1561" s="38">
        <f t="shared" si="23"/>
        <v>229.32589680000001</v>
      </c>
      <c r="G1561" s="459"/>
    </row>
    <row r="1562" spans="1:7" outlineLevel="1" x14ac:dyDescent="0.2">
      <c r="B1562" s="28"/>
      <c r="C1562" s="1989" t="s">
        <v>4006</v>
      </c>
      <c r="D1562" s="1989" t="s">
        <v>7749</v>
      </c>
      <c r="E1562" s="1989">
        <v>2.82</v>
      </c>
      <c r="F1562" s="38">
        <f t="shared" si="23"/>
        <v>229.32589680000001</v>
      </c>
      <c r="G1562" s="459"/>
    </row>
    <row r="1563" spans="1:7" outlineLevel="1" x14ac:dyDescent="0.2">
      <c r="B1563" s="28"/>
      <c r="C1563" s="1989" t="s">
        <v>152</v>
      </c>
      <c r="D1563" s="1989" t="s">
        <v>5813</v>
      </c>
      <c r="E1563" s="1989">
        <v>3.5</v>
      </c>
      <c r="F1563" s="38">
        <f t="shared" si="23"/>
        <v>284.62434000000002</v>
      </c>
      <c r="G1563" s="459"/>
    </row>
    <row r="1564" spans="1:7" outlineLevel="1" x14ac:dyDescent="0.2">
      <c r="B1564" s="28"/>
      <c r="C1564" s="1989" t="s">
        <v>153</v>
      </c>
      <c r="D1564" s="1989" t="s">
        <v>5814</v>
      </c>
      <c r="E1564" s="1989">
        <v>3.5</v>
      </c>
      <c r="F1564" s="38">
        <f t="shared" si="23"/>
        <v>284.62434000000002</v>
      </c>
      <c r="G1564" s="459"/>
    </row>
    <row r="1565" spans="1:7" outlineLevel="1" x14ac:dyDescent="0.2">
      <c r="B1565" s="28"/>
      <c r="C1565" s="1989" t="s">
        <v>1357</v>
      </c>
      <c r="D1565" s="1989" t="s">
        <v>5815</v>
      </c>
      <c r="E1565" s="1989">
        <v>3.71</v>
      </c>
      <c r="F1565" s="38">
        <f t="shared" si="23"/>
        <v>301.70180040000002</v>
      </c>
      <c r="G1565" s="459"/>
    </row>
    <row r="1566" spans="1:7" outlineLevel="1" x14ac:dyDescent="0.2">
      <c r="B1566" s="28"/>
      <c r="C1566" s="1989" t="s">
        <v>1356</v>
      </c>
      <c r="D1566" s="1989" t="s">
        <v>5816</v>
      </c>
      <c r="E1566" s="1989">
        <v>3.71</v>
      </c>
      <c r="F1566" s="38">
        <f t="shared" si="23"/>
        <v>301.70180040000002</v>
      </c>
      <c r="G1566" s="459"/>
    </row>
    <row r="1567" spans="1:7" outlineLevel="1" x14ac:dyDescent="0.2">
      <c r="B1567" s="28"/>
      <c r="C1567" s="1989" t="s">
        <v>1355</v>
      </c>
      <c r="D1567" s="1989" t="s">
        <v>5817</v>
      </c>
      <c r="E1567" s="1989">
        <v>3.76</v>
      </c>
      <c r="F1567" s="38">
        <f t="shared" ref="F1567:F1630" si="24">E1567*$G$4*$J$4</f>
        <v>305.76786240000001</v>
      </c>
      <c r="G1567" s="459"/>
    </row>
    <row r="1568" spans="1:7" outlineLevel="1" x14ac:dyDescent="0.2">
      <c r="B1568" s="28"/>
      <c r="C1568" s="1989" t="s">
        <v>1354</v>
      </c>
      <c r="D1568" s="1989" t="s">
        <v>5818</v>
      </c>
      <c r="E1568" s="1989">
        <v>3.76</v>
      </c>
      <c r="F1568" s="38">
        <f t="shared" si="24"/>
        <v>305.76786240000001</v>
      </c>
      <c r="G1568" s="459"/>
    </row>
    <row r="1569" spans="2:7" outlineLevel="1" x14ac:dyDescent="0.2">
      <c r="B1569" s="28"/>
      <c r="C1569" s="1989" t="s">
        <v>961</v>
      </c>
      <c r="D1569" s="1989" t="s">
        <v>5819</v>
      </c>
      <c r="E1569" s="1989">
        <v>3.5</v>
      </c>
      <c r="F1569" s="38">
        <f t="shared" si="24"/>
        <v>284.62434000000002</v>
      </c>
      <c r="G1569" s="459"/>
    </row>
    <row r="1570" spans="2:7" outlineLevel="1" x14ac:dyDescent="0.2">
      <c r="B1570" s="28"/>
      <c r="C1570" s="1989" t="s">
        <v>960</v>
      </c>
      <c r="D1570" s="1989" t="s">
        <v>5820</v>
      </c>
      <c r="E1570" s="1989">
        <v>3.5</v>
      </c>
      <c r="F1570" s="38">
        <f t="shared" si="24"/>
        <v>284.62434000000002</v>
      </c>
      <c r="G1570" s="459"/>
    </row>
    <row r="1571" spans="2:7" outlineLevel="1" x14ac:dyDescent="0.2">
      <c r="B1571" s="28"/>
      <c r="C1571" s="1989" t="s">
        <v>959</v>
      </c>
      <c r="D1571" s="1989" t="s">
        <v>5821</v>
      </c>
      <c r="E1571" s="1989">
        <v>3.62</v>
      </c>
      <c r="F1571" s="38">
        <f t="shared" si="24"/>
        <v>294.38288880000005</v>
      </c>
      <c r="G1571" s="459"/>
    </row>
    <row r="1572" spans="2:7" outlineLevel="1" x14ac:dyDescent="0.2">
      <c r="B1572" s="28"/>
      <c r="C1572" s="1989" t="s">
        <v>958</v>
      </c>
      <c r="D1572" s="1989" t="s">
        <v>5822</v>
      </c>
      <c r="E1572" s="1989">
        <v>3.62</v>
      </c>
      <c r="F1572" s="38">
        <f t="shared" si="24"/>
        <v>294.38288880000005</v>
      </c>
      <c r="G1572" s="459"/>
    </row>
    <row r="1573" spans="2:7" outlineLevel="1" x14ac:dyDescent="0.2">
      <c r="B1573" s="28"/>
      <c r="C1573" s="1989" t="s">
        <v>957</v>
      </c>
      <c r="D1573" s="1989" t="s">
        <v>5823</v>
      </c>
      <c r="E1573" s="1989">
        <v>3.78</v>
      </c>
      <c r="F1573" s="38">
        <f t="shared" si="24"/>
        <v>307.39428720000001</v>
      </c>
      <c r="G1573" s="459"/>
    </row>
    <row r="1574" spans="2:7" outlineLevel="1" x14ac:dyDescent="0.2">
      <c r="B1574" s="28"/>
      <c r="C1574" s="1989" t="s">
        <v>1358</v>
      </c>
      <c r="D1574" s="1989" t="s">
        <v>5824</v>
      </c>
      <c r="E1574" s="1989">
        <v>3.78</v>
      </c>
      <c r="F1574" s="38">
        <f t="shared" si="24"/>
        <v>307.39428720000001</v>
      </c>
      <c r="G1574" s="459"/>
    </row>
    <row r="1575" spans="2:7" outlineLevel="1" x14ac:dyDescent="0.2">
      <c r="B1575" s="28"/>
      <c r="C1575" s="1989" t="s">
        <v>1353</v>
      </c>
      <c r="D1575" s="1989" t="s">
        <v>5825</v>
      </c>
      <c r="E1575" s="1989">
        <v>3.82</v>
      </c>
      <c r="F1575" s="38">
        <f t="shared" si="24"/>
        <v>310.6471368</v>
      </c>
      <c r="G1575" s="459"/>
    </row>
    <row r="1576" spans="2:7" outlineLevel="1" x14ac:dyDescent="0.2">
      <c r="B1576" s="28"/>
      <c r="C1576" s="1989" t="s">
        <v>1352</v>
      </c>
      <c r="D1576" s="1989" t="s">
        <v>5826</v>
      </c>
      <c r="E1576" s="1989">
        <v>3.82</v>
      </c>
      <c r="F1576" s="38">
        <f t="shared" si="24"/>
        <v>310.6471368</v>
      </c>
      <c r="G1576" s="459"/>
    </row>
    <row r="1577" spans="2:7" outlineLevel="1" x14ac:dyDescent="0.2">
      <c r="B1577" s="28"/>
      <c r="C1577" s="1989" t="s">
        <v>154</v>
      </c>
      <c r="D1577" s="1989" t="s">
        <v>5827</v>
      </c>
      <c r="E1577" s="1989">
        <v>4.2699999999999996</v>
      </c>
      <c r="F1577" s="38">
        <f t="shared" si="24"/>
        <v>347.2416948</v>
      </c>
      <c r="G1577" s="459"/>
    </row>
    <row r="1578" spans="2:7" outlineLevel="1" x14ac:dyDescent="0.2">
      <c r="B1578" s="28"/>
      <c r="C1578" s="1989" t="s">
        <v>155</v>
      </c>
      <c r="D1578" s="1989" t="s">
        <v>5828</v>
      </c>
      <c r="E1578" s="1989">
        <v>4.2699999999999996</v>
      </c>
      <c r="F1578" s="38">
        <f t="shared" si="24"/>
        <v>347.2416948</v>
      </c>
      <c r="G1578" s="459"/>
    </row>
    <row r="1579" spans="2:7" outlineLevel="1" x14ac:dyDescent="0.2">
      <c r="B1579" s="28"/>
      <c r="C1579" s="1989" t="s">
        <v>963</v>
      </c>
      <c r="D1579" s="1989" t="s">
        <v>5829</v>
      </c>
      <c r="E1579" s="1989">
        <v>3.62</v>
      </c>
      <c r="F1579" s="38">
        <f t="shared" si="24"/>
        <v>294.38288880000005</v>
      </c>
      <c r="G1579" s="459"/>
    </row>
    <row r="1580" spans="2:7" outlineLevel="1" x14ac:dyDescent="0.2">
      <c r="B1580" s="28"/>
      <c r="C1580" s="1989" t="s">
        <v>962</v>
      </c>
      <c r="D1580" s="1989" t="s">
        <v>5830</v>
      </c>
      <c r="E1580" s="1989">
        <v>3.62</v>
      </c>
      <c r="F1580" s="38">
        <f t="shared" si="24"/>
        <v>294.38288880000005</v>
      </c>
      <c r="G1580" s="459"/>
    </row>
    <row r="1581" spans="2:7" outlineLevel="1" x14ac:dyDescent="0.2">
      <c r="B1581" s="28"/>
      <c r="C1581" s="1989" t="s">
        <v>1373</v>
      </c>
      <c r="D1581" s="1989" t="s">
        <v>5831</v>
      </c>
      <c r="E1581" s="1989">
        <v>31</v>
      </c>
      <c r="F1581" s="38">
        <f t="shared" si="24"/>
        <v>2520.9584399999999</v>
      </c>
      <c r="G1581" s="459"/>
    </row>
    <row r="1582" spans="2:7" outlineLevel="1" x14ac:dyDescent="0.2">
      <c r="B1582" s="28"/>
      <c r="C1582" s="1989" t="s">
        <v>156</v>
      </c>
      <c r="D1582" s="1989" t="s">
        <v>5832</v>
      </c>
      <c r="E1582" s="1989">
        <v>31.45</v>
      </c>
      <c r="F1582" s="38">
        <f t="shared" si="24"/>
        <v>2557.5529979999997</v>
      </c>
      <c r="G1582" s="459"/>
    </row>
    <row r="1583" spans="2:7" outlineLevel="1" x14ac:dyDescent="0.2">
      <c r="B1583" s="28"/>
      <c r="C1583" s="1989" t="s">
        <v>157</v>
      </c>
      <c r="D1583" s="1989" t="s">
        <v>5833</v>
      </c>
      <c r="E1583" s="1989">
        <v>8.9</v>
      </c>
      <c r="F1583" s="38">
        <f t="shared" si="24"/>
        <v>723.75903600000004</v>
      </c>
      <c r="G1583" s="459"/>
    </row>
    <row r="1584" spans="2:7" outlineLevel="1" x14ac:dyDescent="0.2">
      <c r="B1584" s="28"/>
      <c r="C1584" s="1989" t="s">
        <v>158</v>
      </c>
      <c r="D1584" s="1989" t="s">
        <v>5834</v>
      </c>
      <c r="E1584" s="1989">
        <v>8.9</v>
      </c>
      <c r="F1584" s="38">
        <f t="shared" si="24"/>
        <v>723.75903600000004</v>
      </c>
      <c r="G1584" s="459"/>
    </row>
    <row r="1585" spans="2:7" outlineLevel="1" x14ac:dyDescent="0.2">
      <c r="B1585" s="28"/>
      <c r="C1585" s="1989" t="s">
        <v>4007</v>
      </c>
      <c r="D1585" s="1989" t="s">
        <v>5835</v>
      </c>
      <c r="E1585" s="1989">
        <v>9.99</v>
      </c>
      <c r="F1585" s="38">
        <f t="shared" si="24"/>
        <v>812.3991876</v>
      </c>
      <c r="G1585" s="459"/>
    </row>
    <row r="1586" spans="2:7" outlineLevel="1" x14ac:dyDescent="0.2">
      <c r="B1586" s="28"/>
      <c r="C1586" s="1989" t="s">
        <v>4008</v>
      </c>
      <c r="D1586" s="1989" t="s">
        <v>5836</v>
      </c>
      <c r="E1586" s="1989">
        <v>9.99</v>
      </c>
      <c r="F1586" s="38">
        <f t="shared" si="24"/>
        <v>812.3991876</v>
      </c>
      <c r="G1586" s="459"/>
    </row>
    <row r="1587" spans="2:7" outlineLevel="1" x14ac:dyDescent="0.2">
      <c r="B1587" s="28"/>
      <c r="C1587" s="1989" t="s">
        <v>976</v>
      </c>
      <c r="D1587" s="1989" t="s">
        <v>5837</v>
      </c>
      <c r="E1587" s="1989">
        <v>7.76</v>
      </c>
      <c r="F1587" s="38">
        <f t="shared" si="24"/>
        <v>631.05282239999997</v>
      </c>
      <c r="G1587" s="459"/>
    </row>
    <row r="1588" spans="2:7" outlineLevel="1" x14ac:dyDescent="0.2">
      <c r="B1588" s="28"/>
      <c r="C1588" s="1989" t="s">
        <v>975</v>
      </c>
      <c r="D1588" s="1989" t="s">
        <v>5838</v>
      </c>
      <c r="E1588" s="1989">
        <v>7.76</v>
      </c>
      <c r="F1588" s="38">
        <f t="shared" si="24"/>
        <v>631.05282239999997</v>
      </c>
      <c r="G1588" s="459"/>
    </row>
    <row r="1589" spans="2:7" outlineLevel="1" x14ac:dyDescent="0.2">
      <c r="B1589" s="28"/>
      <c r="C1589" s="1989" t="s">
        <v>974</v>
      </c>
      <c r="D1589" s="1989" t="s">
        <v>5839</v>
      </c>
      <c r="E1589" s="1989">
        <v>8.9</v>
      </c>
      <c r="F1589" s="38">
        <f t="shared" si="24"/>
        <v>723.75903600000004</v>
      </c>
      <c r="G1589" s="459"/>
    </row>
    <row r="1590" spans="2:7" outlineLevel="1" x14ac:dyDescent="0.2">
      <c r="B1590" s="28"/>
      <c r="C1590" s="1989" t="s">
        <v>973</v>
      </c>
      <c r="D1590" s="1989" t="s">
        <v>5840</v>
      </c>
      <c r="E1590" s="1989">
        <v>8.9</v>
      </c>
      <c r="F1590" s="38">
        <f t="shared" si="24"/>
        <v>723.75903600000004</v>
      </c>
      <c r="G1590" s="459"/>
    </row>
    <row r="1591" spans="2:7" outlineLevel="1" x14ac:dyDescent="0.2">
      <c r="B1591" s="28"/>
      <c r="C1591" s="1989" t="s">
        <v>972</v>
      </c>
      <c r="D1591" s="1989" t="s">
        <v>5841</v>
      </c>
      <c r="E1591" s="1989">
        <v>7.76</v>
      </c>
      <c r="F1591" s="38">
        <f t="shared" si="24"/>
        <v>631.05282239999997</v>
      </c>
      <c r="G1591" s="459"/>
    </row>
    <row r="1592" spans="2:7" outlineLevel="1" x14ac:dyDescent="0.2">
      <c r="B1592" s="28"/>
      <c r="C1592" s="1989" t="s">
        <v>971</v>
      </c>
      <c r="D1592" s="1989" t="s">
        <v>5842</v>
      </c>
      <c r="E1592" s="1989">
        <v>7.76</v>
      </c>
      <c r="F1592" s="38">
        <f t="shared" si="24"/>
        <v>631.05282239999997</v>
      </c>
      <c r="G1592" s="459"/>
    </row>
    <row r="1593" spans="2:7" outlineLevel="1" x14ac:dyDescent="0.2">
      <c r="B1593" s="28"/>
      <c r="C1593" s="1989" t="s">
        <v>970</v>
      </c>
      <c r="D1593" s="1989" t="s">
        <v>5843</v>
      </c>
      <c r="E1593" s="1989">
        <v>7.86</v>
      </c>
      <c r="F1593" s="38">
        <f t="shared" si="24"/>
        <v>639.18494640000006</v>
      </c>
      <c r="G1593" s="459"/>
    </row>
    <row r="1594" spans="2:7" outlineLevel="1" x14ac:dyDescent="0.2">
      <c r="B1594" s="28"/>
      <c r="C1594" s="1989" t="s">
        <v>969</v>
      </c>
      <c r="D1594" s="1989" t="s">
        <v>5844</v>
      </c>
      <c r="E1594" s="1989">
        <v>7.86</v>
      </c>
      <c r="F1594" s="38">
        <f t="shared" si="24"/>
        <v>639.18494640000006</v>
      </c>
      <c r="G1594" s="459"/>
    </row>
    <row r="1595" spans="2:7" outlineLevel="1" x14ac:dyDescent="0.2">
      <c r="B1595" s="28"/>
      <c r="C1595" s="1989" t="s">
        <v>968</v>
      </c>
      <c r="D1595" s="1989" t="s">
        <v>5845</v>
      </c>
      <c r="E1595" s="1989">
        <v>7.95</v>
      </c>
      <c r="F1595" s="38">
        <f t="shared" si="24"/>
        <v>646.50385800000004</v>
      </c>
      <c r="G1595" s="459"/>
    </row>
    <row r="1596" spans="2:7" outlineLevel="1" x14ac:dyDescent="0.2">
      <c r="B1596" s="28"/>
      <c r="C1596" s="1989" t="s">
        <v>967</v>
      </c>
      <c r="D1596" s="1989" t="s">
        <v>5846</v>
      </c>
      <c r="E1596" s="1989">
        <v>7.95</v>
      </c>
      <c r="F1596" s="38">
        <f t="shared" si="24"/>
        <v>646.50385800000004</v>
      </c>
      <c r="G1596" s="459"/>
    </row>
    <row r="1597" spans="2:7" outlineLevel="1" x14ac:dyDescent="0.2">
      <c r="B1597" s="28"/>
      <c r="C1597" s="1989" t="s">
        <v>966</v>
      </c>
      <c r="D1597" s="1989" t="s">
        <v>5847</v>
      </c>
      <c r="E1597" s="1989">
        <v>9.51</v>
      </c>
      <c r="F1597" s="38">
        <f t="shared" si="24"/>
        <v>773.36499240000001</v>
      </c>
      <c r="G1597" s="459"/>
    </row>
    <row r="1598" spans="2:7" outlineLevel="1" x14ac:dyDescent="0.2">
      <c r="B1598" s="28"/>
      <c r="C1598" s="1989" t="s">
        <v>965</v>
      </c>
      <c r="D1598" s="1989" t="s">
        <v>5848</v>
      </c>
      <c r="E1598" s="1989">
        <v>9.51</v>
      </c>
      <c r="F1598" s="38">
        <f t="shared" si="24"/>
        <v>773.36499240000001</v>
      </c>
      <c r="G1598" s="459"/>
    </row>
    <row r="1599" spans="2:7" outlineLevel="1" x14ac:dyDescent="0.2">
      <c r="B1599" s="28"/>
      <c r="C1599" s="1989" t="s">
        <v>159</v>
      </c>
      <c r="D1599" s="1989" t="s">
        <v>5849</v>
      </c>
      <c r="E1599" s="1989">
        <v>8.0500000000000007</v>
      </c>
      <c r="F1599" s="38">
        <f t="shared" si="24"/>
        <v>654.63598200000001</v>
      </c>
      <c r="G1599" s="459"/>
    </row>
    <row r="1600" spans="2:7" outlineLevel="1" x14ac:dyDescent="0.2">
      <c r="B1600" s="28"/>
      <c r="C1600" s="1989" t="s">
        <v>160</v>
      </c>
      <c r="D1600" s="1989" t="s">
        <v>5850</v>
      </c>
      <c r="E1600" s="1989">
        <v>8.0500000000000007</v>
      </c>
      <c r="F1600" s="38">
        <f t="shared" si="24"/>
        <v>654.63598200000001</v>
      </c>
      <c r="G1600" s="459"/>
    </row>
    <row r="1601" spans="2:7" outlineLevel="1" x14ac:dyDescent="0.2">
      <c r="B1601" s="28"/>
      <c r="C1601" s="1989" t="s">
        <v>161</v>
      </c>
      <c r="D1601" s="1989" t="s">
        <v>5851</v>
      </c>
      <c r="E1601" s="1989">
        <v>8.4</v>
      </c>
      <c r="F1601" s="38">
        <f t="shared" si="24"/>
        <v>683.09841600000004</v>
      </c>
      <c r="G1601" s="459"/>
    </row>
    <row r="1602" spans="2:7" outlineLevel="1" x14ac:dyDescent="0.2">
      <c r="B1602" s="28"/>
      <c r="C1602" s="1989" t="s">
        <v>162</v>
      </c>
      <c r="D1602" s="1989" t="s">
        <v>5852</v>
      </c>
      <c r="E1602" s="1989">
        <v>8.4</v>
      </c>
      <c r="F1602" s="38">
        <f t="shared" si="24"/>
        <v>683.09841600000004</v>
      </c>
      <c r="G1602" s="459"/>
    </row>
    <row r="1603" spans="2:7" outlineLevel="1" x14ac:dyDescent="0.2">
      <c r="B1603" s="28"/>
      <c r="C1603" s="1989" t="s">
        <v>163</v>
      </c>
      <c r="D1603" s="1989" t="s">
        <v>5853</v>
      </c>
      <c r="E1603" s="1989">
        <v>32.36</v>
      </c>
      <c r="F1603" s="38">
        <f t="shared" si="24"/>
        <v>2631.5553264000005</v>
      </c>
      <c r="G1603" s="459"/>
    </row>
    <row r="1604" spans="2:7" outlineLevel="1" x14ac:dyDescent="0.2">
      <c r="B1604" s="28"/>
      <c r="C1604" s="1989" t="s">
        <v>4009</v>
      </c>
      <c r="D1604" s="1989" t="s">
        <v>7750</v>
      </c>
      <c r="E1604" s="1989">
        <v>2.89</v>
      </c>
      <c r="F1604" s="38">
        <f t="shared" si="24"/>
        <v>235.01838360000002</v>
      </c>
      <c r="G1604" s="459"/>
    </row>
    <row r="1605" spans="2:7" outlineLevel="1" x14ac:dyDescent="0.2">
      <c r="B1605" s="28"/>
      <c r="C1605" s="1989" t="s">
        <v>4010</v>
      </c>
      <c r="D1605" s="1989" t="s">
        <v>7751</v>
      </c>
      <c r="E1605" s="1989">
        <v>2.89</v>
      </c>
      <c r="F1605" s="38">
        <f t="shared" si="24"/>
        <v>235.01838360000002</v>
      </c>
      <c r="G1605" s="459"/>
    </row>
    <row r="1606" spans="2:7" outlineLevel="1" x14ac:dyDescent="0.2">
      <c r="B1606" s="28"/>
      <c r="C1606" s="1989" t="s">
        <v>164</v>
      </c>
      <c r="D1606" s="1989" t="s">
        <v>165</v>
      </c>
      <c r="E1606" s="1989">
        <v>6.76</v>
      </c>
      <c r="F1606" s="38">
        <f t="shared" si="24"/>
        <v>549.73158240000009</v>
      </c>
      <c r="G1606" s="459"/>
    </row>
    <row r="1607" spans="2:7" outlineLevel="1" x14ac:dyDescent="0.2">
      <c r="B1607" s="28"/>
      <c r="C1607" s="1989" t="s">
        <v>166</v>
      </c>
      <c r="D1607" s="1989" t="s">
        <v>167</v>
      </c>
      <c r="E1607" s="1989">
        <v>6.76</v>
      </c>
      <c r="F1607" s="38">
        <f t="shared" si="24"/>
        <v>549.73158240000009</v>
      </c>
      <c r="G1607" s="459"/>
    </row>
    <row r="1608" spans="2:7" outlineLevel="1" x14ac:dyDescent="0.2">
      <c r="B1608" s="28"/>
      <c r="C1608" s="1989" t="s">
        <v>168</v>
      </c>
      <c r="D1608" s="1989" t="s">
        <v>169</v>
      </c>
      <c r="E1608" s="1989">
        <v>6.89</v>
      </c>
      <c r="F1608" s="38">
        <f t="shared" si="24"/>
        <v>560.30334359999995</v>
      </c>
      <c r="G1608" s="459"/>
    </row>
    <row r="1609" spans="2:7" outlineLevel="1" x14ac:dyDescent="0.2">
      <c r="B1609" s="28"/>
      <c r="C1609" s="1989" t="s">
        <v>170</v>
      </c>
      <c r="D1609" s="1989" t="s">
        <v>171</v>
      </c>
      <c r="E1609" s="1989">
        <v>6.89</v>
      </c>
      <c r="F1609" s="38">
        <f t="shared" si="24"/>
        <v>560.30334359999995</v>
      </c>
      <c r="G1609" s="459"/>
    </row>
    <row r="1610" spans="2:7" outlineLevel="1" x14ac:dyDescent="0.2">
      <c r="B1610" s="28"/>
      <c r="C1610" s="1989" t="s">
        <v>172</v>
      </c>
      <c r="D1610" s="1989" t="s">
        <v>173</v>
      </c>
      <c r="E1610" s="1989">
        <v>7.02</v>
      </c>
      <c r="F1610" s="38">
        <f t="shared" si="24"/>
        <v>570.87510480000003</v>
      </c>
      <c r="G1610" s="459"/>
    </row>
    <row r="1611" spans="2:7" outlineLevel="1" x14ac:dyDescent="0.2">
      <c r="B1611" s="28"/>
      <c r="C1611" s="1989" t="s">
        <v>174</v>
      </c>
      <c r="D1611" s="1989" t="s">
        <v>175</v>
      </c>
      <c r="E1611" s="1989">
        <v>7.02</v>
      </c>
      <c r="F1611" s="38">
        <f t="shared" si="24"/>
        <v>570.87510480000003</v>
      </c>
      <c r="G1611" s="459"/>
    </row>
    <row r="1612" spans="2:7" outlineLevel="1" x14ac:dyDescent="0.2">
      <c r="B1612" s="28"/>
      <c r="C1612" s="1989" t="s">
        <v>176</v>
      </c>
      <c r="D1612" s="1989" t="s">
        <v>177</v>
      </c>
      <c r="E1612" s="1989">
        <v>7.15</v>
      </c>
      <c r="F1612" s="38">
        <f t="shared" si="24"/>
        <v>581.446866</v>
      </c>
      <c r="G1612" s="459"/>
    </row>
    <row r="1613" spans="2:7" outlineLevel="1" x14ac:dyDescent="0.2">
      <c r="B1613" s="28"/>
      <c r="C1613" s="1989" t="s">
        <v>178</v>
      </c>
      <c r="D1613" s="1989" t="s">
        <v>179</v>
      </c>
      <c r="E1613" s="1989">
        <v>7.15</v>
      </c>
      <c r="F1613" s="38">
        <f t="shared" si="24"/>
        <v>581.446866</v>
      </c>
      <c r="G1613" s="459"/>
    </row>
    <row r="1614" spans="2:7" outlineLevel="1" x14ac:dyDescent="0.2">
      <c r="B1614" s="28"/>
      <c r="C1614" s="1989" t="s">
        <v>4011</v>
      </c>
      <c r="D1614" s="1989" t="s">
        <v>4012</v>
      </c>
      <c r="E1614" s="1989">
        <v>7.63</v>
      </c>
      <c r="F1614" s="38">
        <f t="shared" si="24"/>
        <v>620.4810612</v>
      </c>
      <c r="G1614" s="459"/>
    </row>
    <row r="1615" spans="2:7" outlineLevel="1" x14ac:dyDescent="0.2">
      <c r="B1615" s="28"/>
      <c r="C1615" s="1989" t="s">
        <v>4013</v>
      </c>
      <c r="D1615" s="1989" t="s">
        <v>4014</v>
      </c>
      <c r="E1615" s="1989">
        <v>7.63</v>
      </c>
      <c r="F1615" s="38">
        <f t="shared" si="24"/>
        <v>620.4810612</v>
      </c>
      <c r="G1615" s="459"/>
    </row>
    <row r="1616" spans="2:7" outlineLevel="1" x14ac:dyDescent="0.2">
      <c r="B1616" s="28"/>
      <c r="C1616" s="1989" t="s">
        <v>4582</v>
      </c>
      <c r="D1616" s="1989" t="s">
        <v>7752</v>
      </c>
      <c r="E1616" s="1989">
        <v>3.41</v>
      </c>
      <c r="F1616" s="38">
        <f t="shared" si="24"/>
        <v>277.30542839999998</v>
      </c>
      <c r="G1616" s="459"/>
    </row>
    <row r="1617" spans="2:7" outlineLevel="1" x14ac:dyDescent="0.2">
      <c r="B1617" s="28"/>
      <c r="C1617" s="1989" t="s">
        <v>4583</v>
      </c>
      <c r="D1617" s="1989" t="s">
        <v>7753</v>
      </c>
      <c r="E1617" s="1989">
        <v>3.41</v>
      </c>
      <c r="F1617" s="38">
        <f t="shared" si="24"/>
        <v>277.30542839999998</v>
      </c>
      <c r="G1617" s="459"/>
    </row>
    <row r="1618" spans="2:7" outlineLevel="1" x14ac:dyDescent="0.2">
      <c r="B1618" s="28"/>
      <c r="C1618" s="1989" t="s">
        <v>180</v>
      </c>
      <c r="D1618" s="1989" t="s">
        <v>5854</v>
      </c>
      <c r="E1618" s="1989">
        <v>31.9</v>
      </c>
      <c r="F1618" s="38">
        <f t="shared" si="24"/>
        <v>2594.1475559999999</v>
      </c>
      <c r="G1618" s="459"/>
    </row>
    <row r="1619" spans="2:7" outlineLevel="1" x14ac:dyDescent="0.2">
      <c r="B1619" s="28"/>
      <c r="C1619" s="1989" t="s">
        <v>4015</v>
      </c>
      <c r="D1619" s="1989" t="s">
        <v>5855</v>
      </c>
      <c r="E1619" s="1989">
        <v>3.6</v>
      </c>
      <c r="F1619" s="38">
        <f t="shared" si="24"/>
        <v>292.75646400000005</v>
      </c>
      <c r="G1619" s="459"/>
    </row>
    <row r="1620" spans="2:7" outlineLevel="1" x14ac:dyDescent="0.2">
      <c r="B1620" s="28"/>
      <c r="C1620" s="1989" t="s">
        <v>4016</v>
      </c>
      <c r="D1620" s="1989" t="s">
        <v>5856</v>
      </c>
      <c r="E1620" s="1989">
        <v>3.6</v>
      </c>
      <c r="F1620" s="38">
        <f t="shared" si="24"/>
        <v>292.75646400000005</v>
      </c>
      <c r="G1620" s="459"/>
    </row>
    <row r="1621" spans="2:7" outlineLevel="1" x14ac:dyDescent="0.2">
      <c r="B1621" s="28"/>
      <c r="C1621" s="1989" t="s">
        <v>1351</v>
      </c>
      <c r="D1621" s="1989" t="s">
        <v>5857</v>
      </c>
      <c r="E1621" s="1989">
        <v>8.01</v>
      </c>
      <c r="F1621" s="38">
        <f t="shared" si="24"/>
        <v>651.38313240000002</v>
      </c>
      <c r="G1621" s="459"/>
    </row>
    <row r="1622" spans="2:7" outlineLevel="1" x14ac:dyDescent="0.2">
      <c r="B1622" s="28"/>
      <c r="C1622" s="1989" t="s">
        <v>1229</v>
      </c>
      <c r="D1622" s="1989" t="s">
        <v>7754</v>
      </c>
      <c r="E1622" s="1989">
        <v>1.1399999999999999</v>
      </c>
      <c r="F1622" s="38">
        <f t="shared" si="24"/>
        <v>92.706213599999998</v>
      </c>
      <c r="G1622" s="459"/>
    </row>
    <row r="1623" spans="2:7" outlineLevel="1" x14ac:dyDescent="0.2">
      <c r="B1623" s="28"/>
      <c r="C1623" s="1989" t="s">
        <v>2774</v>
      </c>
      <c r="D1623" s="1989" t="s">
        <v>7755</v>
      </c>
      <c r="E1623" s="1989">
        <v>2.96</v>
      </c>
      <c r="F1623" s="38">
        <f t="shared" si="24"/>
        <v>240.71087040000003</v>
      </c>
      <c r="G1623" s="459"/>
    </row>
    <row r="1624" spans="2:7" outlineLevel="1" x14ac:dyDescent="0.2">
      <c r="B1624" s="28"/>
      <c r="C1624" s="1989" t="s">
        <v>1230</v>
      </c>
      <c r="D1624" s="1989" t="s">
        <v>5858</v>
      </c>
      <c r="E1624" s="1989">
        <v>2.25</v>
      </c>
      <c r="F1624" s="38">
        <f t="shared" si="24"/>
        <v>182.97279</v>
      </c>
      <c r="G1624" s="459"/>
    </row>
    <row r="1625" spans="2:7" outlineLevel="1" x14ac:dyDescent="0.2">
      <c r="B1625" s="28"/>
      <c r="C1625" s="1989" t="s">
        <v>1226</v>
      </c>
      <c r="D1625" s="1989" t="s">
        <v>5859</v>
      </c>
      <c r="E1625" s="1989">
        <v>3.66</v>
      </c>
      <c r="F1625" s="38">
        <f t="shared" si="24"/>
        <v>297.63573840000004</v>
      </c>
      <c r="G1625" s="459"/>
    </row>
    <row r="1626" spans="2:7" outlineLevel="1" x14ac:dyDescent="0.2">
      <c r="B1626" s="28"/>
      <c r="C1626" s="1989" t="s">
        <v>1227</v>
      </c>
      <c r="D1626" s="1989" t="s">
        <v>5860</v>
      </c>
      <c r="E1626" s="1989">
        <v>3.66</v>
      </c>
      <c r="F1626" s="38">
        <f t="shared" si="24"/>
        <v>297.63573840000004</v>
      </c>
      <c r="G1626" s="459"/>
    </row>
    <row r="1627" spans="2:7" outlineLevel="1" x14ac:dyDescent="0.2">
      <c r="B1627" s="28"/>
      <c r="C1627" s="1989" t="s">
        <v>901</v>
      </c>
      <c r="D1627" s="1989" t="s">
        <v>5861</v>
      </c>
      <c r="E1627" s="1989">
        <v>3.66</v>
      </c>
      <c r="F1627" s="38">
        <f t="shared" si="24"/>
        <v>297.63573840000004</v>
      </c>
      <c r="G1627" s="459"/>
    </row>
    <row r="1628" spans="2:7" outlineLevel="1" x14ac:dyDescent="0.2">
      <c r="B1628" s="28"/>
      <c r="C1628" s="1989" t="s">
        <v>902</v>
      </c>
      <c r="D1628" s="1989" t="s">
        <v>5862</v>
      </c>
      <c r="E1628" s="1989">
        <v>3.66</v>
      </c>
      <c r="F1628" s="38">
        <f t="shared" si="24"/>
        <v>297.63573840000004</v>
      </c>
      <c r="G1628" s="459"/>
    </row>
    <row r="1629" spans="2:7" outlineLevel="1" x14ac:dyDescent="0.2">
      <c r="B1629" s="28"/>
      <c r="C1629" s="1989" t="s">
        <v>2775</v>
      </c>
      <c r="D1629" s="1989" t="s">
        <v>5863</v>
      </c>
      <c r="E1629" s="1989">
        <v>8.1199999999999992</v>
      </c>
      <c r="F1629" s="38">
        <f t="shared" si="24"/>
        <v>660.32846879999988</v>
      </c>
      <c r="G1629" s="459"/>
    </row>
    <row r="1630" spans="2:7" outlineLevel="1" x14ac:dyDescent="0.2">
      <c r="B1630" s="28"/>
      <c r="C1630" s="1989" t="s">
        <v>2776</v>
      </c>
      <c r="D1630" s="1989" t="s">
        <v>5864</v>
      </c>
      <c r="E1630" s="1989">
        <v>8.1199999999999992</v>
      </c>
      <c r="F1630" s="38">
        <f t="shared" si="24"/>
        <v>660.32846879999988</v>
      </c>
      <c r="G1630" s="459"/>
    </row>
    <row r="1631" spans="2:7" outlineLevel="1" x14ac:dyDescent="0.2">
      <c r="B1631" s="28"/>
      <c r="C1631" s="1989" t="s">
        <v>502</v>
      </c>
      <c r="D1631" s="1989" t="s">
        <v>7756</v>
      </c>
      <c r="E1631" s="1989">
        <v>25.84</v>
      </c>
      <c r="F1631" s="38">
        <f t="shared" ref="F1631:F1693" si="25">E1631*$G$4*$J$4</f>
        <v>2101.3408416000002</v>
      </c>
      <c r="G1631" s="459"/>
    </row>
    <row r="1632" spans="2:7" outlineLevel="1" x14ac:dyDescent="0.2">
      <c r="B1632" s="28"/>
      <c r="C1632" s="1989" t="s">
        <v>4018</v>
      </c>
      <c r="D1632" s="1989" t="s">
        <v>4019</v>
      </c>
      <c r="E1632" s="1989">
        <v>26.95</v>
      </c>
      <c r="F1632" s="38">
        <f t="shared" si="25"/>
        <v>2191.6074180000001</v>
      </c>
      <c r="G1632" s="459"/>
    </row>
    <row r="1633" spans="2:7" outlineLevel="1" x14ac:dyDescent="0.2">
      <c r="B1633" s="28"/>
      <c r="C1633" s="1989" t="s">
        <v>503</v>
      </c>
      <c r="D1633" s="1989" t="s">
        <v>7757</v>
      </c>
      <c r="E1633" s="1989">
        <v>20.97</v>
      </c>
      <c r="F1633" s="38">
        <f t="shared" si="25"/>
        <v>1705.3064027999999</v>
      </c>
      <c r="G1633" s="459"/>
    </row>
    <row r="1634" spans="2:7" outlineLevel="1" x14ac:dyDescent="0.2">
      <c r="B1634" s="28"/>
      <c r="C1634" s="1989" t="s">
        <v>504</v>
      </c>
      <c r="D1634" s="1989" t="s">
        <v>7758</v>
      </c>
      <c r="E1634" s="1989">
        <v>21.45</v>
      </c>
      <c r="F1634" s="38">
        <f t="shared" si="25"/>
        <v>1744.340598</v>
      </c>
      <c r="G1634" s="459"/>
    </row>
    <row r="1635" spans="2:7" outlineLevel="1" x14ac:dyDescent="0.2">
      <c r="B1635" s="28"/>
      <c r="C1635" s="1989" t="s">
        <v>505</v>
      </c>
      <c r="D1635" s="1989" t="s">
        <v>7759</v>
      </c>
      <c r="E1635" s="1989">
        <v>20.97</v>
      </c>
      <c r="F1635" s="38">
        <f t="shared" si="25"/>
        <v>1705.3064027999999</v>
      </c>
      <c r="G1635" s="459"/>
    </row>
    <row r="1636" spans="2:7" outlineLevel="1" x14ac:dyDescent="0.2">
      <c r="B1636" s="28"/>
      <c r="C1636" s="1989" t="s">
        <v>506</v>
      </c>
      <c r="D1636" s="1989" t="s">
        <v>7760</v>
      </c>
      <c r="E1636" s="1989">
        <v>20.97</v>
      </c>
      <c r="F1636" s="38">
        <f t="shared" si="25"/>
        <v>1705.3064027999999</v>
      </c>
      <c r="G1636" s="459"/>
    </row>
    <row r="1637" spans="2:7" outlineLevel="1" x14ac:dyDescent="0.2">
      <c r="B1637" s="28"/>
      <c r="C1637" s="1989" t="s">
        <v>507</v>
      </c>
      <c r="D1637" s="1989" t="s">
        <v>7761</v>
      </c>
      <c r="E1637" s="1989">
        <v>25.54</v>
      </c>
      <c r="F1637" s="38">
        <f t="shared" si="25"/>
        <v>2076.9444696</v>
      </c>
      <c r="G1637" s="459"/>
    </row>
    <row r="1638" spans="2:7" outlineLevel="1" x14ac:dyDescent="0.2">
      <c r="B1638" s="28"/>
      <c r="C1638" s="1989" t="s">
        <v>4020</v>
      </c>
      <c r="D1638" s="1989" t="s">
        <v>4021</v>
      </c>
      <c r="E1638" s="1989">
        <v>27.19</v>
      </c>
      <c r="F1638" s="38">
        <f t="shared" si="25"/>
        <v>2211.1245156</v>
      </c>
      <c r="G1638" s="459"/>
    </row>
    <row r="1639" spans="2:7" outlineLevel="1" x14ac:dyDescent="0.2">
      <c r="B1639" s="28"/>
      <c r="C1639" s="1989" t="s">
        <v>508</v>
      </c>
      <c r="D1639" s="1989" t="s">
        <v>7762</v>
      </c>
      <c r="E1639" s="1989">
        <v>20.97</v>
      </c>
      <c r="F1639" s="38">
        <f t="shared" si="25"/>
        <v>1705.3064027999999</v>
      </c>
      <c r="G1639" s="459"/>
    </row>
    <row r="1640" spans="2:7" outlineLevel="1" x14ac:dyDescent="0.2">
      <c r="B1640" s="28"/>
      <c r="C1640" s="1989" t="s">
        <v>509</v>
      </c>
      <c r="D1640" s="1989" t="s">
        <v>7763</v>
      </c>
      <c r="E1640" s="1989">
        <v>29.92</v>
      </c>
      <c r="F1640" s="38">
        <f t="shared" si="25"/>
        <v>2433.1315008000006</v>
      </c>
      <c r="G1640" s="459"/>
    </row>
    <row r="1641" spans="2:7" outlineLevel="1" x14ac:dyDescent="0.2">
      <c r="B1641" s="28"/>
      <c r="C1641" s="1989" t="s">
        <v>510</v>
      </c>
      <c r="D1641" s="1989" t="s">
        <v>7764</v>
      </c>
      <c r="E1641" s="1989">
        <v>21.7</v>
      </c>
      <c r="F1641" s="38">
        <f t="shared" si="25"/>
        <v>1764.6709080000001</v>
      </c>
      <c r="G1641" s="459"/>
    </row>
    <row r="1642" spans="2:7" outlineLevel="1" x14ac:dyDescent="0.2">
      <c r="B1642" s="28"/>
      <c r="C1642" s="1989" t="s">
        <v>4022</v>
      </c>
      <c r="D1642" s="1989" t="s">
        <v>5865</v>
      </c>
      <c r="E1642" s="1989">
        <v>9.69</v>
      </c>
      <c r="F1642" s="38">
        <f t="shared" si="25"/>
        <v>788.00281559999996</v>
      </c>
      <c r="G1642" s="459"/>
    </row>
    <row r="1643" spans="2:7" outlineLevel="1" x14ac:dyDescent="0.2">
      <c r="B1643" s="28"/>
      <c r="C1643" s="1989" t="s">
        <v>4023</v>
      </c>
      <c r="D1643" s="1989" t="s">
        <v>4024</v>
      </c>
      <c r="E1643" s="1989">
        <v>9.69</v>
      </c>
      <c r="F1643" s="38">
        <f t="shared" si="25"/>
        <v>788.00281559999996</v>
      </c>
      <c r="G1643" s="459"/>
    </row>
    <row r="1644" spans="2:7" outlineLevel="1" x14ac:dyDescent="0.2">
      <c r="B1644" s="28"/>
      <c r="C1644" s="1989" t="s">
        <v>511</v>
      </c>
      <c r="D1644" s="1989" t="s">
        <v>7765</v>
      </c>
      <c r="E1644" s="1989">
        <v>22.97</v>
      </c>
      <c r="F1644" s="38">
        <f t="shared" si="25"/>
        <v>1867.9488827999999</v>
      </c>
      <c r="G1644" s="459"/>
    </row>
    <row r="1645" spans="2:7" outlineLevel="1" x14ac:dyDescent="0.2">
      <c r="B1645" s="28"/>
      <c r="C1645" s="1989" t="s">
        <v>512</v>
      </c>
      <c r="D1645" s="1989" t="s">
        <v>7766</v>
      </c>
      <c r="E1645" s="1989">
        <v>36.340000000000003</v>
      </c>
      <c r="F1645" s="38">
        <f t="shared" si="25"/>
        <v>2955.2138616000007</v>
      </c>
      <c r="G1645" s="459"/>
    </row>
    <row r="1646" spans="2:7" outlineLevel="1" x14ac:dyDescent="0.2">
      <c r="B1646" s="28"/>
      <c r="C1646" s="1989" t="s">
        <v>513</v>
      </c>
      <c r="D1646" s="1989" t="s">
        <v>7767</v>
      </c>
      <c r="E1646" s="1989">
        <v>31.2</v>
      </c>
      <c r="F1646" s="38">
        <f t="shared" si="25"/>
        <v>2537.2226879999998</v>
      </c>
      <c r="G1646" s="459"/>
    </row>
    <row r="1647" spans="2:7" outlineLevel="1" x14ac:dyDescent="0.2">
      <c r="B1647" s="28"/>
      <c r="C1647" s="1989" t="s">
        <v>514</v>
      </c>
      <c r="D1647" s="1989" t="s">
        <v>7768</v>
      </c>
      <c r="E1647" s="1989">
        <v>21.22</v>
      </c>
      <c r="F1647" s="38">
        <f t="shared" si="25"/>
        <v>1725.6367127999999</v>
      </c>
      <c r="G1647" s="459"/>
    </row>
    <row r="1648" spans="2:7" outlineLevel="1" x14ac:dyDescent="0.2">
      <c r="B1648" s="28"/>
      <c r="C1648" s="1989" t="s">
        <v>515</v>
      </c>
      <c r="D1648" s="1989" t="s">
        <v>7769</v>
      </c>
      <c r="E1648" s="1989">
        <v>33.770000000000003</v>
      </c>
      <c r="F1648" s="38">
        <f t="shared" si="25"/>
        <v>2746.2182748000005</v>
      </c>
      <c r="G1648" s="459"/>
    </row>
    <row r="1649" spans="2:7" outlineLevel="1" x14ac:dyDescent="0.2">
      <c r="B1649" s="28"/>
      <c r="C1649" s="1989" t="s">
        <v>516</v>
      </c>
      <c r="D1649" s="1989" t="s">
        <v>7770</v>
      </c>
      <c r="E1649" s="1989">
        <v>1.19</v>
      </c>
      <c r="F1649" s="38">
        <f t="shared" si="25"/>
        <v>96.7722756</v>
      </c>
      <c r="G1649" s="459"/>
    </row>
    <row r="1650" spans="2:7" outlineLevel="1" x14ac:dyDescent="0.2">
      <c r="B1650" s="28"/>
      <c r="C1650" s="1989" t="s">
        <v>517</v>
      </c>
      <c r="D1650" s="1989" t="s">
        <v>7771</v>
      </c>
      <c r="E1650" s="1989">
        <v>26.08</v>
      </c>
      <c r="F1650" s="38">
        <f t="shared" si="25"/>
        <v>2120.8579391999997</v>
      </c>
      <c r="G1650" s="459"/>
    </row>
    <row r="1651" spans="2:7" outlineLevel="1" x14ac:dyDescent="0.2">
      <c r="B1651" s="28"/>
      <c r="C1651" s="1989" t="s">
        <v>518</v>
      </c>
      <c r="D1651" s="1989" t="s">
        <v>7772</v>
      </c>
      <c r="E1651" s="1989">
        <v>1.19</v>
      </c>
      <c r="F1651" s="38">
        <f t="shared" si="25"/>
        <v>96.7722756</v>
      </c>
      <c r="G1651" s="459"/>
    </row>
    <row r="1652" spans="2:7" outlineLevel="1" x14ac:dyDescent="0.2">
      <c r="B1652" s="28"/>
      <c r="C1652" s="1989" t="s">
        <v>6738</v>
      </c>
      <c r="D1652" s="1989" t="s">
        <v>5866</v>
      </c>
      <c r="E1652" s="1989">
        <v>27.66</v>
      </c>
      <c r="F1652" s="38">
        <f t="shared" si="25"/>
        <v>2249.3454984</v>
      </c>
      <c r="G1652" s="459"/>
    </row>
    <row r="1653" spans="2:7" outlineLevel="1" x14ac:dyDescent="0.2">
      <c r="B1653" s="28"/>
      <c r="C1653" s="1989" t="s">
        <v>4025</v>
      </c>
      <c r="D1653" s="1989" t="s">
        <v>4026</v>
      </c>
      <c r="E1653" s="1989">
        <v>16.440000000000001</v>
      </c>
      <c r="F1653" s="38">
        <f t="shared" si="25"/>
        <v>1336.9211856000002</v>
      </c>
      <c r="G1653" s="459"/>
    </row>
    <row r="1654" spans="2:7" outlineLevel="1" x14ac:dyDescent="0.2">
      <c r="B1654" s="28"/>
      <c r="C1654" s="1989" t="s">
        <v>196</v>
      </c>
      <c r="D1654" s="1989" t="s">
        <v>5867</v>
      </c>
      <c r="E1654" s="1989">
        <v>1.49</v>
      </c>
      <c r="F1654" s="38">
        <f t="shared" si="25"/>
        <v>121.16864760000001</v>
      </c>
      <c r="G1654" s="459"/>
    </row>
    <row r="1655" spans="2:7" outlineLevel="1" x14ac:dyDescent="0.2">
      <c r="B1655" s="28"/>
      <c r="C1655" s="1989" t="s">
        <v>519</v>
      </c>
      <c r="D1655" s="1989" t="s">
        <v>4027</v>
      </c>
      <c r="E1655" s="1989">
        <v>3.34</v>
      </c>
      <c r="F1655" s="38">
        <f t="shared" si="25"/>
        <v>271.6129416</v>
      </c>
      <c r="G1655" s="459"/>
    </row>
    <row r="1656" spans="2:7" outlineLevel="1" x14ac:dyDescent="0.2">
      <c r="B1656" s="28"/>
      <c r="C1656" s="1989" t="s">
        <v>198</v>
      </c>
      <c r="D1656" s="1989" t="s">
        <v>4028</v>
      </c>
      <c r="E1656" s="1989">
        <v>1.49</v>
      </c>
      <c r="F1656" s="38">
        <f t="shared" si="25"/>
        <v>121.16864760000001</v>
      </c>
      <c r="G1656" s="459"/>
    </row>
    <row r="1657" spans="2:7" outlineLevel="1" x14ac:dyDescent="0.2">
      <c r="B1657" s="28"/>
      <c r="C1657" s="1989" t="s">
        <v>2764</v>
      </c>
      <c r="D1657" s="1989" t="s">
        <v>5868</v>
      </c>
      <c r="E1657" s="1989">
        <v>15.08</v>
      </c>
      <c r="F1657" s="38">
        <f t="shared" si="25"/>
        <v>1226.3242992</v>
      </c>
      <c r="G1657" s="459"/>
    </row>
    <row r="1658" spans="2:7" outlineLevel="1" x14ac:dyDescent="0.2">
      <c r="B1658" s="28"/>
      <c r="C1658" s="1989" t="s">
        <v>520</v>
      </c>
      <c r="D1658" s="1989" t="s">
        <v>7773</v>
      </c>
      <c r="E1658" s="1989">
        <v>27.35</v>
      </c>
      <c r="F1658" s="38">
        <f t="shared" si="25"/>
        <v>2224.135914</v>
      </c>
      <c r="G1658" s="459"/>
    </row>
    <row r="1659" spans="2:7" outlineLevel="1" x14ac:dyDescent="0.2">
      <c r="B1659" s="28"/>
      <c r="C1659" s="1989" t="s">
        <v>187</v>
      </c>
      <c r="D1659" s="1989" t="s">
        <v>4029</v>
      </c>
      <c r="E1659" s="1989">
        <v>33.28</v>
      </c>
      <c r="F1659" s="38">
        <f t="shared" si="25"/>
        <v>2706.3708672000002</v>
      </c>
      <c r="G1659" s="459"/>
    </row>
    <row r="1660" spans="2:7" outlineLevel="1" x14ac:dyDescent="0.2">
      <c r="B1660" s="28"/>
      <c r="C1660" s="1989" t="s">
        <v>4030</v>
      </c>
      <c r="D1660" s="1989" t="s">
        <v>4031</v>
      </c>
      <c r="E1660" s="1989">
        <v>20.97</v>
      </c>
      <c r="F1660" s="38">
        <f t="shared" si="25"/>
        <v>1705.3064027999999</v>
      </c>
      <c r="G1660" s="459"/>
    </row>
    <row r="1661" spans="2:7" outlineLevel="1" x14ac:dyDescent="0.2">
      <c r="B1661" s="28"/>
      <c r="C1661" s="1989" t="s">
        <v>4032</v>
      </c>
      <c r="D1661" s="1989" t="s">
        <v>4033</v>
      </c>
      <c r="E1661" s="1989">
        <v>20.97</v>
      </c>
      <c r="F1661" s="38">
        <f t="shared" si="25"/>
        <v>1705.3064027999999</v>
      </c>
      <c r="G1661" s="459"/>
    </row>
    <row r="1662" spans="2:7" outlineLevel="1" x14ac:dyDescent="0.2">
      <c r="B1662" s="28"/>
      <c r="C1662" s="1989" t="s">
        <v>4034</v>
      </c>
      <c r="D1662" s="1989" t="s">
        <v>4035</v>
      </c>
      <c r="E1662" s="1989">
        <v>5.37</v>
      </c>
      <c r="F1662" s="38">
        <f t="shared" si="25"/>
        <v>436.69505880000003</v>
      </c>
      <c r="G1662" s="459"/>
    </row>
    <row r="1663" spans="2:7" outlineLevel="1" x14ac:dyDescent="0.2">
      <c r="B1663" s="28"/>
      <c r="C1663" s="1989" t="s">
        <v>188</v>
      </c>
      <c r="D1663" s="1989" t="s">
        <v>4036</v>
      </c>
      <c r="E1663" s="1989">
        <v>28.17</v>
      </c>
      <c r="F1663" s="38">
        <f t="shared" si="25"/>
        <v>2290.8193308000004</v>
      </c>
      <c r="G1663" s="459"/>
    </row>
    <row r="1664" spans="2:7" outlineLevel="1" x14ac:dyDescent="0.2">
      <c r="B1664" s="28"/>
      <c r="C1664" s="1989" t="s">
        <v>189</v>
      </c>
      <c r="D1664" s="1989" t="s">
        <v>4037</v>
      </c>
      <c r="E1664" s="1989">
        <v>30.16</v>
      </c>
      <c r="F1664" s="38">
        <f t="shared" si="25"/>
        <v>2452.6485984000001</v>
      </c>
      <c r="G1664" s="459"/>
    </row>
    <row r="1665" spans="2:7" outlineLevel="1" x14ac:dyDescent="0.2">
      <c r="B1665" s="28"/>
      <c r="C1665" s="1989" t="s">
        <v>4038</v>
      </c>
      <c r="D1665" s="1989" t="s">
        <v>4039</v>
      </c>
      <c r="E1665" s="1989">
        <v>20.97</v>
      </c>
      <c r="F1665" s="38">
        <f t="shared" si="25"/>
        <v>1705.3064027999999</v>
      </c>
      <c r="G1665" s="459"/>
    </row>
    <row r="1666" spans="2:7" outlineLevel="1" x14ac:dyDescent="0.2">
      <c r="B1666" s="28"/>
      <c r="C1666" s="1989" t="s">
        <v>190</v>
      </c>
      <c r="D1666" s="1989" t="s">
        <v>4040</v>
      </c>
      <c r="E1666" s="1989">
        <v>40.97</v>
      </c>
      <c r="F1666" s="38">
        <f t="shared" si="25"/>
        <v>3331.7312027999997</v>
      </c>
      <c r="G1666" s="459"/>
    </row>
    <row r="1667" spans="2:7" outlineLevel="1" x14ac:dyDescent="0.2">
      <c r="B1667" s="28"/>
      <c r="C1667" s="1989" t="s">
        <v>191</v>
      </c>
      <c r="D1667" s="1989" t="s">
        <v>4041</v>
      </c>
      <c r="E1667" s="1989">
        <v>28.17</v>
      </c>
      <c r="F1667" s="38">
        <f t="shared" si="25"/>
        <v>2290.8193308000004</v>
      </c>
      <c r="G1667" s="459"/>
    </row>
    <row r="1668" spans="2:7" outlineLevel="1" x14ac:dyDescent="0.2">
      <c r="B1668" s="28"/>
      <c r="C1668" s="1989" t="s">
        <v>192</v>
      </c>
      <c r="D1668" s="1989" t="s">
        <v>4042</v>
      </c>
      <c r="E1668" s="1989">
        <v>34.549999999999997</v>
      </c>
      <c r="F1668" s="38">
        <f t="shared" si="25"/>
        <v>2809.6488419999996</v>
      </c>
      <c r="G1668" s="459"/>
    </row>
    <row r="1669" spans="2:7" outlineLevel="1" x14ac:dyDescent="0.2">
      <c r="B1669" s="28"/>
      <c r="C1669" s="1989" t="s">
        <v>193</v>
      </c>
      <c r="D1669" s="1989" t="s">
        <v>4043</v>
      </c>
      <c r="E1669" s="1989">
        <v>37.11</v>
      </c>
      <c r="F1669" s="38">
        <f t="shared" si="25"/>
        <v>3017.8312163999999</v>
      </c>
      <c r="G1669" s="459"/>
    </row>
    <row r="1670" spans="2:7" outlineLevel="1" x14ac:dyDescent="0.2">
      <c r="B1670" s="28"/>
      <c r="C1670" s="1989" t="s">
        <v>4044</v>
      </c>
      <c r="D1670" s="1989" t="s">
        <v>4045</v>
      </c>
      <c r="E1670" s="1989">
        <v>21.22</v>
      </c>
      <c r="F1670" s="38">
        <f t="shared" si="25"/>
        <v>1725.6367127999999</v>
      </c>
      <c r="G1670" s="459"/>
    </row>
    <row r="1671" spans="2:7" outlineLevel="1" x14ac:dyDescent="0.2">
      <c r="B1671" s="28"/>
      <c r="C1671" s="1989" t="s">
        <v>4046</v>
      </c>
      <c r="D1671" s="1989" t="s">
        <v>4047</v>
      </c>
      <c r="E1671" s="1989">
        <v>3.27</v>
      </c>
      <c r="F1671" s="38">
        <f t="shared" si="25"/>
        <v>265.92045480000002</v>
      </c>
      <c r="G1671" s="459"/>
    </row>
    <row r="1672" spans="2:7" outlineLevel="1" x14ac:dyDescent="0.2">
      <c r="B1672" s="28"/>
      <c r="C1672" s="1989" t="s">
        <v>4048</v>
      </c>
      <c r="D1672" s="1989" t="s">
        <v>4049</v>
      </c>
      <c r="E1672" s="1989">
        <v>21.45</v>
      </c>
      <c r="F1672" s="38">
        <f t="shared" si="25"/>
        <v>1744.340598</v>
      </c>
      <c r="G1672" s="459"/>
    </row>
    <row r="1673" spans="2:7" outlineLevel="1" x14ac:dyDescent="0.2">
      <c r="B1673" s="28"/>
      <c r="C1673" s="1989" t="s">
        <v>194</v>
      </c>
      <c r="D1673" s="1989" t="s">
        <v>4050</v>
      </c>
      <c r="E1673" s="1989">
        <v>32.729999999999997</v>
      </c>
      <c r="F1673" s="38">
        <f t="shared" si="25"/>
        <v>2661.6441851999998</v>
      </c>
      <c r="G1673" s="459"/>
    </row>
    <row r="1674" spans="2:7" outlineLevel="1" x14ac:dyDescent="0.2">
      <c r="B1674" s="28"/>
      <c r="C1674" s="1989" t="s">
        <v>195</v>
      </c>
      <c r="D1674" s="1989" t="s">
        <v>4051</v>
      </c>
      <c r="E1674" s="1989">
        <v>28.64</v>
      </c>
      <c r="F1674" s="38">
        <f t="shared" si="25"/>
        <v>2329.0403136000004</v>
      </c>
      <c r="G1674" s="459"/>
    </row>
    <row r="1675" spans="2:7" outlineLevel="1" x14ac:dyDescent="0.2">
      <c r="B1675" s="28"/>
      <c r="C1675" s="1989" t="s">
        <v>4052</v>
      </c>
      <c r="D1675" s="1989" t="s">
        <v>4053</v>
      </c>
      <c r="E1675" s="1989">
        <v>21.7</v>
      </c>
      <c r="F1675" s="38">
        <f t="shared" si="25"/>
        <v>1764.6709080000001</v>
      </c>
      <c r="G1675" s="459"/>
    </row>
    <row r="1676" spans="2:7" outlineLevel="1" x14ac:dyDescent="0.2">
      <c r="B1676" s="28"/>
      <c r="C1676" s="1989" t="s">
        <v>4054</v>
      </c>
      <c r="D1676" s="1989" t="s">
        <v>4055</v>
      </c>
      <c r="E1676" s="1989">
        <v>31.2</v>
      </c>
      <c r="F1676" s="38">
        <f t="shared" si="25"/>
        <v>2537.2226879999998</v>
      </c>
      <c r="G1676" s="459"/>
    </row>
    <row r="1677" spans="2:7" outlineLevel="1" x14ac:dyDescent="0.2">
      <c r="B1677" s="28"/>
      <c r="C1677" s="1989" t="s">
        <v>197</v>
      </c>
      <c r="D1677" s="1989" t="s">
        <v>4056</v>
      </c>
      <c r="E1677" s="1989">
        <v>43.54</v>
      </c>
      <c r="F1677" s="38">
        <f t="shared" si="25"/>
        <v>3540.7267896000003</v>
      </c>
      <c r="G1677" s="459"/>
    </row>
    <row r="1678" spans="2:7" outlineLevel="1" x14ac:dyDescent="0.2">
      <c r="B1678" s="28"/>
      <c r="C1678" s="1989" t="s">
        <v>4057</v>
      </c>
      <c r="D1678" s="1989" t="s">
        <v>4058</v>
      </c>
      <c r="E1678" s="1989">
        <v>22.97</v>
      </c>
      <c r="F1678" s="38">
        <f t="shared" si="25"/>
        <v>1867.9488827999999</v>
      </c>
      <c r="G1678" s="459"/>
    </row>
    <row r="1679" spans="2:7" outlineLevel="1" x14ac:dyDescent="0.2">
      <c r="B1679" s="28"/>
      <c r="C1679" s="1989" t="s">
        <v>2758</v>
      </c>
      <c r="D1679" s="1989" t="s">
        <v>7774</v>
      </c>
      <c r="E1679" s="1989">
        <v>2.09</v>
      </c>
      <c r="F1679" s="38">
        <f t="shared" si="25"/>
        <v>169.96139159999998</v>
      </c>
      <c r="G1679" s="459"/>
    </row>
    <row r="1680" spans="2:7" outlineLevel="1" x14ac:dyDescent="0.2">
      <c r="B1680" s="28"/>
      <c r="C1680" s="1989" t="s">
        <v>199</v>
      </c>
      <c r="D1680" s="1989" t="s">
        <v>4059</v>
      </c>
      <c r="E1680" s="1989">
        <v>28.17</v>
      </c>
      <c r="F1680" s="38">
        <f t="shared" si="25"/>
        <v>2290.8193308000004</v>
      </c>
      <c r="G1680" s="459"/>
    </row>
    <row r="1681" spans="2:7" outlineLevel="1" x14ac:dyDescent="0.2">
      <c r="B1681" s="28"/>
      <c r="C1681" s="1989" t="s">
        <v>200</v>
      </c>
      <c r="D1681" s="1989" t="s">
        <v>4060</v>
      </c>
      <c r="E1681" s="1989">
        <v>38.39</v>
      </c>
      <c r="F1681" s="38">
        <f t="shared" si="25"/>
        <v>3121.9224036000001</v>
      </c>
      <c r="G1681" s="459"/>
    </row>
    <row r="1682" spans="2:7" outlineLevel="1" x14ac:dyDescent="0.2">
      <c r="B1682" s="28"/>
      <c r="C1682" s="1989" t="s">
        <v>4061</v>
      </c>
      <c r="D1682" s="1989" t="s">
        <v>4062</v>
      </c>
      <c r="E1682" s="1989">
        <v>33.770000000000003</v>
      </c>
      <c r="F1682" s="38">
        <f t="shared" si="25"/>
        <v>2746.2182748000005</v>
      </c>
      <c r="G1682" s="459"/>
    </row>
    <row r="1683" spans="2:7" outlineLevel="1" x14ac:dyDescent="0.2">
      <c r="B1683" s="28"/>
      <c r="C1683" s="1989" t="s">
        <v>2762</v>
      </c>
      <c r="D1683" s="1989" t="s">
        <v>5869</v>
      </c>
      <c r="E1683" s="1989">
        <v>5.13</v>
      </c>
      <c r="F1683" s="38">
        <f t="shared" si="25"/>
        <v>417.17796120000003</v>
      </c>
      <c r="G1683" s="459"/>
    </row>
    <row r="1684" spans="2:7" outlineLevel="1" x14ac:dyDescent="0.2">
      <c r="B1684" s="28"/>
      <c r="C1684" s="1989" t="s">
        <v>201</v>
      </c>
      <c r="D1684" s="1989" t="s">
        <v>4063</v>
      </c>
      <c r="E1684" s="1989">
        <v>28.89</v>
      </c>
      <c r="F1684" s="38">
        <f t="shared" si="25"/>
        <v>2349.3706236000003</v>
      </c>
      <c r="G1684" s="459"/>
    </row>
    <row r="1685" spans="2:7" outlineLevel="1" x14ac:dyDescent="0.2">
      <c r="B1685" s="28"/>
      <c r="C1685" s="1989" t="s">
        <v>202</v>
      </c>
      <c r="D1685" s="1989" t="s">
        <v>4064</v>
      </c>
      <c r="E1685" s="1989">
        <v>28.4</v>
      </c>
      <c r="F1685" s="38">
        <f t="shared" si="25"/>
        <v>2309.523216</v>
      </c>
      <c r="G1685" s="459"/>
    </row>
    <row r="1686" spans="2:7" outlineLevel="1" x14ac:dyDescent="0.2">
      <c r="B1686" s="28"/>
      <c r="C1686" s="1989" t="s">
        <v>4065</v>
      </c>
      <c r="D1686" s="1989" t="s">
        <v>4066</v>
      </c>
      <c r="E1686" s="1989">
        <v>36.340000000000003</v>
      </c>
      <c r="F1686" s="38">
        <f t="shared" si="25"/>
        <v>2955.2138616000007</v>
      </c>
      <c r="G1686" s="459"/>
    </row>
    <row r="1687" spans="2:7" outlineLevel="1" x14ac:dyDescent="0.2">
      <c r="B1687" s="28"/>
      <c r="C1687" s="1989" t="s">
        <v>203</v>
      </c>
      <c r="D1687" s="1989" t="s">
        <v>4067</v>
      </c>
      <c r="E1687" s="1989">
        <v>28.17</v>
      </c>
      <c r="F1687" s="38">
        <f t="shared" si="25"/>
        <v>2290.8193308000004</v>
      </c>
      <c r="G1687" s="459"/>
    </row>
    <row r="1688" spans="2:7" outlineLevel="1" x14ac:dyDescent="0.2">
      <c r="B1688" s="28"/>
      <c r="C1688" s="1989" t="s">
        <v>2043</v>
      </c>
      <c r="D1688" s="1989" t="s">
        <v>4068</v>
      </c>
      <c r="E1688" s="1989">
        <v>33.04</v>
      </c>
      <c r="F1688" s="38">
        <f t="shared" si="25"/>
        <v>2686.8537695999999</v>
      </c>
      <c r="G1688" s="459"/>
    </row>
    <row r="1689" spans="2:7" outlineLevel="1" x14ac:dyDescent="0.2">
      <c r="B1689" s="28"/>
      <c r="C1689" s="1989" t="s">
        <v>4069</v>
      </c>
      <c r="D1689" s="1989" t="s">
        <v>4070</v>
      </c>
      <c r="E1689" s="1989">
        <v>25.54</v>
      </c>
      <c r="F1689" s="38">
        <f t="shared" si="25"/>
        <v>2076.9444696</v>
      </c>
      <c r="G1689" s="459"/>
    </row>
    <row r="1690" spans="2:7" outlineLevel="1" x14ac:dyDescent="0.2">
      <c r="B1690" s="28"/>
      <c r="C1690" s="1989" t="s">
        <v>2267</v>
      </c>
      <c r="D1690" s="1989" t="s">
        <v>2268</v>
      </c>
      <c r="E1690" s="1989">
        <v>12.85</v>
      </c>
      <c r="F1690" s="38">
        <f t="shared" si="25"/>
        <v>1044.977934</v>
      </c>
      <c r="G1690" s="459"/>
    </row>
    <row r="1691" spans="2:7" outlineLevel="1" x14ac:dyDescent="0.2">
      <c r="B1691" s="28"/>
      <c r="C1691" s="1989" t="s">
        <v>3541</v>
      </c>
      <c r="D1691" s="1989" t="s">
        <v>3542</v>
      </c>
      <c r="E1691" s="1989">
        <v>13.62</v>
      </c>
      <c r="F1691" s="38">
        <f t="shared" si="25"/>
        <v>1107.5952887999999</v>
      </c>
      <c r="G1691" s="459"/>
    </row>
    <row r="1692" spans="2:7" outlineLevel="1" x14ac:dyDescent="0.2">
      <c r="B1692" s="28"/>
      <c r="C1692" s="1989" t="s">
        <v>3543</v>
      </c>
      <c r="D1692" s="1989" t="s">
        <v>5870</v>
      </c>
      <c r="E1692" s="1989">
        <v>0.2</v>
      </c>
      <c r="F1692" s="38">
        <f t="shared" si="25"/>
        <v>16.264248000000002</v>
      </c>
      <c r="G1692" s="459"/>
    </row>
    <row r="1693" spans="2:7" outlineLevel="1" x14ac:dyDescent="0.2">
      <c r="B1693" s="28"/>
      <c r="C1693" s="1989" t="s">
        <v>2983</v>
      </c>
      <c r="D1693" s="1989" t="s">
        <v>5871</v>
      </c>
      <c r="E1693" s="1989">
        <v>3.04</v>
      </c>
      <c r="F1693" s="38">
        <f t="shared" si="25"/>
        <v>247.21656959999999</v>
      </c>
      <c r="G1693" s="459"/>
    </row>
    <row r="1694" spans="2:7" outlineLevel="1" x14ac:dyDescent="0.2">
      <c r="B1694" s="28"/>
      <c r="C1694" s="1989" t="s">
        <v>3627</v>
      </c>
      <c r="D1694" s="1989" t="s">
        <v>5872</v>
      </c>
      <c r="E1694" s="1989">
        <v>5.66</v>
      </c>
      <c r="F1694" s="38">
        <f t="shared" ref="F1694:F1757" si="26">E1694*$G$4*$J$4</f>
        <v>460.27821840000001</v>
      </c>
      <c r="G1694" s="459"/>
    </row>
    <row r="1695" spans="2:7" outlineLevel="1" x14ac:dyDescent="0.2">
      <c r="B1695" s="28"/>
      <c r="C1695" s="1989" t="s">
        <v>2273</v>
      </c>
      <c r="D1695" s="1989" t="s">
        <v>5873</v>
      </c>
      <c r="E1695" s="1989">
        <v>3.37</v>
      </c>
      <c r="F1695" s="38">
        <f t="shared" si="26"/>
        <v>274.05257879999999</v>
      </c>
      <c r="G1695" s="459"/>
    </row>
    <row r="1696" spans="2:7" outlineLevel="1" x14ac:dyDescent="0.2">
      <c r="B1696" s="28"/>
      <c r="C1696" s="1989" t="s">
        <v>3628</v>
      </c>
      <c r="D1696" s="1989" t="s">
        <v>3629</v>
      </c>
      <c r="E1696" s="1989">
        <v>13.62</v>
      </c>
      <c r="F1696" s="38">
        <f t="shared" si="26"/>
        <v>1107.5952887999999</v>
      </c>
      <c r="G1696" s="459"/>
    </row>
    <row r="1697" spans="2:7" outlineLevel="1" x14ac:dyDescent="0.2">
      <c r="B1697" s="28"/>
      <c r="C1697" s="1989" t="s">
        <v>3737</v>
      </c>
      <c r="D1697" s="1989" t="s">
        <v>3738</v>
      </c>
      <c r="E1697" s="1989">
        <v>20.04</v>
      </c>
      <c r="F1697" s="38">
        <f t="shared" si="26"/>
        <v>1629.6776496</v>
      </c>
      <c r="G1697" s="459"/>
    </row>
    <row r="1698" spans="2:7" outlineLevel="1" x14ac:dyDescent="0.2">
      <c r="B1698" s="28"/>
      <c r="C1698" s="1989" t="s">
        <v>2984</v>
      </c>
      <c r="D1698" s="1989" t="s">
        <v>7775</v>
      </c>
      <c r="E1698" s="1989">
        <v>3.04</v>
      </c>
      <c r="F1698" s="38">
        <f t="shared" si="26"/>
        <v>247.21656959999999</v>
      </c>
      <c r="G1698" s="459"/>
    </row>
    <row r="1699" spans="2:7" outlineLevel="1" x14ac:dyDescent="0.2">
      <c r="B1699" s="28"/>
      <c r="C1699" s="1989" t="s">
        <v>4584</v>
      </c>
      <c r="D1699" s="1989" t="s">
        <v>5874</v>
      </c>
      <c r="E1699" s="1989">
        <v>13.62</v>
      </c>
      <c r="F1699" s="38">
        <f t="shared" si="26"/>
        <v>1107.5952887999999</v>
      </c>
      <c r="G1699" s="459"/>
    </row>
    <row r="1700" spans="2:7" outlineLevel="1" x14ac:dyDescent="0.2">
      <c r="B1700" s="28"/>
      <c r="C1700" s="1989" t="s">
        <v>3544</v>
      </c>
      <c r="D1700" s="1989" t="s">
        <v>3545</v>
      </c>
      <c r="E1700" s="1989">
        <v>20.28</v>
      </c>
      <c r="F1700" s="38">
        <f t="shared" si="26"/>
        <v>1649.1947472000002</v>
      </c>
      <c r="G1700" s="459"/>
    </row>
    <row r="1701" spans="2:7" outlineLevel="1" x14ac:dyDescent="0.2">
      <c r="B1701" s="28"/>
      <c r="C1701" s="1989" t="s">
        <v>2985</v>
      </c>
      <c r="D1701" s="1989" t="s">
        <v>5875</v>
      </c>
      <c r="E1701" s="1989">
        <v>4.47</v>
      </c>
      <c r="F1701" s="38">
        <f t="shared" si="26"/>
        <v>363.50594280000001</v>
      </c>
      <c r="G1701" s="459"/>
    </row>
    <row r="1702" spans="2:7" outlineLevel="1" x14ac:dyDescent="0.2">
      <c r="B1702" s="28"/>
      <c r="C1702" s="1989" t="s">
        <v>3546</v>
      </c>
      <c r="D1702" s="1989" t="s">
        <v>5876</v>
      </c>
      <c r="E1702" s="1989">
        <v>3.56</v>
      </c>
      <c r="F1702" s="38">
        <f t="shared" si="26"/>
        <v>289.50361440000006</v>
      </c>
      <c r="G1702" s="459"/>
    </row>
    <row r="1703" spans="2:7" outlineLevel="1" x14ac:dyDescent="0.2">
      <c r="B1703" s="28"/>
      <c r="C1703" s="1989" t="s">
        <v>3739</v>
      </c>
      <c r="D1703" s="1989" t="s">
        <v>3740</v>
      </c>
      <c r="E1703" s="1989">
        <v>13.62</v>
      </c>
      <c r="F1703" s="38">
        <f t="shared" si="26"/>
        <v>1107.5952887999999</v>
      </c>
      <c r="G1703" s="459"/>
    </row>
    <row r="1704" spans="2:7" outlineLevel="1" x14ac:dyDescent="0.2">
      <c r="B1704" s="28"/>
      <c r="C1704" s="1989" t="s">
        <v>2295</v>
      </c>
      <c r="D1704" s="1989" t="s">
        <v>7776</v>
      </c>
      <c r="E1704" s="1989">
        <v>16.739999999999998</v>
      </c>
      <c r="F1704" s="38">
        <f t="shared" si="26"/>
        <v>1361.3175575999999</v>
      </c>
      <c r="G1704" s="459"/>
    </row>
    <row r="1705" spans="2:7" outlineLevel="1" x14ac:dyDescent="0.2">
      <c r="B1705" s="28"/>
      <c r="C1705" s="1989" t="s">
        <v>4585</v>
      </c>
      <c r="D1705" s="1989" t="s">
        <v>4586</v>
      </c>
      <c r="E1705" s="1989">
        <v>24.18</v>
      </c>
      <c r="F1705" s="38">
        <f t="shared" si="26"/>
        <v>1966.3475831999999</v>
      </c>
      <c r="G1705" s="459"/>
    </row>
    <row r="1706" spans="2:7" outlineLevel="1" x14ac:dyDescent="0.2">
      <c r="B1706" s="28"/>
      <c r="C1706" s="1989" t="s">
        <v>4587</v>
      </c>
      <c r="D1706" s="1989" t="s">
        <v>5877</v>
      </c>
      <c r="E1706" s="1989">
        <v>9.66</v>
      </c>
      <c r="F1706" s="38">
        <f t="shared" si="26"/>
        <v>785.56317840000008</v>
      </c>
      <c r="G1706" s="459"/>
    </row>
    <row r="1707" spans="2:7" outlineLevel="1" x14ac:dyDescent="0.2">
      <c r="B1707" s="28"/>
      <c r="C1707" s="1989" t="s">
        <v>4588</v>
      </c>
      <c r="D1707" s="1989" t="s">
        <v>5878</v>
      </c>
      <c r="E1707" s="1989">
        <v>0.51</v>
      </c>
      <c r="F1707" s="38">
        <f t="shared" si="26"/>
        <v>41.473832399999999</v>
      </c>
      <c r="G1707" s="459"/>
    </row>
    <row r="1708" spans="2:7" outlineLevel="1" x14ac:dyDescent="0.2">
      <c r="B1708" s="28"/>
      <c r="C1708" s="1989" t="s">
        <v>2986</v>
      </c>
      <c r="D1708" s="1989" t="s">
        <v>5879</v>
      </c>
      <c r="E1708" s="1989">
        <v>4.47</v>
      </c>
      <c r="F1708" s="38">
        <f t="shared" si="26"/>
        <v>363.50594280000001</v>
      </c>
      <c r="G1708" s="459"/>
    </row>
    <row r="1709" spans="2:7" outlineLevel="1" x14ac:dyDescent="0.2">
      <c r="B1709" s="28"/>
      <c r="C1709" s="1989" t="s">
        <v>4589</v>
      </c>
      <c r="D1709" s="1989" t="s">
        <v>5880</v>
      </c>
      <c r="E1709" s="1989">
        <v>9.66</v>
      </c>
      <c r="F1709" s="38">
        <f t="shared" si="26"/>
        <v>785.56317840000008</v>
      </c>
      <c r="G1709" s="459"/>
    </row>
    <row r="1710" spans="2:7" outlineLevel="1" x14ac:dyDescent="0.2">
      <c r="B1710" s="28"/>
      <c r="C1710" s="1989" t="s">
        <v>2987</v>
      </c>
      <c r="D1710" s="1989" t="s">
        <v>5881</v>
      </c>
      <c r="E1710" s="1989">
        <v>9.91</v>
      </c>
      <c r="F1710" s="38">
        <f t="shared" si="26"/>
        <v>805.89348840000002</v>
      </c>
      <c r="G1710" s="459"/>
    </row>
    <row r="1711" spans="2:7" outlineLevel="1" x14ac:dyDescent="0.2">
      <c r="B1711" s="28"/>
      <c r="C1711" s="1989" t="s">
        <v>3315</v>
      </c>
      <c r="D1711" s="1989" t="s">
        <v>5882</v>
      </c>
      <c r="E1711" s="1989">
        <v>9.89</v>
      </c>
      <c r="F1711" s="38">
        <f t="shared" si="26"/>
        <v>804.26706360000003</v>
      </c>
      <c r="G1711" s="459"/>
    </row>
    <row r="1712" spans="2:7" outlineLevel="1" x14ac:dyDescent="0.2">
      <c r="B1712" s="28"/>
      <c r="C1712" s="1989" t="s">
        <v>3547</v>
      </c>
      <c r="D1712" s="1989" t="s">
        <v>3548</v>
      </c>
      <c r="E1712" s="1989">
        <v>19.78</v>
      </c>
      <c r="F1712" s="38">
        <f t="shared" si="26"/>
        <v>1608.5341272000001</v>
      </c>
      <c r="G1712" s="459"/>
    </row>
    <row r="1713" spans="1:47" outlineLevel="1" x14ac:dyDescent="0.2">
      <c r="B1713" s="28"/>
      <c r="C1713" s="1989" t="s">
        <v>3316</v>
      </c>
      <c r="D1713" s="1989" t="s">
        <v>5883</v>
      </c>
      <c r="E1713" s="1989">
        <v>9.89</v>
      </c>
      <c r="F1713" s="38">
        <f t="shared" si="26"/>
        <v>804.26706360000003</v>
      </c>
      <c r="G1713" s="459"/>
    </row>
    <row r="1714" spans="1:47" outlineLevel="1" x14ac:dyDescent="0.2">
      <c r="B1714" s="28"/>
      <c r="C1714" s="1989" t="s">
        <v>2299</v>
      </c>
      <c r="D1714" s="1989" t="s">
        <v>3317</v>
      </c>
      <c r="E1714" s="1989">
        <v>1.98</v>
      </c>
      <c r="F1714" s="38">
        <f t="shared" si="26"/>
        <v>161.01605520000001</v>
      </c>
      <c r="G1714" s="459"/>
    </row>
    <row r="1715" spans="1:47" outlineLevel="1" x14ac:dyDescent="0.2">
      <c r="B1715" s="28"/>
      <c r="C1715" s="1989" t="s">
        <v>2988</v>
      </c>
      <c r="D1715" s="1989" t="s">
        <v>5884</v>
      </c>
      <c r="E1715" s="1989">
        <v>9.91</v>
      </c>
      <c r="F1715" s="38">
        <f t="shared" si="26"/>
        <v>805.89348840000002</v>
      </c>
      <c r="G1715" s="459"/>
    </row>
    <row r="1716" spans="1:47" outlineLevel="1" x14ac:dyDescent="0.2">
      <c r="B1716" s="28"/>
      <c r="C1716" s="1989" t="s">
        <v>2372</v>
      </c>
      <c r="D1716" s="1989" t="s">
        <v>5885</v>
      </c>
      <c r="E1716" s="1989">
        <v>8.27</v>
      </c>
      <c r="F1716" s="38">
        <f t="shared" si="26"/>
        <v>672.52665479999996</v>
      </c>
      <c r="G1716" s="459"/>
    </row>
    <row r="1717" spans="1:47" outlineLevel="1" x14ac:dyDescent="0.2">
      <c r="B1717" s="28"/>
      <c r="C1717" s="1989" t="s">
        <v>2373</v>
      </c>
      <c r="D1717" s="1989" t="s">
        <v>5886</v>
      </c>
      <c r="E1717" s="1989">
        <v>8.27</v>
      </c>
      <c r="F1717" s="38">
        <f t="shared" si="26"/>
        <v>672.52665479999996</v>
      </c>
      <c r="G1717" s="459"/>
    </row>
    <row r="1718" spans="1:47" s="840" customFormat="1" outlineLevel="1" x14ac:dyDescent="0.2">
      <c r="A1718" s="8"/>
      <c r="B1718" s="28"/>
      <c r="C1718" s="1989" t="s">
        <v>2302</v>
      </c>
      <c r="D1718" s="1989" t="s">
        <v>5887</v>
      </c>
      <c r="E1718" s="1989">
        <v>8.25</v>
      </c>
      <c r="F1718" s="38">
        <f t="shared" si="26"/>
        <v>670.90023000000008</v>
      </c>
      <c r="G1718" s="459"/>
      <c r="H1718" s="8"/>
      <c r="I1718" s="8"/>
      <c r="J1718" s="8"/>
      <c r="K1718" s="8"/>
      <c r="L1718" s="8"/>
      <c r="M1718" s="8"/>
      <c r="N1718" s="8"/>
      <c r="O1718" s="8"/>
      <c r="P1718" s="8"/>
      <c r="Q1718" s="8"/>
      <c r="R1718" s="8"/>
      <c r="S1718" s="8"/>
      <c r="T1718" s="8"/>
      <c r="U1718" s="8"/>
      <c r="V1718" s="8"/>
      <c r="W1718" s="8"/>
      <c r="X1718" s="771"/>
      <c r="Y1718" s="771"/>
      <c r="Z1718" s="771"/>
      <c r="AA1718" s="771"/>
      <c r="AB1718" s="771"/>
      <c r="AC1718" s="771"/>
      <c r="AD1718" s="771"/>
      <c r="AE1718" s="771"/>
      <c r="AF1718" s="771"/>
      <c r="AG1718" s="771"/>
      <c r="AH1718" s="771"/>
      <c r="AI1718" s="771"/>
      <c r="AJ1718" s="771"/>
      <c r="AK1718" s="771"/>
      <c r="AL1718" s="771"/>
      <c r="AM1718" s="771"/>
      <c r="AN1718" s="771"/>
      <c r="AO1718" s="771"/>
      <c r="AP1718" s="771"/>
      <c r="AQ1718" s="771"/>
      <c r="AR1718" s="771"/>
      <c r="AS1718" s="771"/>
      <c r="AT1718" s="771"/>
      <c r="AU1718" s="771"/>
    </row>
    <row r="1719" spans="1:47" s="840" customFormat="1" outlineLevel="1" x14ac:dyDescent="0.2">
      <c r="A1719" s="8"/>
      <c r="B1719" s="28"/>
      <c r="C1719" s="1989" t="s">
        <v>2307</v>
      </c>
      <c r="D1719" s="1989" t="s">
        <v>5888</v>
      </c>
      <c r="E1719" s="1989">
        <v>8.25</v>
      </c>
      <c r="F1719" s="38">
        <f t="shared" si="26"/>
        <v>670.90023000000008</v>
      </c>
      <c r="G1719" s="459"/>
      <c r="H1719" s="8"/>
      <c r="I1719" s="8"/>
      <c r="J1719" s="8"/>
      <c r="K1719" s="8"/>
      <c r="L1719" s="8"/>
      <c r="M1719" s="8"/>
      <c r="N1719" s="8"/>
      <c r="O1719" s="8"/>
      <c r="P1719" s="8"/>
      <c r="Q1719" s="8"/>
      <c r="R1719" s="8"/>
      <c r="S1719" s="8"/>
      <c r="T1719" s="8"/>
      <c r="U1719" s="8"/>
      <c r="V1719" s="8"/>
      <c r="W1719" s="8"/>
      <c r="X1719" s="771"/>
      <c r="Y1719" s="771"/>
      <c r="Z1719" s="771"/>
      <c r="AA1719" s="771"/>
      <c r="AB1719" s="771"/>
      <c r="AC1719" s="771"/>
      <c r="AD1719" s="771"/>
      <c r="AE1719" s="771"/>
      <c r="AF1719" s="771"/>
      <c r="AG1719" s="771"/>
      <c r="AH1719" s="771"/>
      <c r="AI1719" s="771"/>
      <c r="AJ1719" s="771"/>
      <c r="AK1719" s="771"/>
      <c r="AL1719" s="771"/>
      <c r="AM1719" s="771"/>
      <c r="AN1719" s="771"/>
      <c r="AO1719" s="771"/>
      <c r="AP1719" s="771"/>
      <c r="AQ1719" s="771"/>
      <c r="AR1719" s="771"/>
      <c r="AS1719" s="771"/>
      <c r="AT1719" s="771"/>
      <c r="AU1719" s="771"/>
    </row>
    <row r="1720" spans="1:47" s="840" customFormat="1" outlineLevel="1" x14ac:dyDescent="0.2">
      <c r="A1720" s="8"/>
      <c r="B1720" s="28"/>
      <c r="C1720" s="1989" t="s">
        <v>3631</v>
      </c>
      <c r="D1720" s="1989" t="s">
        <v>5889</v>
      </c>
      <c r="E1720" s="1989">
        <v>0.45</v>
      </c>
      <c r="F1720" s="38">
        <f t="shared" si="26"/>
        <v>36.594558000000006</v>
      </c>
      <c r="G1720" s="459"/>
      <c r="H1720" s="8"/>
      <c r="I1720" s="8"/>
      <c r="J1720" s="8"/>
      <c r="K1720" s="8"/>
      <c r="L1720" s="8"/>
      <c r="M1720" s="8"/>
      <c r="N1720" s="8"/>
      <c r="O1720" s="8"/>
      <c r="P1720" s="8"/>
      <c r="Q1720" s="8"/>
      <c r="R1720" s="8"/>
      <c r="S1720" s="8"/>
      <c r="T1720" s="8"/>
      <c r="U1720" s="8"/>
      <c r="V1720" s="8"/>
      <c r="W1720" s="8"/>
      <c r="X1720" s="771"/>
      <c r="Y1720" s="771"/>
      <c r="Z1720" s="771"/>
      <c r="AA1720" s="771"/>
      <c r="AB1720" s="771"/>
      <c r="AC1720" s="771"/>
      <c r="AD1720" s="771"/>
      <c r="AE1720" s="771"/>
      <c r="AF1720" s="771"/>
      <c r="AG1720" s="771"/>
      <c r="AH1720" s="771"/>
      <c r="AI1720" s="771"/>
      <c r="AJ1720" s="771"/>
      <c r="AK1720" s="771"/>
      <c r="AL1720" s="771"/>
      <c r="AM1720" s="771"/>
      <c r="AN1720" s="771"/>
      <c r="AO1720" s="771"/>
      <c r="AP1720" s="771"/>
      <c r="AQ1720" s="771"/>
      <c r="AR1720" s="771"/>
      <c r="AS1720" s="771"/>
      <c r="AT1720" s="771"/>
      <c r="AU1720" s="771"/>
    </row>
    <row r="1721" spans="1:47" s="840" customFormat="1" outlineLevel="1" x14ac:dyDescent="0.2">
      <c r="A1721" s="8"/>
      <c r="B1721" s="28"/>
      <c r="C1721" s="1989" t="s">
        <v>2314</v>
      </c>
      <c r="D1721" s="1989" t="s">
        <v>5890</v>
      </c>
      <c r="E1721" s="1989">
        <v>12.66</v>
      </c>
      <c r="F1721" s="38">
        <f t="shared" si="26"/>
        <v>1029.5268984000002</v>
      </c>
      <c r="G1721" s="459"/>
      <c r="H1721" s="8"/>
      <c r="I1721" s="8"/>
      <c r="J1721" s="8"/>
      <c r="K1721" s="8"/>
      <c r="L1721" s="8"/>
      <c r="M1721" s="8"/>
      <c r="N1721" s="8"/>
      <c r="O1721" s="8"/>
      <c r="P1721" s="8"/>
      <c r="Q1721" s="8"/>
      <c r="R1721" s="8"/>
      <c r="S1721" s="8"/>
      <c r="T1721" s="8"/>
      <c r="U1721" s="8"/>
      <c r="V1721" s="8"/>
      <c r="W1721" s="8"/>
      <c r="X1721" s="771"/>
      <c r="Y1721" s="771"/>
      <c r="Z1721" s="771"/>
      <c r="AA1721" s="771"/>
      <c r="AB1721" s="771"/>
      <c r="AC1721" s="771"/>
      <c r="AD1721" s="771"/>
      <c r="AE1721" s="771"/>
      <c r="AF1721" s="771"/>
      <c r="AG1721" s="771"/>
      <c r="AH1721" s="771"/>
      <c r="AI1721" s="771"/>
      <c r="AJ1721" s="771"/>
      <c r="AK1721" s="771"/>
      <c r="AL1721" s="771"/>
      <c r="AM1721" s="771"/>
      <c r="AN1721" s="771"/>
      <c r="AO1721" s="771"/>
      <c r="AP1721" s="771"/>
      <c r="AQ1721" s="771"/>
      <c r="AR1721" s="771"/>
      <c r="AS1721" s="771"/>
      <c r="AT1721" s="771"/>
      <c r="AU1721" s="771"/>
    </row>
    <row r="1722" spans="1:47" s="840" customFormat="1" outlineLevel="1" x14ac:dyDescent="0.2">
      <c r="A1722" s="8"/>
      <c r="B1722" s="28"/>
      <c r="C1722" s="1989" t="s">
        <v>2315</v>
      </c>
      <c r="D1722" s="1989" t="s">
        <v>5891</v>
      </c>
      <c r="E1722" s="1989">
        <v>12.66</v>
      </c>
      <c r="F1722" s="38">
        <f t="shared" si="26"/>
        <v>1029.5268984000002</v>
      </c>
      <c r="G1722" s="459"/>
      <c r="H1722" s="8"/>
      <c r="I1722" s="8"/>
      <c r="J1722" s="8"/>
      <c r="K1722" s="8"/>
      <c r="L1722" s="8"/>
      <c r="M1722" s="8"/>
      <c r="N1722" s="8"/>
      <c r="O1722" s="8"/>
      <c r="P1722" s="8"/>
      <c r="Q1722" s="8"/>
      <c r="R1722" s="8"/>
      <c r="S1722" s="8"/>
      <c r="T1722" s="8"/>
      <c r="U1722" s="8"/>
      <c r="V1722" s="8"/>
      <c r="W1722" s="8"/>
      <c r="X1722" s="771"/>
      <c r="Y1722" s="771"/>
      <c r="Z1722" s="771"/>
      <c r="AA1722" s="771"/>
      <c r="AB1722" s="771"/>
      <c r="AC1722" s="771"/>
      <c r="AD1722" s="771"/>
      <c r="AE1722" s="771"/>
      <c r="AF1722" s="771"/>
      <c r="AG1722" s="771"/>
      <c r="AH1722" s="771"/>
      <c r="AI1722" s="771"/>
      <c r="AJ1722" s="771"/>
      <c r="AK1722" s="771"/>
      <c r="AL1722" s="771"/>
      <c r="AM1722" s="771"/>
      <c r="AN1722" s="771"/>
      <c r="AO1722" s="771"/>
      <c r="AP1722" s="771"/>
      <c r="AQ1722" s="771"/>
      <c r="AR1722" s="771"/>
      <c r="AS1722" s="771"/>
      <c r="AT1722" s="771"/>
      <c r="AU1722" s="771"/>
    </row>
    <row r="1723" spans="1:47" s="840" customFormat="1" outlineLevel="1" x14ac:dyDescent="0.2">
      <c r="A1723" s="8"/>
      <c r="B1723" s="28"/>
      <c r="C1723" s="1989" t="s">
        <v>6739</v>
      </c>
      <c r="D1723" s="1989" t="s">
        <v>5892</v>
      </c>
      <c r="E1723" s="1989">
        <v>19.78</v>
      </c>
      <c r="F1723" s="38">
        <f t="shared" si="26"/>
        <v>1608.5341272000001</v>
      </c>
      <c r="G1723" s="459"/>
      <c r="H1723" s="8"/>
      <c r="I1723" s="8"/>
      <c r="J1723" s="8"/>
      <c r="K1723" s="8"/>
      <c r="L1723" s="8"/>
      <c r="M1723" s="8"/>
      <c r="N1723" s="8"/>
      <c r="O1723" s="8"/>
      <c r="P1723" s="8"/>
      <c r="Q1723" s="8"/>
      <c r="R1723" s="8"/>
      <c r="S1723" s="8"/>
      <c r="T1723" s="8"/>
      <c r="U1723" s="8"/>
      <c r="V1723" s="8"/>
      <c r="W1723" s="8"/>
      <c r="X1723" s="771"/>
      <c r="Y1723" s="771"/>
      <c r="Z1723" s="771"/>
      <c r="AA1723" s="771"/>
      <c r="AB1723" s="771"/>
      <c r="AC1723" s="771"/>
      <c r="AD1723" s="771"/>
      <c r="AE1723" s="771"/>
      <c r="AF1723" s="771"/>
      <c r="AG1723" s="771"/>
      <c r="AH1723" s="771"/>
      <c r="AI1723" s="771"/>
      <c r="AJ1723" s="771"/>
      <c r="AK1723" s="771"/>
      <c r="AL1723" s="771"/>
      <c r="AM1723" s="771"/>
      <c r="AN1723" s="771"/>
      <c r="AO1723" s="771"/>
      <c r="AP1723" s="771"/>
      <c r="AQ1723" s="771"/>
      <c r="AR1723" s="771"/>
      <c r="AS1723" s="771"/>
      <c r="AT1723" s="771"/>
      <c r="AU1723" s="771"/>
    </row>
    <row r="1724" spans="1:47" s="840" customFormat="1" outlineLevel="1" x14ac:dyDescent="0.2">
      <c r="A1724" s="8"/>
      <c r="B1724" s="28"/>
      <c r="C1724" s="1989" t="s">
        <v>4590</v>
      </c>
      <c r="D1724" s="1989" t="s">
        <v>5893</v>
      </c>
      <c r="E1724" s="1989">
        <v>0</v>
      </c>
      <c r="F1724" s="38">
        <f t="shared" si="26"/>
        <v>0</v>
      </c>
      <c r="G1724" s="459"/>
      <c r="H1724" s="8"/>
      <c r="I1724" s="8"/>
      <c r="J1724" s="8"/>
      <c r="K1724" s="8"/>
      <c r="L1724" s="8"/>
      <c r="M1724" s="8"/>
      <c r="N1724" s="8"/>
      <c r="O1724" s="8"/>
      <c r="P1724" s="8"/>
      <c r="Q1724" s="8"/>
      <c r="R1724" s="8"/>
      <c r="S1724" s="8"/>
      <c r="T1724" s="8"/>
      <c r="U1724" s="8"/>
      <c r="V1724" s="8"/>
      <c r="W1724" s="8"/>
      <c r="X1724" s="771"/>
      <c r="Y1724" s="771"/>
      <c r="Z1724" s="771"/>
      <c r="AA1724" s="771"/>
      <c r="AB1724" s="771"/>
      <c r="AC1724" s="771"/>
      <c r="AD1724" s="771"/>
      <c r="AE1724" s="771"/>
      <c r="AF1724" s="771"/>
      <c r="AG1724" s="771"/>
      <c r="AH1724" s="771"/>
      <c r="AI1724" s="771"/>
      <c r="AJ1724" s="771"/>
      <c r="AK1724" s="771"/>
      <c r="AL1724" s="771"/>
      <c r="AM1724" s="771"/>
      <c r="AN1724" s="771"/>
      <c r="AO1724" s="771"/>
      <c r="AP1724" s="771"/>
      <c r="AQ1724" s="771"/>
      <c r="AR1724" s="771"/>
      <c r="AS1724" s="771"/>
      <c r="AT1724" s="771"/>
      <c r="AU1724" s="771"/>
    </row>
    <row r="1725" spans="1:47" s="840" customFormat="1" outlineLevel="1" x14ac:dyDescent="0.2">
      <c r="A1725" s="8"/>
      <c r="B1725" s="28"/>
      <c r="C1725" s="1989" t="s">
        <v>3632</v>
      </c>
      <c r="D1725" s="1989" t="s">
        <v>5894</v>
      </c>
      <c r="E1725" s="1989">
        <v>0.45</v>
      </c>
      <c r="F1725" s="38">
        <f t="shared" si="26"/>
        <v>36.594558000000006</v>
      </c>
      <c r="G1725" s="459"/>
      <c r="H1725" s="8"/>
      <c r="I1725" s="8"/>
      <c r="J1725" s="8"/>
      <c r="K1725" s="8"/>
      <c r="L1725" s="8"/>
      <c r="M1725" s="8"/>
      <c r="N1725" s="8"/>
      <c r="O1725" s="8"/>
      <c r="P1725" s="8"/>
      <c r="Q1725" s="8"/>
      <c r="R1725" s="8"/>
      <c r="S1725" s="8"/>
      <c r="T1725" s="8"/>
      <c r="U1725" s="8"/>
      <c r="V1725" s="8"/>
      <c r="W1725" s="8"/>
      <c r="X1725" s="771"/>
      <c r="Y1725" s="771"/>
      <c r="Z1725" s="771"/>
      <c r="AA1725" s="771"/>
      <c r="AB1725" s="771"/>
      <c r="AC1725" s="771"/>
      <c r="AD1725" s="771"/>
      <c r="AE1725" s="771"/>
      <c r="AF1725" s="771"/>
      <c r="AG1725" s="771"/>
      <c r="AH1725" s="771"/>
      <c r="AI1725" s="771"/>
      <c r="AJ1725" s="771"/>
      <c r="AK1725" s="771"/>
      <c r="AL1725" s="771"/>
      <c r="AM1725" s="771"/>
      <c r="AN1725" s="771"/>
      <c r="AO1725" s="771"/>
      <c r="AP1725" s="771"/>
      <c r="AQ1725" s="771"/>
      <c r="AR1725" s="771"/>
      <c r="AS1725" s="771"/>
      <c r="AT1725" s="771"/>
      <c r="AU1725" s="771"/>
    </row>
    <row r="1726" spans="1:47" s="840" customFormat="1" outlineLevel="1" x14ac:dyDescent="0.2">
      <c r="A1726" s="8"/>
      <c r="B1726" s="28"/>
      <c r="C1726" s="1989" t="s">
        <v>2320</v>
      </c>
      <c r="D1726" s="1989" t="s">
        <v>5895</v>
      </c>
      <c r="E1726" s="1989">
        <v>1.98</v>
      </c>
      <c r="F1726" s="38">
        <f t="shared" si="26"/>
        <v>161.01605520000001</v>
      </c>
      <c r="G1726" s="459"/>
      <c r="H1726" s="8"/>
      <c r="I1726" s="8"/>
      <c r="J1726" s="8"/>
      <c r="K1726" s="8"/>
      <c r="L1726" s="8"/>
      <c r="M1726" s="8"/>
      <c r="N1726" s="8"/>
      <c r="O1726" s="8"/>
      <c r="P1726" s="8"/>
      <c r="Q1726" s="8"/>
      <c r="R1726" s="8"/>
      <c r="S1726" s="8"/>
      <c r="T1726" s="8"/>
      <c r="U1726" s="8"/>
      <c r="V1726" s="8"/>
      <c r="W1726" s="8"/>
      <c r="X1726" s="771"/>
      <c r="Y1726" s="771"/>
      <c r="Z1726" s="771"/>
      <c r="AA1726" s="771"/>
      <c r="AB1726" s="771"/>
      <c r="AC1726" s="771"/>
      <c r="AD1726" s="771"/>
      <c r="AE1726" s="771"/>
      <c r="AF1726" s="771"/>
      <c r="AG1726" s="771"/>
      <c r="AH1726" s="771"/>
      <c r="AI1726" s="771"/>
      <c r="AJ1726" s="771"/>
      <c r="AK1726" s="771"/>
      <c r="AL1726" s="771"/>
      <c r="AM1726" s="771"/>
      <c r="AN1726" s="771"/>
      <c r="AO1726" s="771"/>
      <c r="AP1726" s="771"/>
      <c r="AQ1726" s="771"/>
      <c r="AR1726" s="771"/>
      <c r="AS1726" s="771"/>
      <c r="AT1726" s="771"/>
      <c r="AU1726" s="771"/>
    </row>
    <row r="1727" spans="1:47" s="840" customFormat="1" outlineLevel="1" x14ac:dyDescent="0.2">
      <c r="A1727" s="8"/>
      <c r="B1727" s="28"/>
      <c r="C1727" s="1989" t="s">
        <v>2326</v>
      </c>
      <c r="D1727" s="1989" t="s">
        <v>5896</v>
      </c>
      <c r="E1727" s="1989">
        <v>3.37</v>
      </c>
      <c r="F1727" s="38">
        <f t="shared" si="26"/>
        <v>274.05257879999999</v>
      </c>
      <c r="G1727" s="459"/>
      <c r="H1727" s="8"/>
      <c r="I1727" s="8"/>
      <c r="J1727" s="8"/>
      <c r="K1727" s="8"/>
      <c r="L1727" s="8"/>
      <c r="M1727" s="8"/>
      <c r="N1727" s="8"/>
      <c r="O1727" s="8"/>
      <c r="P1727" s="8"/>
      <c r="Q1727" s="8"/>
      <c r="R1727" s="8"/>
      <c r="S1727" s="8"/>
      <c r="T1727" s="8"/>
      <c r="U1727" s="8"/>
      <c r="V1727" s="8"/>
      <c r="W1727" s="8"/>
      <c r="X1727" s="771"/>
      <c r="Y1727" s="771"/>
      <c r="Z1727" s="771"/>
      <c r="AA1727" s="771"/>
      <c r="AB1727" s="771"/>
      <c r="AC1727" s="771"/>
      <c r="AD1727" s="771"/>
      <c r="AE1727" s="771"/>
      <c r="AF1727" s="771"/>
      <c r="AG1727" s="771"/>
      <c r="AH1727" s="771"/>
      <c r="AI1727" s="771"/>
      <c r="AJ1727" s="771"/>
      <c r="AK1727" s="771"/>
      <c r="AL1727" s="771"/>
      <c r="AM1727" s="771"/>
      <c r="AN1727" s="771"/>
      <c r="AO1727" s="771"/>
      <c r="AP1727" s="771"/>
      <c r="AQ1727" s="771"/>
      <c r="AR1727" s="771"/>
      <c r="AS1727" s="771"/>
      <c r="AT1727" s="771"/>
      <c r="AU1727" s="771"/>
    </row>
    <row r="1728" spans="1:47" s="840" customFormat="1" outlineLevel="1" x14ac:dyDescent="0.2">
      <c r="A1728" s="8"/>
      <c r="B1728" s="28"/>
      <c r="C1728" s="1989" t="s">
        <v>3633</v>
      </c>
      <c r="D1728" s="1989" t="s">
        <v>3634</v>
      </c>
      <c r="E1728" s="1989">
        <v>0</v>
      </c>
      <c r="F1728" s="38">
        <f t="shared" si="26"/>
        <v>0</v>
      </c>
      <c r="G1728" s="459"/>
      <c r="H1728" s="8"/>
      <c r="I1728" s="8"/>
      <c r="J1728" s="8"/>
      <c r="K1728" s="8"/>
      <c r="L1728" s="8"/>
      <c r="M1728" s="8"/>
      <c r="N1728" s="8"/>
      <c r="O1728" s="8"/>
      <c r="P1728" s="8"/>
      <c r="Q1728" s="8"/>
      <c r="R1728" s="8"/>
      <c r="S1728" s="8"/>
      <c r="T1728" s="8"/>
      <c r="U1728" s="8"/>
      <c r="V1728" s="8"/>
      <c r="W1728" s="8"/>
      <c r="X1728" s="771"/>
      <c r="Y1728" s="771"/>
      <c r="Z1728" s="771"/>
      <c r="AA1728" s="771"/>
      <c r="AB1728" s="771"/>
      <c r="AC1728" s="771"/>
      <c r="AD1728" s="771"/>
      <c r="AE1728" s="771"/>
      <c r="AF1728" s="771"/>
      <c r="AG1728" s="771"/>
      <c r="AH1728" s="771"/>
      <c r="AI1728" s="771"/>
      <c r="AJ1728" s="771"/>
      <c r="AK1728" s="771"/>
      <c r="AL1728" s="771"/>
      <c r="AM1728" s="771"/>
      <c r="AN1728" s="771"/>
      <c r="AO1728" s="771"/>
      <c r="AP1728" s="771"/>
      <c r="AQ1728" s="771"/>
      <c r="AR1728" s="771"/>
      <c r="AS1728" s="771"/>
      <c r="AT1728" s="771"/>
      <c r="AU1728" s="771"/>
    </row>
    <row r="1729" spans="1:47" s="840" customFormat="1" outlineLevel="1" x14ac:dyDescent="0.2">
      <c r="A1729" s="8"/>
      <c r="B1729" s="28"/>
      <c r="C1729" s="1989" t="s">
        <v>3635</v>
      </c>
      <c r="D1729" s="1989" t="s">
        <v>5897</v>
      </c>
      <c r="E1729" s="1989">
        <v>5.66</v>
      </c>
      <c r="F1729" s="38">
        <f t="shared" si="26"/>
        <v>460.27821840000001</v>
      </c>
      <c r="G1729" s="459"/>
      <c r="H1729" s="8"/>
      <c r="I1729" s="8"/>
      <c r="J1729" s="8"/>
      <c r="K1729" s="8"/>
      <c r="L1729" s="8"/>
      <c r="M1729" s="8"/>
      <c r="N1729" s="8"/>
      <c r="O1729" s="8"/>
      <c r="P1729" s="8"/>
      <c r="Q1729" s="8"/>
      <c r="R1729" s="8"/>
      <c r="S1729" s="8"/>
      <c r="T1729" s="8"/>
      <c r="U1729" s="8"/>
      <c r="V1729" s="8"/>
      <c r="W1729" s="8"/>
      <c r="X1729" s="771"/>
      <c r="Y1729" s="771"/>
      <c r="Z1729" s="771"/>
      <c r="AA1729" s="771"/>
      <c r="AB1729" s="771"/>
      <c r="AC1729" s="771"/>
      <c r="AD1729" s="771"/>
      <c r="AE1729" s="771"/>
      <c r="AF1729" s="771"/>
      <c r="AG1729" s="771"/>
      <c r="AH1729" s="771"/>
      <c r="AI1729" s="771"/>
      <c r="AJ1729" s="771"/>
      <c r="AK1729" s="771"/>
      <c r="AL1729" s="771"/>
      <c r="AM1729" s="771"/>
      <c r="AN1729" s="771"/>
      <c r="AO1729" s="771"/>
      <c r="AP1729" s="771"/>
      <c r="AQ1729" s="771"/>
      <c r="AR1729" s="771"/>
      <c r="AS1729" s="771"/>
      <c r="AT1729" s="771"/>
      <c r="AU1729" s="771"/>
    </row>
    <row r="1730" spans="1:47" s="840" customFormat="1" outlineLevel="1" x14ac:dyDescent="0.2">
      <c r="A1730" s="8"/>
      <c r="B1730" s="28"/>
      <c r="C1730" s="1989" t="s">
        <v>3636</v>
      </c>
      <c r="D1730" s="1989" t="s">
        <v>3637</v>
      </c>
      <c r="E1730" s="1989">
        <v>0</v>
      </c>
      <c r="F1730" s="38">
        <f t="shared" si="26"/>
        <v>0</v>
      </c>
      <c r="G1730" s="459"/>
      <c r="H1730" s="8"/>
      <c r="I1730" s="8"/>
      <c r="J1730" s="8"/>
      <c r="K1730" s="8"/>
      <c r="L1730" s="8"/>
      <c r="M1730" s="8"/>
      <c r="N1730" s="8"/>
      <c r="O1730" s="8"/>
      <c r="P1730" s="8"/>
      <c r="Q1730" s="8"/>
      <c r="R1730" s="8"/>
      <c r="S1730" s="8"/>
      <c r="T1730" s="8"/>
      <c r="U1730" s="8"/>
      <c r="V1730" s="8"/>
      <c r="W1730" s="8"/>
      <c r="X1730" s="771"/>
      <c r="Y1730" s="771"/>
      <c r="Z1730" s="771"/>
      <c r="AA1730" s="771"/>
      <c r="AB1730" s="771"/>
      <c r="AC1730" s="771"/>
      <c r="AD1730" s="771"/>
      <c r="AE1730" s="771"/>
      <c r="AF1730" s="771"/>
      <c r="AG1730" s="771"/>
      <c r="AH1730" s="771"/>
      <c r="AI1730" s="771"/>
      <c r="AJ1730" s="771"/>
      <c r="AK1730" s="771"/>
      <c r="AL1730" s="771"/>
      <c r="AM1730" s="771"/>
      <c r="AN1730" s="771"/>
      <c r="AO1730" s="771"/>
      <c r="AP1730" s="771"/>
      <c r="AQ1730" s="771"/>
      <c r="AR1730" s="771"/>
      <c r="AS1730" s="771"/>
      <c r="AT1730" s="771"/>
      <c r="AU1730" s="771"/>
    </row>
    <row r="1731" spans="1:47" s="840" customFormat="1" outlineLevel="1" x14ac:dyDescent="0.2">
      <c r="A1731" s="8"/>
      <c r="B1731" s="28"/>
      <c r="C1731" s="1989" t="s">
        <v>2327</v>
      </c>
      <c r="D1731" s="1989" t="s">
        <v>5898</v>
      </c>
      <c r="E1731" s="1989">
        <v>0.63</v>
      </c>
      <c r="F1731" s="38">
        <f t="shared" si="26"/>
        <v>51.232381200000006</v>
      </c>
      <c r="G1731" s="459"/>
      <c r="H1731" s="8"/>
      <c r="I1731" s="8"/>
      <c r="J1731" s="8"/>
      <c r="K1731" s="8"/>
      <c r="L1731" s="8"/>
      <c r="M1731" s="8"/>
      <c r="N1731" s="8"/>
      <c r="O1731" s="8"/>
      <c r="P1731" s="8"/>
      <c r="Q1731" s="8"/>
      <c r="R1731" s="8"/>
      <c r="S1731" s="8"/>
      <c r="T1731" s="8"/>
      <c r="U1731" s="8"/>
      <c r="V1731" s="8"/>
      <c r="W1731" s="8"/>
      <c r="X1731" s="771"/>
      <c r="Y1731" s="771"/>
      <c r="Z1731" s="771"/>
      <c r="AA1731" s="771"/>
      <c r="AB1731" s="771"/>
      <c r="AC1731" s="771"/>
      <c r="AD1731" s="771"/>
      <c r="AE1731" s="771"/>
      <c r="AF1731" s="771"/>
      <c r="AG1731" s="771"/>
      <c r="AH1731" s="771"/>
      <c r="AI1731" s="771"/>
      <c r="AJ1731" s="771"/>
      <c r="AK1731" s="771"/>
      <c r="AL1731" s="771"/>
      <c r="AM1731" s="771"/>
      <c r="AN1731" s="771"/>
      <c r="AO1731" s="771"/>
      <c r="AP1731" s="771"/>
      <c r="AQ1731" s="771"/>
      <c r="AR1731" s="771"/>
      <c r="AS1731" s="771"/>
      <c r="AT1731" s="771"/>
      <c r="AU1731" s="771"/>
    </row>
    <row r="1732" spans="1:47" s="840" customFormat="1" outlineLevel="1" x14ac:dyDescent="0.2">
      <c r="A1732" s="8"/>
      <c r="B1732" s="28"/>
      <c r="C1732" s="1989" t="s">
        <v>2329</v>
      </c>
      <c r="D1732" s="1989" t="s">
        <v>5899</v>
      </c>
      <c r="E1732" s="1989">
        <v>0.3</v>
      </c>
      <c r="F1732" s="38">
        <f t="shared" si="26"/>
        <v>24.396372</v>
      </c>
      <c r="G1732" s="459"/>
      <c r="H1732" s="8"/>
      <c r="I1732" s="8"/>
      <c r="J1732" s="8"/>
      <c r="K1732" s="8"/>
      <c r="L1732" s="8"/>
      <c r="M1732" s="8"/>
      <c r="N1732" s="8"/>
      <c r="O1732" s="8"/>
      <c r="P1732" s="8"/>
      <c r="Q1732" s="8"/>
      <c r="R1732" s="8"/>
      <c r="S1732" s="8"/>
      <c r="T1732" s="8"/>
      <c r="U1732" s="8"/>
      <c r="V1732" s="8"/>
      <c r="W1732" s="8"/>
      <c r="X1732" s="771"/>
      <c r="Y1732" s="771"/>
      <c r="Z1732" s="771"/>
      <c r="AA1732" s="771"/>
      <c r="AB1732" s="771"/>
      <c r="AC1732" s="771"/>
      <c r="AD1732" s="771"/>
      <c r="AE1732" s="771"/>
      <c r="AF1732" s="771"/>
      <c r="AG1732" s="771"/>
      <c r="AH1732" s="771"/>
      <c r="AI1732" s="771"/>
      <c r="AJ1732" s="771"/>
      <c r="AK1732" s="771"/>
      <c r="AL1732" s="771"/>
      <c r="AM1732" s="771"/>
      <c r="AN1732" s="771"/>
      <c r="AO1732" s="771"/>
      <c r="AP1732" s="771"/>
      <c r="AQ1732" s="771"/>
      <c r="AR1732" s="771"/>
      <c r="AS1732" s="771"/>
      <c r="AT1732" s="771"/>
      <c r="AU1732" s="771"/>
    </row>
    <row r="1733" spans="1:47" s="840" customFormat="1" outlineLevel="1" x14ac:dyDescent="0.2">
      <c r="A1733" s="8"/>
      <c r="B1733" s="28"/>
      <c r="C1733" s="1989" t="s">
        <v>2376</v>
      </c>
      <c r="D1733" s="1989" t="s">
        <v>5900</v>
      </c>
      <c r="E1733" s="1989">
        <v>0.65</v>
      </c>
      <c r="F1733" s="38">
        <f t="shared" si="26"/>
        <v>52.858806000000008</v>
      </c>
      <c r="G1733" s="459"/>
      <c r="H1733" s="8"/>
      <c r="I1733" s="8"/>
      <c r="J1733" s="8"/>
      <c r="K1733" s="8"/>
      <c r="L1733" s="8"/>
      <c r="M1733" s="8"/>
      <c r="N1733" s="8"/>
      <c r="O1733" s="8"/>
      <c r="P1733" s="8"/>
      <c r="Q1733" s="8"/>
      <c r="R1733" s="8"/>
      <c r="S1733" s="8"/>
      <c r="T1733" s="8"/>
      <c r="U1733" s="8"/>
      <c r="V1733" s="8"/>
      <c r="W1733" s="8"/>
      <c r="X1733" s="771"/>
      <c r="Y1733" s="771"/>
      <c r="Z1733" s="771"/>
      <c r="AA1733" s="771"/>
      <c r="AB1733" s="771"/>
      <c r="AC1733" s="771"/>
      <c r="AD1733" s="771"/>
      <c r="AE1733" s="771"/>
      <c r="AF1733" s="771"/>
      <c r="AG1733" s="771"/>
      <c r="AH1733" s="771"/>
      <c r="AI1733" s="771"/>
      <c r="AJ1733" s="771"/>
      <c r="AK1733" s="771"/>
      <c r="AL1733" s="771"/>
      <c r="AM1733" s="771"/>
      <c r="AN1733" s="771"/>
      <c r="AO1733" s="771"/>
      <c r="AP1733" s="771"/>
      <c r="AQ1733" s="771"/>
      <c r="AR1733" s="771"/>
      <c r="AS1733" s="771"/>
      <c r="AT1733" s="771"/>
      <c r="AU1733" s="771"/>
    </row>
    <row r="1734" spans="1:47" s="840" customFormat="1" outlineLevel="1" x14ac:dyDescent="0.2">
      <c r="A1734" s="8"/>
      <c r="B1734" s="28"/>
      <c r="C1734" s="1989" t="s">
        <v>3638</v>
      </c>
      <c r="D1734" s="1989" t="s">
        <v>5901</v>
      </c>
      <c r="E1734" s="1989">
        <v>18.809999999999999</v>
      </c>
      <c r="F1734" s="38">
        <f t="shared" si="26"/>
        <v>1529.6525243999999</v>
      </c>
      <c r="G1734" s="459"/>
      <c r="H1734" s="8"/>
      <c r="I1734" s="8"/>
      <c r="J1734" s="8"/>
      <c r="K1734" s="8"/>
      <c r="L1734" s="8"/>
      <c r="M1734" s="8"/>
      <c r="N1734" s="8"/>
      <c r="O1734" s="8"/>
      <c r="P1734" s="8"/>
      <c r="Q1734" s="8"/>
      <c r="R1734" s="8"/>
      <c r="S1734" s="8"/>
      <c r="T1734" s="8"/>
      <c r="U1734" s="8"/>
      <c r="V1734" s="8"/>
      <c r="W1734" s="8"/>
      <c r="X1734" s="771"/>
      <c r="Y1734" s="771"/>
      <c r="Z1734" s="771"/>
      <c r="AA1734" s="771"/>
      <c r="AB1734" s="771"/>
      <c r="AC1734" s="771"/>
      <c r="AD1734" s="771"/>
      <c r="AE1734" s="771"/>
      <c r="AF1734" s="771"/>
      <c r="AG1734" s="771"/>
      <c r="AH1734" s="771"/>
      <c r="AI1734" s="771"/>
      <c r="AJ1734" s="771"/>
      <c r="AK1734" s="771"/>
      <c r="AL1734" s="771"/>
      <c r="AM1734" s="771"/>
      <c r="AN1734" s="771"/>
      <c r="AO1734" s="771"/>
      <c r="AP1734" s="771"/>
      <c r="AQ1734" s="771"/>
      <c r="AR1734" s="771"/>
      <c r="AS1734" s="771"/>
      <c r="AT1734" s="771"/>
      <c r="AU1734" s="771"/>
    </row>
    <row r="1735" spans="1:47" s="840" customFormat="1" outlineLevel="1" x14ac:dyDescent="0.2">
      <c r="A1735" s="8"/>
      <c r="B1735" s="28"/>
      <c r="C1735" s="1989" t="s">
        <v>4071</v>
      </c>
      <c r="D1735" s="1989" t="s">
        <v>4072</v>
      </c>
      <c r="E1735" s="1989">
        <v>19.78</v>
      </c>
      <c r="F1735" s="38">
        <f t="shared" si="26"/>
        <v>1608.5341272000001</v>
      </c>
      <c r="G1735" s="459"/>
      <c r="H1735" s="8"/>
      <c r="I1735" s="8"/>
      <c r="J1735" s="8"/>
      <c r="K1735" s="8"/>
      <c r="L1735" s="8"/>
      <c r="M1735" s="8"/>
      <c r="N1735" s="8"/>
      <c r="O1735" s="8"/>
      <c r="P1735" s="8"/>
      <c r="Q1735" s="8"/>
      <c r="R1735" s="8"/>
      <c r="S1735" s="8"/>
      <c r="T1735" s="8"/>
      <c r="U1735" s="8"/>
      <c r="V1735" s="8"/>
      <c r="W1735" s="8"/>
      <c r="X1735" s="771"/>
      <c r="Y1735" s="771"/>
      <c r="Z1735" s="771"/>
      <c r="AA1735" s="771"/>
      <c r="AB1735" s="771"/>
      <c r="AC1735" s="771"/>
      <c r="AD1735" s="771"/>
      <c r="AE1735" s="771"/>
      <c r="AF1735" s="771"/>
      <c r="AG1735" s="771"/>
      <c r="AH1735" s="771"/>
      <c r="AI1735" s="771"/>
      <c r="AJ1735" s="771"/>
      <c r="AK1735" s="771"/>
      <c r="AL1735" s="771"/>
      <c r="AM1735" s="771"/>
      <c r="AN1735" s="771"/>
      <c r="AO1735" s="771"/>
      <c r="AP1735" s="771"/>
      <c r="AQ1735" s="771"/>
      <c r="AR1735" s="771"/>
      <c r="AS1735" s="771"/>
      <c r="AT1735" s="771"/>
      <c r="AU1735" s="771"/>
    </row>
    <row r="1736" spans="1:47" s="840" customFormat="1" outlineLevel="1" x14ac:dyDescent="0.2">
      <c r="A1736" s="8"/>
      <c r="B1736" s="28"/>
      <c r="C1736" s="1989" t="s">
        <v>3741</v>
      </c>
      <c r="D1736" s="1989" t="s">
        <v>5902</v>
      </c>
      <c r="E1736" s="1989">
        <v>0.53</v>
      </c>
      <c r="F1736" s="38">
        <f t="shared" si="26"/>
        <v>43.100257200000001</v>
      </c>
      <c r="G1736" s="459"/>
      <c r="H1736" s="8"/>
      <c r="I1736" s="8"/>
      <c r="J1736" s="8"/>
      <c r="K1736" s="8"/>
      <c r="L1736" s="8"/>
      <c r="M1736" s="8"/>
      <c r="N1736" s="8"/>
      <c r="O1736" s="8"/>
      <c r="P1736" s="8"/>
      <c r="Q1736" s="8"/>
      <c r="R1736" s="8"/>
      <c r="S1736" s="8"/>
      <c r="T1736" s="8"/>
      <c r="U1736" s="8"/>
      <c r="V1736" s="8"/>
      <c r="W1736" s="8"/>
      <c r="X1736" s="771"/>
      <c r="Y1736" s="771"/>
      <c r="Z1736" s="771"/>
      <c r="AA1736" s="771"/>
      <c r="AB1736" s="771"/>
      <c r="AC1736" s="771"/>
      <c r="AD1736" s="771"/>
      <c r="AE1736" s="771"/>
      <c r="AF1736" s="771"/>
      <c r="AG1736" s="771"/>
      <c r="AH1736" s="771"/>
      <c r="AI1736" s="771"/>
      <c r="AJ1736" s="771"/>
      <c r="AK1736" s="771"/>
      <c r="AL1736" s="771"/>
      <c r="AM1736" s="771"/>
      <c r="AN1736" s="771"/>
      <c r="AO1736" s="771"/>
      <c r="AP1736" s="771"/>
      <c r="AQ1736" s="771"/>
      <c r="AR1736" s="771"/>
      <c r="AS1736" s="771"/>
      <c r="AT1736" s="771"/>
      <c r="AU1736" s="771"/>
    </row>
    <row r="1737" spans="1:47" s="840" customFormat="1" outlineLevel="1" x14ac:dyDescent="0.2">
      <c r="A1737" s="8"/>
      <c r="B1737" s="28"/>
      <c r="C1737" s="1989" t="s">
        <v>2989</v>
      </c>
      <c r="D1737" s="1989" t="s">
        <v>5903</v>
      </c>
      <c r="E1737" s="1989">
        <v>3.04</v>
      </c>
      <c r="F1737" s="38">
        <f t="shared" si="26"/>
        <v>247.21656959999999</v>
      </c>
      <c r="G1737" s="459"/>
      <c r="H1737" s="8"/>
      <c r="I1737" s="8"/>
      <c r="J1737" s="8"/>
      <c r="K1737" s="8"/>
      <c r="L1737" s="8"/>
      <c r="M1737" s="8"/>
      <c r="N1737" s="8"/>
      <c r="O1737" s="8"/>
      <c r="P1737" s="8"/>
      <c r="Q1737" s="8"/>
      <c r="R1737" s="8"/>
      <c r="S1737" s="8"/>
      <c r="T1737" s="8"/>
      <c r="U1737" s="8"/>
      <c r="V1737" s="8"/>
      <c r="W1737" s="8"/>
      <c r="X1737" s="771"/>
      <c r="Y1737" s="771"/>
      <c r="Z1737" s="771"/>
      <c r="AA1737" s="771"/>
      <c r="AB1737" s="771"/>
      <c r="AC1737" s="771"/>
      <c r="AD1737" s="771"/>
      <c r="AE1737" s="771"/>
      <c r="AF1737" s="771"/>
      <c r="AG1737" s="771"/>
      <c r="AH1737" s="771"/>
      <c r="AI1737" s="771"/>
      <c r="AJ1737" s="771"/>
      <c r="AK1737" s="771"/>
      <c r="AL1737" s="771"/>
      <c r="AM1737" s="771"/>
      <c r="AN1737" s="771"/>
      <c r="AO1737" s="771"/>
      <c r="AP1737" s="771"/>
      <c r="AQ1737" s="771"/>
      <c r="AR1737" s="771"/>
      <c r="AS1737" s="771"/>
      <c r="AT1737" s="771"/>
      <c r="AU1737" s="771"/>
    </row>
    <row r="1738" spans="1:47" s="840" customFormat="1" outlineLevel="1" x14ac:dyDescent="0.2">
      <c r="A1738" s="8"/>
      <c r="B1738" s="28"/>
      <c r="C1738" s="1989" t="s">
        <v>3742</v>
      </c>
      <c r="D1738" s="1989" t="s">
        <v>5904</v>
      </c>
      <c r="E1738" s="1989">
        <v>0.22</v>
      </c>
      <c r="F1738" s="38">
        <f t="shared" si="26"/>
        <v>17.890672800000001</v>
      </c>
      <c r="G1738" s="459"/>
      <c r="H1738" s="8"/>
      <c r="I1738" s="8"/>
      <c r="J1738" s="8"/>
      <c r="K1738" s="8"/>
      <c r="L1738" s="8"/>
      <c r="M1738" s="8"/>
      <c r="N1738" s="8"/>
      <c r="O1738" s="8"/>
      <c r="P1738" s="8"/>
      <c r="Q1738" s="8"/>
      <c r="R1738" s="8"/>
      <c r="S1738" s="8"/>
      <c r="T1738" s="8"/>
      <c r="U1738" s="8"/>
      <c r="V1738" s="8"/>
      <c r="W1738" s="8"/>
      <c r="X1738" s="771"/>
      <c r="Y1738" s="771"/>
      <c r="Z1738" s="771"/>
      <c r="AA1738" s="771"/>
      <c r="AB1738" s="771"/>
      <c r="AC1738" s="771"/>
      <c r="AD1738" s="771"/>
      <c r="AE1738" s="771"/>
      <c r="AF1738" s="771"/>
      <c r="AG1738" s="771"/>
      <c r="AH1738" s="771"/>
      <c r="AI1738" s="771"/>
      <c r="AJ1738" s="771"/>
      <c r="AK1738" s="771"/>
      <c r="AL1738" s="771"/>
      <c r="AM1738" s="771"/>
      <c r="AN1738" s="771"/>
      <c r="AO1738" s="771"/>
      <c r="AP1738" s="771"/>
      <c r="AQ1738" s="771"/>
      <c r="AR1738" s="771"/>
      <c r="AS1738" s="771"/>
      <c r="AT1738" s="771"/>
      <c r="AU1738" s="771"/>
    </row>
    <row r="1739" spans="1:47" s="840" customFormat="1" outlineLevel="1" x14ac:dyDescent="0.2">
      <c r="A1739" s="8"/>
      <c r="B1739" s="28"/>
      <c r="C1739" s="1989" t="s">
        <v>4591</v>
      </c>
      <c r="D1739" s="1989" t="s">
        <v>4592</v>
      </c>
      <c r="E1739" s="1989">
        <v>0</v>
      </c>
      <c r="F1739" s="38">
        <f t="shared" si="26"/>
        <v>0</v>
      </c>
      <c r="G1739" s="459"/>
      <c r="H1739" s="8"/>
      <c r="I1739" s="8"/>
      <c r="J1739" s="8"/>
      <c r="K1739" s="8"/>
      <c r="L1739" s="8"/>
      <c r="M1739" s="8"/>
      <c r="N1739" s="8"/>
      <c r="O1739" s="8"/>
      <c r="P1739" s="8"/>
      <c r="Q1739" s="8"/>
      <c r="R1739" s="8"/>
      <c r="S1739" s="8"/>
      <c r="T1739" s="8"/>
      <c r="U1739" s="8"/>
      <c r="V1739" s="8"/>
      <c r="W1739" s="8"/>
      <c r="X1739" s="771"/>
      <c r="Y1739" s="771"/>
      <c r="Z1739" s="771"/>
      <c r="AA1739" s="771"/>
      <c r="AB1739" s="771"/>
      <c r="AC1739" s="771"/>
      <c r="AD1739" s="771"/>
      <c r="AE1739" s="771"/>
      <c r="AF1739" s="771"/>
      <c r="AG1739" s="771"/>
      <c r="AH1739" s="771"/>
      <c r="AI1739" s="771"/>
      <c r="AJ1739" s="771"/>
      <c r="AK1739" s="771"/>
      <c r="AL1739" s="771"/>
      <c r="AM1739" s="771"/>
      <c r="AN1739" s="771"/>
      <c r="AO1739" s="771"/>
      <c r="AP1739" s="771"/>
      <c r="AQ1739" s="771"/>
      <c r="AR1739" s="771"/>
      <c r="AS1739" s="771"/>
      <c r="AT1739" s="771"/>
      <c r="AU1739" s="771"/>
    </row>
    <row r="1740" spans="1:47" s="840" customFormat="1" outlineLevel="1" x14ac:dyDescent="0.2">
      <c r="A1740" s="8"/>
      <c r="B1740" s="28"/>
      <c r="C1740" s="1989" t="s">
        <v>2990</v>
      </c>
      <c r="D1740" s="1989" t="s">
        <v>7777</v>
      </c>
      <c r="E1740" s="1989">
        <v>3.04</v>
      </c>
      <c r="F1740" s="38">
        <f t="shared" si="26"/>
        <v>247.21656959999999</v>
      </c>
      <c r="G1740" s="459"/>
      <c r="H1740" s="8"/>
      <c r="I1740" s="8"/>
      <c r="J1740" s="8"/>
      <c r="K1740" s="8"/>
      <c r="L1740" s="8"/>
      <c r="M1740" s="8"/>
      <c r="N1740" s="8"/>
      <c r="O1740" s="8"/>
      <c r="P1740" s="8"/>
      <c r="Q1740" s="8"/>
      <c r="R1740" s="8"/>
      <c r="S1740" s="8"/>
      <c r="T1740" s="8"/>
      <c r="U1740" s="8"/>
      <c r="V1740" s="8"/>
      <c r="W1740" s="8"/>
      <c r="X1740" s="771"/>
      <c r="Y1740" s="771"/>
      <c r="Z1740" s="771"/>
      <c r="AA1740" s="771"/>
      <c r="AB1740" s="771"/>
      <c r="AC1740" s="771"/>
      <c r="AD1740" s="771"/>
      <c r="AE1740" s="771"/>
      <c r="AF1740" s="771"/>
      <c r="AG1740" s="771"/>
      <c r="AH1740" s="771"/>
      <c r="AI1740" s="771"/>
      <c r="AJ1740" s="771"/>
      <c r="AK1740" s="771"/>
      <c r="AL1740" s="771"/>
      <c r="AM1740" s="771"/>
      <c r="AN1740" s="771"/>
      <c r="AO1740" s="771"/>
      <c r="AP1740" s="771"/>
      <c r="AQ1740" s="771"/>
      <c r="AR1740" s="771"/>
      <c r="AS1740" s="771"/>
      <c r="AT1740" s="771"/>
      <c r="AU1740" s="771"/>
    </row>
    <row r="1741" spans="1:47" s="840" customFormat="1" outlineLevel="1" x14ac:dyDescent="0.2">
      <c r="A1741" s="8"/>
      <c r="B1741" s="28"/>
      <c r="C1741" s="1989" t="s">
        <v>2991</v>
      </c>
      <c r="D1741" s="1989" t="s">
        <v>5905</v>
      </c>
      <c r="E1741" s="1989">
        <v>4.47</v>
      </c>
      <c r="F1741" s="38">
        <f t="shared" si="26"/>
        <v>363.50594280000001</v>
      </c>
      <c r="G1741" s="459"/>
      <c r="H1741" s="8"/>
      <c r="I1741" s="8"/>
      <c r="J1741" s="8"/>
      <c r="K1741" s="8"/>
      <c r="L1741" s="8"/>
      <c r="M1741" s="8"/>
      <c r="N1741" s="8"/>
      <c r="O1741" s="8"/>
      <c r="P1741" s="8"/>
      <c r="Q1741" s="8"/>
      <c r="R1741" s="8"/>
      <c r="S1741" s="8"/>
      <c r="T1741" s="8"/>
      <c r="U1741" s="8"/>
      <c r="V1741" s="8"/>
      <c r="W1741" s="8"/>
      <c r="X1741" s="771"/>
      <c r="Y1741" s="771"/>
      <c r="Z1741" s="771"/>
      <c r="AA1741" s="771"/>
      <c r="AB1741" s="771"/>
      <c r="AC1741" s="771"/>
      <c r="AD1741" s="771"/>
      <c r="AE1741" s="771"/>
      <c r="AF1741" s="771"/>
      <c r="AG1741" s="771"/>
      <c r="AH1741" s="771"/>
      <c r="AI1741" s="771"/>
      <c r="AJ1741" s="771"/>
      <c r="AK1741" s="771"/>
      <c r="AL1741" s="771"/>
      <c r="AM1741" s="771"/>
      <c r="AN1741" s="771"/>
      <c r="AO1741" s="771"/>
      <c r="AP1741" s="771"/>
      <c r="AQ1741" s="771"/>
      <c r="AR1741" s="771"/>
      <c r="AS1741" s="771"/>
      <c r="AT1741" s="771"/>
      <c r="AU1741" s="771"/>
    </row>
    <row r="1742" spans="1:47" s="840" customFormat="1" outlineLevel="1" x14ac:dyDescent="0.2">
      <c r="A1742" s="8"/>
      <c r="B1742" s="28"/>
      <c r="C1742" s="1989" t="s">
        <v>2992</v>
      </c>
      <c r="D1742" s="1989" t="s">
        <v>5906</v>
      </c>
      <c r="E1742" s="1989">
        <v>8.14</v>
      </c>
      <c r="F1742" s="38">
        <f t="shared" si="26"/>
        <v>661.9548936000001</v>
      </c>
      <c r="G1742" s="459"/>
      <c r="H1742" s="8"/>
      <c r="I1742" s="8"/>
      <c r="J1742" s="8"/>
      <c r="K1742" s="8"/>
      <c r="L1742" s="8"/>
      <c r="M1742" s="8"/>
      <c r="N1742" s="8"/>
      <c r="O1742" s="8"/>
      <c r="P1742" s="8"/>
      <c r="Q1742" s="8"/>
      <c r="R1742" s="8"/>
      <c r="S1742" s="8"/>
      <c r="T1742" s="8"/>
      <c r="U1742" s="8"/>
      <c r="V1742" s="8"/>
      <c r="W1742" s="8"/>
      <c r="X1742" s="771"/>
      <c r="Y1742" s="771"/>
      <c r="Z1742" s="771"/>
      <c r="AA1742" s="771"/>
      <c r="AB1742" s="771"/>
      <c r="AC1742" s="771"/>
      <c r="AD1742" s="771"/>
      <c r="AE1742" s="771"/>
      <c r="AF1742" s="771"/>
      <c r="AG1742" s="771"/>
      <c r="AH1742" s="771"/>
      <c r="AI1742" s="771"/>
      <c r="AJ1742" s="771"/>
      <c r="AK1742" s="771"/>
      <c r="AL1742" s="771"/>
      <c r="AM1742" s="771"/>
      <c r="AN1742" s="771"/>
      <c r="AO1742" s="771"/>
      <c r="AP1742" s="771"/>
      <c r="AQ1742" s="771"/>
      <c r="AR1742" s="771"/>
      <c r="AS1742" s="771"/>
      <c r="AT1742" s="771"/>
      <c r="AU1742" s="771"/>
    </row>
    <row r="1743" spans="1:47" s="840" customFormat="1" outlineLevel="1" x14ac:dyDescent="0.2">
      <c r="A1743" s="8"/>
      <c r="B1743" s="28"/>
      <c r="C1743" s="1989" t="s">
        <v>2993</v>
      </c>
      <c r="D1743" s="1989" t="s">
        <v>5907</v>
      </c>
      <c r="E1743" s="1989">
        <v>8.14</v>
      </c>
      <c r="F1743" s="38">
        <f t="shared" si="26"/>
        <v>661.9548936000001</v>
      </c>
      <c r="G1743" s="459"/>
      <c r="H1743" s="8"/>
      <c r="I1743" s="8"/>
      <c r="J1743" s="8"/>
      <c r="K1743" s="8"/>
      <c r="L1743" s="8"/>
      <c r="M1743" s="8"/>
      <c r="N1743" s="8"/>
      <c r="O1743" s="8"/>
      <c r="P1743" s="8"/>
      <c r="Q1743" s="8"/>
      <c r="R1743" s="8"/>
      <c r="S1743" s="8"/>
      <c r="T1743" s="8"/>
      <c r="U1743" s="8"/>
      <c r="V1743" s="8"/>
      <c r="W1743" s="8"/>
      <c r="X1743" s="771"/>
      <c r="Y1743" s="771"/>
      <c r="Z1743" s="771"/>
      <c r="AA1743" s="771"/>
      <c r="AB1743" s="771"/>
      <c r="AC1743" s="771"/>
      <c r="AD1743" s="771"/>
      <c r="AE1743" s="771"/>
      <c r="AF1743" s="771"/>
      <c r="AG1743" s="771"/>
      <c r="AH1743" s="771"/>
      <c r="AI1743" s="771"/>
      <c r="AJ1743" s="771"/>
      <c r="AK1743" s="771"/>
      <c r="AL1743" s="771"/>
      <c r="AM1743" s="771"/>
      <c r="AN1743" s="771"/>
      <c r="AO1743" s="771"/>
      <c r="AP1743" s="771"/>
      <c r="AQ1743" s="771"/>
      <c r="AR1743" s="771"/>
      <c r="AS1743" s="771"/>
      <c r="AT1743" s="771"/>
      <c r="AU1743" s="771"/>
    </row>
    <row r="1744" spans="1:47" s="840" customFormat="1" outlineLevel="1" x14ac:dyDescent="0.2">
      <c r="A1744" s="8"/>
      <c r="B1744" s="28"/>
      <c r="C1744" s="1989" t="s">
        <v>3549</v>
      </c>
      <c r="D1744" s="1989" t="s">
        <v>3550</v>
      </c>
      <c r="E1744" s="1989">
        <v>20.53</v>
      </c>
      <c r="F1744" s="38">
        <f t="shared" si="26"/>
        <v>1669.5250572</v>
      </c>
      <c r="G1744" s="459"/>
      <c r="H1744" s="8"/>
      <c r="I1744" s="8"/>
      <c r="J1744" s="8"/>
      <c r="K1744" s="8"/>
      <c r="L1744" s="8"/>
      <c r="M1744" s="8"/>
      <c r="N1744" s="8"/>
      <c r="O1744" s="8"/>
      <c r="P1744" s="8"/>
      <c r="Q1744" s="8"/>
      <c r="R1744" s="8"/>
      <c r="S1744" s="8"/>
      <c r="T1744" s="8"/>
      <c r="U1744" s="8"/>
      <c r="V1744" s="8"/>
      <c r="W1744" s="8"/>
      <c r="X1744" s="771"/>
      <c r="Y1744" s="771"/>
      <c r="Z1744" s="771"/>
      <c r="AA1744" s="771"/>
      <c r="AB1744" s="771"/>
      <c r="AC1744" s="771"/>
      <c r="AD1744" s="771"/>
      <c r="AE1744" s="771"/>
      <c r="AF1744" s="771"/>
      <c r="AG1744" s="771"/>
      <c r="AH1744" s="771"/>
      <c r="AI1744" s="771"/>
      <c r="AJ1744" s="771"/>
      <c r="AK1744" s="771"/>
      <c r="AL1744" s="771"/>
      <c r="AM1744" s="771"/>
      <c r="AN1744" s="771"/>
      <c r="AO1744" s="771"/>
      <c r="AP1744" s="771"/>
      <c r="AQ1744" s="771"/>
      <c r="AR1744" s="771"/>
      <c r="AS1744" s="771"/>
      <c r="AT1744" s="771"/>
      <c r="AU1744" s="771"/>
    </row>
    <row r="1745" spans="1:47" s="840" customFormat="1" outlineLevel="1" x14ac:dyDescent="0.2">
      <c r="A1745" s="8"/>
      <c r="B1745" s="28"/>
      <c r="C1745" s="1989" t="s">
        <v>2994</v>
      </c>
      <c r="D1745" s="1989" t="s">
        <v>5908</v>
      </c>
      <c r="E1745" s="1989">
        <v>4.47</v>
      </c>
      <c r="F1745" s="38">
        <f t="shared" si="26"/>
        <v>363.50594280000001</v>
      </c>
      <c r="G1745" s="459"/>
      <c r="H1745" s="8"/>
      <c r="I1745" s="8"/>
      <c r="J1745" s="8"/>
      <c r="K1745" s="8"/>
      <c r="L1745" s="8"/>
      <c r="M1745" s="8"/>
      <c r="N1745" s="8"/>
      <c r="O1745" s="8"/>
      <c r="P1745" s="8"/>
      <c r="Q1745" s="8"/>
      <c r="R1745" s="8"/>
      <c r="S1745" s="8"/>
      <c r="T1745" s="8"/>
      <c r="U1745" s="8"/>
      <c r="V1745" s="8"/>
      <c r="W1745" s="8"/>
      <c r="X1745" s="771"/>
      <c r="Y1745" s="771"/>
      <c r="Z1745" s="771"/>
      <c r="AA1745" s="771"/>
      <c r="AB1745" s="771"/>
      <c r="AC1745" s="771"/>
      <c r="AD1745" s="771"/>
      <c r="AE1745" s="771"/>
      <c r="AF1745" s="771"/>
      <c r="AG1745" s="771"/>
      <c r="AH1745" s="771"/>
      <c r="AI1745" s="771"/>
      <c r="AJ1745" s="771"/>
      <c r="AK1745" s="771"/>
      <c r="AL1745" s="771"/>
      <c r="AM1745" s="771"/>
      <c r="AN1745" s="771"/>
      <c r="AO1745" s="771"/>
      <c r="AP1745" s="771"/>
      <c r="AQ1745" s="771"/>
      <c r="AR1745" s="771"/>
      <c r="AS1745" s="771"/>
      <c r="AT1745" s="771"/>
      <c r="AU1745" s="771"/>
    </row>
    <row r="1746" spans="1:47" s="840" customFormat="1" outlineLevel="1" x14ac:dyDescent="0.2">
      <c r="A1746" s="8"/>
      <c r="B1746" s="28"/>
      <c r="C1746" s="1989" t="s">
        <v>2348</v>
      </c>
      <c r="D1746" s="1989" t="s">
        <v>2349</v>
      </c>
      <c r="E1746" s="1989">
        <v>12.85</v>
      </c>
      <c r="F1746" s="38">
        <f t="shared" si="26"/>
        <v>1044.977934</v>
      </c>
      <c r="G1746" s="459"/>
      <c r="H1746" s="8"/>
      <c r="I1746" s="8"/>
      <c r="J1746" s="8"/>
      <c r="K1746" s="8"/>
      <c r="L1746" s="8"/>
      <c r="M1746" s="8"/>
      <c r="N1746" s="8"/>
      <c r="O1746" s="8"/>
      <c r="P1746" s="8"/>
      <c r="Q1746" s="8"/>
      <c r="R1746" s="8"/>
      <c r="S1746" s="8"/>
      <c r="T1746" s="8"/>
      <c r="U1746" s="8"/>
      <c r="V1746" s="8"/>
      <c r="W1746" s="8"/>
      <c r="X1746" s="771"/>
      <c r="Y1746" s="771"/>
      <c r="Z1746" s="771"/>
      <c r="AA1746" s="771"/>
      <c r="AB1746" s="771"/>
      <c r="AC1746" s="771"/>
      <c r="AD1746" s="771"/>
      <c r="AE1746" s="771"/>
      <c r="AF1746" s="771"/>
      <c r="AG1746" s="771"/>
      <c r="AH1746" s="771"/>
      <c r="AI1746" s="771"/>
      <c r="AJ1746" s="771"/>
      <c r="AK1746" s="771"/>
      <c r="AL1746" s="771"/>
      <c r="AM1746" s="771"/>
      <c r="AN1746" s="771"/>
      <c r="AO1746" s="771"/>
      <c r="AP1746" s="771"/>
      <c r="AQ1746" s="771"/>
      <c r="AR1746" s="771"/>
      <c r="AS1746" s="771"/>
      <c r="AT1746" s="771"/>
      <c r="AU1746" s="771"/>
    </row>
    <row r="1747" spans="1:47" s="840" customFormat="1" outlineLevel="1" x14ac:dyDescent="0.2">
      <c r="A1747" s="8"/>
      <c r="B1747" s="28"/>
      <c r="C1747" s="1989" t="s">
        <v>2995</v>
      </c>
      <c r="D1747" s="1989" t="s">
        <v>5909</v>
      </c>
      <c r="E1747" s="1989">
        <v>14.74</v>
      </c>
      <c r="F1747" s="38">
        <f t="shared" si="26"/>
        <v>1198.6750775999999</v>
      </c>
      <c r="G1747" s="459"/>
      <c r="H1747" s="8"/>
      <c r="I1747" s="8"/>
      <c r="J1747" s="8"/>
      <c r="K1747" s="8"/>
      <c r="L1747" s="8"/>
      <c r="M1747" s="8"/>
      <c r="N1747" s="8"/>
      <c r="O1747" s="8"/>
      <c r="P1747" s="8"/>
      <c r="Q1747" s="8"/>
      <c r="R1747" s="8"/>
      <c r="S1747" s="8"/>
      <c r="T1747" s="8"/>
      <c r="U1747" s="8"/>
      <c r="V1747" s="8"/>
      <c r="W1747" s="8"/>
      <c r="X1747" s="771"/>
      <c r="Y1747" s="771"/>
      <c r="Z1747" s="771"/>
      <c r="AA1747" s="771"/>
      <c r="AB1747" s="771"/>
      <c r="AC1747" s="771"/>
      <c r="AD1747" s="771"/>
      <c r="AE1747" s="771"/>
      <c r="AF1747" s="771"/>
      <c r="AG1747" s="771"/>
      <c r="AH1747" s="771"/>
      <c r="AI1747" s="771"/>
      <c r="AJ1747" s="771"/>
      <c r="AK1747" s="771"/>
      <c r="AL1747" s="771"/>
      <c r="AM1747" s="771"/>
      <c r="AN1747" s="771"/>
      <c r="AO1747" s="771"/>
      <c r="AP1747" s="771"/>
      <c r="AQ1747" s="771"/>
      <c r="AR1747" s="771"/>
      <c r="AS1747" s="771"/>
      <c r="AT1747" s="771"/>
      <c r="AU1747" s="771"/>
    </row>
    <row r="1748" spans="1:47" s="840" customFormat="1" outlineLevel="1" x14ac:dyDescent="0.2">
      <c r="A1748" s="8"/>
      <c r="B1748" s="28"/>
      <c r="C1748" s="1989" t="s">
        <v>5231</v>
      </c>
      <c r="D1748" s="1989" t="s">
        <v>5910</v>
      </c>
      <c r="E1748" s="1989">
        <v>5.84</v>
      </c>
      <c r="F1748" s="38">
        <f t="shared" si="26"/>
        <v>474.91604160000003</v>
      </c>
      <c r="G1748" s="459"/>
      <c r="H1748" s="8"/>
      <c r="I1748" s="8"/>
      <c r="J1748" s="8"/>
      <c r="K1748" s="8"/>
      <c r="L1748" s="8"/>
      <c r="M1748" s="8"/>
      <c r="N1748" s="8"/>
      <c r="O1748" s="8"/>
      <c r="P1748" s="8"/>
      <c r="Q1748" s="8"/>
      <c r="R1748" s="8"/>
      <c r="S1748" s="8"/>
      <c r="T1748" s="8"/>
      <c r="U1748" s="8"/>
      <c r="V1748" s="8"/>
      <c r="W1748" s="8"/>
      <c r="X1748" s="771"/>
      <c r="Y1748" s="771"/>
      <c r="Z1748" s="771"/>
      <c r="AA1748" s="771"/>
      <c r="AB1748" s="771"/>
      <c r="AC1748" s="771"/>
      <c r="AD1748" s="771"/>
      <c r="AE1748" s="771"/>
      <c r="AF1748" s="771"/>
      <c r="AG1748" s="771"/>
      <c r="AH1748" s="771"/>
      <c r="AI1748" s="771"/>
      <c r="AJ1748" s="771"/>
      <c r="AK1748" s="771"/>
      <c r="AL1748" s="771"/>
      <c r="AM1748" s="771"/>
      <c r="AN1748" s="771"/>
      <c r="AO1748" s="771"/>
      <c r="AP1748" s="771"/>
      <c r="AQ1748" s="771"/>
      <c r="AR1748" s="771"/>
      <c r="AS1748" s="771"/>
      <c r="AT1748" s="771"/>
      <c r="AU1748" s="771"/>
    </row>
    <row r="1749" spans="1:47" s="840" customFormat="1" outlineLevel="1" x14ac:dyDescent="0.2">
      <c r="A1749" s="8"/>
      <c r="B1749" s="28"/>
      <c r="C1749" s="1989" t="s">
        <v>2996</v>
      </c>
      <c r="D1749" s="1989" t="s">
        <v>4593</v>
      </c>
      <c r="E1749" s="1989">
        <v>1</v>
      </c>
      <c r="F1749" s="38">
        <f t="shared" si="26"/>
        <v>81.321240000000003</v>
      </c>
      <c r="G1749" s="459"/>
      <c r="H1749" s="8"/>
      <c r="I1749" s="8"/>
      <c r="J1749" s="8"/>
      <c r="K1749" s="8"/>
      <c r="L1749" s="8"/>
      <c r="M1749" s="8"/>
      <c r="N1749" s="8"/>
      <c r="O1749" s="8"/>
      <c r="P1749" s="8"/>
      <c r="Q1749" s="8"/>
      <c r="R1749" s="8"/>
      <c r="S1749" s="8"/>
      <c r="T1749" s="8"/>
      <c r="U1749" s="8"/>
      <c r="V1749" s="8"/>
      <c r="W1749" s="8"/>
      <c r="X1749" s="771"/>
      <c r="Y1749" s="771"/>
      <c r="Z1749" s="771"/>
      <c r="AA1749" s="771"/>
      <c r="AB1749" s="771"/>
      <c r="AC1749" s="771"/>
      <c r="AD1749" s="771"/>
      <c r="AE1749" s="771"/>
      <c r="AF1749" s="771"/>
      <c r="AG1749" s="771"/>
      <c r="AH1749" s="771"/>
      <c r="AI1749" s="771"/>
      <c r="AJ1749" s="771"/>
      <c r="AK1749" s="771"/>
      <c r="AL1749" s="771"/>
      <c r="AM1749" s="771"/>
      <c r="AN1749" s="771"/>
      <c r="AO1749" s="771"/>
      <c r="AP1749" s="771"/>
      <c r="AQ1749" s="771"/>
      <c r="AR1749" s="771"/>
      <c r="AS1749" s="771"/>
      <c r="AT1749" s="771"/>
      <c r="AU1749" s="771"/>
    </row>
    <row r="1750" spans="1:47" s="840" customFormat="1" outlineLevel="1" x14ac:dyDescent="0.2">
      <c r="A1750" s="8"/>
      <c r="B1750" s="28"/>
      <c r="C1750" s="1989" t="s">
        <v>5230</v>
      </c>
      <c r="D1750" s="1989" t="s">
        <v>5911</v>
      </c>
      <c r="E1750" s="1989">
        <v>5.84</v>
      </c>
      <c r="F1750" s="38">
        <f t="shared" si="26"/>
        <v>474.91604160000003</v>
      </c>
      <c r="G1750" s="459"/>
      <c r="H1750" s="8"/>
      <c r="I1750" s="8"/>
      <c r="J1750" s="8"/>
      <c r="K1750" s="8"/>
      <c r="L1750" s="8"/>
      <c r="M1750" s="8"/>
      <c r="N1750" s="8"/>
      <c r="O1750" s="8"/>
      <c r="P1750" s="8"/>
      <c r="Q1750" s="8"/>
      <c r="R1750" s="8"/>
      <c r="S1750" s="8"/>
      <c r="T1750" s="8"/>
      <c r="U1750" s="8"/>
      <c r="V1750" s="8"/>
      <c r="W1750" s="8"/>
      <c r="X1750" s="771"/>
      <c r="Y1750" s="771"/>
      <c r="Z1750" s="771"/>
      <c r="AA1750" s="771"/>
      <c r="AB1750" s="771"/>
      <c r="AC1750" s="771"/>
      <c r="AD1750" s="771"/>
      <c r="AE1750" s="771"/>
      <c r="AF1750" s="771"/>
      <c r="AG1750" s="771"/>
      <c r="AH1750" s="771"/>
      <c r="AI1750" s="771"/>
      <c r="AJ1750" s="771"/>
      <c r="AK1750" s="771"/>
      <c r="AL1750" s="771"/>
      <c r="AM1750" s="771"/>
      <c r="AN1750" s="771"/>
      <c r="AO1750" s="771"/>
      <c r="AP1750" s="771"/>
      <c r="AQ1750" s="771"/>
      <c r="AR1750" s="771"/>
      <c r="AS1750" s="771"/>
      <c r="AT1750" s="771"/>
      <c r="AU1750" s="771"/>
    </row>
    <row r="1751" spans="1:47" s="840" customFormat="1" outlineLevel="1" x14ac:dyDescent="0.2">
      <c r="A1751" s="8"/>
      <c r="B1751" s="28"/>
      <c r="C1751" s="1989" t="s">
        <v>2359</v>
      </c>
      <c r="D1751" s="1989" t="s">
        <v>5912</v>
      </c>
      <c r="E1751" s="1989">
        <v>0.45</v>
      </c>
      <c r="F1751" s="38">
        <f t="shared" si="26"/>
        <v>36.594558000000006</v>
      </c>
      <c r="G1751" s="459"/>
      <c r="H1751" s="8"/>
      <c r="I1751" s="8"/>
      <c r="J1751" s="8"/>
      <c r="K1751" s="8"/>
      <c r="L1751" s="8"/>
      <c r="M1751" s="8"/>
      <c r="N1751" s="8"/>
      <c r="O1751" s="8"/>
      <c r="P1751" s="8"/>
      <c r="Q1751" s="8"/>
      <c r="R1751" s="8"/>
      <c r="S1751" s="8"/>
      <c r="T1751" s="8"/>
      <c r="U1751" s="8"/>
      <c r="V1751" s="8"/>
      <c r="W1751" s="8"/>
      <c r="X1751" s="771"/>
      <c r="Y1751" s="771"/>
      <c r="Z1751" s="771"/>
      <c r="AA1751" s="771"/>
      <c r="AB1751" s="771"/>
      <c r="AC1751" s="771"/>
      <c r="AD1751" s="771"/>
      <c r="AE1751" s="771"/>
      <c r="AF1751" s="771"/>
      <c r="AG1751" s="771"/>
      <c r="AH1751" s="771"/>
      <c r="AI1751" s="771"/>
      <c r="AJ1751" s="771"/>
      <c r="AK1751" s="771"/>
      <c r="AL1751" s="771"/>
      <c r="AM1751" s="771"/>
      <c r="AN1751" s="771"/>
      <c r="AO1751" s="771"/>
      <c r="AP1751" s="771"/>
      <c r="AQ1751" s="771"/>
      <c r="AR1751" s="771"/>
      <c r="AS1751" s="771"/>
      <c r="AT1751" s="771"/>
      <c r="AU1751" s="771"/>
    </row>
    <row r="1752" spans="1:47" s="840" customFormat="1" outlineLevel="1" x14ac:dyDescent="0.2">
      <c r="A1752" s="8"/>
      <c r="B1752" s="28"/>
      <c r="C1752" s="1989" t="s">
        <v>2270</v>
      </c>
      <c r="D1752" s="1989" t="s">
        <v>2271</v>
      </c>
      <c r="E1752" s="1989">
        <v>1.37</v>
      </c>
      <c r="F1752" s="38">
        <f t="shared" si="26"/>
        <v>111.41009880000001</v>
      </c>
      <c r="G1752" s="459"/>
      <c r="H1752" s="8"/>
      <c r="I1752" s="8"/>
      <c r="J1752" s="8"/>
      <c r="K1752" s="8"/>
      <c r="L1752" s="8"/>
      <c r="M1752" s="8"/>
      <c r="N1752" s="8"/>
      <c r="O1752" s="8"/>
      <c r="P1752" s="8"/>
      <c r="Q1752" s="8"/>
      <c r="R1752" s="8"/>
      <c r="S1752" s="8"/>
      <c r="T1752" s="8"/>
      <c r="U1752" s="8"/>
      <c r="V1752" s="8"/>
      <c r="W1752" s="8"/>
      <c r="X1752" s="771"/>
      <c r="Y1752" s="771"/>
      <c r="Z1752" s="771"/>
      <c r="AA1752" s="771"/>
      <c r="AB1752" s="771"/>
      <c r="AC1752" s="771"/>
      <c r="AD1752" s="771"/>
      <c r="AE1752" s="771"/>
      <c r="AF1752" s="771"/>
      <c r="AG1752" s="771"/>
      <c r="AH1752" s="771"/>
      <c r="AI1752" s="771"/>
      <c r="AJ1752" s="771"/>
      <c r="AK1752" s="771"/>
      <c r="AL1752" s="771"/>
      <c r="AM1752" s="771"/>
      <c r="AN1752" s="771"/>
      <c r="AO1752" s="771"/>
      <c r="AP1752" s="771"/>
      <c r="AQ1752" s="771"/>
      <c r="AR1752" s="771"/>
      <c r="AS1752" s="771"/>
      <c r="AT1752" s="771"/>
      <c r="AU1752" s="771"/>
    </row>
    <row r="1753" spans="1:47" s="840" customFormat="1" outlineLevel="1" x14ac:dyDescent="0.2">
      <c r="A1753" s="8"/>
      <c r="B1753" s="28"/>
      <c r="C1753" s="1989" t="s">
        <v>4594</v>
      </c>
      <c r="D1753" s="1989" t="s">
        <v>4595</v>
      </c>
      <c r="E1753" s="1989">
        <v>1.23</v>
      </c>
      <c r="F1753" s="38">
        <f t="shared" si="26"/>
        <v>100.02512520000001</v>
      </c>
      <c r="G1753" s="459"/>
      <c r="H1753" s="8"/>
      <c r="I1753" s="8"/>
      <c r="J1753" s="8"/>
      <c r="K1753" s="8"/>
      <c r="L1753" s="8"/>
      <c r="M1753" s="8"/>
      <c r="N1753" s="8"/>
      <c r="O1753" s="8"/>
      <c r="P1753" s="8"/>
      <c r="Q1753" s="8"/>
      <c r="R1753" s="8"/>
      <c r="S1753" s="8"/>
      <c r="T1753" s="8"/>
      <c r="U1753" s="8"/>
      <c r="V1753" s="8"/>
      <c r="W1753" s="8"/>
      <c r="X1753" s="771"/>
      <c r="Y1753" s="771"/>
      <c r="Z1753" s="771"/>
      <c r="AA1753" s="771"/>
      <c r="AB1753" s="771"/>
      <c r="AC1753" s="771"/>
      <c r="AD1753" s="771"/>
      <c r="AE1753" s="771"/>
      <c r="AF1753" s="771"/>
      <c r="AG1753" s="771"/>
      <c r="AH1753" s="771"/>
      <c r="AI1753" s="771"/>
      <c r="AJ1753" s="771"/>
      <c r="AK1753" s="771"/>
      <c r="AL1753" s="771"/>
      <c r="AM1753" s="771"/>
      <c r="AN1753" s="771"/>
      <c r="AO1753" s="771"/>
      <c r="AP1753" s="771"/>
      <c r="AQ1753" s="771"/>
      <c r="AR1753" s="771"/>
      <c r="AS1753" s="771"/>
      <c r="AT1753" s="771"/>
      <c r="AU1753" s="771"/>
    </row>
    <row r="1754" spans="1:47" s="840" customFormat="1" outlineLevel="1" x14ac:dyDescent="0.2">
      <c r="A1754" s="8"/>
      <c r="B1754" s="28"/>
      <c r="C1754" s="1989" t="s">
        <v>4596</v>
      </c>
      <c r="D1754" s="1989" t="s">
        <v>4597</v>
      </c>
      <c r="E1754" s="1989">
        <v>22.68</v>
      </c>
      <c r="F1754" s="38">
        <f t="shared" si="26"/>
        <v>1844.3657232</v>
      </c>
      <c r="G1754" s="459"/>
      <c r="H1754" s="8"/>
      <c r="I1754" s="8"/>
      <c r="J1754" s="8"/>
      <c r="K1754" s="8"/>
      <c r="L1754" s="8"/>
      <c r="M1754" s="8"/>
      <c r="N1754" s="8"/>
      <c r="O1754" s="8"/>
      <c r="P1754" s="8"/>
      <c r="Q1754" s="8"/>
      <c r="R1754" s="8"/>
      <c r="S1754" s="8"/>
      <c r="T1754" s="8"/>
      <c r="U1754" s="8"/>
      <c r="V1754" s="8"/>
      <c r="W1754" s="8"/>
      <c r="X1754" s="771"/>
      <c r="Y1754" s="771"/>
      <c r="Z1754" s="771"/>
      <c r="AA1754" s="771"/>
      <c r="AB1754" s="771"/>
      <c r="AC1754" s="771"/>
      <c r="AD1754" s="771"/>
      <c r="AE1754" s="771"/>
      <c r="AF1754" s="771"/>
      <c r="AG1754" s="771"/>
      <c r="AH1754" s="771"/>
      <c r="AI1754" s="771"/>
      <c r="AJ1754" s="771"/>
      <c r="AK1754" s="771"/>
      <c r="AL1754" s="771"/>
      <c r="AM1754" s="771"/>
      <c r="AN1754" s="771"/>
      <c r="AO1754" s="771"/>
      <c r="AP1754" s="771"/>
      <c r="AQ1754" s="771"/>
      <c r="AR1754" s="771"/>
      <c r="AS1754" s="771"/>
      <c r="AT1754" s="771"/>
      <c r="AU1754" s="771"/>
    </row>
    <row r="1755" spans="1:47" s="840" customFormat="1" outlineLevel="1" x14ac:dyDescent="0.2">
      <c r="A1755" s="8"/>
      <c r="B1755" s="28"/>
      <c r="C1755" s="1989" t="s">
        <v>2997</v>
      </c>
      <c r="D1755" s="1989" t="s">
        <v>7778</v>
      </c>
      <c r="E1755" s="1989">
        <v>2.71</v>
      </c>
      <c r="F1755" s="38">
        <f t="shared" si="26"/>
        <v>220.38056040000001</v>
      </c>
      <c r="G1755" s="459"/>
      <c r="H1755" s="8"/>
      <c r="I1755" s="8"/>
      <c r="J1755" s="8"/>
      <c r="K1755" s="8"/>
      <c r="L1755" s="8"/>
      <c r="M1755" s="8"/>
      <c r="N1755" s="8"/>
      <c r="O1755" s="8"/>
      <c r="P1755" s="8"/>
      <c r="Q1755" s="8"/>
      <c r="R1755" s="8"/>
      <c r="S1755" s="8"/>
      <c r="T1755" s="8"/>
      <c r="U1755" s="8"/>
      <c r="V1755" s="8"/>
      <c r="W1755" s="8"/>
      <c r="X1755" s="771"/>
      <c r="Y1755" s="771"/>
      <c r="Z1755" s="771"/>
      <c r="AA1755" s="771"/>
      <c r="AB1755" s="771"/>
      <c r="AC1755" s="771"/>
      <c r="AD1755" s="771"/>
      <c r="AE1755" s="771"/>
      <c r="AF1755" s="771"/>
      <c r="AG1755" s="771"/>
      <c r="AH1755" s="771"/>
      <c r="AI1755" s="771"/>
      <c r="AJ1755" s="771"/>
      <c r="AK1755" s="771"/>
      <c r="AL1755" s="771"/>
      <c r="AM1755" s="771"/>
      <c r="AN1755" s="771"/>
      <c r="AO1755" s="771"/>
      <c r="AP1755" s="771"/>
      <c r="AQ1755" s="771"/>
      <c r="AR1755" s="771"/>
      <c r="AS1755" s="771"/>
      <c r="AT1755" s="771"/>
      <c r="AU1755" s="771"/>
    </row>
    <row r="1756" spans="1:47" s="840" customFormat="1" outlineLevel="1" x14ac:dyDescent="0.2">
      <c r="A1756" s="8"/>
      <c r="B1756" s="28"/>
      <c r="C1756" s="1989" t="s">
        <v>2272</v>
      </c>
      <c r="D1756" s="1989" t="s">
        <v>5913</v>
      </c>
      <c r="E1756" s="1989">
        <v>7.04</v>
      </c>
      <c r="F1756" s="38">
        <f t="shared" si="26"/>
        <v>572.50152960000003</v>
      </c>
      <c r="G1756" s="459"/>
      <c r="H1756" s="8"/>
      <c r="I1756" s="8"/>
      <c r="J1756" s="8"/>
      <c r="K1756" s="8"/>
      <c r="L1756" s="8"/>
      <c r="M1756" s="8"/>
      <c r="N1756" s="8"/>
      <c r="O1756" s="8"/>
      <c r="P1756" s="8"/>
      <c r="Q1756" s="8"/>
      <c r="R1756" s="8"/>
      <c r="S1756" s="8"/>
      <c r="T1756" s="8"/>
      <c r="U1756" s="8"/>
      <c r="V1756" s="8"/>
      <c r="W1756" s="8"/>
      <c r="X1756" s="771"/>
      <c r="Y1756" s="771"/>
      <c r="Z1756" s="771"/>
      <c r="AA1756" s="771"/>
      <c r="AB1756" s="771"/>
      <c r="AC1756" s="771"/>
      <c r="AD1756" s="771"/>
      <c r="AE1756" s="771"/>
      <c r="AF1756" s="771"/>
      <c r="AG1756" s="771"/>
      <c r="AH1756" s="771"/>
      <c r="AI1756" s="771"/>
      <c r="AJ1756" s="771"/>
      <c r="AK1756" s="771"/>
      <c r="AL1756" s="771"/>
      <c r="AM1756" s="771"/>
      <c r="AN1756" s="771"/>
      <c r="AO1756" s="771"/>
      <c r="AP1756" s="771"/>
      <c r="AQ1756" s="771"/>
      <c r="AR1756" s="771"/>
      <c r="AS1756" s="771"/>
      <c r="AT1756" s="771"/>
      <c r="AU1756" s="771"/>
    </row>
    <row r="1757" spans="1:47" s="840" customFormat="1" outlineLevel="1" x14ac:dyDescent="0.2">
      <c r="A1757" s="8"/>
      <c r="B1757" s="28"/>
      <c r="C1757" s="1989" t="s">
        <v>6779</v>
      </c>
      <c r="D1757" s="1989" t="s">
        <v>7779</v>
      </c>
      <c r="E1757" s="1989">
        <v>6.95</v>
      </c>
      <c r="F1757" s="38">
        <f t="shared" si="26"/>
        <v>565.18261800000005</v>
      </c>
      <c r="G1757" s="459"/>
      <c r="H1757" s="8"/>
      <c r="I1757" s="8"/>
      <c r="J1757" s="8"/>
      <c r="K1757" s="8"/>
      <c r="L1757" s="8"/>
      <c r="M1757" s="8"/>
      <c r="N1757" s="8"/>
      <c r="O1757" s="8"/>
      <c r="P1757" s="8"/>
      <c r="Q1757" s="8"/>
      <c r="R1757" s="8"/>
      <c r="S1757" s="8"/>
      <c r="T1757" s="8"/>
      <c r="U1757" s="8"/>
      <c r="V1757" s="8"/>
      <c r="W1757" s="8"/>
      <c r="X1757" s="771"/>
      <c r="Y1757" s="771"/>
      <c r="Z1757" s="771"/>
      <c r="AA1757" s="771"/>
      <c r="AB1757" s="771"/>
      <c r="AC1757" s="771"/>
      <c r="AD1757" s="771"/>
      <c r="AE1757" s="771"/>
      <c r="AF1757" s="771"/>
      <c r="AG1757" s="771"/>
      <c r="AH1757" s="771"/>
      <c r="AI1757" s="771"/>
      <c r="AJ1757" s="771"/>
      <c r="AK1757" s="771"/>
      <c r="AL1757" s="771"/>
      <c r="AM1757" s="771"/>
      <c r="AN1757" s="771"/>
      <c r="AO1757" s="771"/>
      <c r="AP1757" s="771"/>
      <c r="AQ1757" s="771"/>
      <c r="AR1757" s="771"/>
      <c r="AS1757" s="771"/>
      <c r="AT1757" s="771"/>
      <c r="AU1757" s="771"/>
    </row>
    <row r="1758" spans="1:47" s="840" customFormat="1" outlineLevel="1" x14ac:dyDescent="0.2">
      <c r="A1758" s="8"/>
      <c r="B1758" s="28"/>
      <c r="C1758" s="1989" t="s">
        <v>7780</v>
      </c>
      <c r="D1758" s="1989" t="s">
        <v>7781</v>
      </c>
      <c r="E1758" s="1989">
        <v>6.95</v>
      </c>
      <c r="F1758" s="38">
        <f t="shared" ref="F1758:F1817" si="27">E1758*$G$4*$J$4</f>
        <v>565.18261800000005</v>
      </c>
      <c r="G1758" s="459"/>
      <c r="H1758" s="8"/>
      <c r="I1758" s="8"/>
      <c r="J1758" s="8"/>
      <c r="K1758" s="8"/>
      <c r="L1758" s="8"/>
      <c r="M1758" s="8"/>
      <c r="N1758" s="8"/>
      <c r="O1758" s="8"/>
      <c r="P1758" s="8"/>
      <c r="Q1758" s="8"/>
      <c r="R1758" s="8"/>
      <c r="S1758" s="8"/>
      <c r="T1758" s="8"/>
      <c r="U1758" s="8"/>
      <c r="V1758" s="8"/>
      <c r="W1758" s="8"/>
      <c r="X1758" s="771"/>
      <c r="Y1758" s="771"/>
      <c r="Z1758" s="771"/>
      <c r="AA1758" s="771"/>
      <c r="AB1758" s="771"/>
      <c r="AC1758" s="771"/>
      <c r="AD1758" s="771"/>
      <c r="AE1758" s="771"/>
      <c r="AF1758" s="771"/>
      <c r="AG1758" s="771"/>
      <c r="AH1758" s="771"/>
      <c r="AI1758" s="771"/>
      <c r="AJ1758" s="771"/>
      <c r="AK1758" s="771"/>
      <c r="AL1758" s="771"/>
      <c r="AM1758" s="771"/>
      <c r="AN1758" s="771"/>
      <c r="AO1758" s="771"/>
      <c r="AP1758" s="771"/>
      <c r="AQ1758" s="771"/>
      <c r="AR1758" s="771"/>
      <c r="AS1758" s="771"/>
      <c r="AT1758" s="771"/>
      <c r="AU1758" s="771"/>
    </row>
    <row r="1759" spans="1:47" s="840" customFormat="1" outlineLevel="1" x14ac:dyDescent="0.2">
      <c r="A1759" s="8"/>
      <c r="B1759" s="28"/>
      <c r="C1759" s="1989" t="s">
        <v>2274</v>
      </c>
      <c r="D1759" s="1989" t="s">
        <v>2275</v>
      </c>
      <c r="E1759" s="1989">
        <v>0.59</v>
      </c>
      <c r="F1759" s="38">
        <f t="shared" si="27"/>
        <v>47.979531600000001</v>
      </c>
      <c r="G1759" s="459"/>
      <c r="H1759" s="8"/>
      <c r="I1759" s="8"/>
      <c r="J1759" s="8"/>
      <c r="K1759" s="8"/>
      <c r="L1759" s="8"/>
      <c r="M1759" s="8"/>
      <c r="N1759" s="8"/>
      <c r="O1759" s="8"/>
      <c r="P1759" s="8"/>
      <c r="Q1759" s="8"/>
      <c r="R1759" s="8"/>
      <c r="S1759" s="8"/>
      <c r="T1759" s="8"/>
      <c r="U1759" s="8"/>
      <c r="V1759" s="8"/>
      <c r="W1759" s="8"/>
      <c r="X1759" s="771"/>
      <c r="Y1759" s="771"/>
      <c r="Z1759" s="771"/>
      <c r="AA1759" s="771"/>
      <c r="AB1759" s="771"/>
      <c r="AC1759" s="771"/>
      <c r="AD1759" s="771"/>
      <c r="AE1759" s="771"/>
      <c r="AF1759" s="771"/>
      <c r="AG1759" s="771"/>
      <c r="AH1759" s="771"/>
      <c r="AI1759" s="771"/>
      <c r="AJ1759" s="771"/>
      <c r="AK1759" s="771"/>
      <c r="AL1759" s="771"/>
      <c r="AM1759" s="771"/>
      <c r="AN1759" s="771"/>
      <c r="AO1759" s="771"/>
      <c r="AP1759" s="771"/>
      <c r="AQ1759" s="771"/>
      <c r="AR1759" s="771"/>
      <c r="AS1759" s="771"/>
      <c r="AT1759" s="771"/>
      <c r="AU1759" s="771"/>
    </row>
    <row r="1760" spans="1:47" s="840" customFormat="1" outlineLevel="1" x14ac:dyDescent="0.2">
      <c r="A1760" s="8"/>
      <c r="B1760" s="28"/>
      <c r="C1760" s="1989" t="s">
        <v>2276</v>
      </c>
      <c r="D1760" s="1989" t="s">
        <v>5914</v>
      </c>
      <c r="E1760" s="1989">
        <v>5.75</v>
      </c>
      <c r="F1760" s="38">
        <f t="shared" si="27"/>
        <v>467.59712999999999</v>
      </c>
      <c r="G1760" s="459"/>
      <c r="H1760" s="8"/>
      <c r="I1760" s="8"/>
      <c r="J1760" s="8"/>
      <c r="K1760" s="8"/>
      <c r="L1760" s="8"/>
      <c r="M1760" s="8"/>
      <c r="N1760" s="8"/>
      <c r="O1760" s="8"/>
      <c r="P1760" s="8"/>
      <c r="Q1760" s="8"/>
      <c r="R1760" s="8"/>
      <c r="S1760" s="8"/>
      <c r="T1760" s="8"/>
      <c r="U1760" s="8"/>
      <c r="V1760" s="8"/>
      <c r="W1760" s="8"/>
      <c r="X1760" s="771"/>
      <c r="Y1760" s="771"/>
      <c r="Z1760" s="771"/>
      <c r="AA1760" s="771"/>
      <c r="AB1760" s="771"/>
      <c r="AC1760" s="771"/>
      <c r="AD1760" s="771"/>
      <c r="AE1760" s="771"/>
      <c r="AF1760" s="771"/>
      <c r="AG1760" s="771"/>
      <c r="AH1760" s="771"/>
      <c r="AI1760" s="771"/>
      <c r="AJ1760" s="771"/>
      <c r="AK1760" s="771"/>
      <c r="AL1760" s="771"/>
      <c r="AM1760" s="771"/>
      <c r="AN1760" s="771"/>
      <c r="AO1760" s="771"/>
      <c r="AP1760" s="771"/>
      <c r="AQ1760" s="771"/>
      <c r="AR1760" s="771"/>
      <c r="AS1760" s="771"/>
      <c r="AT1760" s="771"/>
      <c r="AU1760" s="771"/>
    </row>
    <row r="1761" spans="1:47" s="840" customFormat="1" outlineLevel="1" x14ac:dyDescent="0.2">
      <c r="A1761" s="8"/>
      <c r="B1761" s="28"/>
      <c r="C1761" s="1989" t="s">
        <v>2277</v>
      </c>
      <c r="D1761" s="1989" t="s">
        <v>5915</v>
      </c>
      <c r="E1761" s="1989">
        <v>5.75</v>
      </c>
      <c r="F1761" s="38">
        <f t="shared" si="27"/>
        <v>467.59712999999999</v>
      </c>
      <c r="G1761" s="459"/>
      <c r="H1761" s="8"/>
      <c r="I1761" s="8"/>
      <c r="J1761" s="8"/>
      <c r="K1761" s="8"/>
      <c r="L1761" s="8"/>
      <c r="M1761" s="8"/>
      <c r="N1761" s="8"/>
      <c r="O1761" s="8"/>
      <c r="P1761" s="8"/>
      <c r="Q1761" s="8"/>
      <c r="R1761" s="8"/>
      <c r="S1761" s="8"/>
      <c r="T1761" s="8"/>
      <c r="U1761" s="8"/>
      <c r="V1761" s="8"/>
      <c r="W1761" s="8"/>
      <c r="X1761" s="771"/>
      <c r="Y1761" s="771"/>
      <c r="Z1761" s="771"/>
      <c r="AA1761" s="771"/>
      <c r="AB1761" s="771"/>
      <c r="AC1761" s="771"/>
      <c r="AD1761" s="771"/>
      <c r="AE1761" s="771"/>
      <c r="AF1761" s="771"/>
      <c r="AG1761" s="771"/>
      <c r="AH1761" s="771"/>
      <c r="AI1761" s="771"/>
      <c r="AJ1761" s="771"/>
      <c r="AK1761" s="771"/>
      <c r="AL1761" s="771"/>
      <c r="AM1761" s="771"/>
      <c r="AN1761" s="771"/>
      <c r="AO1761" s="771"/>
      <c r="AP1761" s="771"/>
      <c r="AQ1761" s="771"/>
      <c r="AR1761" s="771"/>
      <c r="AS1761" s="771"/>
      <c r="AT1761" s="771"/>
      <c r="AU1761" s="771"/>
    </row>
    <row r="1762" spans="1:47" s="840" customFormat="1" outlineLevel="1" x14ac:dyDescent="0.2">
      <c r="A1762" s="8"/>
      <c r="B1762" s="28"/>
      <c r="C1762" s="1989" t="s">
        <v>3318</v>
      </c>
      <c r="D1762" s="1989" t="s">
        <v>5916</v>
      </c>
      <c r="E1762" s="1989">
        <v>6.76</v>
      </c>
      <c r="F1762" s="38">
        <f t="shared" si="27"/>
        <v>549.73158240000009</v>
      </c>
      <c r="G1762" s="459"/>
      <c r="H1762" s="8"/>
      <c r="I1762" s="8"/>
      <c r="J1762" s="8"/>
      <c r="K1762" s="8"/>
      <c r="L1762" s="8"/>
      <c r="M1762" s="8"/>
      <c r="N1762" s="8"/>
      <c r="O1762" s="8"/>
      <c r="P1762" s="8"/>
      <c r="Q1762" s="8"/>
      <c r="R1762" s="8"/>
      <c r="S1762" s="8"/>
      <c r="T1762" s="8"/>
      <c r="U1762" s="8"/>
      <c r="V1762" s="8"/>
      <c r="W1762" s="8"/>
      <c r="X1762" s="771"/>
      <c r="Y1762" s="771"/>
      <c r="Z1762" s="771"/>
      <c r="AA1762" s="771"/>
      <c r="AB1762" s="771"/>
      <c r="AC1762" s="771"/>
      <c r="AD1762" s="771"/>
      <c r="AE1762" s="771"/>
      <c r="AF1762" s="771"/>
      <c r="AG1762" s="771"/>
      <c r="AH1762" s="771"/>
      <c r="AI1762" s="771"/>
      <c r="AJ1762" s="771"/>
      <c r="AK1762" s="771"/>
      <c r="AL1762" s="771"/>
      <c r="AM1762" s="771"/>
      <c r="AN1762" s="771"/>
      <c r="AO1762" s="771"/>
      <c r="AP1762" s="771"/>
      <c r="AQ1762" s="771"/>
      <c r="AR1762" s="771"/>
      <c r="AS1762" s="771"/>
      <c r="AT1762" s="771"/>
      <c r="AU1762" s="771"/>
    </row>
    <row r="1763" spans="1:47" s="840" customFormat="1" outlineLevel="1" x14ac:dyDescent="0.2">
      <c r="A1763" s="8"/>
      <c r="B1763" s="28"/>
      <c r="C1763" s="1989" t="s">
        <v>2282</v>
      </c>
      <c r="D1763" s="1989" t="s">
        <v>7782</v>
      </c>
      <c r="E1763" s="1989">
        <v>0.11</v>
      </c>
      <c r="F1763" s="38">
        <f t="shared" si="27"/>
        <v>8.9453364000000004</v>
      </c>
      <c r="G1763" s="459"/>
      <c r="H1763" s="8"/>
      <c r="I1763" s="8"/>
      <c r="J1763" s="8"/>
      <c r="K1763" s="8"/>
      <c r="L1763" s="8"/>
      <c r="M1763" s="8"/>
      <c r="N1763" s="8"/>
      <c r="O1763" s="8"/>
      <c r="P1763" s="8"/>
      <c r="Q1763" s="8"/>
      <c r="R1763" s="8"/>
      <c r="S1763" s="8"/>
      <c r="T1763" s="8"/>
      <c r="U1763" s="8"/>
      <c r="V1763" s="8"/>
      <c r="W1763" s="8"/>
      <c r="X1763" s="771"/>
      <c r="Y1763" s="771"/>
      <c r="Z1763" s="771"/>
      <c r="AA1763" s="771"/>
      <c r="AB1763" s="771"/>
      <c r="AC1763" s="771"/>
      <c r="AD1763" s="771"/>
      <c r="AE1763" s="771"/>
      <c r="AF1763" s="771"/>
      <c r="AG1763" s="771"/>
      <c r="AH1763" s="771"/>
      <c r="AI1763" s="771"/>
      <c r="AJ1763" s="771"/>
      <c r="AK1763" s="771"/>
      <c r="AL1763" s="771"/>
      <c r="AM1763" s="771"/>
      <c r="AN1763" s="771"/>
      <c r="AO1763" s="771"/>
      <c r="AP1763" s="771"/>
      <c r="AQ1763" s="771"/>
      <c r="AR1763" s="771"/>
      <c r="AS1763" s="771"/>
      <c r="AT1763" s="771"/>
      <c r="AU1763" s="771"/>
    </row>
    <row r="1764" spans="1:47" s="840" customFormat="1" outlineLevel="1" x14ac:dyDescent="0.2">
      <c r="A1764" s="8"/>
      <c r="B1764" s="28"/>
      <c r="C1764" s="1989" t="s">
        <v>2283</v>
      </c>
      <c r="D1764" s="1989" t="s">
        <v>5917</v>
      </c>
      <c r="E1764" s="1989">
        <v>9.89</v>
      </c>
      <c r="F1764" s="38">
        <f t="shared" si="27"/>
        <v>804.26706360000003</v>
      </c>
      <c r="G1764" s="459"/>
      <c r="H1764" s="8"/>
      <c r="I1764" s="8"/>
      <c r="J1764" s="8"/>
      <c r="K1764" s="8"/>
      <c r="L1764" s="8"/>
      <c r="M1764" s="8"/>
      <c r="N1764" s="8"/>
      <c r="O1764" s="8"/>
      <c r="P1764" s="8"/>
      <c r="Q1764" s="8"/>
      <c r="R1764" s="8"/>
      <c r="S1764" s="8"/>
      <c r="T1764" s="8"/>
      <c r="U1764" s="8"/>
      <c r="V1764" s="8"/>
      <c r="W1764" s="8"/>
      <c r="X1764" s="771"/>
      <c r="Y1764" s="771"/>
      <c r="Z1764" s="771"/>
      <c r="AA1764" s="771"/>
      <c r="AB1764" s="771"/>
      <c r="AC1764" s="771"/>
      <c r="AD1764" s="771"/>
      <c r="AE1764" s="771"/>
      <c r="AF1764" s="771"/>
      <c r="AG1764" s="771"/>
      <c r="AH1764" s="771"/>
      <c r="AI1764" s="771"/>
      <c r="AJ1764" s="771"/>
      <c r="AK1764" s="771"/>
      <c r="AL1764" s="771"/>
      <c r="AM1764" s="771"/>
      <c r="AN1764" s="771"/>
      <c r="AO1764" s="771"/>
      <c r="AP1764" s="771"/>
      <c r="AQ1764" s="771"/>
      <c r="AR1764" s="771"/>
      <c r="AS1764" s="771"/>
      <c r="AT1764" s="771"/>
      <c r="AU1764" s="771"/>
    </row>
    <row r="1765" spans="1:47" s="840" customFormat="1" outlineLevel="1" x14ac:dyDescent="0.2">
      <c r="A1765" s="8"/>
      <c r="B1765" s="28"/>
      <c r="C1765" s="1989" t="s">
        <v>3319</v>
      </c>
      <c r="D1765" s="1989" t="s">
        <v>5918</v>
      </c>
      <c r="E1765" s="1989">
        <v>6.76</v>
      </c>
      <c r="F1765" s="38">
        <f t="shared" si="27"/>
        <v>549.73158240000009</v>
      </c>
      <c r="G1765" s="459"/>
      <c r="H1765" s="8"/>
      <c r="I1765" s="8"/>
      <c r="J1765" s="8"/>
      <c r="K1765" s="8"/>
      <c r="L1765" s="8"/>
      <c r="M1765" s="8"/>
      <c r="N1765" s="8"/>
      <c r="O1765" s="8"/>
      <c r="P1765" s="8"/>
      <c r="Q1765" s="8"/>
      <c r="R1765" s="8"/>
      <c r="S1765" s="8"/>
      <c r="T1765" s="8"/>
      <c r="U1765" s="8"/>
      <c r="V1765" s="8"/>
      <c r="W1765" s="8"/>
      <c r="X1765" s="771"/>
      <c r="Y1765" s="771"/>
      <c r="Z1765" s="771"/>
      <c r="AA1765" s="771"/>
      <c r="AB1765" s="771"/>
      <c r="AC1765" s="771"/>
      <c r="AD1765" s="771"/>
      <c r="AE1765" s="771"/>
      <c r="AF1765" s="771"/>
      <c r="AG1765" s="771"/>
      <c r="AH1765" s="771"/>
      <c r="AI1765" s="771"/>
      <c r="AJ1765" s="771"/>
      <c r="AK1765" s="771"/>
      <c r="AL1765" s="771"/>
      <c r="AM1765" s="771"/>
      <c r="AN1765" s="771"/>
      <c r="AO1765" s="771"/>
      <c r="AP1765" s="771"/>
      <c r="AQ1765" s="771"/>
      <c r="AR1765" s="771"/>
      <c r="AS1765" s="771"/>
      <c r="AT1765" s="771"/>
      <c r="AU1765" s="771"/>
    </row>
    <row r="1766" spans="1:47" s="840" customFormat="1" outlineLevel="1" x14ac:dyDescent="0.2">
      <c r="A1766" s="8"/>
      <c r="B1766" s="28"/>
      <c r="C1766" s="1989" t="s">
        <v>2284</v>
      </c>
      <c r="D1766" s="1989" t="s">
        <v>5919</v>
      </c>
      <c r="E1766" s="1989">
        <v>9.89</v>
      </c>
      <c r="F1766" s="38">
        <f t="shared" si="27"/>
        <v>804.26706360000003</v>
      </c>
      <c r="G1766" s="459"/>
      <c r="H1766" s="8"/>
      <c r="I1766" s="8"/>
      <c r="J1766" s="8"/>
      <c r="K1766" s="8"/>
      <c r="L1766" s="8"/>
      <c r="M1766" s="8"/>
      <c r="N1766" s="8"/>
      <c r="O1766" s="8"/>
      <c r="P1766" s="8"/>
      <c r="Q1766" s="8"/>
      <c r="R1766" s="8"/>
      <c r="S1766" s="8"/>
      <c r="T1766" s="8"/>
      <c r="U1766" s="8"/>
      <c r="V1766" s="8"/>
      <c r="W1766" s="8"/>
      <c r="X1766" s="771"/>
      <c r="Y1766" s="771"/>
      <c r="Z1766" s="771"/>
      <c r="AA1766" s="771"/>
      <c r="AB1766" s="771"/>
      <c r="AC1766" s="771"/>
      <c r="AD1766" s="771"/>
      <c r="AE1766" s="771"/>
      <c r="AF1766" s="771"/>
      <c r="AG1766" s="771"/>
      <c r="AH1766" s="771"/>
      <c r="AI1766" s="771"/>
      <c r="AJ1766" s="771"/>
      <c r="AK1766" s="771"/>
      <c r="AL1766" s="771"/>
      <c r="AM1766" s="771"/>
      <c r="AN1766" s="771"/>
      <c r="AO1766" s="771"/>
      <c r="AP1766" s="771"/>
      <c r="AQ1766" s="771"/>
      <c r="AR1766" s="771"/>
      <c r="AS1766" s="771"/>
      <c r="AT1766" s="771"/>
      <c r="AU1766" s="771"/>
    </row>
    <row r="1767" spans="1:47" s="840" customFormat="1" outlineLevel="1" x14ac:dyDescent="0.2">
      <c r="A1767" s="8"/>
      <c r="B1767" s="28"/>
      <c r="C1767" s="1989" t="s">
        <v>2285</v>
      </c>
      <c r="D1767" s="1989" t="s">
        <v>2286</v>
      </c>
      <c r="E1767" s="1989">
        <v>1.37</v>
      </c>
      <c r="F1767" s="38">
        <f t="shared" si="27"/>
        <v>111.41009880000001</v>
      </c>
      <c r="G1767" s="459"/>
      <c r="H1767" s="8"/>
      <c r="I1767" s="8"/>
      <c r="J1767" s="8"/>
      <c r="K1767" s="8"/>
      <c r="L1767" s="8"/>
      <c r="M1767" s="8"/>
      <c r="N1767" s="8"/>
      <c r="O1767" s="8"/>
      <c r="P1767" s="8"/>
      <c r="Q1767" s="8"/>
      <c r="R1767" s="8"/>
      <c r="S1767" s="8"/>
      <c r="T1767" s="8"/>
      <c r="U1767" s="8"/>
      <c r="V1767" s="8"/>
      <c r="W1767" s="8"/>
      <c r="X1767" s="771"/>
      <c r="Y1767" s="771"/>
      <c r="Z1767" s="771"/>
      <c r="AA1767" s="771"/>
      <c r="AB1767" s="771"/>
      <c r="AC1767" s="771"/>
      <c r="AD1767" s="771"/>
      <c r="AE1767" s="771"/>
      <c r="AF1767" s="771"/>
      <c r="AG1767" s="771"/>
      <c r="AH1767" s="771"/>
      <c r="AI1767" s="771"/>
      <c r="AJ1767" s="771"/>
      <c r="AK1767" s="771"/>
      <c r="AL1767" s="771"/>
      <c r="AM1767" s="771"/>
      <c r="AN1767" s="771"/>
      <c r="AO1767" s="771"/>
      <c r="AP1767" s="771"/>
      <c r="AQ1767" s="771"/>
      <c r="AR1767" s="771"/>
      <c r="AS1767" s="771"/>
      <c r="AT1767" s="771"/>
      <c r="AU1767" s="771"/>
    </row>
    <row r="1768" spans="1:47" s="840" customFormat="1" outlineLevel="1" x14ac:dyDescent="0.2">
      <c r="A1768" s="8"/>
      <c r="B1768" s="28"/>
      <c r="C1768" s="1989" t="s">
        <v>2362</v>
      </c>
      <c r="D1768" s="1989" t="s">
        <v>5920</v>
      </c>
      <c r="E1768" s="1989">
        <v>7.06</v>
      </c>
      <c r="F1768" s="38">
        <f t="shared" si="27"/>
        <v>574.12795440000002</v>
      </c>
      <c r="G1768" s="459"/>
      <c r="H1768" s="8"/>
      <c r="I1768" s="8"/>
      <c r="J1768" s="8"/>
      <c r="K1768" s="8"/>
      <c r="L1768" s="8"/>
      <c r="M1768" s="8"/>
      <c r="N1768" s="8"/>
      <c r="O1768" s="8"/>
      <c r="P1768" s="8"/>
      <c r="Q1768" s="8"/>
      <c r="R1768" s="8"/>
      <c r="S1768" s="8"/>
      <c r="T1768" s="8"/>
      <c r="U1768" s="8"/>
      <c r="V1768" s="8"/>
      <c r="W1768" s="8"/>
      <c r="X1768" s="771"/>
      <c r="Y1768" s="771"/>
      <c r="Z1768" s="771"/>
      <c r="AA1768" s="771"/>
      <c r="AB1768" s="771"/>
      <c r="AC1768" s="771"/>
      <c r="AD1768" s="771"/>
      <c r="AE1768" s="771"/>
      <c r="AF1768" s="771"/>
      <c r="AG1768" s="771"/>
      <c r="AH1768" s="771"/>
      <c r="AI1768" s="771"/>
      <c r="AJ1768" s="771"/>
      <c r="AK1768" s="771"/>
      <c r="AL1768" s="771"/>
      <c r="AM1768" s="771"/>
      <c r="AN1768" s="771"/>
      <c r="AO1768" s="771"/>
      <c r="AP1768" s="771"/>
      <c r="AQ1768" s="771"/>
      <c r="AR1768" s="771"/>
      <c r="AS1768" s="771"/>
      <c r="AT1768" s="771"/>
      <c r="AU1768" s="771"/>
    </row>
    <row r="1769" spans="1:47" s="840" customFormat="1" outlineLevel="1" x14ac:dyDescent="0.2">
      <c r="A1769" s="8"/>
      <c r="B1769" s="28"/>
      <c r="C1769" s="1989" t="s">
        <v>2363</v>
      </c>
      <c r="D1769" s="1989" t="s">
        <v>5921</v>
      </c>
      <c r="E1769" s="1989">
        <v>5.71</v>
      </c>
      <c r="F1769" s="38">
        <f t="shared" si="27"/>
        <v>464.3442804</v>
      </c>
      <c r="G1769" s="459"/>
      <c r="H1769" s="8"/>
      <c r="I1769" s="8"/>
      <c r="J1769" s="8"/>
      <c r="K1769" s="8"/>
      <c r="L1769" s="8"/>
      <c r="M1769" s="8"/>
      <c r="N1769" s="8"/>
      <c r="O1769" s="8"/>
      <c r="P1769" s="8"/>
      <c r="Q1769" s="8"/>
      <c r="R1769" s="8"/>
      <c r="S1769" s="8"/>
      <c r="T1769" s="8"/>
      <c r="U1769" s="8"/>
      <c r="V1769" s="8"/>
      <c r="W1769" s="8"/>
      <c r="X1769" s="771"/>
      <c r="Y1769" s="771"/>
      <c r="Z1769" s="771"/>
      <c r="AA1769" s="771"/>
      <c r="AB1769" s="771"/>
      <c r="AC1769" s="771"/>
      <c r="AD1769" s="771"/>
      <c r="AE1769" s="771"/>
      <c r="AF1769" s="771"/>
      <c r="AG1769" s="771"/>
      <c r="AH1769" s="771"/>
      <c r="AI1769" s="771"/>
      <c r="AJ1769" s="771"/>
      <c r="AK1769" s="771"/>
      <c r="AL1769" s="771"/>
      <c r="AM1769" s="771"/>
      <c r="AN1769" s="771"/>
      <c r="AO1769" s="771"/>
      <c r="AP1769" s="771"/>
      <c r="AQ1769" s="771"/>
      <c r="AR1769" s="771"/>
      <c r="AS1769" s="771"/>
      <c r="AT1769" s="771"/>
      <c r="AU1769" s="771"/>
    </row>
    <row r="1770" spans="1:47" s="840" customFormat="1" outlineLevel="1" x14ac:dyDescent="0.2">
      <c r="A1770" s="8"/>
      <c r="B1770" s="28"/>
      <c r="C1770" s="1989" t="s">
        <v>2998</v>
      </c>
      <c r="D1770" s="1989" t="s">
        <v>2999</v>
      </c>
      <c r="E1770" s="1989">
        <v>0.51</v>
      </c>
      <c r="F1770" s="38">
        <f t="shared" si="27"/>
        <v>41.473832399999999</v>
      </c>
      <c r="G1770" s="459"/>
      <c r="H1770" s="8"/>
      <c r="I1770" s="8"/>
      <c r="J1770" s="8"/>
      <c r="K1770" s="8"/>
      <c r="L1770" s="8"/>
      <c r="M1770" s="8"/>
      <c r="N1770" s="8"/>
      <c r="O1770" s="8"/>
      <c r="P1770" s="8"/>
      <c r="Q1770" s="8"/>
      <c r="R1770" s="8"/>
      <c r="S1770" s="8"/>
      <c r="T1770" s="8"/>
      <c r="U1770" s="8"/>
      <c r="V1770" s="8"/>
      <c r="W1770" s="8"/>
      <c r="X1770" s="771"/>
      <c r="Y1770" s="771"/>
      <c r="Z1770" s="771"/>
      <c r="AA1770" s="771"/>
      <c r="AB1770" s="771"/>
      <c r="AC1770" s="771"/>
      <c r="AD1770" s="771"/>
      <c r="AE1770" s="771"/>
      <c r="AF1770" s="771"/>
      <c r="AG1770" s="771"/>
      <c r="AH1770" s="771"/>
      <c r="AI1770" s="771"/>
      <c r="AJ1770" s="771"/>
      <c r="AK1770" s="771"/>
      <c r="AL1770" s="771"/>
      <c r="AM1770" s="771"/>
      <c r="AN1770" s="771"/>
      <c r="AO1770" s="771"/>
      <c r="AP1770" s="771"/>
      <c r="AQ1770" s="771"/>
      <c r="AR1770" s="771"/>
      <c r="AS1770" s="771"/>
      <c r="AT1770" s="771"/>
      <c r="AU1770" s="771"/>
    </row>
    <row r="1771" spans="1:47" s="840" customFormat="1" outlineLevel="1" x14ac:dyDescent="0.2">
      <c r="A1771" s="8"/>
      <c r="B1771" s="28"/>
      <c r="C1771" s="1989" t="s">
        <v>4598</v>
      </c>
      <c r="D1771" s="1989" t="s">
        <v>5922</v>
      </c>
      <c r="E1771" s="1989">
        <v>30.39</v>
      </c>
      <c r="F1771" s="38">
        <f t="shared" si="27"/>
        <v>2471.3524836000001</v>
      </c>
      <c r="G1771" s="459"/>
      <c r="H1771" s="8"/>
      <c r="I1771" s="8"/>
      <c r="J1771" s="8"/>
      <c r="K1771" s="8"/>
      <c r="L1771" s="8"/>
      <c r="M1771" s="8"/>
      <c r="N1771" s="8"/>
      <c r="O1771" s="8"/>
      <c r="P1771" s="8"/>
      <c r="Q1771" s="8"/>
      <c r="R1771" s="8"/>
      <c r="S1771" s="8"/>
      <c r="T1771" s="8"/>
      <c r="U1771" s="8"/>
      <c r="V1771" s="8"/>
      <c r="W1771" s="8"/>
      <c r="X1771" s="771"/>
      <c r="Y1771" s="771"/>
      <c r="Z1771" s="771"/>
      <c r="AA1771" s="771"/>
      <c r="AB1771" s="771"/>
      <c r="AC1771" s="771"/>
      <c r="AD1771" s="771"/>
      <c r="AE1771" s="771"/>
      <c r="AF1771" s="771"/>
      <c r="AG1771" s="771"/>
      <c r="AH1771" s="771"/>
      <c r="AI1771" s="771"/>
      <c r="AJ1771" s="771"/>
      <c r="AK1771" s="771"/>
      <c r="AL1771" s="771"/>
      <c r="AM1771" s="771"/>
      <c r="AN1771" s="771"/>
      <c r="AO1771" s="771"/>
      <c r="AP1771" s="771"/>
      <c r="AQ1771" s="771"/>
      <c r="AR1771" s="771"/>
      <c r="AS1771" s="771"/>
      <c r="AT1771" s="771"/>
      <c r="AU1771" s="771"/>
    </row>
    <row r="1772" spans="1:47" s="840" customFormat="1" outlineLevel="1" x14ac:dyDescent="0.2">
      <c r="A1772" s="8"/>
      <c r="B1772" s="28"/>
      <c r="C1772" s="1989" t="s">
        <v>2364</v>
      </c>
      <c r="D1772" s="1989" t="s">
        <v>5923</v>
      </c>
      <c r="E1772" s="1989">
        <v>5.71</v>
      </c>
      <c r="F1772" s="38">
        <f t="shared" si="27"/>
        <v>464.3442804</v>
      </c>
      <c r="G1772" s="459"/>
      <c r="H1772" s="8"/>
      <c r="I1772" s="8"/>
      <c r="J1772" s="8"/>
      <c r="K1772" s="8"/>
      <c r="L1772" s="8"/>
      <c r="M1772" s="8"/>
      <c r="N1772" s="8"/>
      <c r="O1772" s="8"/>
      <c r="P1772" s="8"/>
      <c r="Q1772" s="8"/>
      <c r="R1772" s="8"/>
      <c r="S1772" s="8"/>
      <c r="T1772" s="8"/>
      <c r="U1772" s="8"/>
      <c r="V1772" s="8"/>
      <c r="W1772" s="8"/>
      <c r="X1772" s="771"/>
      <c r="Y1772" s="771"/>
      <c r="Z1772" s="771"/>
      <c r="AA1772" s="771"/>
      <c r="AB1772" s="771"/>
      <c r="AC1772" s="771"/>
      <c r="AD1772" s="771"/>
      <c r="AE1772" s="771"/>
      <c r="AF1772" s="771"/>
      <c r="AG1772" s="771"/>
      <c r="AH1772" s="771"/>
      <c r="AI1772" s="771"/>
      <c r="AJ1772" s="771"/>
      <c r="AK1772" s="771"/>
      <c r="AL1772" s="771"/>
      <c r="AM1772" s="771"/>
      <c r="AN1772" s="771"/>
      <c r="AO1772" s="771"/>
      <c r="AP1772" s="771"/>
      <c r="AQ1772" s="771"/>
      <c r="AR1772" s="771"/>
      <c r="AS1772" s="771"/>
      <c r="AT1772" s="771"/>
      <c r="AU1772" s="771"/>
    </row>
    <row r="1773" spans="1:47" s="840" customFormat="1" outlineLevel="1" x14ac:dyDescent="0.2">
      <c r="A1773" s="8"/>
      <c r="B1773" s="28"/>
      <c r="C1773" s="1989" t="s">
        <v>2365</v>
      </c>
      <c r="D1773" s="1989" t="s">
        <v>5924</v>
      </c>
      <c r="E1773" s="1989">
        <v>7.06</v>
      </c>
      <c r="F1773" s="38">
        <f t="shared" si="27"/>
        <v>574.12795440000002</v>
      </c>
      <c r="G1773" s="459"/>
      <c r="H1773" s="8"/>
      <c r="I1773" s="8"/>
      <c r="J1773" s="8"/>
      <c r="K1773" s="8"/>
      <c r="L1773" s="8"/>
      <c r="M1773" s="8"/>
      <c r="N1773" s="8"/>
      <c r="O1773" s="8"/>
      <c r="P1773" s="8"/>
      <c r="Q1773" s="8"/>
      <c r="R1773" s="8"/>
      <c r="S1773" s="8"/>
      <c r="T1773" s="8"/>
      <c r="U1773" s="8"/>
      <c r="V1773" s="8"/>
      <c r="W1773" s="8"/>
      <c r="X1773" s="771"/>
      <c r="Y1773" s="771"/>
      <c r="Z1773" s="771"/>
      <c r="AA1773" s="771"/>
      <c r="AB1773" s="771"/>
      <c r="AC1773" s="771"/>
      <c r="AD1773" s="771"/>
      <c r="AE1773" s="771"/>
      <c r="AF1773" s="771"/>
      <c r="AG1773" s="771"/>
      <c r="AH1773" s="771"/>
      <c r="AI1773" s="771"/>
      <c r="AJ1773" s="771"/>
      <c r="AK1773" s="771"/>
      <c r="AL1773" s="771"/>
      <c r="AM1773" s="771"/>
      <c r="AN1773" s="771"/>
      <c r="AO1773" s="771"/>
      <c r="AP1773" s="771"/>
      <c r="AQ1773" s="771"/>
      <c r="AR1773" s="771"/>
      <c r="AS1773" s="771"/>
      <c r="AT1773" s="771"/>
      <c r="AU1773" s="771"/>
    </row>
    <row r="1774" spans="1:47" s="840" customFormat="1" outlineLevel="1" x14ac:dyDescent="0.2">
      <c r="A1774" s="8"/>
      <c r="B1774" s="28"/>
      <c r="C1774" s="1989" t="s">
        <v>3616</v>
      </c>
      <c r="D1774" s="1989" t="s">
        <v>5925</v>
      </c>
      <c r="E1774" s="1989">
        <v>5.65</v>
      </c>
      <c r="F1774" s="38">
        <f t="shared" si="27"/>
        <v>459.46500600000007</v>
      </c>
      <c r="G1774" s="459"/>
      <c r="H1774" s="8"/>
      <c r="I1774" s="8"/>
      <c r="J1774" s="8"/>
      <c r="K1774" s="8"/>
      <c r="L1774" s="8"/>
      <c r="M1774" s="8"/>
      <c r="N1774" s="8"/>
      <c r="O1774" s="8"/>
      <c r="P1774" s="8"/>
      <c r="Q1774" s="8"/>
      <c r="R1774" s="8"/>
      <c r="S1774" s="8"/>
      <c r="T1774" s="8"/>
      <c r="U1774" s="8"/>
      <c r="V1774" s="8"/>
      <c r="W1774" s="8"/>
      <c r="X1774" s="771"/>
      <c r="Y1774" s="771"/>
      <c r="Z1774" s="771"/>
      <c r="AA1774" s="771"/>
      <c r="AB1774" s="771"/>
      <c r="AC1774" s="771"/>
      <c r="AD1774" s="771"/>
      <c r="AE1774" s="771"/>
      <c r="AF1774" s="771"/>
      <c r="AG1774" s="771"/>
      <c r="AH1774" s="771"/>
      <c r="AI1774" s="771"/>
      <c r="AJ1774" s="771"/>
      <c r="AK1774" s="771"/>
      <c r="AL1774" s="771"/>
      <c r="AM1774" s="771"/>
      <c r="AN1774" s="771"/>
      <c r="AO1774" s="771"/>
      <c r="AP1774" s="771"/>
      <c r="AQ1774" s="771"/>
      <c r="AR1774" s="771"/>
      <c r="AS1774" s="771"/>
      <c r="AT1774" s="771"/>
      <c r="AU1774" s="771"/>
    </row>
    <row r="1775" spans="1:47" s="840" customFormat="1" outlineLevel="1" x14ac:dyDescent="0.2">
      <c r="A1775" s="8"/>
      <c r="B1775" s="28"/>
      <c r="C1775" s="1989" t="s">
        <v>2288</v>
      </c>
      <c r="D1775" s="1989" t="s">
        <v>2289</v>
      </c>
      <c r="E1775" s="1989">
        <v>0.44</v>
      </c>
      <c r="F1775" s="38">
        <f t="shared" si="27"/>
        <v>35.781345600000002</v>
      </c>
      <c r="G1775" s="459"/>
      <c r="H1775" s="8"/>
      <c r="I1775" s="8"/>
      <c r="J1775" s="8"/>
      <c r="K1775" s="8"/>
      <c r="L1775" s="8"/>
      <c r="M1775" s="8"/>
      <c r="N1775" s="8"/>
      <c r="O1775" s="8"/>
      <c r="P1775" s="8"/>
      <c r="Q1775" s="8"/>
      <c r="R1775" s="8"/>
      <c r="S1775" s="8"/>
      <c r="T1775" s="8"/>
      <c r="U1775" s="8"/>
      <c r="V1775" s="8"/>
      <c r="W1775" s="8"/>
      <c r="X1775" s="771"/>
      <c r="Y1775" s="771"/>
      <c r="Z1775" s="771"/>
      <c r="AA1775" s="771"/>
      <c r="AB1775" s="771"/>
      <c r="AC1775" s="771"/>
      <c r="AD1775" s="771"/>
      <c r="AE1775" s="771"/>
      <c r="AF1775" s="771"/>
      <c r="AG1775" s="771"/>
      <c r="AH1775" s="771"/>
      <c r="AI1775" s="771"/>
      <c r="AJ1775" s="771"/>
      <c r="AK1775" s="771"/>
      <c r="AL1775" s="771"/>
      <c r="AM1775" s="771"/>
      <c r="AN1775" s="771"/>
      <c r="AO1775" s="771"/>
      <c r="AP1775" s="771"/>
      <c r="AQ1775" s="771"/>
      <c r="AR1775" s="771"/>
      <c r="AS1775" s="771"/>
      <c r="AT1775" s="771"/>
      <c r="AU1775" s="771"/>
    </row>
    <row r="1776" spans="1:47" s="840" customFormat="1" outlineLevel="1" x14ac:dyDescent="0.2">
      <c r="A1776" s="8"/>
      <c r="B1776" s="28"/>
      <c r="C1776" s="1989" t="s">
        <v>3000</v>
      </c>
      <c r="D1776" s="1989" t="s">
        <v>3001</v>
      </c>
      <c r="E1776" s="1989">
        <v>1.1200000000000001</v>
      </c>
      <c r="F1776" s="38">
        <f t="shared" si="27"/>
        <v>91.079788800000017</v>
      </c>
      <c r="G1776" s="459"/>
      <c r="H1776" s="8"/>
      <c r="I1776" s="8"/>
      <c r="J1776" s="8"/>
      <c r="K1776" s="8"/>
      <c r="L1776" s="8"/>
      <c r="M1776" s="8"/>
      <c r="N1776" s="8"/>
      <c r="O1776" s="8"/>
      <c r="P1776" s="8"/>
      <c r="Q1776" s="8"/>
      <c r="R1776" s="8"/>
      <c r="S1776" s="8"/>
      <c r="T1776" s="8"/>
      <c r="U1776" s="8"/>
      <c r="V1776" s="8"/>
      <c r="W1776" s="8"/>
      <c r="X1776" s="771"/>
      <c r="Y1776" s="771"/>
      <c r="Z1776" s="771"/>
      <c r="AA1776" s="771"/>
      <c r="AB1776" s="771"/>
      <c r="AC1776" s="771"/>
      <c r="AD1776" s="771"/>
      <c r="AE1776" s="771"/>
      <c r="AF1776" s="771"/>
      <c r="AG1776" s="771"/>
      <c r="AH1776" s="771"/>
      <c r="AI1776" s="771"/>
      <c r="AJ1776" s="771"/>
      <c r="AK1776" s="771"/>
      <c r="AL1776" s="771"/>
      <c r="AM1776" s="771"/>
      <c r="AN1776" s="771"/>
      <c r="AO1776" s="771"/>
      <c r="AP1776" s="771"/>
      <c r="AQ1776" s="771"/>
      <c r="AR1776" s="771"/>
      <c r="AS1776" s="771"/>
      <c r="AT1776" s="771"/>
      <c r="AU1776" s="771"/>
    </row>
    <row r="1777" spans="1:47" s="840" customFormat="1" outlineLevel="1" x14ac:dyDescent="0.2">
      <c r="A1777" s="8"/>
      <c r="B1777" s="28"/>
      <c r="C1777" s="1989" t="s">
        <v>3615</v>
      </c>
      <c r="D1777" s="1989" t="s">
        <v>5926</v>
      </c>
      <c r="E1777" s="1989">
        <v>5.65</v>
      </c>
      <c r="F1777" s="38">
        <f t="shared" si="27"/>
        <v>459.46500600000007</v>
      </c>
      <c r="G1777" s="459"/>
      <c r="H1777" s="8"/>
      <c r="I1777" s="8"/>
      <c r="J1777" s="8"/>
      <c r="K1777" s="8"/>
      <c r="L1777" s="8"/>
      <c r="M1777" s="8"/>
      <c r="N1777" s="8"/>
      <c r="O1777" s="8"/>
      <c r="P1777" s="8"/>
      <c r="Q1777" s="8"/>
      <c r="R1777" s="8"/>
      <c r="S1777" s="8"/>
      <c r="T1777" s="8"/>
      <c r="U1777" s="8"/>
      <c r="V1777" s="8"/>
      <c r="W1777" s="8"/>
      <c r="X1777" s="771"/>
      <c r="Y1777" s="771"/>
      <c r="Z1777" s="771"/>
      <c r="AA1777" s="771"/>
      <c r="AB1777" s="771"/>
      <c r="AC1777" s="771"/>
      <c r="AD1777" s="771"/>
      <c r="AE1777" s="771"/>
      <c r="AF1777" s="771"/>
      <c r="AG1777" s="771"/>
      <c r="AH1777" s="771"/>
      <c r="AI1777" s="771"/>
      <c r="AJ1777" s="771"/>
      <c r="AK1777" s="771"/>
      <c r="AL1777" s="771"/>
      <c r="AM1777" s="771"/>
      <c r="AN1777" s="771"/>
      <c r="AO1777" s="771"/>
      <c r="AP1777" s="771"/>
      <c r="AQ1777" s="771"/>
      <c r="AR1777" s="771"/>
      <c r="AS1777" s="771"/>
      <c r="AT1777" s="771"/>
      <c r="AU1777" s="771"/>
    </row>
    <row r="1778" spans="1:47" s="840" customFormat="1" outlineLevel="1" x14ac:dyDescent="0.2">
      <c r="A1778" s="8"/>
      <c r="B1778" s="28"/>
      <c r="C1778" s="1989" t="s">
        <v>2366</v>
      </c>
      <c r="D1778" s="1989" t="s">
        <v>5927</v>
      </c>
      <c r="E1778" s="1989">
        <v>9.85</v>
      </c>
      <c r="F1778" s="38">
        <f t="shared" si="27"/>
        <v>801.01421399999992</v>
      </c>
      <c r="G1778" s="459"/>
      <c r="H1778" s="8"/>
      <c r="I1778" s="8"/>
      <c r="J1778" s="8"/>
      <c r="K1778" s="8"/>
      <c r="L1778" s="8"/>
      <c r="M1778" s="8"/>
      <c r="N1778" s="8"/>
      <c r="O1778" s="8"/>
      <c r="P1778" s="8"/>
      <c r="Q1778" s="8"/>
      <c r="R1778" s="8"/>
      <c r="S1778" s="8"/>
      <c r="T1778" s="8"/>
      <c r="U1778" s="8"/>
      <c r="V1778" s="8"/>
      <c r="W1778" s="8"/>
      <c r="X1778" s="771"/>
      <c r="Y1778" s="771"/>
      <c r="Z1778" s="771"/>
      <c r="AA1778" s="771"/>
      <c r="AB1778" s="771"/>
      <c r="AC1778" s="771"/>
      <c r="AD1778" s="771"/>
      <c r="AE1778" s="771"/>
      <c r="AF1778" s="771"/>
      <c r="AG1778" s="771"/>
      <c r="AH1778" s="771"/>
      <c r="AI1778" s="771"/>
      <c r="AJ1778" s="771"/>
      <c r="AK1778" s="771"/>
      <c r="AL1778" s="771"/>
      <c r="AM1778" s="771"/>
      <c r="AN1778" s="771"/>
      <c r="AO1778" s="771"/>
      <c r="AP1778" s="771"/>
      <c r="AQ1778" s="771"/>
      <c r="AR1778" s="771"/>
      <c r="AS1778" s="771"/>
      <c r="AT1778" s="771"/>
      <c r="AU1778" s="771"/>
    </row>
    <row r="1779" spans="1:47" s="840" customFormat="1" outlineLevel="1" x14ac:dyDescent="0.2">
      <c r="A1779" s="8"/>
      <c r="B1779" s="28"/>
      <c r="C1779" s="1989" t="s">
        <v>2367</v>
      </c>
      <c r="D1779" s="1989" t="s">
        <v>5928</v>
      </c>
      <c r="E1779" s="1989">
        <v>9.85</v>
      </c>
      <c r="F1779" s="38">
        <f t="shared" si="27"/>
        <v>801.01421399999992</v>
      </c>
      <c r="G1779" s="459"/>
      <c r="H1779" s="8"/>
      <c r="I1779" s="8"/>
      <c r="J1779" s="8"/>
      <c r="K1779" s="8"/>
      <c r="L1779" s="8"/>
      <c r="M1779" s="8"/>
      <c r="N1779" s="8"/>
      <c r="O1779" s="8"/>
      <c r="P1779" s="8"/>
      <c r="Q1779" s="8"/>
      <c r="R1779" s="8"/>
      <c r="S1779" s="8"/>
      <c r="T1779" s="8"/>
      <c r="U1779" s="8"/>
      <c r="V1779" s="8"/>
      <c r="W1779" s="8"/>
      <c r="X1779" s="771"/>
      <c r="Y1779" s="771"/>
      <c r="Z1779" s="771"/>
      <c r="AA1779" s="771"/>
      <c r="AB1779" s="771"/>
      <c r="AC1779" s="771"/>
      <c r="AD1779" s="771"/>
      <c r="AE1779" s="771"/>
      <c r="AF1779" s="771"/>
      <c r="AG1779" s="771"/>
      <c r="AH1779" s="771"/>
      <c r="AI1779" s="771"/>
      <c r="AJ1779" s="771"/>
      <c r="AK1779" s="771"/>
      <c r="AL1779" s="771"/>
      <c r="AM1779" s="771"/>
      <c r="AN1779" s="771"/>
      <c r="AO1779" s="771"/>
      <c r="AP1779" s="771"/>
      <c r="AQ1779" s="771"/>
      <c r="AR1779" s="771"/>
      <c r="AS1779" s="771"/>
      <c r="AT1779" s="771"/>
      <c r="AU1779" s="771"/>
    </row>
    <row r="1780" spans="1:47" s="840" customFormat="1" outlineLevel="1" x14ac:dyDescent="0.2">
      <c r="A1780" s="8"/>
      <c r="B1780" s="28"/>
      <c r="C1780" s="1989" t="s">
        <v>2293</v>
      </c>
      <c r="D1780" s="1989" t="s">
        <v>5929</v>
      </c>
      <c r="E1780" s="1989">
        <v>6.77</v>
      </c>
      <c r="F1780" s="38">
        <f t="shared" si="27"/>
        <v>550.54479479999998</v>
      </c>
      <c r="G1780" s="459"/>
      <c r="H1780" s="8"/>
      <c r="I1780" s="8"/>
      <c r="J1780" s="8"/>
      <c r="K1780" s="8"/>
      <c r="L1780" s="8"/>
      <c r="M1780" s="8"/>
      <c r="N1780" s="8"/>
      <c r="O1780" s="8"/>
      <c r="P1780" s="8"/>
      <c r="Q1780" s="8"/>
      <c r="R1780" s="8"/>
      <c r="S1780" s="8"/>
      <c r="T1780" s="8"/>
      <c r="U1780" s="8"/>
      <c r="V1780" s="8"/>
      <c r="W1780" s="8"/>
      <c r="X1780" s="771"/>
      <c r="Y1780" s="771"/>
      <c r="Z1780" s="771"/>
      <c r="AA1780" s="771"/>
      <c r="AB1780" s="771"/>
      <c r="AC1780" s="771"/>
      <c r="AD1780" s="771"/>
      <c r="AE1780" s="771"/>
      <c r="AF1780" s="771"/>
      <c r="AG1780" s="771"/>
      <c r="AH1780" s="771"/>
      <c r="AI1780" s="771"/>
      <c r="AJ1780" s="771"/>
      <c r="AK1780" s="771"/>
      <c r="AL1780" s="771"/>
      <c r="AM1780" s="771"/>
      <c r="AN1780" s="771"/>
      <c r="AO1780" s="771"/>
      <c r="AP1780" s="771"/>
      <c r="AQ1780" s="771"/>
      <c r="AR1780" s="771"/>
      <c r="AS1780" s="771"/>
      <c r="AT1780" s="771"/>
      <c r="AU1780" s="771"/>
    </row>
    <row r="1781" spans="1:47" s="840" customFormat="1" outlineLevel="1" x14ac:dyDescent="0.2">
      <c r="A1781" s="8"/>
      <c r="B1781" s="28"/>
      <c r="C1781" s="1989" t="s">
        <v>6740</v>
      </c>
      <c r="D1781" s="1989" t="s">
        <v>5930</v>
      </c>
      <c r="E1781" s="1989">
        <v>10.17</v>
      </c>
      <c r="F1781" s="38">
        <f t="shared" si="27"/>
        <v>827.03701079999996</v>
      </c>
      <c r="G1781" s="459"/>
      <c r="H1781" s="8"/>
      <c r="I1781" s="8"/>
      <c r="J1781" s="8"/>
      <c r="K1781" s="8"/>
      <c r="L1781" s="8"/>
      <c r="M1781" s="8"/>
      <c r="N1781" s="8"/>
      <c r="O1781" s="8"/>
      <c r="P1781" s="8"/>
      <c r="Q1781" s="8"/>
      <c r="R1781" s="8"/>
      <c r="S1781" s="8"/>
      <c r="T1781" s="8"/>
      <c r="U1781" s="8"/>
      <c r="V1781" s="8"/>
      <c r="W1781" s="8"/>
      <c r="X1781" s="771"/>
      <c r="Y1781" s="771"/>
      <c r="Z1781" s="771"/>
      <c r="AA1781" s="771"/>
      <c r="AB1781" s="771"/>
      <c r="AC1781" s="771"/>
      <c r="AD1781" s="771"/>
      <c r="AE1781" s="771"/>
      <c r="AF1781" s="771"/>
      <c r="AG1781" s="771"/>
      <c r="AH1781" s="771"/>
      <c r="AI1781" s="771"/>
      <c r="AJ1781" s="771"/>
      <c r="AK1781" s="771"/>
      <c r="AL1781" s="771"/>
      <c r="AM1781" s="771"/>
      <c r="AN1781" s="771"/>
      <c r="AO1781" s="771"/>
      <c r="AP1781" s="771"/>
      <c r="AQ1781" s="771"/>
      <c r="AR1781" s="771"/>
      <c r="AS1781" s="771"/>
      <c r="AT1781" s="771"/>
      <c r="AU1781" s="771"/>
    </row>
    <row r="1782" spans="1:47" s="840" customFormat="1" outlineLevel="1" x14ac:dyDescent="0.2">
      <c r="A1782" s="8"/>
      <c r="B1782" s="28"/>
      <c r="C1782" s="1989" t="s">
        <v>6741</v>
      </c>
      <c r="D1782" s="1989" t="s">
        <v>5931</v>
      </c>
      <c r="E1782" s="1989">
        <v>10.17</v>
      </c>
      <c r="F1782" s="38">
        <f t="shared" si="27"/>
        <v>827.03701079999996</v>
      </c>
      <c r="G1782" s="459"/>
      <c r="H1782" s="8"/>
      <c r="I1782" s="8"/>
      <c r="J1782" s="8"/>
      <c r="K1782" s="8"/>
      <c r="L1782" s="8"/>
      <c r="M1782" s="8"/>
      <c r="N1782" s="8"/>
      <c r="O1782" s="8"/>
      <c r="P1782" s="8"/>
      <c r="Q1782" s="8"/>
      <c r="R1782" s="8"/>
      <c r="S1782" s="8"/>
      <c r="T1782" s="8"/>
      <c r="U1782" s="8"/>
      <c r="V1782" s="8"/>
      <c r="W1782" s="8"/>
      <c r="X1782" s="771"/>
      <c r="Y1782" s="771"/>
      <c r="Z1782" s="771"/>
      <c r="AA1782" s="771"/>
      <c r="AB1782" s="771"/>
      <c r="AC1782" s="771"/>
      <c r="AD1782" s="771"/>
      <c r="AE1782" s="771"/>
      <c r="AF1782" s="771"/>
      <c r="AG1782" s="771"/>
      <c r="AH1782" s="771"/>
      <c r="AI1782" s="771"/>
      <c r="AJ1782" s="771"/>
      <c r="AK1782" s="771"/>
      <c r="AL1782" s="771"/>
      <c r="AM1782" s="771"/>
      <c r="AN1782" s="771"/>
      <c r="AO1782" s="771"/>
      <c r="AP1782" s="771"/>
      <c r="AQ1782" s="771"/>
      <c r="AR1782" s="771"/>
      <c r="AS1782" s="771"/>
      <c r="AT1782" s="771"/>
      <c r="AU1782" s="771"/>
    </row>
    <row r="1783" spans="1:47" s="840" customFormat="1" outlineLevel="1" x14ac:dyDescent="0.2">
      <c r="A1783" s="8"/>
      <c r="B1783" s="28"/>
      <c r="C1783" s="1989" t="s">
        <v>3624</v>
      </c>
      <c r="D1783" s="1989" t="s">
        <v>5932</v>
      </c>
      <c r="E1783" s="1989">
        <v>21.09</v>
      </c>
      <c r="F1783" s="38">
        <f t="shared" si="27"/>
        <v>1715.0649516000001</v>
      </c>
      <c r="G1783" s="459"/>
      <c r="H1783" s="8"/>
      <c r="I1783" s="8"/>
      <c r="J1783" s="8"/>
      <c r="K1783" s="8"/>
      <c r="L1783" s="8"/>
      <c r="M1783" s="8"/>
      <c r="N1783" s="8"/>
      <c r="O1783" s="8"/>
      <c r="P1783" s="8"/>
      <c r="Q1783" s="8"/>
      <c r="R1783" s="8"/>
      <c r="S1783" s="8"/>
      <c r="T1783" s="8"/>
      <c r="U1783" s="8"/>
      <c r="V1783" s="8"/>
      <c r="W1783" s="8"/>
      <c r="X1783" s="771"/>
      <c r="Y1783" s="771"/>
      <c r="Z1783" s="771"/>
      <c r="AA1783" s="771"/>
      <c r="AB1783" s="771"/>
      <c r="AC1783" s="771"/>
      <c r="AD1783" s="771"/>
      <c r="AE1783" s="771"/>
      <c r="AF1783" s="771"/>
      <c r="AG1783" s="771"/>
      <c r="AH1783" s="771"/>
      <c r="AI1783" s="771"/>
      <c r="AJ1783" s="771"/>
      <c r="AK1783" s="771"/>
      <c r="AL1783" s="771"/>
      <c r="AM1783" s="771"/>
      <c r="AN1783" s="771"/>
      <c r="AO1783" s="771"/>
      <c r="AP1783" s="771"/>
      <c r="AQ1783" s="771"/>
      <c r="AR1783" s="771"/>
      <c r="AS1783" s="771"/>
      <c r="AT1783" s="771"/>
      <c r="AU1783" s="771"/>
    </row>
    <row r="1784" spans="1:47" s="840" customFormat="1" outlineLevel="1" x14ac:dyDescent="0.2">
      <c r="A1784" s="8"/>
      <c r="B1784" s="28"/>
      <c r="C1784" s="1989" t="s">
        <v>2297</v>
      </c>
      <c r="D1784" s="1989" t="s">
        <v>5933</v>
      </c>
      <c r="E1784" s="1989">
        <v>18.350000000000001</v>
      </c>
      <c r="F1784" s="38">
        <f t="shared" si="27"/>
        <v>1492.2447540000001</v>
      </c>
      <c r="G1784" s="459"/>
      <c r="H1784" s="8"/>
      <c r="I1784" s="8"/>
      <c r="J1784" s="8"/>
      <c r="K1784" s="8"/>
      <c r="L1784" s="8"/>
      <c r="M1784" s="8"/>
      <c r="N1784" s="8"/>
      <c r="O1784" s="8"/>
      <c r="P1784" s="8"/>
      <c r="Q1784" s="8"/>
      <c r="R1784" s="8"/>
      <c r="S1784" s="8"/>
      <c r="T1784" s="8"/>
      <c r="U1784" s="8"/>
      <c r="V1784" s="8"/>
      <c r="W1784" s="8"/>
      <c r="X1784" s="771"/>
      <c r="Y1784" s="771"/>
      <c r="Z1784" s="771"/>
      <c r="AA1784" s="771"/>
      <c r="AB1784" s="771"/>
      <c r="AC1784" s="771"/>
      <c r="AD1784" s="771"/>
      <c r="AE1784" s="771"/>
      <c r="AF1784" s="771"/>
      <c r="AG1784" s="771"/>
      <c r="AH1784" s="771"/>
      <c r="AI1784" s="771"/>
      <c r="AJ1784" s="771"/>
      <c r="AK1784" s="771"/>
      <c r="AL1784" s="771"/>
      <c r="AM1784" s="771"/>
      <c r="AN1784" s="771"/>
      <c r="AO1784" s="771"/>
      <c r="AP1784" s="771"/>
      <c r="AQ1784" s="771"/>
      <c r="AR1784" s="771"/>
      <c r="AS1784" s="771"/>
      <c r="AT1784" s="771"/>
      <c r="AU1784" s="771"/>
    </row>
    <row r="1785" spans="1:47" s="840" customFormat="1" outlineLevel="1" x14ac:dyDescent="0.2">
      <c r="A1785" s="8"/>
      <c r="B1785" s="28"/>
      <c r="C1785" s="1989" t="s">
        <v>3002</v>
      </c>
      <c r="D1785" s="1989" t="s">
        <v>3003</v>
      </c>
      <c r="E1785" s="1989">
        <v>0.51</v>
      </c>
      <c r="F1785" s="38">
        <f t="shared" si="27"/>
        <v>41.473832399999999</v>
      </c>
      <c r="G1785" s="459"/>
      <c r="H1785" s="8"/>
      <c r="I1785" s="8"/>
      <c r="J1785" s="8"/>
      <c r="K1785" s="8"/>
      <c r="L1785" s="8"/>
      <c r="M1785" s="8"/>
      <c r="N1785" s="8"/>
      <c r="O1785" s="8"/>
      <c r="P1785" s="8"/>
      <c r="Q1785" s="8"/>
      <c r="R1785" s="8"/>
      <c r="S1785" s="8"/>
      <c r="T1785" s="8"/>
      <c r="U1785" s="8"/>
      <c r="V1785" s="8"/>
      <c r="W1785" s="8"/>
      <c r="X1785" s="771"/>
      <c r="Y1785" s="771"/>
      <c r="Z1785" s="771"/>
      <c r="AA1785" s="771"/>
      <c r="AB1785" s="771"/>
      <c r="AC1785" s="771"/>
      <c r="AD1785" s="771"/>
      <c r="AE1785" s="771"/>
      <c r="AF1785" s="771"/>
      <c r="AG1785" s="771"/>
      <c r="AH1785" s="771"/>
      <c r="AI1785" s="771"/>
      <c r="AJ1785" s="771"/>
      <c r="AK1785" s="771"/>
      <c r="AL1785" s="771"/>
      <c r="AM1785" s="771"/>
      <c r="AN1785" s="771"/>
      <c r="AO1785" s="771"/>
      <c r="AP1785" s="771"/>
      <c r="AQ1785" s="771"/>
      <c r="AR1785" s="771"/>
      <c r="AS1785" s="771"/>
      <c r="AT1785" s="771"/>
      <c r="AU1785" s="771"/>
    </row>
    <row r="1786" spans="1:47" s="879" customFormat="1" outlineLevel="1" x14ac:dyDescent="0.2">
      <c r="A1786" s="8"/>
      <c r="B1786" s="28"/>
      <c r="C1786" s="1989" t="s">
        <v>3622</v>
      </c>
      <c r="D1786" s="1989" t="s">
        <v>5934</v>
      </c>
      <c r="E1786" s="1989">
        <v>21.46</v>
      </c>
      <c r="F1786" s="38">
        <f t="shared" si="27"/>
        <v>1745.1538104000001</v>
      </c>
      <c r="G1786" s="459"/>
      <c r="H1786" s="8"/>
      <c r="I1786" s="8"/>
      <c r="J1786" s="8"/>
      <c r="K1786" s="8"/>
      <c r="L1786" s="8"/>
      <c r="M1786" s="8"/>
      <c r="N1786" s="8"/>
      <c r="O1786" s="8"/>
      <c r="P1786" s="8"/>
      <c r="Q1786" s="8"/>
      <c r="R1786" s="8"/>
      <c r="S1786" s="8"/>
      <c r="T1786" s="8"/>
      <c r="U1786" s="8"/>
      <c r="V1786" s="8"/>
      <c r="W1786" s="8"/>
      <c r="X1786" s="771"/>
      <c r="Y1786" s="771"/>
      <c r="Z1786" s="771"/>
      <c r="AA1786" s="771"/>
      <c r="AB1786" s="771"/>
      <c r="AC1786" s="771"/>
      <c r="AD1786" s="771"/>
      <c r="AE1786" s="771"/>
      <c r="AF1786" s="771"/>
      <c r="AG1786" s="771"/>
      <c r="AH1786" s="771"/>
      <c r="AI1786" s="771"/>
      <c r="AJ1786" s="771"/>
      <c r="AK1786" s="771"/>
      <c r="AL1786" s="771"/>
      <c r="AM1786" s="771"/>
      <c r="AN1786" s="771"/>
      <c r="AO1786" s="771"/>
      <c r="AP1786" s="771"/>
      <c r="AQ1786" s="771"/>
      <c r="AR1786" s="771"/>
      <c r="AS1786" s="771"/>
      <c r="AT1786" s="771"/>
      <c r="AU1786" s="771"/>
    </row>
    <row r="1787" spans="1:47" s="879" customFormat="1" outlineLevel="1" x14ac:dyDescent="0.2">
      <c r="A1787" s="8"/>
      <c r="B1787" s="28"/>
      <c r="C1787" s="1989" t="s">
        <v>2370</v>
      </c>
      <c r="D1787" s="1989" t="s">
        <v>7783</v>
      </c>
      <c r="E1787" s="1989">
        <v>0.11</v>
      </c>
      <c r="F1787" s="38">
        <f t="shared" si="27"/>
        <v>8.9453364000000004</v>
      </c>
      <c r="G1787" s="459"/>
      <c r="H1787" s="8"/>
      <c r="I1787" s="8"/>
      <c r="J1787" s="8"/>
      <c r="K1787" s="8"/>
      <c r="L1787" s="8"/>
      <c r="M1787" s="8"/>
      <c r="N1787" s="8"/>
      <c r="O1787" s="8"/>
      <c r="P1787" s="8"/>
      <c r="Q1787" s="8"/>
      <c r="R1787" s="8"/>
      <c r="S1787" s="8"/>
      <c r="T1787" s="8"/>
      <c r="U1787" s="8"/>
      <c r="V1787" s="8"/>
      <c r="W1787" s="8"/>
      <c r="X1787" s="771"/>
      <c r="Y1787" s="771"/>
      <c r="Z1787" s="771"/>
      <c r="AA1787" s="771"/>
      <c r="AB1787" s="771"/>
      <c r="AC1787" s="771"/>
      <c r="AD1787" s="771"/>
      <c r="AE1787" s="771"/>
      <c r="AF1787" s="771"/>
      <c r="AG1787" s="771"/>
      <c r="AH1787" s="771"/>
      <c r="AI1787" s="771"/>
      <c r="AJ1787" s="771"/>
      <c r="AK1787" s="771"/>
      <c r="AL1787" s="771"/>
      <c r="AM1787" s="771"/>
      <c r="AN1787" s="771"/>
      <c r="AO1787" s="771"/>
      <c r="AP1787" s="771"/>
      <c r="AQ1787" s="771"/>
      <c r="AR1787" s="771"/>
      <c r="AS1787" s="771"/>
      <c r="AT1787" s="771"/>
      <c r="AU1787" s="771"/>
    </row>
    <row r="1788" spans="1:47" s="879" customFormat="1" outlineLevel="1" x14ac:dyDescent="0.2">
      <c r="A1788" s="8"/>
      <c r="B1788" s="28"/>
      <c r="C1788" s="1989" t="s">
        <v>6742</v>
      </c>
      <c r="D1788" s="1989" t="s">
        <v>5935</v>
      </c>
      <c r="E1788" s="1989">
        <v>30.83</v>
      </c>
      <c r="F1788" s="38">
        <f t="shared" si="27"/>
        <v>2507.1338292</v>
      </c>
      <c r="G1788" s="459"/>
      <c r="H1788" s="8"/>
      <c r="I1788" s="8"/>
      <c r="J1788" s="8"/>
      <c r="K1788" s="8"/>
      <c r="L1788" s="8"/>
      <c r="M1788" s="8"/>
      <c r="N1788" s="8"/>
      <c r="O1788" s="8"/>
      <c r="P1788" s="8"/>
      <c r="Q1788" s="8"/>
      <c r="R1788" s="8"/>
      <c r="S1788" s="8"/>
      <c r="T1788" s="8"/>
      <c r="U1788" s="8"/>
      <c r="V1788" s="8"/>
      <c r="W1788" s="8"/>
      <c r="X1788" s="771"/>
      <c r="Y1788" s="771"/>
      <c r="Z1788" s="771"/>
      <c r="AA1788" s="771"/>
      <c r="AB1788" s="771"/>
      <c r="AC1788" s="771"/>
      <c r="AD1788" s="771"/>
      <c r="AE1788" s="771"/>
      <c r="AF1788" s="771"/>
      <c r="AG1788" s="771"/>
      <c r="AH1788" s="771"/>
      <c r="AI1788" s="771"/>
      <c r="AJ1788" s="771"/>
      <c r="AK1788" s="771"/>
      <c r="AL1788" s="771"/>
      <c r="AM1788" s="771"/>
      <c r="AN1788" s="771"/>
      <c r="AO1788" s="771"/>
      <c r="AP1788" s="771"/>
      <c r="AQ1788" s="771"/>
      <c r="AR1788" s="771"/>
      <c r="AS1788" s="771"/>
      <c r="AT1788" s="771"/>
      <c r="AU1788" s="771"/>
    </row>
    <row r="1789" spans="1:47" s="879" customFormat="1" outlineLevel="1" x14ac:dyDescent="0.2">
      <c r="A1789" s="8"/>
      <c r="B1789" s="28"/>
      <c r="C1789" s="1989" t="s">
        <v>2298</v>
      </c>
      <c r="D1789" s="1989" t="s">
        <v>7784</v>
      </c>
      <c r="E1789" s="1989">
        <v>18.350000000000001</v>
      </c>
      <c r="F1789" s="38">
        <f t="shared" si="27"/>
        <v>1492.2447540000001</v>
      </c>
      <c r="G1789" s="459"/>
      <c r="H1789" s="8"/>
      <c r="I1789" s="8"/>
      <c r="J1789" s="8"/>
      <c r="K1789" s="8"/>
      <c r="L1789" s="8"/>
      <c r="M1789" s="8"/>
      <c r="N1789" s="8"/>
      <c r="O1789" s="8"/>
      <c r="P1789" s="8"/>
      <c r="Q1789" s="8"/>
      <c r="R1789" s="8"/>
      <c r="S1789" s="8"/>
      <c r="T1789" s="8"/>
      <c r="U1789" s="8"/>
      <c r="V1789" s="8"/>
      <c r="W1789" s="8"/>
      <c r="X1789" s="771"/>
      <c r="Y1789" s="771"/>
      <c r="Z1789" s="771"/>
      <c r="AA1789" s="771"/>
      <c r="AB1789" s="771"/>
      <c r="AC1789" s="771"/>
      <c r="AD1789" s="771"/>
      <c r="AE1789" s="771"/>
      <c r="AF1789" s="771"/>
      <c r="AG1789" s="771"/>
      <c r="AH1789" s="771"/>
      <c r="AI1789" s="771"/>
      <c r="AJ1789" s="771"/>
      <c r="AK1789" s="771"/>
      <c r="AL1789" s="771"/>
      <c r="AM1789" s="771"/>
      <c r="AN1789" s="771"/>
      <c r="AO1789" s="771"/>
      <c r="AP1789" s="771"/>
      <c r="AQ1789" s="771"/>
      <c r="AR1789" s="771"/>
      <c r="AS1789" s="771"/>
      <c r="AT1789" s="771"/>
      <c r="AU1789" s="771"/>
    </row>
    <row r="1790" spans="1:47" s="879" customFormat="1" outlineLevel="1" x14ac:dyDescent="0.2">
      <c r="A1790" s="8"/>
      <c r="B1790" s="28"/>
      <c r="C1790" s="1989" t="s">
        <v>3623</v>
      </c>
      <c r="D1790" s="1989" t="s">
        <v>7785</v>
      </c>
      <c r="E1790" s="1989">
        <v>21.09</v>
      </c>
      <c r="F1790" s="38">
        <f t="shared" si="27"/>
        <v>1715.0649516000001</v>
      </c>
      <c r="G1790" s="459"/>
      <c r="H1790" s="8"/>
      <c r="I1790" s="8"/>
      <c r="J1790" s="8"/>
      <c r="K1790" s="8"/>
      <c r="L1790" s="8"/>
      <c r="M1790" s="8"/>
      <c r="N1790" s="8"/>
      <c r="O1790" s="8"/>
      <c r="P1790" s="8"/>
      <c r="Q1790" s="8"/>
      <c r="R1790" s="8"/>
      <c r="S1790" s="8"/>
      <c r="T1790" s="8"/>
      <c r="U1790" s="8"/>
      <c r="V1790" s="8"/>
      <c r="W1790" s="8"/>
      <c r="X1790" s="771"/>
      <c r="Y1790" s="771"/>
      <c r="Z1790" s="771"/>
      <c r="AA1790" s="771"/>
      <c r="AB1790" s="771"/>
      <c r="AC1790" s="771"/>
      <c r="AD1790" s="771"/>
      <c r="AE1790" s="771"/>
      <c r="AF1790" s="771"/>
      <c r="AG1790" s="771"/>
      <c r="AH1790" s="771"/>
      <c r="AI1790" s="771"/>
      <c r="AJ1790" s="771"/>
      <c r="AK1790" s="771"/>
      <c r="AL1790" s="771"/>
      <c r="AM1790" s="771"/>
      <c r="AN1790" s="771"/>
      <c r="AO1790" s="771"/>
      <c r="AP1790" s="771"/>
      <c r="AQ1790" s="771"/>
      <c r="AR1790" s="771"/>
      <c r="AS1790" s="771"/>
      <c r="AT1790" s="771"/>
      <c r="AU1790" s="771"/>
    </row>
    <row r="1791" spans="1:47" s="879" customFormat="1" outlineLevel="1" x14ac:dyDescent="0.2">
      <c r="A1791" s="8"/>
      <c r="B1791" s="28"/>
      <c r="C1791" s="1989" t="s">
        <v>3639</v>
      </c>
      <c r="D1791" s="1989" t="s">
        <v>4599</v>
      </c>
      <c r="E1791" s="1989">
        <v>17.3</v>
      </c>
      <c r="F1791" s="38">
        <f t="shared" si="27"/>
        <v>1406.8574520000002</v>
      </c>
      <c r="G1791" s="459"/>
      <c r="H1791" s="8"/>
      <c r="I1791" s="8"/>
      <c r="J1791" s="8"/>
      <c r="K1791" s="8"/>
      <c r="L1791" s="8"/>
      <c r="M1791" s="8"/>
      <c r="N1791" s="8"/>
      <c r="O1791" s="8"/>
      <c r="P1791" s="8"/>
      <c r="Q1791" s="8"/>
      <c r="R1791" s="8"/>
      <c r="S1791" s="8"/>
      <c r="T1791" s="8"/>
      <c r="U1791" s="8"/>
      <c r="V1791" s="8"/>
      <c r="W1791" s="8"/>
      <c r="X1791" s="771"/>
      <c r="Y1791" s="771"/>
      <c r="Z1791" s="771"/>
      <c r="AA1791" s="771"/>
      <c r="AB1791" s="771"/>
      <c r="AC1791" s="771"/>
      <c r="AD1791" s="771"/>
      <c r="AE1791" s="771"/>
      <c r="AF1791" s="771"/>
      <c r="AG1791" s="771"/>
      <c r="AH1791" s="771"/>
      <c r="AI1791" s="771"/>
      <c r="AJ1791" s="771"/>
      <c r="AK1791" s="771"/>
      <c r="AL1791" s="771"/>
      <c r="AM1791" s="771"/>
      <c r="AN1791" s="771"/>
      <c r="AO1791" s="771"/>
      <c r="AP1791" s="771"/>
      <c r="AQ1791" s="771"/>
      <c r="AR1791" s="771"/>
      <c r="AS1791" s="771"/>
      <c r="AT1791" s="771"/>
      <c r="AU1791" s="771"/>
    </row>
    <row r="1792" spans="1:47" s="879" customFormat="1" outlineLevel="1" x14ac:dyDescent="0.2">
      <c r="A1792" s="8"/>
      <c r="B1792" s="28"/>
      <c r="C1792" s="1989" t="s">
        <v>3621</v>
      </c>
      <c r="D1792" s="1989" t="s">
        <v>7786</v>
      </c>
      <c r="E1792" s="1989">
        <v>21.46</v>
      </c>
      <c r="F1792" s="38">
        <f t="shared" si="27"/>
        <v>1745.1538104000001</v>
      </c>
      <c r="G1792" s="459"/>
      <c r="H1792" s="8"/>
      <c r="I1792" s="8"/>
      <c r="J1792" s="8"/>
      <c r="K1792" s="8"/>
      <c r="L1792" s="8"/>
      <c r="M1792" s="8"/>
      <c r="N1792" s="8"/>
      <c r="O1792" s="8"/>
      <c r="P1792" s="8"/>
      <c r="Q1792" s="8"/>
      <c r="R1792" s="8"/>
      <c r="S1792" s="8"/>
      <c r="T1792" s="8"/>
      <c r="U1792" s="8"/>
      <c r="V1792" s="8"/>
      <c r="W1792" s="8"/>
      <c r="X1792" s="771"/>
      <c r="Y1792" s="771"/>
      <c r="Z1792" s="771"/>
      <c r="AA1792" s="771"/>
      <c r="AB1792" s="771"/>
      <c r="AC1792" s="771"/>
      <c r="AD1792" s="771"/>
      <c r="AE1792" s="771"/>
      <c r="AF1792" s="771"/>
      <c r="AG1792" s="771"/>
      <c r="AH1792" s="771"/>
      <c r="AI1792" s="771"/>
      <c r="AJ1792" s="771"/>
      <c r="AK1792" s="771"/>
      <c r="AL1792" s="771"/>
      <c r="AM1792" s="771"/>
      <c r="AN1792" s="771"/>
      <c r="AO1792" s="771"/>
      <c r="AP1792" s="771"/>
      <c r="AQ1792" s="771"/>
      <c r="AR1792" s="771"/>
      <c r="AS1792" s="771"/>
      <c r="AT1792" s="771"/>
      <c r="AU1792" s="771"/>
    </row>
    <row r="1793" spans="1:47" s="879" customFormat="1" outlineLevel="1" x14ac:dyDescent="0.2">
      <c r="A1793" s="8"/>
      <c r="B1793" s="28"/>
      <c r="C1793" s="1989" t="s">
        <v>2300</v>
      </c>
      <c r="D1793" s="1989" t="s">
        <v>5936</v>
      </c>
      <c r="E1793" s="1989">
        <v>1.1200000000000001</v>
      </c>
      <c r="F1793" s="38">
        <f t="shared" si="27"/>
        <v>91.079788800000017</v>
      </c>
      <c r="G1793" s="459"/>
      <c r="H1793" s="8"/>
      <c r="I1793" s="8"/>
      <c r="J1793" s="8"/>
      <c r="K1793" s="8"/>
      <c r="L1793" s="8"/>
      <c r="M1793" s="8"/>
      <c r="N1793" s="8"/>
      <c r="O1793" s="8"/>
      <c r="P1793" s="8"/>
      <c r="Q1793" s="8"/>
      <c r="R1793" s="8"/>
      <c r="S1793" s="8"/>
      <c r="T1793" s="8"/>
      <c r="U1793" s="8"/>
      <c r="V1793" s="8"/>
      <c r="W1793" s="8"/>
      <c r="X1793" s="771"/>
      <c r="Y1793" s="771"/>
      <c r="Z1793" s="771"/>
      <c r="AA1793" s="771"/>
      <c r="AB1793" s="771"/>
      <c r="AC1793" s="771"/>
      <c r="AD1793" s="771"/>
      <c r="AE1793" s="771"/>
      <c r="AF1793" s="771"/>
      <c r="AG1793" s="771"/>
      <c r="AH1793" s="771"/>
      <c r="AI1793" s="771"/>
      <c r="AJ1793" s="771"/>
      <c r="AK1793" s="771"/>
      <c r="AL1793" s="771"/>
      <c r="AM1793" s="771"/>
      <c r="AN1793" s="771"/>
      <c r="AO1793" s="771"/>
      <c r="AP1793" s="771"/>
      <c r="AQ1793" s="771"/>
      <c r="AR1793" s="771"/>
      <c r="AS1793" s="771"/>
      <c r="AT1793" s="771"/>
      <c r="AU1793" s="771"/>
    </row>
    <row r="1794" spans="1:47" s="879" customFormat="1" outlineLevel="1" x14ac:dyDescent="0.2">
      <c r="A1794" s="8"/>
      <c r="B1794" s="28"/>
      <c r="C1794" s="1989" t="s">
        <v>2308</v>
      </c>
      <c r="D1794" s="1989" t="s">
        <v>5937</v>
      </c>
      <c r="E1794" s="1989">
        <v>1.52</v>
      </c>
      <c r="F1794" s="38">
        <f t="shared" si="27"/>
        <v>123.60828479999999</v>
      </c>
      <c r="G1794" s="459"/>
      <c r="H1794" s="8"/>
      <c r="I1794" s="8"/>
      <c r="J1794" s="8"/>
      <c r="K1794" s="8"/>
      <c r="L1794" s="8"/>
      <c r="M1794" s="8"/>
      <c r="N1794" s="8"/>
      <c r="O1794" s="8"/>
      <c r="P1794" s="8"/>
      <c r="Q1794" s="8"/>
      <c r="R1794" s="8"/>
      <c r="S1794" s="8"/>
      <c r="T1794" s="8"/>
      <c r="U1794" s="8"/>
      <c r="V1794" s="8"/>
      <c r="W1794" s="8"/>
      <c r="X1794" s="771"/>
      <c r="Y1794" s="771"/>
      <c r="Z1794" s="771"/>
      <c r="AA1794" s="771"/>
      <c r="AB1794" s="771"/>
      <c r="AC1794" s="771"/>
      <c r="AD1794" s="771"/>
      <c r="AE1794" s="771"/>
      <c r="AF1794" s="771"/>
      <c r="AG1794" s="771"/>
      <c r="AH1794" s="771"/>
      <c r="AI1794" s="771"/>
      <c r="AJ1794" s="771"/>
      <c r="AK1794" s="771"/>
      <c r="AL1794" s="771"/>
      <c r="AM1794" s="771"/>
      <c r="AN1794" s="771"/>
      <c r="AO1794" s="771"/>
      <c r="AP1794" s="771"/>
      <c r="AQ1794" s="771"/>
      <c r="AR1794" s="771"/>
      <c r="AS1794" s="771"/>
      <c r="AT1794" s="771"/>
      <c r="AU1794" s="771"/>
    </row>
    <row r="1795" spans="1:47" s="879" customFormat="1" outlineLevel="1" x14ac:dyDescent="0.2">
      <c r="A1795" s="8"/>
      <c r="B1795" s="28"/>
      <c r="C1795" s="1989" t="s">
        <v>4073</v>
      </c>
      <c r="D1795" s="1989" t="s">
        <v>5938</v>
      </c>
      <c r="E1795" s="1989">
        <v>6.87</v>
      </c>
      <c r="F1795" s="38">
        <f t="shared" si="27"/>
        <v>558.67691880000007</v>
      </c>
      <c r="G1795" s="459"/>
      <c r="H1795" s="8"/>
      <c r="I1795" s="8"/>
      <c r="J1795" s="8"/>
      <c r="K1795" s="8"/>
      <c r="L1795" s="8"/>
      <c r="M1795" s="8"/>
      <c r="N1795" s="8"/>
      <c r="O1795" s="8"/>
      <c r="P1795" s="8"/>
      <c r="Q1795" s="8"/>
      <c r="R1795" s="8"/>
      <c r="S1795" s="8"/>
      <c r="T1795" s="8"/>
      <c r="U1795" s="8"/>
      <c r="V1795" s="8"/>
      <c r="W1795" s="8"/>
      <c r="X1795" s="771"/>
      <c r="Y1795" s="771"/>
      <c r="Z1795" s="771"/>
      <c r="AA1795" s="771"/>
      <c r="AB1795" s="771"/>
      <c r="AC1795" s="771"/>
      <c r="AD1795" s="771"/>
      <c r="AE1795" s="771"/>
      <c r="AF1795" s="771"/>
      <c r="AG1795" s="771"/>
      <c r="AH1795" s="771"/>
      <c r="AI1795" s="771"/>
      <c r="AJ1795" s="771"/>
      <c r="AK1795" s="771"/>
      <c r="AL1795" s="771"/>
      <c r="AM1795" s="771"/>
      <c r="AN1795" s="771"/>
      <c r="AO1795" s="771"/>
      <c r="AP1795" s="771"/>
      <c r="AQ1795" s="771"/>
      <c r="AR1795" s="771"/>
      <c r="AS1795" s="771"/>
      <c r="AT1795" s="771"/>
      <c r="AU1795" s="771"/>
    </row>
    <row r="1796" spans="1:47" s="879" customFormat="1" outlineLevel="1" x14ac:dyDescent="0.2">
      <c r="A1796" s="8"/>
      <c r="B1796" s="28"/>
      <c r="C1796" s="1989" t="s">
        <v>7787</v>
      </c>
      <c r="D1796" s="1989" t="s">
        <v>7788</v>
      </c>
      <c r="E1796" s="1989">
        <v>7.29</v>
      </c>
      <c r="F1796" s="38">
        <f t="shared" si="27"/>
        <v>592.83183959999997</v>
      </c>
      <c r="G1796" s="459"/>
      <c r="H1796" s="8"/>
      <c r="I1796" s="8"/>
      <c r="J1796" s="8"/>
      <c r="K1796" s="8"/>
      <c r="L1796" s="8"/>
      <c r="M1796" s="8"/>
      <c r="N1796" s="8"/>
      <c r="O1796" s="8"/>
      <c r="P1796" s="8"/>
      <c r="Q1796" s="8"/>
      <c r="R1796" s="8"/>
      <c r="S1796" s="8"/>
      <c r="T1796" s="8"/>
      <c r="U1796" s="8"/>
      <c r="V1796" s="8"/>
      <c r="W1796" s="8"/>
      <c r="X1796" s="771"/>
      <c r="Y1796" s="771"/>
      <c r="Z1796" s="771"/>
      <c r="AA1796" s="771"/>
      <c r="AB1796" s="771"/>
      <c r="AC1796" s="771"/>
      <c r="AD1796" s="771"/>
      <c r="AE1796" s="771"/>
      <c r="AF1796" s="771"/>
      <c r="AG1796" s="771"/>
      <c r="AH1796" s="771"/>
      <c r="AI1796" s="771"/>
      <c r="AJ1796" s="771"/>
      <c r="AK1796" s="771"/>
      <c r="AL1796" s="771"/>
      <c r="AM1796" s="771"/>
      <c r="AN1796" s="771"/>
      <c r="AO1796" s="771"/>
      <c r="AP1796" s="771"/>
      <c r="AQ1796" s="771"/>
      <c r="AR1796" s="771"/>
      <c r="AS1796" s="771"/>
      <c r="AT1796" s="771"/>
      <c r="AU1796" s="771"/>
    </row>
    <row r="1797" spans="1:47" s="879" customFormat="1" outlineLevel="1" x14ac:dyDescent="0.2">
      <c r="A1797" s="8"/>
      <c r="B1797" s="28"/>
      <c r="C1797" s="1989" t="s">
        <v>2311</v>
      </c>
      <c r="D1797" s="1989" t="s">
        <v>7789</v>
      </c>
      <c r="E1797" s="1989">
        <v>0.09</v>
      </c>
      <c r="F1797" s="38">
        <f t="shared" si="27"/>
        <v>7.3189116000000007</v>
      </c>
      <c r="G1797" s="459"/>
      <c r="H1797" s="8"/>
      <c r="I1797" s="8"/>
      <c r="J1797" s="8"/>
      <c r="K1797" s="8"/>
      <c r="L1797" s="8"/>
      <c r="M1797" s="8"/>
      <c r="N1797" s="8"/>
      <c r="O1797" s="8"/>
      <c r="P1797" s="8"/>
      <c r="Q1797" s="8"/>
      <c r="R1797" s="8"/>
      <c r="S1797" s="8"/>
      <c r="T1797" s="8"/>
      <c r="U1797" s="8"/>
      <c r="V1797" s="8"/>
      <c r="W1797" s="8"/>
      <c r="X1797" s="771"/>
      <c r="Y1797" s="771"/>
      <c r="Z1797" s="771"/>
      <c r="AA1797" s="771"/>
      <c r="AB1797" s="771"/>
      <c r="AC1797" s="771"/>
      <c r="AD1797" s="771"/>
      <c r="AE1797" s="771"/>
      <c r="AF1797" s="771"/>
      <c r="AG1797" s="771"/>
      <c r="AH1797" s="771"/>
      <c r="AI1797" s="771"/>
      <c r="AJ1797" s="771"/>
      <c r="AK1797" s="771"/>
      <c r="AL1797" s="771"/>
      <c r="AM1797" s="771"/>
      <c r="AN1797" s="771"/>
      <c r="AO1797" s="771"/>
      <c r="AP1797" s="771"/>
      <c r="AQ1797" s="771"/>
      <c r="AR1797" s="771"/>
      <c r="AS1797" s="771"/>
      <c r="AT1797" s="771"/>
      <c r="AU1797" s="771"/>
    </row>
    <row r="1798" spans="1:47" s="879" customFormat="1" outlineLevel="1" x14ac:dyDescent="0.2">
      <c r="A1798" s="8"/>
      <c r="B1798" s="28"/>
      <c r="C1798" s="1989" t="s">
        <v>7790</v>
      </c>
      <c r="D1798" s="1989" t="s">
        <v>7791</v>
      </c>
      <c r="E1798" s="1989">
        <v>7.29</v>
      </c>
      <c r="F1798" s="38">
        <f t="shared" si="27"/>
        <v>592.83183959999997</v>
      </c>
      <c r="G1798" s="459"/>
      <c r="H1798" s="8"/>
      <c r="I1798" s="8"/>
      <c r="J1798" s="8"/>
      <c r="K1798" s="8"/>
      <c r="L1798" s="8"/>
      <c r="M1798" s="8"/>
      <c r="N1798" s="8"/>
      <c r="O1798" s="8"/>
      <c r="P1798" s="8"/>
      <c r="Q1798" s="8"/>
      <c r="R1798" s="8"/>
      <c r="S1798" s="8"/>
      <c r="T1798" s="8"/>
      <c r="U1798" s="8"/>
      <c r="V1798" s="8"/>
      <c r="W1798" s="8"/>
      <c r="X1798" s="771"/>
      <c r="Y1798" s="771"/>
      <c r="Z1798" s="771"/>
      <c r="AA1798" s="771"/>
      <c r="AB1798" s="771"/>
      <c r="AC1798" s="771"/>
      <c r="AD1798" s="771"/>
      <c r="AE1798" s="771"/>
      <c r="AF1798" s="771"/>
      <c r="AG1798" s="771"/>
      <c r="AH1798" s="771"/>
      <c r="AI1798" s="771"/>
      <c r="AJ1798" s="771"/>
      <c r="AK1798" s="771"/>
      <c r="AL1798" s="771"/>
      <c r="AM1798" s="771"/>
      <c r="AN1798" s="771"/>
      <c r="AO1798" s="771"/>
      <c r="AP1798" s="771"/>
      <c r="AQ1798" s="771"/>
      <c r="AR1798" s="771"/>
      <c r="AS1798" s="771"/>
      <c r="AT1798" s="771"/>
      <c r="AU1798" s="771"/>
    </row>
    <row r="1799" spans="1:47" s="879" customFormat="1" outlineLevel="1" x14ac:dyDescent="0.2">
      <c r="A1799" s="8"/>
      <c r="B1799" s="28"/>
      <c r="C1799" s="1989" t="s">
        <v>3592</v>
      </c>
      <c r="D1799" s="1989" t="s">
        <v>5939</v>
      </c>
      <c r="E1799" s="1989">
        <v>31.06</v>
      </c>
      <c r="F1799" s="38">
        <f t="shared" si="27"/>
        <v>2525.8377144000001</v>
      </c>
      <c r="G1799" s="459"/>
      <c r="H1799" s="8"/>
      <c r="I1799" s="8"/>
      <c r="J1799" s="8"/>
      <c r="K1799" s="8"/>
      <c r="L1799" s="8"/>
      <c r="M1799" s="8"/>
      <c r="N1799" s="8"/>
      <c r="O1799" s="8"/>
      <c r="P1799" s="8"/>
      <c r="Q1799" s="8"/>
      <c r="R1799" s="8"/>
      <c r="S1799" s="8"/>
      <c r="T1799" s="8"/>
      <c r="U1799" s="8"/>
      <c r="V1799" s="8"/>
      <c r="W1799" s="8"/>
      <c r="X1799" s="771"/>
      <c r="Y1799" s="771"/>
      <c r="Z1799" s="771"/>
      <c r="AA1799" s="771"/>
      <c r="AB1799" s="771"/>
      <c r="AC1799" s="771"/>
      <c r="AD1799" s="771"/>
      <c r="AE1799" s="771"/>
      <c r="AF1799" s="771"/>
      <c r="AG1799" s="771"/>
      <c r="AH1799" s="771"/>
      <c r="AI1799" s="771"/>
      <c r="AJ1799" s="771"/>
      <c r="AK1799" s="771"/>
      <c r="AL1799" s="771"/>
      <c r="AM1799" s="771"/>
      <c r="AN1799" s="771"/>
      <c r="AO1799" s="771"/>
      <c r="AP1799" s="771"/>
      <c r="AQ1799" s="771"/>
      <c r="AR1799" s="771"/>
      <c r="AS1799" s="771"/>
      <c r="AT1799" s="771"/>
      <c r="AU1799" s="771"/>
    </row>
    <row r="1800" spans="1:47" s="879" customFormat="1" outlineLevel="1" x14ac:dyDescent="0.2">
      <c r="A1800" s="8"/>
      <c r="B1800" s="28"/>
      <c r="C1800" s="1989" t="s">
        <v>4074</v>
      </c>
      <c r="D1800" s="1989" t="s">
        <v>5940</v>
      </c>
      <c r="E1800" s="1989">
        <v>6.87</v>
      </c>
      <c r="F1800" s="38">
        <f t="shared" si="27"/>
        <v>558.67691880000007</v>
      </c>
      <c r="G1800" s="459"/>
      <c r="H1800" s="8"/>
      <c r="I1800" s="8"/>
      <c r="J1800" s="8"/>
      <c r="K1800" s="8"/>
      <c r="L1800" s="8"/>
      <c r="M1800" s="8"/>
      <c r="N1800" s="8"/>
      <c r="O1800" s="8"/>
      <c r="P1800" s="8"/>
      <c r="Q1800" s="8"/>
      <c r="R1800" s="8"/>
      <c r="S1800" s="8"/>
      <c r="T1800" s="8"/>
      <c r="U1800" s="8"/>
      <c r="V1800" s="8"/>
      <c r="W1800" s="8"/>
      <c r="X1800" s="771"/>
      <c r="Y1800" s="771"/>
      <c r="Z1800" s="771"/>
      <c r="AA1800" s="771"/>
      <c r="AB1800" s="771"/>
      <c r="AC1800" s="771"/>
      <c r="AD1800" s="771"/>
      <c r="AE1800" s="771"/>
      <c r="AF1800" s="771"/>
      <c r="AG1800" s="771"/>
      <c r="AH1800" s="771"/>
      <c r="AI1800" s="771"/>
      <c r="AJ1800" s="771"/>
      <c r="AK1800" s="771"/>
      <c r="AL1800" s="771"/>
      <c r="AM1800" s="771"/>
      <c r="AN1800" s="771"/>
      <c r="AO1800" s="771"/>
      <c r="AP1800" s="771"/>
      <c r="AQ1800" s="771"/>
      <c r="AR1800" s="771"/>
      <c r="AS1800" s="771"/>
      <c r="AT1800" s="771"/>
      <c r="AU1800" s="771"/>
    </row>
    <row r="1801" spans="1:47" s="879" customFormat="1" outlineLevel="1" x14ac:dyDescent="0.2">
      <c r="A1801" s="8"/>
      <c r="B1801" s="28"/>
      <c r="C1801" s="1989" t="s">
        <v>3320</v>
      </c>
      <c r="D1801" s="1989" t="s">
        <v>5941</v>
      </c>
      <c r="E1801" s="1989">
        <v>5.1100000000000003</v>
      </c>
      <c r="F1801" s="38">
        <f t="shared" si="27"/>
        <v>415.55153640000009</v>
      </c>
      <c r="G1801" s="459"/>
      <c r="H1801" s="8"/>
      <c r="I1801" s="8"/>
      <c r="J1801" s="8"/>
      <c r="K1801" s="8"/>
      <c r="L1801" s="8"/>
      <c r="M1801" s="8"/>
      <c r="N1801" s="8"/>
      <c r="O1801" s="8"/>
      <c r="P1801" s="8"/>
      <c r="Q1801" s="8"/>
      <c r="R1801" s="8"/>
      <c r="S1801" s="8"/>
      <c r="T1801" s="8"/>
      <c r="U1801" s="8"/>
      <c r="V1801" s="8"/>
      <c r="W1801" s="8"/>
      <c r="X1801" s="771"/>
      <c r="Y1801" s="771"/>
      <c r="Z1801" s="771"/>
      <c r="AA1801" s="771"/>
      <c r="AB1801" s="771"/>
      <c r="AC1801" s="771"/>
      <c r="AD1801" s="771"/>
      <c r="AE1801" s="771"/>
      <c r="AF1801" s="771"/>
      <c r="AG1801" s="771"/>
      <c r="AH1801" s="771"/>
      <c r="AI1801" s="771"/>
      <c r="AJ1801" s="771"/>
      <c r="AK1801" s="771"/>
      <c r="AL1801" s="771"/>
      <c r="AM1801" s="771"/>
      <c r="AN1801" s="771"/>
      <c r="AO1801" s="771"/>
      <c r="AP1801" s="771"/>
      <c r="AQ1801" s="771"/>
      <c r="AR1801" s="771"/>
      <c r="AS1801" s="771"/>
      <c r="AT1801" s="771"/>
      <c r="AU1801" s="771"/>
    </row>
    <row r="1802" spans="1:47" s="879" customFormat="1" outlineLevel="1" x14ac:dyDescent="0.2">
      <c r="A1802" s="8"/>
      <c r="B1802" s="28"/>
      <c r="C1802" s="1989" t="s">
        <v>3640</v>
      </c>
      <c r="D1802" s="1989" t="s">
        <v>5942</v>
      </c>
      <c r="E1802" s="1989">
        <v>5.2</v>
      </c>
      <c r="F1802" s="38">
        <f t="shared" si="27"/>
        <v>422.87044800000007</v>
      </c>
      <c r="G1802" s="459"/>
      <c r="H1802" s="8"/>
      <c r="I1802" s="8"/>
      <c r="J1802" s="8"/>
      <c r="K1802" s="8"/>
      <c r="L1802" s="8"/>
      <c r="M1802" s="8"/>
      <c r="N1802" s="8"/>
      <c r="O1802" s="8"/>
      <c r="P1802" s="8"/>
      <c r="Q1802" s="8"/>
      <c r="R1802" s="8"/>
      <c r="S1802" s="8"/>
      <c r="T1802" s="8"/>
      <c r="U1802" s="8"/>
      <c r="V1802" s="8"/>
      <c r="W1802" s="8"/>
      <c r="X1802" s="771"/>
      <c r="Y1802" s="771"/>
      <c r="Z1802" s="771"/>
      <c r="AA1802" s="771"/>
      <c r="AB1802" s="771"/>
      <c r="AC1802" s="771"/>
      <c r="AD1802" s="771"/>
      <c r="AE1802" s="771"/>
      <c r="AF1802" s="771"/>
      <c r="AG1802" s="771"/>
      <c r="AH1802" s="771"/>
      <c r="AI1802" s="771"/>
      <c r="AJ1802" s="771"/>
      <c r="AK1802" s="771"/>
      <c r="AL1802" s="771"/>
      <c r="AM1802" s="771"/>
      <c r="AN1802" s="771"/>
      <c r="AO1802" s="771"/>
      <c r="AP1802" s="771"/>
      <c r="AQ1802" s="771"/>
      <c r="AR1802" s="771"/>
      <c r="AS1802" s="771"/>
      <c r="AT1802" s="771"/>
      <c r="AU1802" s="771"/>
    </row>
    <row r="1803" spans="1:47" s="879" customFormat="1" outlineLevel="1" x14ac:dyDescent="0.2">
      <c r="A1803" s="8"/>
      <c r="B1803" s="28"/>
      <c r="C1803" s="1989" t="s">
        <v>4075</v>
      </c>
      <c r="D1803" s="1989" t="s">
        <v>5943</v>
      </c>
      <c r="E1803" s="1989">
        <v>11.84</v>
      </c>
      <c r="F1803" s="38">
        <f t="shared" si="27"/>
        <v>962.84348160000013</v>
      </c>
      <c r="G1803" s="459"/>
      <c r="H1803" s="8"/>
      <c r="I1803" s="8"/>
      <c r="J1803" s="8"/>
      <c r="K1803" s="8"/>
      <c r="L1803" s="8"/>
      <c r="M1803" s="8"/>
      <c r="N1803" s="8"/>
      <c r="O1803" s="8"/>
      <c r="P1803" s="8"/>
      <c r="Q1803" s="8"/>
      <c r="R1803" s="8"/>
      <c r="S1803" s="8"/>
      <c r="T1803" s="8"/>
      <c r="U1803" s="8"/>
      <c r="V1803" s="8"/>
      <c r="W1803" s="8"/>
      <c r="X1803" s="771"/>
      <c r="Y1803" s="771"/>
      <c r="Z1803" s="771"/>
      <c r="AA1803" s="771"/>
      <c r="AB1803" s="771"/>
      <c r="AC1803" s="771"/>
      <c r="AD1803" s="771"/>
      <c r="AE1803" s="771"/>
      <c r="AF1803" s="771"/>
      <c r="AG1803" s="771"/>
      <c r="AH1803" s="771"/>
      <c r="AI1803" s="771"/>
      <c r="AJ1803" s="771"/>
      <c r="AK1803" s="771"/>
      <c r="AL1803" s="771"/>
      <c r="AM1803" s="771"/>
      <c r="AN1803" s="771"/>
      <c r="AO1803" s="771"/>
      <c r="AP1803" s="771"/>
      <c r="AQ1803" s="771"/>
      <c r="AR1803" s="771"/>
      <c r="AS1803" s="771"/>
      <c r="AT1803" s="771"/>
      <c r="AU1803" s="771"/>
    </row>
    <row r="1804" spans="1:47" s="879" customFormat="1" outlineLevel="1" x14ac:dyDescent="0.2">
      <c r="A1804" s="8"/>
      <c r="B1804" s="28"/>
      <c r="C1804" s="1989" t="s">
        <v>4076</v>
      </c>
      <c r="D1804" s="1989" t="s">
        <v>5944</v>
      </c>
      <c r="E1804" s="1989">
        <v>11.84</v>
      </c>
      <c r="F1804" s="38">
        <f t="shared" si="27"/>
        <v>962.84348160000013</v>
      </c>
      <c r="G1804" s="459"/>
      <c r="H1804" s="8"/>
      <c r="I1804" s="8"/>
      <c r="J1804" s="8"/>
      <c r="K1804" s="8"/>
      <c r="L1804" s="8"/>
      <c r="M1804" s="8"/>
      <c r="N1804" s="8"/>
      <c r="O1804" s="8"/>
      <c r="P1804" s="8"/>
      <c r="Q1804" s="8"/>
      <c r="R1804" s="8"/>
      <c r="S1804" s="8"/>
      <c r="T1804" s="8"/>
      <c r="U1804" s="8"/>
      <c r="V1804" s="8"/>
      <c r="W1804" s="8"/>
      <c r="X1804" s="771"/>
      <c r="Y1804" s="771"/>
      <c r="Z1804" s="771"/>
      <c r="AA1804" s="771"/>
      <c r="AB1804" s="771"/>
      <c r="AC1804" s="771"/>
      <c r="AD1804" s="771"/>
      <c r="AE1804" s="771"/>
      <c r="AF1804" s="771"/>
      <c r="AG1804" s="771"/>
      <c r="AH1804" s="771"/>
      <c r="AI1804" s="771"/>
      <c r="AJ1804" s="771"/>
      <c r="AK1804" s="771"/>
      <c r="AL1804" s="771"/>
      <c r="AM1804" s="771"/>
      <c r="AN1804" s="771"/>
      <c r="AO1804" s="771"/>
      <c r="AP1804" s="771"/>
      <c r="AQ1804" s="771"/>
      <c r="AR1804" s="771"/>
      <c r="AS1804" s="771"/>
      <c r="AT1804" s="771"/>
      <c r="AU1804" s="771"/>
    </row>
    <row r="1805" spans="1:47" s="879" customFormat="1" outlineLevel="1" x14ac:dyDescent="0.2">
      <c r="A1805" s="8"/>
      <c r="B1805" s="28"/>
      <c r="C1805" s="1989" t="s">
        <v>6743</v>
      </c>
      <c r="D1805" s="1989" t="s">
        <v>5945</v>
      </c>
      <c r="E1805" s="1989">
        <v>18.95</v>
      </c>
      <c r="F1805" s="38">
        <f t="shared" si="27"/>
        <v>1541.0374979999999</v>
      </c>
      <c r="G1805" s="459"/>
      <c r="H1805" s="8"/>
      <c r="I1805" s="8"/>
      <c r="J1805" s="8"/>
      <c r="K1805" s="8"/>
      <c r="L1805" s="8"/>
      <c r="M1805" s="8"/>
      <c r="N1805" s="8"/>
      <c r="O1805" s="8"/>
      <c r="P1805" s="8"/>
      <c r="Q1805" s="8"/>
      <c r="R1805" s="8"/>
      <c r="S1805" s="8"/>
      <c r="T1805" s="8"/>
      <c r="U1805" s="8"/>
      <c r="V1805" s="8"/>
      <c r="W1805" s="8"/>
      <c r="X1805" s="771"/>
      <c r="Y1805" s="771"/>
      <c r="Z1805" s="771"/>
      <c r="AA1805" s="771"/>
      <c r="AB1805" s="771"/>
      <c r="AC1805" s="771"/>
      <c r="AD1805" s="771"/>
      <c r="AE1805" s="771"/>
      <c r="AF1805" s="771"/>
      <c r="AG1805" s="771"/>
      <c r="AH1805" s="771"/>
      <c r="AI1805" s="771"/>
      <c r="AJ1805" s="771"/>
      <c r="AK1805" s="771"/>
      <c r="AL1805" s="771"/>
      <c r="AM1805" s="771"/>
      <c r="AN1805" s="771"/>
      <c r="AO1805" s="771"/>
      <c r="AP1805" s="771"/>
      <c r="AQ1805" s="771"/>
      <c r="AR1805" s="771"/>
      <c r="AS1805" s="771"/>
      <c r="AT1805" s="771"/>
      <c r="AU1805" s="771"/>
    </row>
    <row r="1806" spans="1:47" s="879" customFormat="1" outlineLevel="1" x14ac:dyDescent="0.2">
      <c r="A1806" s="8"/>
      <c r="B1806" s="28"/>
      <c r="C1806" s="1989" t="s">
        <v>6744</v>
      </c>
      <c r="D1806" s="1989" t="s">
        <v>5946</v>
      </c>
      <c r="E1806" s="1989">
        <v>18.95</v>
      </c>
      <c r="F1806" s="38">
        <f t="shared" si="27"/>
        <v>1541.0374979999999</v>
      </c>
      <c r="G1806" s="459"/>
      <c r="H1806" s="8"/>
      <c r="I1806" s="8"/>
      <c r="J1806" s="8"/>
      <c r="K1806" s="8"/>
      <c r="L1806" s="8"/>
      <c r="M1806" s="8"/>
      <c r="N1806" s="8"/>
      <c r="O1806" s="8"/>
      <c r="P1806" s="8"/>
      <c r="Q1806" s="8"/>
      <c r="R1806" s="8"/>
      <c r="S1806" s="8"/>
      <c r="T1806" s="8"/>
      <c r="U1806" s="8"/>
      <c r="V1806" s="8"/>
      <c r="W1806" s="8"/>
      <c r="X1806" s="771"/>
      <c r="Y1806" s="771"/>
      <c r="Z1806" s="771"/>
      <c r="AA1806" s="771"/>
      <c r="AB1806" s="771"/>
      <c r="AC1806" s="771"/>
      <c r="AD1806" s="771"/>
      <c r="AE1806" s="771"/>
      <c r="AF1806" s="771"/>
      <c r="AG1806" s="771"/>
      <c r="AH1806" s="771"/>
      <c r="AI1806" s="771"/>
      <c r="AJ1806" s="771"/>
      <c r="AK1806" s="771"/>
      <c r="AL1806" s="771"/>
      <c r="AM1806" s="771"/>
      <c r="AN1806" s="771"/>
      <c r="AO1806" s="771"/>
      <c r="AP1806" s="771"/>
      <c r="AQ1806" s="771"/>
      <c r="AR1806" s="771"/>
      <c r="AS1806" s="771"/>
      <c r="AT1806" s="771"/>
      <c r="AU1806" s="771"/>
    </row>
    <row r="1807" spans="1:47" s="879" customFormat="1" outlineLevel="1" x14ac:dyDescent="0.2">
      <c r="A1807" s="8"/>
      <c r="B1807" s="28"/>
      <c r="C1807" s="1989" t="s">
        <v>3004</v>
      </c>
      <c r="D1807" s="1989" t="s">
        <v>5947</v>
      </c>
      <c r="E1807" s="1989">
        <v>1.1000000000000001</v>
      </c>
      <c r="F1807" s="38">
        <f t="shared" si="27"/>
        <v>89.453364000000008</v>
      </c>
      <c r="G1807" s="459"/>
      <c r="H1807" s="8"/>
      <c r="I1807" s="8"/>
      <c r="J1807" s="8"/>
      <c r="K1807" s="8"/>
      <c r="L1807" s="8"/>
      <c r="M1807" s="8"/>
      <c r="N1807" s="8"/>
      <c r="O1807" s="8"/>
      <c r="P1807" s="8"/>
      <c r="Q1807" s="8"/>
      <c r="R1807" s="8"/>
      <c r="S1807" s="8"/>
      <c r="T1807" s="8"/>
      <c r="U1807" s="8"/>
      <c r="V1807" s="8"/>
      <c r="W1807" s="8"/>
      <c r="X1807" s="771"/>
      <c r="Y1807" s="771"/>
      <c r="Z1807" s="771"/>
      <c r="AA1807" s="771"/>
      <c r="AB1807" s="771"/>
      <c r="AC1807" s="771"/>
      <c r="AD1807" s="771"/>
      <c r="AE1807" s="771"/>
      <c r="AF1807" s="771"/>
      <c r="AG1807" s="771"/>
      <c r="AH1807" s="771"/>
      <c r="AI1807" s="771"/>
      <c r="AJ1807" s="771"/>
      <c r="AK1807" s="771"/>
      <c r="AL1807" s="771"/>
      <c r="AM1807" s="771"/>
      <c r="AN1807" s="771"/>
      <c r="AO1807" s="771"/>
      <c r="AP1807" s="771"/>
      <c r="AQ1807" s="771"/>
      <c r="AR1807" s="771"/>
      <c r="AS1807" s="771"/>
      <c r="AT1807" s="771"/>
      <c r="AU1807" s="771"/>
    </row>
    <row r="1808" spans="1:47" s="879" customFormat="1" outlineLevel="1" x14ac:dyDescent="0.2">
      <c r="A1808" s="8"/>
      <c r="B1808" s="28"/>
      <c r="C1808" s="1989" t="s">
        <v>3005</v>
      </c>
      <c r="D1808" s="1989" t="s">
        <v>5948</v>
      </c>
      <c r="E1808" s="1989">
        <v>0.55000000000000004</v>
      </c>
      <c r="F1808" s="38">
        <f t="shared" si="27"/>
        <v>44.726682000000004</v>
      </c>
      <c r="G1808" s="459"/>
      <c r="H1808" s="8"/>
      <c r="I1808" s="8"/>
      <c r="J1808" s="8"/>
      <c r="K1808" s="8"/>
      <c r="L1808" s="8"/>
      <c r="M1808" s="8"/>
      <c r="N1808" s="8"/>
      <c r="O1808" s="8"/>
      <c r="P1808" s="8"/>
      <c r="Q1808" s="8"/>
      <c r="R1808" s="8"/>
      <c r="S1808" s="8"/>
      <c r="T1808" s="8"/>
      <c r="U1808" s="8"/>
      <c r="V1808" s="8"/>
      <c r="W1808" s="8"/>
      <c r="X1808" s="771"/>
      <c r="Y1808" s="771"/>
      <c r="Z1808" s="771"/>
      <c r="AA1808" s="771"/>
      <c r="AB1808" s="771"/>
      <c r="AC1808" s="771"/>
      <c r="AD1808" s="771"/>
      <c r="AE1808" s="771"/>
      <c r="AF1808" s="771"/>
      <c r="AG1808" s="771"/>
      <c r="AH1808" s="771"/>
      <c r="AI1808" s="771"/>
      <c r="AJ1808" s="771"/>
      <c r="AK1808" s="771"/>
      <c r="AL1808" s="771"/>
      <c r="AM1808" s="771"/>
      <c r="AN1808" s="771"/>
      <c r="AO1808" s="771"/>
      <c r="AP1808" s="771"/>
      <c r="AQ1808" s="771"/>
      <c r="AR1808" s="771"/>
      <c r="AS1808" s="771"/>
      <c r="AT1808" s="771"/>
      <c r="AU1808" s="771"/>
    </row>
    <row r="1809" spans="1:47" s="879" customFormat="1" outlineLevel="1" x14ac:dyDescent="0.2">
      <c r="A1809" s="8"/>
      <c r="B1809" s="28"/>
      <c r="C1809" s="1989" t="s">
        <v>2486</v>
      </c>
      <c r="D1809" s="1989" t="s">
        <v>7792</v>
      </c>
      <c r="E1809" s="1989">
        <v>0.18</v>
      </c>
      <c r="F1809" s="38">
        <f t="shared" si="27"/>
        <v>14.637823200000001</v>
      </c>
      <c r="G1809" s="459"/>
      <c r="H1809" s="8"/>
      <c r="I1809" s="8"/>
      <c r="J1809" s="8"/>
      <c r="K1809" s="8"/>
      <c r="L1809" s="8"/>
      <c r="M1809" s="8"/>
      <c r="N1809" s="8"/>
      <c r="O1809" s="8"/>
      <c r="P1809" s="8"/>
      <c r="Q1809" s="8"/>
      <c r="R1809" s="8"/>
      <c r="S1809" s="8"/>
      <c r="T1809" s="8"/>
      <c r="U1809" s="8"/>
      <c r="V1809" s="8"/>
      <c r="W1809" s="8"/>
      <c r="X1809" s="771"/>
      <c r="Y1809" s="771"/>
      <c r="Z1809" s="771"/>
      <c r="AA1809" s="771"/>
      <c r="AB1809" s="771"/>
      <c r="AC1809" s="771"/>
      <c r="AD1809" s="771"/>
      <c r="AE1809" s="771"/>
      <c r="AF1809" s="771"/>
      <c r="AG1809" s="771"/>
      <c r="AH1809" s="771"/>
      <c r="AI1809" s="771"/>
      <c r="AJ1809" s="771"/>
      <c r="AK1809" s="771"/>
      <c r="AL1809" s="771"/>
      <c r="AM1809" s="771"/>
      <c r="AN1809" s="771"/>
      <c r="AO1809" s="771"/>
      <c r="AP1809" s="771"/>
      <c r="AQ1809" s="771"/>
      <c r="AR1809" s="771"/>
      <c r="AS1809" s="771"/>
      <c r="AT1809" s="771"/>
      <c r="AU1809" s="771"/>
    </row>
    <row r="1810" spans="1:47" s="879" customFormat="1" outlineLevel="1" x14ac:dyDescent="0.2">
      <c r="A1810" s="8"/>
      <c r="B1810" s="28"/>
      <c r="C1810" s="1989" t="s">
        <v>3162</v>
      </c>
      <c r="D1810" s="1989" t="s">
        <v>5949</v>
      </c>
      <c r="E1810" s="1989">
        <v>15.42</v>
      </c>
      <c r="F1810" s="38">
        <f t="shared" si="27"/>
        <v>1253.9735208</v>
      </c>
      <c r="G1810" s="459"/>
      <c r="H1810" s="8"/>
      <c r="I1810" s="8"/>
      <c r="J1810" s="8"/>
      <c r="K1810" s="8"/>
      <c r="L1810" s="8"/>
      <c r="M1810" s="8"/>
      <c r="N1810" s="8"/>
      <c r="O1810" s="8"/>
      <c r="P1810" s="8"/>
      <c r="Q1810" s="8"/>
      <c r="R1810" s="8"/>
      <c r="S1810" s="8"/>
      <c r="T1810" s="8"/>
      <c r="U1810" s="8"/>
      <c r="V1810" s="8"/>
      <c r="W1810" s="8"/>
      <c r="X1810" s="771"/>
      <c r="Y1810" s="771"/>
      <c r="Z1810" s="771"/>
      <c r="AA1810" s="771"/>
      <c r="AB1810" s="771"/>
      <c r="AC1810" s="771"/>
      <c r="AD1810" s="771"/>
      <c r="AE1810" s="771"/>
      <c r="AF1810" s="771"/>
      <c r="AG1810" s="771"/>
      <c r="AH1810" s="771"/>
      <c r="AI1810" s="771"/>
      <c r="AJ1810" s="771"/>
      <c r="AK1810" s="771"/>
      <c r="AL1810" s="771"/>
      <c r="AM1810" s="771"/>
      <c r="AN1810" s="771"/>
      <c r="AO1810" s="771"/>
      <c r="AP1810" s="771"/>
      <c r="AQ1810" s="771"/>
      <c r="AR1810" s="771"/>
      <c r="AS1810" s="771"/>
      <c r="AT1810" s="771"/>
      <c r="AU1810" s="771"/>
    </row>
    <row r="1811" spans="1:47" s="879" customFormat="1" outlineLevel="1" x14ac:dyDescent="0.2">
      <c r="A1811" s="8"/>
      <c r="B1811" s="28"/>
      <c r="C1811" s="1989" t="s">
        <v>5233</v>
      </c>
      <c r="D1811" s="1989" t="s">
        <v>5950</v>
      </c>
      <c r="E1811" s="1989">
        <v>5.92</v>
      </c>
      <c r="F1811" s="38">
        <f t="shared" si="27"/>
        <v>481.42174080000007</v>
      </c>
      <c r="G1811" s="459"/>
      <c r="H1811" s="8"/>
      <c r="I1811" s="8"/>
      <c r="J1811" s="8"/>
      <c r="K1811" s="8"/>
      <c r="L1811" s="8"/>
      <c r="M1811" s="8"/>
      <c r="N1811" s="8"/>
      <c r="O1811" s="8"/>
      <c r="P1811" s="8"/>
      <c r="Q1811" s="8"/>
      <c r="R1811" s="8"/>
      <c r="S1811" s="8"/>
      <c r="T1811" s="8"/>
      <c r="U1811" s="8"/>
      <c r="V1811" s="8"/>
      <c r="W1811" s="8"/>
      <c r="X1811" s="771"/>
      <c r="Y1811" s="771"/>
      <c r="Z1811" s="771"/>
      <c r="AA1811" s="771"/>
      <c r="AB1811" s="771"/>
      <c r="AC1811" s="771"/>
      <c r="AD1811" s="771"/>
      <c r="AE1811" s="771"/>
      <c r="AF1811" s="771"/>
      <c r="AG1811" s="771"/>
      <c r="AH1811" s="771"/>
      <c r="AI1811" s="771"/>
      <c r="AJ1811" s="771"/>
      <c r="AK1811" s="771"/>
      <c r="AL1811" s="771"/>
      <c r="AM1811" s="771"/>
      <c r="AN1811" s="771"/>
      <c r="AO1811" s="771"/>
      <c r="AP1811" s="771"/>
      <c r="AQ1811" s="771"/>
      <c r="AR1811" s="771"/>
      <c r="AS1811" s="771"/>
      <c r="AT1811" s="771"/>
      <c r="AU1811" s="771"/>
    </row>
    <row r="1812" spans="1:47" s="879" customFormat="1" outlineLevel="1" x14ac:dyDescent="0.2">
      <c r="A1812" s="8"/>
      <c r="B1812" s="28"/>
      <c r="C1812" s="1989" t="s">
        <v>2325</v>
      </c>
      <c r="D1812" s="1989" t="s">
        <v>5951</v>
      </c>
      <c r="E1812" s="1989">
        <v>0.51</v>
      </c>
      <c r="F1812" s="38">
        <f t="shared" si="27"/>
        <v>41.473832399999999</v>
      </c>
      <c r="G1812" s="459"/>
      <c r="H1812" s="8"/>
      <c r="I1812" s="8"/>
      <c r="J1812" s="8"/>
      <c r="K1812" s="8"/>
      <c r="L1812" s="8"/>
      <c r="M1812" s="8"/>
      <c r="N1812" s="8"/>
      <c r="O1812" s="8"/>
      <c r="P1812" s="8"/>
      <c r="Q1812" s="8"/>
      <c r="R1812" s="8"/>
      <c r="S1812" s="8"/>
      <c r="T1812" s="8"/>
      <c r="U1812" s="8"/>
      <c r="V1812" s="8"/>
      <c r="W1812" s="8"/>
      <c r="X1812" s="771"/>
      <c r="Y1812" s="771"/>
      <c r="Z1812" s="771"/>
      <c r="AA1812" s="771"/>
      <c r="AB1812" s="771"/>
      <c r="AC1812" s="771"/>
      <c r="AD1812" s="771"/>
      <c r="AE1812" s="771"/>
      <c r="AF1812" s="771"/>
      <c r="AG1812" s="771"/>
      <c r="AH1812" s="771"/>
      <c r="AI1812" s="771"/>
      <c r="AJ1812" s="771"/>
      <c r="AK1812" s="771"/>
      <c r="AL1812" s="771"/>
      <c r="AM1812" s="771"/>
      <c r="AN1812" s="771"/>
      <c r="AO1812" s="771"/>
      <c r="AP1812" s="771"/>
      <c r="AQ1812" s="771"/>
      <c r="AR1812" s="771"/>
      <c r="AS1812" s="771"/>
      <c r="AT1812" s="771"/>
      <c r="AU1812" s="771"/>
    </row>
    <row r="1813" spans="1:47" s="879" customFormat="1" outlineLevel="1" x14ac:dyDescent="0.2">
      <c r="A1813" s="8"/>
      <c r="B1813" s="28"/>
      <c r="C1813" s="1989" t="s">
        <v>5232</v>
      </c>
      <c r="D1813" s="1989" t="s">
        <v>5952</v>
      </c>
      <c r="E1813" s="1989">
        <v>5.92</v>
      </c>
      <c r="F1813" s="38">
        <f t="shared" si="27"/>
        <v>481.42174080000007</v>
      </c>
      <c r="G1813" s="459"/>
      <c r="H1813" s="8"/>
      <c r="I1813" s="8"/>
      <c r="J1813" s="8"/>
      <c r="K1813" s="8"/>
      <c r="L1813" s="8"/>
      <c r="M1813" s="8"/>
      <c r="N1813" s="8"/>
      <c r="O1813" s="8"/>
      <c r="P1813" s="8"/>
      <c r="Q1813" s="8"/>
      <c r="R1813" s="8"/>
      <c r="S1813" s="8"/>
      <c r="T1813" s="8"/>
      <c r="U1813" s="8"/>
      <c r="V1813" s="8"/>
      <c r="W1813" s="8"/>
      <c r="X1813" s="771"/>
      <c r="Y1813" s="771"/>
      <c r="Z1813" s="771"/>
      <c r="AA1813" s="771"/>
      <c r="AB1813" s="771"/>
      <c r="AC1813" s="771"/>
      <c r="AD1813" s="771"/>
      <c r="AE1813" s="771"/>
      <c r="AF1813" s="771"/>
      <c r="AG1813" s="771"/>
      <c r="AH1813" s="771"/>
      <c r="AI1813" s="771"/>
      <c r="AJ1813" s="771"/>
      <c r="AK1813" s="771"/>
      <c r="AL1813" s="771"/>
      <c r="AM1813" s="771"/>
      <c r="AN1813" s="771"/>
      <c r="AO1813" s="771"/>
      <c r="AP1813" s="771"/>
      <c r="AQ1813" s="771"/>
      <c r="AR1813" s="771"/>
      <c r="AS1813" s="771"/>
      <c r="AT1813" s="771"/>
      <c r="AU1813" s="771"/>
    </row>
    <row r="1814" spans="1:47" s="879" customFormat="1" outlineLevel="1" x14ac:dyDescent="0.2">
      <c r="A1814" s="8"/>
      <c r="B1814" s="28"/>
      <c r="C1814" s="1989" t="s">
        <v>3641</v>
      </c>
      <c r="D1814" s="1989" t="s">
        <v>5953</v>
      </c>
      <c r="E1814" s="1989">
        <v>2.23</v>
      </c>
      <c r="F1814" s="38">
        <f t="shared" si="27"/>
        <v>181.34636519999998</v>
      </c>
      <c r="G1814" s="459"/>
      <c r="H1814" s="8"/>
      <c r="I1814" s="8"/>
      <c r="J1814" s="8"/>
      <c r="K1814" s="8"/>
      <c r="L1814" s="8"/>
      <c r="M1814" s="8"/>
      <c r="N1814" s="8"/>
      <c r="O1814" s="8"/>
      <c r="P1814" s="8"/>
      <c r="Q1814" s="8"/>
      <c r="R1814" s="8"/>
      <c r="S1814" s="8"/>
      <c r="T1814" s="8"/>
      <c r="U1814" s="8"/>
      <c r="V1814" s="8"/>
      <c r="W1814" s="8"/>
      <c r="X1814" s="771"/>
      <c r="Y1814" s="771"/>
      <c r="Z1814" s="771"/>
      <c r="AA1814" s="771"/>
      <c r="AB1814" s="771"/>
      <c r="AC1814" s="771"/>
      <c r="AD1814" s="771"/>
      <c r="AE1814" s="771"/>
      <c r="AF1814" s="771"/>
      <c r="AG1814" s="771"/>
      <c r="AH1814" s="771"/>
      <c r="AI1814" s="771"/>
      <c r="AJ1814" s="771"/>
      <c r="AK1814" s="771"/>
      <c r="AL1814" s="771"/>
      <c r="AM1814" s="771"/>
      <c r="AN1814" s="771"/>
      <c r="AO1814" s="771"/>
      <c r="AP1814" s="771"/>
      <c r="AQ1814" s="771"/>
      <c r="AR1814" s="771"/>
      <c r="AS1814" s="771"/>
      <c r="AT1814" s="771"/>
      <c r="AU1814" s="771"/>
    </row>
    <row r="1815" spans="1:47" s="879" customFormat="1" outlineLevel="1" x14ac:dyDescent="0.2">
      <c r="A1815" s="8"/>
      <c r="B1815" s="28"/>
      <c r="C1815" s="1989" t="s">
        <v>2375</v>
      </c>
      <c r="D1815" s="1989" t="s">
        <v>5954</v>
      </c>
      <c r="E1815" s="1989">
        <v>0.45</v>
      </c>
      <c r="F1815" s="38">
        <f t="shared" si="27"/>
        <v>36.594558000000006</v>
      </c>
      <c r="G1815" s="459"/>
      <c r="H1815" s="8"/>
      <c r="I1815" s="8"/>
      <c r="J1815" s="8"/>
      <c r="K1815" s="8"/>
      <c r="L1815" s="8"/>
      <c r="M1815" s="8"/>
      <c r="N1815" s="8"/>
      <c r="O1815" s="8"/>
      <c r="P1815" s="8"/>
      <c r="Q1815" s="8"/>
      <c r="R1815" s="8"/>
      <c r="S1815" s="8"/>
      <c r="T1815" s="8"/>
      <c r="U1815" s="8"/>
      <c r="V1815" s="8"/>
      <c r="W1815" s="8"/>
      <c r="X1815" s="771"/>
      <c r="Y1815" s="771"/>
      <c r="Z1815" s="771"/>
      <c r="AA1815" s="771"/>
      <c r="AB1815" s="771"/>
      <c r="AC1815" s="771"/>
      <c r="AD1815" s="771"/>
      <c r="AE1815" s="771"/>
      <c r="AF1815" s="771"/>
      <c r="AG1815" s="771"/>
      <c r="AH1815" s="771"/>
      <c r="AI1815" s="771"/>
      <c r="AJ1815" s="771"/>
      <c r="AK1815" s="771"/>
      <c r="AL1815" s="771"/>
      <c r="AM1815" s="771"/>
      <c r="AN1815" s="771"/>
      <c r="AO1815" s="771"/>
      <c r="AP1815" s="771"/>
      <c r="AQ1815" s="771"/>
      <c r="AR1815" s="771"/>
      <c r="AS1815" s="771"/>
      <c r="AT1815" s="771"/>
      <c r="AU1815" s="771"/>
    </row>
    <row r="1816" spans="1:47" s="879" customFormat="1" outlineLevel="1" x14ac:dyDescent="0.2">
      <c r="A1816" s="8"/>
      <c r="B1816" s="28"/>
      <c r="C1816" s="1989" t="s">
        <v>3642</v>
      </c>
      <c r="D1816" s="1989" t="s">
        <v>5955</v>
      </c>
      <c r="E1816" s="1989">
        <v>8.89</v>
      </c>
      <c r="F1816" s="38">
        <f t="shared" si="27"/>
        <v>722.94582360000015</v>
      </c>
      <c r="G1816" s="459"/>
      <c r="H1816" s="8"/>
      <c r="I1816" s="8"/>
      <c r="J1816" s="8"/>
      <c r="K1816" s="8"/>
      <c r="L1816" s="8"/>
      <c r="M1816" s="8"/>
      <c r="N1816" s="8"/>
      <c r="O1816" s="8"/>
      <c r="P1816" s="8"/>
      <c r="Q1816" s="8"/>
      <c r="R1816" s="8"/>
      <c r="S1816" s="8"/>
      <c r="T1816" s="8"/>
      <c r="U1816" s="8"/>
      <c r="V1816" s="8"/>
      <c r="W1816" s="8"/>
      <c r="X1816" s="771"/>
      <c r="Y1816" s="771"/>
      <c r="Z1816" s="771"/>
      <c r="AA1816" s="771"/>
      <c r="AB1816" s="771"/>
      <c r="AC1816" s="771"/>
      <c r="AD1816" s="771"/>
      <c r="AE1816" s="771"/>
      <c r="AF1816" s="771"/>
      <c r="AG1816" s="771"/>
      <c r="AH1816" s="771"/>
      <c r="AI1816" s="771"/>
      <c r="AJ1816" s="771"/>
      <c r="AK1816" s="771"/>
      <c r="AL1816" s="771"/>
      <c r="AM1816" s="771"/>
      <c r="AN1816" s="771"/>
      <c r="AO1816" s="771"/>
      <c r="AP1816" s="771"/>
      <c r="AQ1816" s="771"/>
      <c r="AR1816" s="771"/>
      <c r="AS1816" s="771"/>
      <c r="AT1816" s="771"/>
      <c r="AU1816" s="771"/>
    </row>
    <row r="1817" spans="1:47" s="879" customFormat="1" outlineLevel="1" x14ac:dyDescent="0.2">
      <c r="A1817" s="8"/>
      <c r="B1817" s="28"/>
      <c r="C1817" s="1989" t="s">
        <v>3626</v>
      </c>
      <c r="D1817" s="1989" t="s">
        <v>5956</v>
      </c>
      <c r="E1817" s="1989">
        <v>17.82</v>
      </c>
      <c r="F1817" s="38">
        <f t="shared" si="27"/>
        <v>1449.1444968000001</v>
      </c>
      <c r="G1817" s="459"/>
      <c r="H1817" s="8"/>
      <c r="I1817" s="8"/>
      <c r="J1817" s="8"/>
      <c r="K1817" s="8"/>
      <c r="L1817" s="8"/>
      <c r="M1817" s="8"/>
      <c r="N1817" s="8"/>
      <c r="O1817" s="8"/>
      <c r="P1817" s="8"/>
      <c r="Q1817" s="8"/>
      <c r="R1817" s="8"/>
      <c r="S1817" s="8"/>
      <c r="T1817" s="8"/>
      <c r="U1817" s="8"/>
      <c r="V1817" s="8"/>
      <c r="W1817" s="8"/>
      <c r="X1817" s="771"/>
      <c r="Y1817" s="771"/>
      <c r="Z1817" s="771"/>
      <c r="AA1817" s="771"/>
      <c r="AB1817" s="771"/>
      <c r="AC1817" s="771"/>
      <c r="AD1817" s="771"/>
      <c r="AE1817" s="771"/>
      <c r="AF1817" s="771"/>
      <c r="AG1817" s="771"/>
      <c r="AH1817" s="771"/>
      <c r="AI1817" s="771"/>
      <c r="AJ1817" s="771"/>
      <c r="AK1817" s="771"/>
      <c r="AL1817" s="771"/>
      <c r="AM1817" s="771"/>
      <c r="AN1817" s="771"/>
      <c r="AO1817" s="771"/>
      <c r="AP1817" s="771"/>
      <c r="AQ1817" s="771"/>
      <c r="AR1817" s="771"/>
      <c r="AS1817" s="771"/>
      <c r="AT1817" s="771"/>
      <c r="AU1817" s="771"/>
    </row>
    <row r="1818" spans="1:47" outlineLevel="1" x14ac:dyDescent="0.2">
      <c r="B1818" s="28"/>
      <c r="C1818" s="1989" t="s">
        <v>7793</v>
      </c>
      <c r="D1818" s="1989" t="s">
        <v>7794</v>
      </c>
      <c r="E1818" s="1989">
        <v>12.18</v>
      </c>
      <c r="F1818" s="38">
        <f t="shared" ref="F1818:F1881" si="28">E1818*$G$4*$J$4</f>
        <v>990.49270320000005</v>
      </c>
      <c r="G1818" s="459"/>
    </row>
    <row r="1819" spans="1:47" outlineLevel="1" x14ac:dyDescent="0.2">
      <c r="B1819" s="28"/>
      <c r="C1819" s="1989" t="s">
        <v>7795</v>
      </c>
      <c r="D1819" s="1989" t="s">
        <v>7796</v>
      </c>
      <c r="E1819" s="1989">
        <v>5.89</v>
      </c>
      <c r="F1819" s="38">
        <f t="shared" si="28"/>
        <v>478.98210360000002</v>
      </c>
      <c r="G1819" s="459"/>
    </row>
    <row r="1820" spans="1:47" outlineLevel="1" x14ac:dyDescent="0.2">
      <c r="B1820" s="28"/>
      <c r="C1820" s="1989" t="s">
        <v>7797</v>
      </c>
      <c r="D1820" s="1989" t="s">
        <v>7798</v>
      </c>
      <c r="E1820" s="1989">
        <v>5.89</v>
      </c>
      <c r="F1820" s="38">
        <f t="shared" si="28"/>
        <v>478.98210360000002</v>
      </c>
      <c r="G1820" s="459"/>
    </row>
    <row r="1821" spans="1:47" outlineLevel="1" x14ac:dyDescent="0.2">
      <c r="B1821" s="28"/>
      <c r="C1821" s="1989" t="s">
        <v>3625</v>
      </c>
      <c r="D1821" s="1989" t="s">
        <v>7799</v>
      </c>
      <c r="E1821" s="1989">
        <v>17.82</v>
      </c>
      <c r="F1821" s="38">
        <f t="shared" si="28"/>
        <v>1449.1444968000001</v>
      </c>
      <c r="G1821" s="459"/>
    </row>
    <row r="1822" spans="1:47" outlineLevel="1" x14ac:dyDescent="0.2">
      <c r="B1822" s="28"/>
      <c r="C1822" s="1989" t="s">
        <v>7800</v>
      </c>
      <c r="D1822" s="1989" t="s">
        <v>7801</v>
      </c>
      <c r="E1822" s="1989">
        <v>12.18</v>
      </c>
      <c r="F1822" s="38">
        <f t="shared" si="28"/>
        <v>990.49270320000005</v>
      </c>
      <c r="G1822" s="459"/>
    </row>
    <row r="1823" spans="1:47" outlineLevel="1" x14ac:dyDescent="0.2">
      <c r="B1823" s="28"/>
      <c r="C1823" s="1989" t="s">
        <v>3643</v>
      </c>
      <c r="D1823" s="1989" t="s">
        <v>3644</v>
      </c>
      <c r="E1823" s="1989">
        <v>0</v>
      </c>
      <c r="F1823" s="38">
        <f t="shared" si="28"/>
        <v>0</v>
      </c>
      <c r="G1823" s="459"/>
    </row>
    <row r="1824" spans="1:47" outlineLevel="1" x14ac:dyDescent="0.2">
      <c r="B1824" s="28"/>
      <c r="C1824" s="1989" t="s">
        <v>3006</v>
      </c>
      <c r="D1824" s="1989" t="s">
        <v>5957</v>
      </c>
      <c r="E1824" s="1989">
        <v>1.1000000000000001</v>
      </c>
      <c r="F1824" s="38">
        <f t="shared" si="28"/>
        <v>89.453364000000008</v>
      </c>
      <c r="G1824" s="459"/>
    </row>
    <row r="1825" spans="1:7" outlineLevel="1" x14ac:dyDescent="0.2">
      <c r="B1825" s="28"/>
      <c r="C1825" s="1989" t="s">
        <v>3620</v>
      </c>
      <c r="D1825" s="1989" t="s">
        <v>5958</v>
      </c>
      <c r="E1825" s="1989">
        <v>11.68</v>
      </c>
      <c r="F1825" s="38">
        <f t="shared" si="28"/>
        <v>949.83208320000006</v>
      </c>
      <c r="G1825" s="459"/>
    </row>
    <row r="1826" spans="1:7" outlineLevel="1" x14ac:dyDescent="0.2">
      <c r="B1826" s="28"/>
      <c r="C1826" s="1989" t="s">
        <v>6745</v>
      </c>
      <c r="D1826" s="1989" t="s">
        <v>5959</v>
      </c>
      <c r="E1826" s="1989">
        <v>10.050000000000001</v>
      </c>
      <c r="F1826" s="38">
        <f t="shared" si="28"/>
        <v>817.2784620000001</v>
      </c>
      <c r="G1826" s="459"/>
    </row>
    <row r="1827" spans="1:7" outlineLevel="1" x14ac:dyDescent="0.2">
      <c r="B1827" s="28"/>
      <c r="C1827" s="1989" t="s">
        <v>6746</v>
      </c>
      <c r="D1827" s="1989" t="s">
        <v>5960</v>
      </c>
      <c r="E1827" s="1989">
        <v>10.050000000000001</v>
      </c>
      <c r="F1827" s="38">
        <f t="shared" si="28"/>
        <v>817.2784620000001</v>
      </c>
      <c r="G1827" s="459"/>
    </row>
    <row r="1828" spans="1:7" ht="15" customHeight="1" outlineLevel="1" thickBot="1" x14ac:dyDescent="0.25">
      <c r="A1828" s="17"/>
      <c r="B1828" s="75"/>
      <c r="C1828" s="1989" t="s">
        <v>3007</v>
      </c>
      <c r="D1828" s="1989" t="s">
        <v>3008</v>
      </c>
      <c r="E1828" s="1989">
        <v>0.51</v>
      </c>
      <c r="F1828" s="38">
        <f t="shared" si="28"/>
        <v>41.473832399999999</v>
      </c>
      <c r="G1828" s="555"/>
    </row>
    <row r="1829" spans="1:7" ht="15" customHeight="1" outlineLevel="1" x14ac:dyDescent="0.2">
      <c r="A1829" s="17"/>
      <c r="B1829" s="17"/>
      <c r="C1829" s="1989" t="s">
        <v>4442</v>
      </c>
      <c r="D1829" s="1989" t="s">
        <v>5961</v>
      </c>
      <c r="E1829" s="1989">
        <v>18.68</v>
      </c>
      <c r="F1829" s="38">
        <f t="shared" si="28"/>
        <v>1519.0807632000001</v>
      </c>
      <c r="G1829" s="452"/>
    </row>
    <row r="1830" spans="1:7" outlineLevel="1" x14ac:dyDescent="0.2">
      <c r="C1830" s="1989" t="s">
        <v>2332</v>
      </c>
      <c r="D1830" s="1989" t="s">
        <v>2333</v>
      </c>
      <c r="E1830" s="1989">
        <v>0.59</v>
      </c>
      <c r="F1830" s="38">
        <f t="shared" si="28"/>
        <v>47.979531600000001</v>
      </c>
      <c r="G1830" s="452"/>
    </row>
    <row r="1831" spans="1:7" outlineLevel="1" x14ac:dyDescent="0.2">
      <c r="C1831" s="1989" t="s">
        <v>4443</v>
      </c>
      <c r="D1831" s="1989" t="s">
        <v>5962</v>
      </c>
      <c r="E1831" s="1989">
        <v>18.68</v>
      </c>
      <c r="F1831" s="38">
        <f t="shared" si="28"/>
        <v>1519.0807632000001</v>
      </c>
      <c r="G1831" s="452"/>
    </row>
    <row r="1832" spans="1:7" outlineLevel="1" x14ac:dyDescent="0.2">
      <c r="C1832" s="1989" t="s">
        <v>2334</v>
      </c>
      <c r="D1832" s="1989" t="s">
        <v>3009</v>
      </c>
      <c r="E1832" s="1989">
        <v>1.52</v>
      </c>
      <c r="F1832" s="38">
        <f t="shared" si="28"/>
        <v>123.60828479999999</v>
      </c>
      <c r="G1832" s="452"/>
    </row>
    <row r="1833" spans="1:7" outlineLevel="1" x14ac:dyDescent="0.2">
      <c r="C1833" s="1989" t="s">
        <v>3010</v>
      </c>
      <c r="D1833" s="1989" t="s">
        <v>3011</v>
      </c>
      <c r="E1833" s="1989">
        <v>0.55000000000000004</v>
      </c>
      <c r="F1833" s="38">
        <f t="shared" si="28"/>
        <v>44.726682000000004</v>
      </c>
      <c r="G1833" s="452"/>
    </row>
    <row r="1834" spans="1:7" outlineLevel="1" x14ac:dyDescent="0.2">
      <c r="C1834" s="1989" t="s">
        <v>4444</v>
      </c>
      <c r="D1834" s="1989" t="s">
        <v>5963</v>
      </c>
      <c r="E1834" s="1989">
        <v>18.68</v>
      </c>
      <c r="F1834" s="38">
        <f t="shared" si="28"/>
        <v>1519.0807632000001</v>
      </c>
      <c r="G1834" s="452"/>
    </row>
    <row r="1835" spans="1:7" outlineLevel="1" x14ac:dyDescent="0.2">
      <c r="C1835" s="1989" t="s">
        <v>2335</v>
      </c>
      <c r="D1835" s="1989" t="s">
        <v>3645</v>
      </c>
      <c r="E1835" s="1989">
        <v>1.1200000000000001</v>
      </c>
      <c r="F1835" s="38">
        <f t="shared" si="28"/>
        <v>91.079788800000017</v>
      </c>
      <c r="G1835" s="452"/>
    </row>
    <row r="1836" spans="1:7" outlineLevel="1" x14ac:dyDescent="0.2">
      <c r="C1836" s="1989" t="s">
        <v>4445</v>
      </c>
      <c r="D1836" s="1989" t="s">
        <v>5964</v>
      </c>
      <c r="E1836" s="1989">
        <v>18.899999999999999</v>
      </c>
      <c r="F1836" s="38">
        <f t="shared" si="28"/>
        <v>1536.9714359999998</v>
      </c>
      <c r="G1836" s="452"/>
    </row>
    <row r="1837" spans="1:7" outlineLevel="1" x14ac:dyDescent="0.2">
      <c r="C1837" s="1989" t="s">
        <v>7802</v>
      </c>
      <c r="D1837" s="1989" t="s">
        <v>7803</v>
      </c>
      <c r="E1837" s="1989">
        <v>10.36</v>
      </c>
      <c r="F1837" s="38">
        <f t="shared" si="28"/>
        <v>842.48804639999992</v>
      </c>
      <c r="G1837" s="452"/>
    </row>
    <row r="1838" spans="1:7" outlineLevel="1" x14ac:dyDescent="0.2">
      <c r="C1838" s="1989" t="s">
        <v>3646</v>
      </c>
      <c r="D1838" s="1989" t="s">
        <v>5965</v>
      </c>
      <c r="E1838" s="1989">
        <v>19.13</v>
      </c>
      <c r="F1838" s="38">
        <f t="shared" si="28"/>
        <v>1555.6753212000001</v>
      </c>
      <c r="G1838" s="452"/>
    </row>
    <row r="1839" spans="1:7" outlineLevel="1" x14ac:dyDescent="0.2">
      <c r="C1839" s="1989" t="s">
        <v>3619</v>
      </c>
      <c r="D1839" s="1989" t="s">
        <v>5966</v>
      </c>
      <c r="E1839" s="1989">
        <v>11.68</v>
      </c>
      <c r="F1839" s="38">
        <f t="shared" si="28"/>
        <v>949.83208320000006</v>
      </c>
      <c r="G1839" s="452"/>
    </row>
    <row r="1840" spans="1:7" outlineLevel="1" x14ac:dyDescent="0.2">
      <c r="C1840" s="1989" t="s">
        <v>4446</v>
      </c>
      <c r="D1840" s="1989" t="s">
        <v>5967</v>
      </c>
      <c r="E1840" s="1989">
        <v>18.57</v>
      </c>
      <c r="F1840" s="38">
        <f t="shared" si="28"/>
        <v>1510.1354268</v>
      </c>
      <c r="G1840" s="452"/>
    </row>
    <row r="1841" spans="3:7" outlineLevel="1" x14ac:dyDescent="0.2">
      <c r="C1841" s="1989" t="s">
        <v>7804</v>
      </c>
      <c r="D1841" s="1989" t="s">
        <v>7805</v>
      </c>
      <c r="E1841" s="1989">
        <v>10.36</v>
      </c>
      <c r="F1841" s="38">
        <f t="shared" si="28"/>
        <v>842.48804639999992</v>
      </c>
      <c r="G1841" s="452"/>
    </row>
    <row r="1842" spans="3:7" outlineLevel="1" x14ac:dyDescent="0.2">
      <c r="C1842" s="1989" t="s">
        <v>6747</v>
      </c>
      <c r="D1842" s="1989" t="s">
        <v>5968</v>
      </c>
      <c r="E1842" s="1989">
        <v>10.210000000000001</v>
      </c>
      <c r="F1842" s="38">
        <f t="shared" si="28"/>
        <v>830.28986040000007</v>
      </c>
      <c r="G1842" s="452"/>
    </row>
    <row r="1843" spans="3:7" outlineLevel="1" x14ac:dyDescent="0.2">
      <c r="C1843" s="1989" t="s">
        <v>6748</v>
      </c>
      <c r="D1843" s="1989" t="s">
        <v>5969</v>
      </c>
      <c r="E1843" s="1989">
        <v>10.210000000000001</v>
      </c>
      <c r="F1843" s="38">
        <f t="shared" si="28"/>
        <v>830.28986040000007</v>
      </c>
      <c r="G1843" s="452"/>
    </row>
    <row r="1844" spans="3:7" outlineLevel="1" x14ac:dyDescent="0.2">
      <c r="C1844" s="1989" t="s">
        <v>2340</v>
      </c>
      <c r="D1844" s="1989" t="s">
        <v>2341</v>
      </c>
      <c r="E1844" s="1989">
        <v>0.44</v>
      </c>
      <c r="F1844" s="38">
        <f t="shared" si="28"/>
        <v>35.781345600000002</v>
      </c>
      <c r="G1844" s="452"/>
    </row>
    <row r="1845" spans="3:7" outlineLevel="1" x14ac:dyDescent="0.2">
      <c r="C1845" s="1989" t="s">
        <v>4447</v>
      </c>
      <c r="D1845" s="1989" t="s">
        <v>5970</v>
      </c>
      <c r="E1845" s="1989">
        <v>29.23</v>
      </c>
      <c r="F1845" s="38">
        <f t="shared" si="28"/>
        <v>2377.0198452000004</v>
      </c>
      <c r="G1845" s="452"/>
    </row>
    <row r="1846" spans="3:7" outlineLevel="1" x14ac:dyDescent="0.2">
      <c r="C1846" s="1989" t="s">
        <v>4600</v>
      </c>
      <c r="D1846" s="1989" t="s">
        <v>5971</v>
      </c>
      <c r="E1846" s="1989">
        <v>29.23</v>
      </c>
      <c r="F1846" s="38">
        <f t="shared" si="28"/>
        <v>2377.0198452000004</v>
      </c>
      <c r="G1846" s="452"/>
    </row>
    <row r="1847" spans="3:7" outlineLevel="1" x14ac:dyDescent="0.2">
      <c r="C1847" s="1989" t="s">
        <v>4448</v>
      </c>
      <c r="D1847" s="1989" t="s">
        <v>5972</v>
      </c>
      <c r="E1847" s="1989">
        <v>29.23</v>
      </c>
      <c r="F1847" s="38">
        <f t="shared" si="28"/>
        <v>2377.0198452000004</v>
      </c>
      <c r="G1847" s="452"/>
    </row>
    <row r="1848" spans="3:7" outlineLevel="1" x14ac:dyDescent="0.2">
      <c r="C1848" s="1989" t="s">
        <v>4449</v>
      </c>
      <c r="D1848" s="1989" t="s">
        <v>5973</v>
      </c>
      <c r="E1848" s="1989">
        <v>29.58</v>
      </c>
      <c r="F1848" s="38">
        <f t="shared" si="28"/>
        <v>2405.4822792</v>
      </c>
      <c r="G1848" s="452"/>
    </row>
    <row r="1849" spans="3:7" outlineLevel="1" x14ac:dyDescent="0.2">
      <c r="C1849" s="1989" t="s">
        <v>3012</v>
      </c>
      <c r="D1849" s="1989" t="s">
        <v>5974</v>
      </c>
      <c r="E1849" s="1989">
        <v>10.029999999999999</v>
      </c>
      <c r="F1849" s="38">
        <f t="shared" si="28"/>
        <v>815.6520372</v>
      </c>
      <c r="G1849" s="452"/>
    </row>
    <row r="1850" spans="3:7" outlineLevel="1" x14ac:dyDescent="0.2">
      <c r="C1850" s="1989" t="s">
        <v>3647</v>
      </c>
      <c r="D1850" s="1989" t="s">
        <v>5975</v>
      </c>
      <c r="E1850" s="1989">
        <v>29.95</v>
      </c>
      <c r="F1850" s="38">
        <f t="shared" si="28"/>
        <v>2435.5711380000002</v>
      </c>
      <c r="G1850" s="452"/>
    </row>
    <row r="1851" spans="3:7" outlineLevel="1" x14ac:dyDescent="0.2">
      <c r="C1851" s="1989" t="s">
        <v>4450</v>
      </c>
      <c r="D1851" s="1989" t="s">
        <v>5976</v>
      </c>
      <c r="E1851" s="1989">
        <v>29.1</v>
      </c>
      <c r="F1851" s="38">
        <f t="shared" si="28"/>
        <v>2366.4480840000001</v>
      </c>
      <c r="G1851" s="452"/>
    </row>
    <row r="1852" spans="3:7" outlineLevel="1" x14ac:dyDescent="0.2">
      <c r="C1852" s="1989" t="s">
        <v>3618</v>
      </c>
      <c r="D1852" s="1989" t="s">
        <v>5977</v>
      </c>
      <c r="E1852" s="1989">
        <v>9.75</v>
      </c>
      <c r="F1852" s="38">
        <f t="shared" si="28"/>
        <v>792.88209000000006</v>
      </c>
      <c r="G1852" s="452"/>
    </row>
    <row r="1853" spans="3:7" outlineLevel="1" x14ac:dyDescent="0.2">
      <c r="C1853" s="1989" t="s">
        <v>4451</v>
      </c>
      <c r="D1853" s="1989" t="s">
        <v>7806</v>
      </c>
      <c r="E1853" s="1989">
        <v>49.94</v>
      </c>
      <c r="F1853" s="38">
        <f t="shared" si="28"/>
        <v>4061.1827256000001</v>
      </c>
      <c r="G1853" s="452"/>
    </row>
    <row r="1854" spans="3:7" outlineLevel="1" x14ac:dyDescent="0.2">
      <c r="C1854" s="1989" t="s">
        <v>3013</v>
      </c>
      <c r="D1854" s="1989" t="s">
        <v>3014</v>
      </c>
      <c r="E1854" s="1989">
        <v>0.51</v>
      </c>
      <c r="F1854" s="38">
        <f t="shared" si="28"/>
        <v>41.473832399999999</v>
      </c>
      <c r="G1854" s="452"/>
    </row>
    <row r="1855" spans="3:7" outlineLevel="1" x14ac:dyDescent="0.2">
      <c r="C1855" s="1989" t="s">
        <v>3617</v>
      </c>
      <c r="D1855" s="1989" t="s">
        <v>5978</v>
      </c>
      <c r="E1855" s="1989">
        <v>9.75</v>
      </c>
      <c r="F1855" s="38">
        <f t="shared" si="28"/>
        <v>792.88209000000006</v>
      </c>
      <c r="G1855" s="452"/>
    </row>
    <row r="1856" spans="3:7" outlineLevel="1" x14ac:dyDescent="0.2">
      <c r="C1856" s="1989" t="s">
        <v>4452</v>
      </c>
      <c r="D1856" s="1989" t="s">
        <v>7807</v>
      </c>
      <c r="E1856" s="1989">
        <v>50.37</v>
      </c>
      <c r="F1856" s="38">
        <f t="shared" si="28"/>
        <v>4096.1508587999997</v>
      </c>
      <c r="G1856" s="452"/>
    </row>
    <row r="1857" spans="3:7" outlineLevel="1" x14ac:dyDescent="0.2">
      <c r="C1857" s="1989" t="s">
        <v>3015</v>
      </c>
      <c r="D1857" s="1989" t="s">
        <v>3016</v>
      </c>
      <c r="E1857" s="1989">
        <v>1.1200000000000001</v>
      </c>
      <c r="F1857" s="38">
        <f t="shared" si="28"/>
        <v>91.079788800000017</v>
      </c>
      <c r="G1857" s="452"/>
    </row>
    <row r="1858" spans="3:7" outlineLevel="1" x14ac:dyDescent="0.2">
      <c r="C1858" s="1989" t="s">
        <v>4601</v>
      </c>
      <c r="D1858" s="1989" t="s">
        <v>5979</v>
      </c>
      <c r="E1858" s="1989">
        <v>23.54</v>
      </c>
      <c r="F1858" s="38">
        <f t="shared" si="28"/>
        <v>1914.3019896000001</v>
      </c>
      <c r="G1858" s="452"/>
    </row>
    <row r="1859" spans="3:7" outlineLevel="1" x14ac:dyDescent="0.2">
      <c r="C1859" s="1989" t="s">
        <v>4602</v>
      </c>
      <c r="D1859" s="1989" t="s">
        <v>5980</v>
      </c>
      <c r="E1859" s="1989">
        <v>24.2</v>
      </c>
      <c r="F1859" s="38">
        <f t="shared" si="28"/>
        <v>1967.9740080000001</v>
      </c>
      <c r="G1859" s="452"/>
    </row>
    <row r="1860" spans="3:7" outlineLevel="1" x14ac:dyDescent="0.2">
      <c r="C1860" s="1989" t="s">
        <v>2345</v>
      </c>
      <c r="D1860" s="1989" t="s">
        <v>5981</v>
      </c>
      <c r="E1860" s="1989">
        <v>0.51</v>
      </c>
      <c r="F1860" s="38">
        <f t="shared" si="28"/>
        <v>41.473832399999999</v>
      </c>
      <c r="G1860" s="452"/>
    </row>
    <row r="1861" spans="3:7" outlineLevel="1" x14ac:dyDescent="0.2">
      <c r="C1861" s="1989" t="s">
        <v>3017</v>
      </c>
      <c r="D1861" s="1989" t="s">
        <v>5982</v>
      </c>
      <c r="E1861" s="1989">
        <v>10.029999999999999</v>
      </c>
      <c r="F1861" s="38">
        <f t="shared" si="28"/>
        <v>815.6520372</v>
      </c>
      <c r="G1861" s="452"/>
    </row>
    <row r="1862" spans="3:7" outlineLevel="1" x14ac:dyDescent="0.2">
      <c r="C1862" s="1989" t="s">
        <v>3018</v>
      </c>
      <c r="D1862" s="1989" t="s">
        <v>7808</v>
      </c>
      <c r="E1862" s="1989">
        <v>5.2</v>
      </c>
      <c r="F1862" s="38">
        <f t="shared" si="28"/>
        <v>422.87044800000007</v>
      </c>
      <c r="G1862" s="452"/>
    </row>
    <row r="1863" spans="3:7" outlineLevel="1" x14ac:dyDescent="0.2">
      <c r="C1863" s="1989" t="s">
        <v>3743</v>
      </c>
      <c r="D1863" s="1989" t="s">
        <v>5983</v>
      </c>
      <c r="E1863" s="1989">
        <v>19.13</v>
      </c>
      <c r="F1863" s="38">
        <f t="shared" si="28"/>
        <v>1555.6753212000001</v>
      </c>
      <c r="G1863" s="452"/>
    </row>
    <row r="1864" spans="3:7" outlineLevel="1" x14ac:dyDescent="0.2">
      <c r="C1864" s="1989" t="s">
        <v>3648</v>
      </c>
      <c r="D1864" s="1989" t="s">
        <v>7809</v>
      </c>
      <c r="E1864" s="1989">
        <v>15.78</v>
      </c>
      <c r="F1864" s="38">
        <f t="shared" si="28"/>
        <v>1283.2491672000001</v>
      </c>
      <c r="G1864" s="452"/>
    </row>
    <row r="1865" spans="3:7" outlineLevel="1" x14ac:dyDescent="0.2">
      <c r="C1865" s="1989" t="s">
        <v>4453</v>
      </c>
      <c r="D1865" s="1989" t="s">
        <v>5984</v>
      </c>
      <c r="E1865" s="1989">
        <v>19.350000000000001</v>
      </c>
      <c r="F1865" s="38">
        <f t="shared" si="28"/>
        <v>1573.5659940000003</v>
      </c>
      <c r="G1865" s="452"/>
    </row>
    <row r="1866" spans="3:7" outlineLevel="1" x14ac:dyDescent="0.2">
      <c r="C1866" s="1989" t="s">
        <v>4395</v>
      </c>
      <c r="D1866" s="1989" t="s">
        <v>7810</v>
      </c>
      <c r="E1866" s="1989">
        <v>50.94</v>
      </c>
      <c r="F1866" s="38">
        <f t="shared" si="28"/>
        <v>4142.5039655999999</v>
      </c>
      <c r="G1866" s="452"/>
    </row>
    <row r="1867" spans="3:7" outlineLevel="1" x14ac:dyDescent="0.2">
      <c r="C1867" s="1989" t="s">
        <v>4397</v>
      </c>
      <c r="D1867" s="1989" t="s">
        <v>7811</v>
      </c>
      <c r="E1867" s="1989">
        <v>72.62</v>
      </c>
      <c r="F1867" s="38">
        <f t="shared" si="28"/>
        <v>5905.5484488000011</v>
      </c>
      <c r="G1867" s="452"/>
    </row>
    <row r="1868" spans="3:7" outlineLevel="1" x14ac:dyDescent="0.2">
      <c r="C1868" s="1989" t="s">
        <v>4399</v>
      </c>
      <c r="D1868" s="1989" t="s">
        <v>7812</v>
      </c>
      <c r="E1868" s="1989">
        <v>39.35</v>
      </c>
      <c r="F1868" s="38">
        <f t="shared" si="28"/>
        <v>3199.9907940000003</v>
      </c>
      <c r="G1868" s="452"/>
    </row>
    <row r="1869" spans="3:7" outlineLevel="1" x14ac:dyDescent="0.2">
      <c r="C1869" s="1989" t="s">
        <v>3745</v>
      </c>
      <c r="D1869" s="1989" t="s">
        <v>7813</v>
      </c>
      <c r="E1869" s="1989">
        <v>46.67</v>
      </c>
      <c r="F1869" s="38">
        <f t="shared" si="28"/>
        <v>3795.2622708000004</v>
      </c>
      <c r="G1869" s="452"/>
    </row>
    <row r="1870" spans="3:7" outlineLevel="1" x14ac:dyDescent="0.2">
      <c r="C1870" s="1989" t="s">
        <v>4402</v>
      </c>
      <c r="D1870" s="1989" t="s">
        <v>7814</v>
      </c>
      <c r="E1870" s="1989">
        <v>69.61</v>
      </c>
      <c r="F1870" s="38">
        <f t="shared" si="28"/>
        <v>5660.7715164000001</v>
      </c>
      <c r="G1870" s="452"/>
    </row>
    <row r="1871" spans="3:7" outlineLevel="1" x14ac:dyDescent="0.2">
      <c r="C1871" s="1989" t="s">
        <v>3746</v>
      </c>
      <c r="D1871" s="1989" t="s">
        <v>7815</v>
      </c>
      <c r="E1871" s="1989">
        <v>35.39</v>
      </c>
      <c r="F1871" s="38">
        <f t="shared" si="28"/>
        <v>2877.9586835999999</v>
      </c>
      <c r="G1871" s="452"/>
    </row>
    <row r="1872" spans="3:7" outlineLevel="1" x14ac:dyDescent="0.2">
      <c r="C1872" s="1989" t="s">
        <v>3747</v>
      </c>
      <c r="D1872" s="1989" t="s">
        <v>7816</v>
      </c>
      <c r="E1872" s="1989">
        <v>36.85</v>
      </c>
      <c r="F1872" s="38">
        <f t="shared" si="28"/>
        <v>2996.6876940000002</v>
      </c>
      <c r="G1872" s="452"/>
    </row>
    <row r="1873" spans="3:7" outlineLevel="1" x14ac:dyDescent="0.2">
      <c r="C1873" s="1989" t="s">
        <v>4603</v>
      </c>
      <c r="D1873" s="1989" t="s">
        <v>5985</v>
      </c>
      <c r="E1873" s="1989">
        <v>48.52</v>
      </c>
      <c r="F1873" s="38">
        <f t="shared" si="28"/>
        <v>3945.7065648000007</v>
      </c>
      <c r="G1873" s="452"/>
    </row>
    <row r="1874" spans="3:7" outlineLevel="1" x14ac:dyDescent="0.2">
      <c r="C1874" s="1989" t="s">
        <v>6749</v>
      </c>
      <c r="D1874" s="1989" t="s">
        <v>5986</v>
      </c>
      <c r="E1874" s="1989">
        <v>5.84</v>
      </c>
      <c r="F1874" s="38">
        <f t="shared" si="28"/>
        <v>474.91604160000003</v>
      </c>
      <c r="G1874" s="452"/>
    </row>
    <row r="1875" spans="3:7" outlineLevel="1" x14ac:dyDescent="0.2">
      <c r="C1875" s="1989" t="s">
        <v>3588</v>
      </c>
      <c r="D1875" s="1989" t="s">
        <v>3607</v>
      </c>
      <c r="E1875" s="1989">
        <v>1</v>
      </c>
      <c r="F1875" s="38">
        <f t="shared" si="28"/>
        <v>81.321240000000003</v>
      </c>
      <c r="G1875" s="452"/>
    </row>
    <row r="1876" spans="3:7" outlineLevel="1" x14ac:dyDescent="0.2">
      <c r="C1876" s="1989" t="s">
        <v>6750</v>
      </c>
      <c r="D1876" s="1989" t="s">
        <v>5987</v>
      </c>
      <c r="E1876" s="1989">
        <v>5.84</v>
      </c>
      <c r="F1876" s="38">
        <f t="shared" si="28"/>
        <v>474.91604160000003</v>
      </c>
      <c r="G1876" s="452"/>
    </row>
    <row r="1877" spans="3:7" outlineLevel="1" x14ac:dyDescent="0.2">
      <c r="C1877" s="1989" t="s">
        <v>2269</v>
      </c>
      <c r="D1877" s="1989" t="s">
        <v>3019</v>
      </c>
      <c r="E1877" s="1989">
        <v>7.04</v>
      </c>
      <c r="F1877" s="38">
        <f t="shared" si="28"/>
        <v>572.50152960000003</v>
      </c>
      <c r="G1877" s="452"/>
    </row>
    <row r="1878" spans="3:7" outlineLevel="1" x14ac:dyDescent="0.2">
      <c r="C1878" s="1989" t="s">
        <v>3649</v>
      </c>
      <c r="D1878" s="1989" t="s">
        <v>7817</v>
      </c>
      <c r="E1878" s="1989">
        <v>8.89</v>
      </c>
      <c r="F1878" s="38">
        <f t="shared" si="28"/>
        <v>722.94582360000015</v>
      </c>
      <c r="G1878" s="452"/>
    </row>
    <row r="1879" spans="3:7" outlineLevel="1" x14ac:dyDescent="0.2">
      <c r="C1879" s="1989" t="s">
        <v>3020</v>
      </c>
      <c r="D1879" s="1989" t="s">
        <v>7818</v>
      </c>
      <c r="E1879" s="1989">
        <v>4.7699999999999996</v>
      </c>
      <c r="F1879" s="38">
        <f t="shared" si="28"/>
        <v>387.9023148</v>
      </c>
      <c r="G1879" s="452"/>
    </row>
    <row r="1880" spans="3:7" outlineLevel="1" x14ac:dyDescent="0.2">
      <c r="C1880" s="1989" t="s">
        <v>3021</v>
      </c>
      <c r="D1880" s="1989" t="s">
        <v>3022</v>
      </c>
      <c r="E1880" s="1989">
        <v>0.51</v>
      </c>
      <c r="F1880" s="38">
        <f t="shared" si="28"/>
        <v>41.473832399999999</v>
      </c>
      <c r="G1880" s="452"/>
    </row>
    <row r="1881" spans="3:7" outlineLevel="1" x14ac:dyDescent="0.2">
      <c r="C1881" s="1989" t="s">
        <v>7819</v>
      </c>
      <c r="D1881" s="1989" t="s">
        <v>7820</v>
      </c>
      <c r="E1881" s="1989">
        <v>12</v>
      </c>
      <c r="F1881" s="38">
        <f t="shared" si="28"/>
        <v>975.85487999999998</v>
      </c>
      <c r="G1881" s="452"/>
    </row>
    <row r="1882" spans="3:7" outlineLevel="1" x14ac:dyDescent="0.2">
      <c r="C1882" s="1989" t="s">
        <v>7821</v>
      </c>
      <c r="D1882" s="1989" t="s">
        <v>7822</v>
      </c>
      <c r="E1882" s="1989">
        <v>12</v>
      </c>
      <c r="F1882" s="38">
        <f t="shared" ref="F1882:F1945" si="29">E1882*$G$4*$J$4</f>
        <v>975.85487999999998</v>
      </c>
      <c r="G1882" s="452"/>
    </row>
    <row r="1883" spans="3:7" outlineLevel="1" x14ac:dyDescent="0.2">
      <c r="C1883" s="1989" t="s">
        <v>6751</v>
      </c>
      <c r="D1883" s="1989" t="s">
        <v>5988</v>
      </c>
      <c r="E1883" s="1989">
        <v>6.95</v>
      </c>
      <c r="F1883" s="38">
        <f t="shared" si="29"/>
        <v>565.18261800000005</v>
      </c>
      <c r="G1883" s="452"/>
    </row>
    <row r="1884" spans="3:7" outlineLevel="1" x14ac:dyDescent="0.2">
      <c r="C1884" s="1989" t="s">
        <v>6752</v>
      </c>
      <c r="D1884" s="1989" t="s">
        <v>5989</v>
      </c>
      <c r="E1884" s="1989">
        <v>6.95</v>
      </c>
      <c r="F1884" s="38">
        <f t="shared" si="29"/>
        <v>565.18261800000005</v>
      </c>
      <c r="G1884" s="452"/>
    </row>
    <row r="1885" spans="3:7" outlineLevel="1" x14ac:dyDescent="0.2">
      <c r="C1885" s="1989" t="s">
        <v>3023</v>
      </c>
      <c r="D1885" s="1989" t="s">
        <v>5990</v>
      </c>
      <c r="E1885" s="1989">
        <v>1.1200000000000001</v>
      </c>
      <c r="F1885" s="38">
        <f t="shared" si="29"/>
        <v>91.079788800000017</v>
      </c>
      <c r="G1885" s="452"/>
    </row>
    <row r="1886" spans="3:7" outlineLevel="1" x14ac:dyDescent="0.2">
      <c r="C1886" s="1989" t="s">
        <v>3024</v>
      </c>
      <c r="D1886" s="1989" t="s">
        <v>7823</v>
      </c>
      <c r="E1886" s="1989">
        <v>2.71</v>
      </c>
      <c r="F1886" s="38">
        <f t="shared" si="29"/>
        <v>220.38056040000001</v>
      </c>
      <c r="G1886" s="452"/>
    </row>
    <row r="1887" spans="3:7" outlineLevel="1" x14ac:dyDescent="0.2">
      <c r="C1887" s="1989" t="s">
        <v>2280</v>
      </c>
      <c r="D1887" s="1989" t="s">
        <v>5991</v>
      </c>
      <c r="E1887" s="1989">
        <v>5.75</v>
      </c>
      <c r="F1887" s="38">
        <f t="shared" si="29"/>
        <v>467.59712999999999</v>
      </c>
      <c r="G1887" s="452"/>
    </row>
    <row r="1888" spans="3:7" outlineLevel="1" x14ac:dyDescent="0.2">
      <c r="C1888" s="1989" t="s">
        <v>2281</v>
      </c>
      <c r="D1888" s="1989" t="s">
        <v>5992</v>
      </c>
      <c r="E1888" s="1989">
        <v>5.75</v>
      </c>
      <c r="F1888" s="38">
        <f t="shared" si="29"/>
        <v>467.59712999999999</v>
      </c>
      <c r="G1888" s="452"/>
    </row>
    <row r="1889" spans="3:7" outlineLevel="1" x14ac:dyDescent="0.2">
      <c r="C1889" s="1989" t="s">
        <v>2361</v>
      </c>
      <c r="D1889" s="1989" t="s">
        <v>7824</v>
      </c>
      <c r="E1889" s="1989">
        <v>0.11</v>
      </c>
      <c r="F1889" s="38">
        <f t="shared" si="29"/>
        <v>8.9453364000000004</v>
      </c>
      <c r="G1889" s="452"/>
    </row>
    <row r="1890" spans="3:7" outlineLevel="1" x14ac:dyDescent="0.2">
      <c r="C1890" s="1989" t="s">
        <v>3650</v>
      </c>
      <c r="D1890" s="1989" t="s">
        <v>7825</v>
      </c>
      <c r="E1890" s="1989">
        <v>17.82</v>
      </c>
      <c r="F1890" s="38">
        <f t="shared" si="29"/>
        <v>1449.1444968000001</v>
      </c>
      <c r="G1890" s="452"/>
    </row>
    <row r="1891" spans="3:7" outlineLevel="1" x14ac:dyDescent="0.2">
      <c r="C1891" s="1989" t="s">
        <v>4077</v>
      </c>
      <c r="D1891" s="1989" t="s">
        <v>7826</v>
      </c>
      <c r="E1891" s="1989">
        <v>21.28</v>
      </c>
      <c r="F1891" s="38">
        <f t="shared" si="29"/>
        <v>1730.5159872000002</v>
      </c>
      <c r="G1891" s="452"/>
    </row>
    <row r="1892" spans="3:7" outlineLevel="1" x14ac:dyDescent="0.2">
      <c r="C1892" s="1989" t="s">
        <v>4078</v>
      </c>
      <c r="D1892" s="1989" t="s">
        <v>5993</v>
      </c>
      <c r="E1892" s="1989">
        <v>21.28</v>
      </c>
      <c r="F1892" s="38">
        <f t="shared" si="29"/>
        <v>1730.5159872000002</v>
      </c>
      <c r="G1892" s="452"/>
    </row>
    <row r="1893" spans="3:7" outlineLevel="1" x14ac:dyDescent="0.2">
      <c r="C1893" s="1989" t="s">
        <v>3651</v>
      </c>
      <c r="D1893" s="1989" t="s">
        <v>5994</v>
      </c>
      <c r="E1893" s="1989">
        <v>17.82</v>
      </c>
      <c r="F1893" s="38">
        <f t="shared" si="29"/>
        <v>1449.1444968000001</v>
      </c>
      <c r="G1893" s="459"/>
    </row>
    <row r="1894" spans="3:7" outlineLevel="1" x14ac:dyDescent="0.2">
      <c r="C1894" s="1989" t="s">
        <v>3652</v>
      </c>
      <c r="D1894" s="1989" t="s">
        <v>7827</v>
      </c>
      <c r="E1894" s="1989">
        <v>15.78</v>
      </c>
      <c r="F1894" s="38">
        <f t="shared" si="29"/>
        <v>1283.2491672000001</v>
      </c>
      <c r="G1894" s="459"/>
    </row>
    <row r="1895" spans="3:7" outlineLevel="1" x14ac:dyDescent="0.2">
      <c r="C1895" s="1989" t="s">
        <v>2287</v>
      </c>
      <c r="D1895" s="1989" t="s">
        <v>5995</v>
      </c>
      <c r="E1895" s="1989">
        <v>9.89</v>
      </c>
      <c r="F1895" s="38">
        <f t="shared" si="29"/>
        <v>804.26706360000003</v>
      </c>
      <c r="G1895" s="459"/>
    </row>
    <row r="1896" spans="3:7" outlineLevel="1" x14ac:dyDescent="0.2">
      <c r="C1896" s="1989" t="s">
        <v>6753</v>
      </c>
      <c r="D1896" s="1989" t="s">
        <v>5996</v>
      </c>
      <c r="E1896" s="1989">
        <v>12</v>
      </c>
      <c r="F1896" s="38">
        <f t="shared" si="29"/>
        <v>975.85487999999998</v>
      </c>
      <c r="G1896" s="459"/>
    </row>
    <row r="1897" spans="3:7" outlineLevel="1" x14ac:dyDescent="0.2">
      <c r="C1897" s="1989" t="s">
        <v>6754</v>
      </c>
      <c r="D1897" s="1989" t="s">
        <v>5997</v>
      </c>
      <c r="E1897" s="1989">
        <v>12</v>
      </c>
      <c r="F1897" s="38">
        <f t="shared" si="29"/>
        <v>975.85487999999998</v>
      </c>
      <c r="G1897" s="459"/>
    </row>
    <row r="1898" spans="3:7" outlineLevel="1" x14ac:dyDescent="0.2">
      <c r="C1898" s="1989" t="s">
        <v>3025</v>
      </c>
      <c r="D1898" s="1989" t="s">
        <v>3026</v>
      </c>
      <c r="E1898" s="1989">
        <v>0.51</v>
      </c>
      <c r="F1898" s="38">
        <f t="shared" si="29"/>
        <v>41.473832399999999</v>
      </c>
      <c r="G1898" s="459"/>
    </row>
    <row r="1899" spans="3:7" outlineLevel="1" x14ac:dyDescent="0.2">
      <c r="C1899" s="1989" t="s">
        <v>2290</v>
      </c>
      <c r="D1899" s="1989" t="s">
        <v>5998</v>
      </c>
      <c r="E1899" s="1989">
        <v>9.89</v>
      </c>
      <c r="F1899" s="38">
        <f t="shared" si="29"/>
        <v>804.26706360000003</v>
      </c>
      <c r="G1899" s="459"/>
    </row>
    <row r="1900" spans="3:7" outlineLevel="1" x14ac:dyDescent="0.2">
      <c r="C1900" s="1989" t="s">
        <v>2291</v>
      </c>
      <c r="D1900" s="1989" t="s">
        <v>2292</v>
      </c>
      <c r="E1900" s="1989">
        <v>0.59</v>
      </c>
      <c r="F1900" s="38">
        <f t="shared" si="29"/>
        <v>47.979531600000001</v>
      </c>
      <c r="G1900" s="459"/>
    </row>
    <row r="1901" spans="3:7" outlineLevel="1" x14ac:dyDescent="0.2">
      <c r="C1901" s="1989" t="s">
        <v>3653</v>
      </c>
      <c r="D1901" s="1989" t="s">
        <v>5999</v>
      </c>
      <c r="E1901" s="1989">
        <v>6.76</v>
      </c>
      <c r="F1901" s="38">
        <f t="shared" si="29"/>
        <v>549.73158240000009</v>
      </c>
      <c r="G1901" s="459"/>
    </row>
    <row r="1902" spans="3:7" outlineLevel="1" x14ac:dyDescent="0.2">
      <c r="C1902" s="1989" t="s">
        <v>3654</v>
      </c>
      <c r="D1902" s="1989" t="s">
        <v>6000</v>
      </c>
      <c r="E1902" s="1989">
        <v>6.76</v>
      </c>
      <c r="F1902" s="38">
        <f t="shared" si="29"/>
        <v>549.73158240000009</v>
      </c>
      <c r="G1902" s="459"/>
    </row>
    <row r="1903" spans="3:7" outlineLevel="1" x14ac:dyDescent="0.2">
      <c r="C1903" s="1989" t="s">
        <v>2368</v>
      </c>
      <c r="D1903" s="1989" t="s">
        <v>6001</v>
      </c>
      <c r="E1903" s="1989">
        <v>7.06</v>
      </c>
      <c r="F1903" s="38">
        <f t="shared" si="29"/>
        <v>574.12795440000002</v>
      </c>
      <c r="G1903" s="459"/>
    </row>
    <row r="1904" spans="3:7" outlineLevel="1" x14ac:dyDescent="0.2">
      <c r="C1904" s="1989" t="s">
        <v>6755</v>
      </c>
      <c r="D1904" s="1989" t="s">
        <v>6002</v>
      </c>
      <c r="E1904" s="1989">
        <v>10.17</v>
      </c>
      <c r="F1904" s="38">
        <f t="shared" si="29"/>
        <v>827.03701079999996</v>
      </c>
      <c r="G1904" s="459"/>
    </row>
    <row r="1905" spans="3:7" outlineLevel="1" x14ac:dyDescent="0.2">
      <c r="C1905" s="1989" t="s">
        <v>6756</v>
      </c>
      <c r="D1905" s="1989" t="s">
        <v>6003</v>
      </c>
      <c r="E1905" s="1989">
        <v>10.17</v>
      </c>
      <c r="F1905" s="38">
        <f t="shared" si="29"/>
        <v>827.03701079999996</v>
      </c>
      <c r="G1905" s="459"/>
    </row>
    <row r="1906" spans="3:7" outlineLevel="1" x14ac:dyDescent="0.2">
      <c r="C1906" s="1989" t="s">
        <v>3027</v>
      </c>
      <c r="D1906" s="1989" t="s">
        <v>6004</v>
      </c>
      <c r="E1906" s="1989">
        <v>5.65</v>
      </c>
      <c r="F1906" s="38">
        <f t="shared" si="29"/>
        <v>459.46500600000007</v>
      </c>
      <c r="G1906" s="459"/>
    </row>
    <row r="1907" spans="3:7" outlineLevel="1" x14ac:dyDescent="0.2">
      <c r="C1907" s="1989" t="s">
        <v>2294</v>
      </c>
      <c r="D1907" s="1989" t="s">
        <v>6005</v>
      </c>
      <c r="E1907" s="1989">
        <v>18.350000000000001</v>
      </c>
      <c r="F1907" s="38">
        <f t="shared" si="29"/>
        <v>1492.2447540000001</v>
      </c>
      <c r="G1907" s="459"/>
    </row>
    <row r="1908" spans="3:7" outlineLevel="1" x14ac:dyDescent="0.2">
      <c r="C1908" s="1989" t="s">
        <v>3028</v>
      </c>
      <c r="D1908" s="1989" t="s">
        <v>6006</v>
      </c>
      <c r="E1908" s="1989">
        <v>5.65</v>
      </c>
      <c r="F1908" s="38">
        <f t="shared" si="29"/>
        <v>459.46500600000007</v>
      </c>
      <c r="G1908" s="459"/>
    </row>
    <row r="1909" spans="3:7" outlineLevel="1" x14ac:dyDescent="0.2">
      <c r="C1909" s="1989" t="s">
        <v>3655</v>
      </c>
      <c r="D1909" s="1989" t="s">
        <v>3656</v>
      </c>
      <c r="E1909" s="1989">
        <v>30.39</v>
      </c>
      <c r="F1909" s="38">
        <f t="shared" si="29"/>
        <v>2471.3524836000001</v>
      </c>
      <c r="G1909" s="459"/>
    </row>
    <row r="1910" spans="3:7" outlineLevel="1" x14ac:dyDescent="0.2">
      <c r="C1910" s="1989" t="s">
        <v>3029</v>
      </c>
      <c r="D1910" s="1989" t="s">
        <v>7828</v>
      </c>
      <c r="E1910" s="1989">
        <v>9.02</v>
      </c>
      <c r="F1910" s="38">
        <f t="shared" si="29"/>
        <v>733.51758480000001</v>
      </c>
      <c r="G1910" s="459"/>
    </row>
    <row r="1911" spans="3:7" outlineLevel="1" x14ac:dyDescent="0.2">
      <c r="C1911" s="1989" t="s">
        <v>3030</v>
      </c>
      <c r="D1911" s="1989" t="s">
        <v>7829</v>
      </c>
      <c r="E1911" s="1989">
        <v>4.54</v>
      </c>
      <c r="F1911" s="38">
        <f t="shared" si="29"/>
        <v>369.1984296</v>
      </c>
      <c r="G1911" s="459"/>
    </row>
    <row r="1912" spans="3:7" outlineLevel="1" x14ac:dyDescent="0.2">
      <c r="C1912" s="1989" t="s">
        <v>2369</v>
      </c>
      <c r="D1912" s="1989" t="s">
        <v>6007</v>
      </c>
      <c r="E1912" s="1989">
        <v>7.06</v>
      </c>
      <c r="F1912" s="38">
        <f t="shared" si="29"/>
        <v>574.12795440000002</v>
      </c>
      <c r="G1912" s="459"/>
    </row>
    <row r="1913" spans="3:7" outlineLevel="1" x14ac:dyDescent="0.2">
      <c r="C1913" s="1989" t="s">
        <v>3031</v>
      </c>
      <c r="D1913" s="1989" t="s">
        <v>3032</v>
      </c>
      <c r="E1913" s="1989">
        <v>0.55000000000000004</v>
      </c>
      <c r="F1913" s="38">
        <f t="shared" si="29"/>
        <v>44.726682000000004</v>
      </c>
      <c r="G1913" s="459"/>
    </row>
    <row r="1914" spans="3:7" outlineLevel="1" x14ac:dyDescent="0.2">
      <c r="C1914" s="1989" t="s">
        <v>3033</v>
      </c>
      <c r="D1914" s="1989" t="s">
        <v>6008</v>
      </c>
      <c r="E1914" s="1989">
        <v>9.75</v>
      </c>
      <c r="F1914" s="38">
        <f t="shared" si="29"/>
        <v>792.88209000000006</v>
      </c>
      <c r="G1914" s="459"/>
    </row>
    <row r="1915" spans="3:7" outlineLevel="1" x14ac:dyDescent="0.2">
      <c r="C1915" s="1989" t="s">
        <v>3034</v>
      </c>
      <c r="D1915" s="1989" t="s">
        <v>6009</v>
      </c>
      <c r="E1915" s="1989">
        <v>9.75</v>
      </c>
      <c r="F1915" s="38">
        <f t="shared" si="29"/>
        <v>792.88209000000006</v>
      </c>
      <c r="G1915" s="459"/>
    </row>
    <row r="1916" spans="3:7" outlineLevel="1" x14ac:dyDescent="0.2">
      <c r="C1916" s="1989" t="s">
        <v>2296</v>
      </c>
      <c r="D1916" s="1989" t="s">
        <v>7830</v>
      </c>
      <c r="E1916" s="1989">
        <v>18.350000000000001</v>
      </c>
      <c r="F1916" s="38">
        <f t="shared" si="29"/>
        <v>1492.2447540000001</v>
      </c>
      <c r="G1916" s="459"/>
    </row>
    <row r="1917" spans="3:7" outlineLevel="1" x14ac:dyDescent="0.2">
      <c r="C1917" s="1989" t="s">
        <v>2371</v>
      </c>
      <c r="D1917" s="1989" t="s">
        <v>6010</v>
      </c>
      <c r="E1917" s="1989">
        <v>0.45</v>
      </c>
      <c r="F1917" s="38">
        <f t="shared" si="29"/>
        <v>36.594558000000006</v>
      </c>
      <c r="G1917" s="459"/>
    </row>
    <row r="1918" spans="3:7" outlineLevel="1" x14ac:dyDescent="0.2">
      <c r="C1918" s="1989" t="s">
        <v>3587</v>
      </c>
      <c r="D1918" s="1989" t="s">
        <v>6011</v>
      </c>
      <c r="E1918" s="1989">
        <v>1.1000000000000001</v>
      </c>
      <c r="F1918" s="38">
        <f t="shared" si="29"/>
        <v>89.453364000000008</v>
      </c>
      <c r="G1918" s="459"/>
    </row>
    <row r="1919" spans="3:7" outlineLevel="1" x14ac:dyDescent="0.2">
      <c r="C1919" s="1989" t="s">
        <v>4604</v>
      </c>
      <c r="D1919" s="1989" t="s">
        <v>4605</v>
      </c>
      <c r="E1919" s="1989">
        <v>30.83</v>
      </c>
      <c r="F1919" s="38">
        <f t="shared" si="29"/>
        <v>2507.1338292</v>
      </c>
      <c r="G1919" s="459"/>
    </row>
    <row r="1920" spans="3:7" outlineLevel="1" x14ac:dyDescent="0.2">
      <c r="C1920" s="1989" t="s">
        <v>3657</v>
      </c>
      <c r="D1920" s="1989" t="s">
        <v>3658</v>
      </c>
      <c r="E1920" s="1989">
        <v>22.68</v>
      </c>
      <c r="F1920" s="38">
        <f t="shared" si="29"/>
        <v>1844.3657232</v>
      </c>
      <c r="G1920" s="459"/>
    </row>
    <row r="1921" spans="3:7" outlineLevel="1" x14ac:dyDescent="0.2">
      <c r="C1921" s="1989" t="s">
        <v>3035</v>
      </c>
      <c r="D1921" s="1989" t="s">
        <v>6012</v>
      </c>
      <c r="E1921" s="1989">
        <v>0.55000000000000004</v>
      </c>
      <c r="F1921" s="38">
        <f t="shared" si="29"/>
        <v>44.726682000000004</v>
      </c>
      <c r="G1921" s="459"/>
    </row>
    <row r="1922" spans="3:7" outlineLevel="1" x14ac:dyDescent="0.2">
      <c r="C1922" s="1989" t="s">
        <v>3036</v>
      </c>
      <c r="D1922" s="1989" t="s">
        <v>3037</v>
      </c>
      <c r="E1922" s="1989">
        <v>0.51</v>
      </c>
      <c r="F1922" s="38">
        <f t="shared" si="29"/>
        <v>41.473832399999999</v>
      </c>
      <c r="G1922" s="459"/>
    </row>
    <row r="1923" spans="3:7" outlineLevel="1" x14ac:dyDescent="0.2">
      <c r="C1923" s="1989" t="s">
        <v>3659</v>
      </c>
      <c r="D1923" s="1989" t="s">
        <v>3660</v>
      </c>
      <c r="E1923" s="1989">
        <v>0</v>
      </c>
      <c r="F1923" s="38">
        <f t="shared" si="29"/>
        <v>0</v>
      </c>
      <c r="G1923" s="459"/>
    </row>
    <row r="1924" spans="3:7" outlineLevel="1" x14ac:dyDescent="0.2">
      <c r="C1924" s="1989" t="s">
        <v>2301</v>
      </c>
      <c r="D1924" s="1989" t="s">
        <v>3661</v>
      </c>
      <c r="E1924" s="1989">
        <v>1.1200000000000001</v>
      </c>
      <c r="F1924" s="38">
        <f t="shared" si="29"/>
        <v>91.079788800000017</v>
      </c>
      <c r="G1924" s="459"/>
    </row>
    <row r="1925" spans="3:7" outlineLevel="1" x14ac:dyDescent="0.2">
      <c r="C1925" s="1989" t="s">
        <v>2303</v>
      </c>
      <c r="D1925" s="1989" t="s">
        <v>2304</v>
      </c>
      <c r="E1925" s="1989">
        <v>0.44</v>
      </c>
      <c r="F1925" s="38">
        <f t="shared" si="29"/>
        <v>35.781345600000002</v>
      </c>
      <c r="G1925" s="459"/>
    </row>
    <row r="1926" spans="3:7" outlineLevel="1" x14ac:dyDescent="0.2">
      <c r="C1926" s="1989" t="s">
        <v>2305</v>
      </c>
      <c r="D1926" s="1989" t="s">
        <v>2306</v>
      </c>
      <c r="E1926" s="1989">
        <v>0.59</v>
      </c>
      <c r="F1926" s="38">
        <f t="shared" si="29"/>
        <v>47.979531600000001</v>
      </c>
      <c r="G1926" s="459"/>
    </row>
    <row r="1927" spans="3:7" outlineLevel="1" x14ac:dyDescent="0.2">
      <c r="C1927" s="1989" t="s">
        <v>3662</v>
      </c>
      <c r="D1927" s="1989" t="s">
        <v>3663</v>
      </c>
      <c r="E1927" s="1989">
        <v>17.3</v>
      </c>
      <c r="F1927" s="38">
        <f t="shared" si="29"/>
        <v>1406.8574520000002</v>
      </c>
      <c r="G1927" s="459"/>
    </row>
    <row r="1928" spans="3:7" outlineLevel="1" x14ac:dyDescent="0.2">
      <c r="C1928" s="1989" t="s">
        <v>2309</v>
      </c>
      <c r="D1928" s="1989" t="s">
        <v>2310</v>
      </c>
      <c r="E1928" s="1989">
        <v>1.37</v>
      </c>
      <c r="F1928" s="38">
        <f t="shared" si="29"/>
        <v>111.41009880000001</v>
      </c>
      <c r="G1928" s="459"/>
    </row>
    <row r="1929" spans="3:7" outlineLevel="1" x14ac:dyDescent="0.2">
      <c r="C1929" s="1989" t="s">
        <v>2312</v>
      </c>
      <c r="D1929" s="1989" t="s">
        <v>2313</v>
      </c>
      <c r="E1929" s="1989">
        <v>1.37</v>
      </c>
      <c r="F1929" s="38">
        <f t="shared" si="29"/>
        <v>111.41009880000001</v>
      </c>
      <c r="G1929" s="459"/>
    </row>
    <row r="1930" spans="3:7" outlineLevel="1" x14ac:dyDescent="0.2">
      <c r="C1930" s="1989" t="s">
        <v>3593</v>
      </c>
      <c r="D1930" s="1989" t="s">
        <v>3595</v>
      </c>
      <c r="E1930" s="1989">
        <v>31.06</v>
      </c>
      <c r="F1930" s="38">
        <f t="shared" si="29"/>
        <v>2525.8377144000001</v>
      </c>
      <c r="G1930" s="459"/>
    </row>
    <row r="1931" spans="3:7" outlineLevel="1" x14ac:dyDescent="0.2">
      <c r="C1931" s="1989" t="s">
        <v>6757</v>
      </c>
      <c r="D1931" s="1989" t="s">
        <v>6013</v>
      </c>
      <c r="E1931" s="1989">
        <v>7.29</v>
      </c>
      <c r="F1931" s="38">
        <f t="shared" si="29"/>
        <v>592.83183959999997</v>
      </c>
      <c r="G1931" s="459"/>
    </row>
    <row r="1932" spans="3:7" outlineLevel="1" x14ac:dyDescent="0.2">
      <c r="C1932" s="1989" t="s">
        <v>6758</v>
      </c>
      <c r="D1932" s="1989" t="s">
        <v>6014</v>
      </c>
      <c r="E1932" s="1989">
        <v>7.29</v>
      </c>
      <c r="F1932" s="38">
        <f t="shared" si="29"/>
        <v>592.83183959999997</v>
      </c>
      <c r="G1932" s="459"/>
    </row>
    <row r="1933" spans="3:7" outlineLevel="1" x14ac:dyDescent="0.2">
      <c r="C1933" s="1989" t="s">
        <v>2318</v>
      </c>
      <c r="D1933" s="1989" t="s">
        <v>6015</v>
      </c>
      <c r="E1933" s="1989">
        <v>1.52</v>
      </c>
      <c r="F1933" s="38">
        <f t="shared" si="29"/>
        <v>123.60828479999999</v>
      </c>
      <c r="G1933" s="459"/>
    </row>
    <row r="1934" spans="3:7" outlineLevel="1" x14ac:dyDescent="0.2">
      <c r="C1934" s="1989" t="s">
        <v>6759</v>
      </c>
      <c r="D1934" s="1989" t="s">
        <v>6016</v>
      </c>
      <c r="E1934" s="1989">
        <v>18.95</v>
      </c>
      <c r="F1934" s="38">
        <f t="shared" si="29"/>
        <v>1541.0374979999999</v>
      </c>
      <c r="G1934" s="459"/>
    </row>
    <row r="1935" spans="3:7" outlineLevel="1" x14ac:dyDescent="0.2">
      <c r="C1935" s="1989" t="s">
        <v>6760</v>
      </c>
      <c r="D1935" s="1989" t="s">
        <v>6017</v>
      </c>
      <c r="E1935" s="1989">
        <v>18.95</v>
      </c>
      <c r="F1935" s="38">
        <f t="shared" si="29"/>
        <v>1541.0374979999999</v>
      </c>
      <c r="G1935" s="459"/>
    </row>
    <row r="1936" spans="3:7" outlineLevel="1" x14ac:dyDescent="0.2">
      <c r="C1936" s="1989" t="s">
        <v>2374</v>
      </c>
      <c r="D1936" s="1989" t="s">
        <v>6018</v>
      </c>
      <c r="E1936" s="1989">
        <v>0.45</v>
      </c>
      <c r="F1936" s="38">
        <f t="shared" si="29"/>
        <v>36.594558000000006</v>
      </c>
      <c r="G1936" s="459"/>
    </row>
    <row r="1937" spans="3:7" outlineLevel="1" x14ac:dyDescent="0.2">
      <c r="C1937" s="1989" t="s">
        <v>2321</v>
      </c>
      <c r="D1937" s="1989" t="s">
        <v>3664</v>
      </c>
      <c r="E1937" s="1989">
        <v>1.52</v>
      </c>
      <c r="F1937" s="38">
        <f t="shared" si="29"/>
        <v>123.60828479999999</v>
      </c>
      <c r="G1937" s="459"/>
    </row>
    <row r="1938" spans="3:7" outlineLevel="1" x14ac:dyDescent="0.2">
      <c r="C1938" s="1989" t="s">
        <v>3038</v>
      </c>
      <c r="D1938" s="1989" t="s">
        <v>3039</v>
      </c>
      <c r="E1938" s="1989">
        <v>1.1200000000000001</v>
      </c>
      <c r="F1938" s="38">
        <f t="shared" si="29"/>
        <v>91.079788800000017</v>
      </c>
      <c r="G1938" s="459"/>
    </row>
    <row r="1939" spans="3:7" outlineLevel="1" x14ac:dyDescent="0.2">
      <c r="C1939" s="1989" t="s">
        <v>3665</v>
      </c>
      <c r="D1939" s="1989" t="s">
        <v>3666</v>
      </c>
      <c r="E1939" s="1989">
        <v>0</v>
      </c>
      <c r="F1939" s="38">
        <f t="shared" si="29"/>
        <v>0</v>
      </c>
      <c r="G1939" s="459"/>
    </row>
    <row r="1940" spans="3:7" outlineLevel="1" x14ac:dyDescent="0.2">
      <c r="C1940" s="1989" t="s">
        <v>6761</v>
      </c>
      <c r="D1940" s="1989" t="s">
        <v>6019</v>
      </c>
      <c r="E1940" s="1989">
        <v>5.92</v>
      </c>
      <c r="F1940" s="38">
        <f t="shared" si="29"/>
        <v>481.42174080000007</v>
      </c>
      <c r="G1940" s="459"/>
    </row>
    <row r="1941" spans="3:7" outlineLevel="1" x14ac:dyDescent="0.2">
      <c r="C1941" s="1989" t="s">
        <v>6762</v>
      </c>
      <c r="D1941" s="1989" t="s">
        <v>6020</v>
      </c>
      <c r="E1941" s="1989">
        <v>5.92</v>
      </c>
      <c r="F1941" s="38">
        <f t="shared" si="29"/>
        <v>481.42174080000007</v>
      </c>
      <c r="G1941" s="459"/>
    </row>
    <row r="1942" spans="3:7" outlineLevel="1" x14ac:dyDescent="0.2">
      <c r="C1942" s="1989" t="s">
        <v>3667</v>
      </c>
      <c r="D1942" s="1989" t="s">
        <v>7831</v>
      </c>
      <c r="E1942" s="1989">
        <v>21.09</v>
      </c>
      <c r="F1942" s="38">
        <f t="shared" si="29"/>
        <v>1715.0649516000001</v>
      </c>
      <c r="G1942" s="459"/>
    </row>
    <row r="1943" spans="3:7" outlineLevel="1" x14ac:dyDescent="0.2">
      <c r="C1943" s="1989" t="s">
        <v>3668</v>
      </c>
      <c r="D1943" s="1989" t="s">
        <v>6021</v>
      </c>
      <c r="E1943" s="1989">
        <v>21.09</v>
      </c>
      <c r="F1943" s="38">
        <f t="shared" si="29"/>
        <v>1715.0649516000001</v>
      </c>
      <c r="G1943" s="459"/>
    </row>
    <row r="1944" spans="3:7" outlineLevel="1" x14ac:dyDescent="0.2">
      <c r="C1944" s="1989" t="s">
        <v>4606</v>
      </c>
      <c r="D1944" s="1989" t="s">
        <v>6022</v>
      </c>
      <c r="E1944" s="1989">
        <v>6.76</v>
      </c>
      <c r="F1944" s="38">
        <f t="shared" si="29"/>
        <v>549.73158240000009</v>
      </c>
      <c r="G1944" s="459"/>
    </row>
    <row r="1945" spans="3:7" outlineLevel="1" x14ac:dyDescent="0.2">
      <c r="C1945" s="1989" t="s">
        <v>4607</v>
      </c>
      <c r="D1945" s="1989" t="s">
        <v>6023</v>
      </c>
      <c r="E1945" s="1989">
        <v>6.76</v>
      </c>
      <c r="F1945" s="38">
        <f t="shared" si="29"/>
        <v>549.73158240000009</v>
      </c>
      <c r="G1945" s="459"/>
    </row>
    <row r="1946" spans="3:7" outlineLevel="1" x14ac:dyDescent="0.2">
      <c r="C1946" s="1989" t="s">
        <v>2328</v>
      </c>
      <c r="D1946" s="1989" t="s">
        <v>6024</v>
      </c>
      <c r="E1946" s="1989">
        <v>6.77</v>
      </c>
      <c r="F1946" s="38">
        <f t="shared" ref="F1946:F2009" si="30">E1946*$G$4*$J$4</f>
        <v>550.54479479999998</v>
      </c>
      <c r="G1946" s="459"/>
    </row>
    <row r="1947" spans="3:7" outlineLevel="1" x14ac:dyDescent="0.2">
      <c r="C1947" s="1989" t="s">
        <v>6763</v>
      </c>
      <c r="D1947" s="1989" t="s">
        <v>6025</v>
      </c>
      <c r="E1947" s="1989">
        <v>12.18</v>
      </c>
      <c r="F1947" s="38">
        <f t="shared" si="30"/>
        <v>990.49270320000005</v>
      </c>
      <c r="G1947" s="459"/>
    </row>
    <row r="1948" spans="3:7" outlineLevel="1" x14ac:dyDescent="0.2">
      <c r="C1948" s="1989" t="s">
        <v>6764</v>
      </c>
      <c r="D1948" s="1989" t="s">
        <v>6026</v>
      </c>
      <c r="E1948" s="1989">
        <v>5.89</v>
      </c>
      <c r="F1948" s="38">
        <f t="shared" si="30"/>
        <v>478.98210360000002</v>
      </c>
      <c r="G1948" s="459"/>
    </row>
    <row r="1949" spans="3:7" outlineLevel="1" x14ac:dyDescent="0.2">
      <c r="C1949" s="1989" t="s">
        <v>6765</v>
      </c>
      <c r="D1949" s="1989" t="s">
        <v>6027</v>
      </c>
      <c r="E1949" s="1989">
        <v>5.89</v>
      </c>
      <c r="F1949" s="38">
        <f t="shared" si="30"/>
        <v>478.98210360000002</v>
      </c>
      <c r="G1949" s="459"/>
    </row>
    <row r="1950" spans="3:7" outlineLevel="1" x14ac:dyDescent="0.2">
      <c r="C1950" s="1989" t="s">
        <v>6766</v>
      </c>
      <c r="D1950" s="1989" t="s">
        <v>6028</v>
      </c>
      <c r="E1950" s="1989">
        <v>12.18</v>
      </c>
      <c r="F1950" s="38">
        <f t="shared" si="30"/>
        <v>990.49270320000005</v>
      </c>
      <c r="G1950" s="459"/>
    </row>
    <row r="1951" spans="3:7" outlineLevel="1" x14ac:dyDescent="0.2">
      <c r="C1951" s="1989" t="s">
        <v>3040</v>
      </c>
      <c r="D1951" s="1989" t="s">
        <v>6029</v>
      </c>
      <c r="E1951" s="1989">
        <v>0.51</v>
      </c>
      <c r="F1951" s="38">
        <f t="shared" si="30"/>
        <v>41.473832399999999</v>
      </c>
      <c r="G1951" s="459"/>
    </row>
    <row r="1952" spans="3:7" outlineLevel="1" x14ac:dyDescent="0.2">
      <c r="C1952" s="1989" t="s">
        <v>4608</v>
      </c>
      <c r="D1952" s="1989" t="s">
        <v>6030</v>
      </c>
      <c r="E1952" s="1989">
        <v>11.68</v>
      </c>
      <c r="F1952" s="38">
        <f t="shared" si="30"/>
        <v>949.83208320000006</v>
      </c>
      <c r="G1952" s="459"/>
    </row>
    <row r="1953" spans="3:7" outlineLevel="1" x14ac:dyDescent="0.2">
      <c r="C1953" s="1989" t="s">
        <v>3586</v>
      </c>
      <c r="D1953" s="1989" t="s">
        <v>3606</v>
      </c>
      <c r="E1953" s="1989">
        <v>1.1000000000000001</v>
      </c>
      <c r="F1953" s="38">
        <f t="shared" si="30"/>
        <v>89.453364000000008</v>
      </c>
      <c r="G1953" s="459"/>
    </row>
    <row r="1954" spans="3:7" outlineLevel="1" x14ac:dyDescent="0.2">
      <c r="C1954" s="1989" t="s">
        <v>4609</v>
      </c>
      <c r="D1954" s="1989" t="s">
        <v>6031</v>
      </c>
      <c r="E1954" s="1989">
        <v>11.68</v>
      </c>
      <c r="F1954" s="38">
        <f t="shared" si="30"/>
        <v>949.83208320000006</v>
      </c>
      <c r="G1954" s="459"/>
    </row>
    <row r="1955" spans="3:7" outlineLevel="1" x14ac:dyDescent="0.2">
      <c r="C1955" s="1989" t="s">
        <v>3041</v>
      </c>
      <c r="D1955" s="1989" t="s">
        <v>7832</v>
      </c>
      <c r="E1955" s="1989">
        <v>15.42</v>
      </c>
      <c r="F1955" s="38">
        <f t="shared" si="30"/>
        <v>1253.9735208</v>
      </c>
      <c r="G1955" s="459"/>
    </row>
    <row r="1956" spans="3:7" outlineLevel="1" x14ac:dyDescent="0.2">
      <c r="C1956" s="1989" t="s">
        <v>2330</v>
      </c>
      <c r="D1956" s="1989" t="s">
        <v>7833</v>
      </c>
      <c r="E1956" s="1989">
        <v>0.09</v>
      </c>
      <c r="F1956" s="38">
        <f t="shared" si="30"/>
        <v>7.3189116000000007</v>
      </c>
      <c r="G1956" s="459"/>
    </row>
    <row r="1957" spans="3:7" outlineLevel="1" x14ac:dyDescent="0.2">
      <c r="C1957" s="1989" t="s">
        <v>3042</v>
      </c>
      <c r="D1957" s="1989" t="s">
        <v>7834</v>
      </c>
      <c r="E1957" s="1989">
        <v>2.4</v>
      </c>
      <c r="F1957" s="38">
        <f t="shared" si="30"/>
        <v>195.170976</v>
      </c>
      <c r="G1957" s="459"/>
    </row>
    <row r="1958" spans="3:7" outlineLevel="1" x14ac:dyDescent="0.2">
      <c r="C1958" s="1989" t="s">
        <v>2377</v>
      </c>
      <c r="D1958" s="1989" t="s">
        <v>7835</v>
      </c>
      <c r="E1958" s="1989">
        <v>0.18</v>
      </c>
      <c r="F1958" s="38">
        <f t="shared" si="30"/>
        <v>14.637823200000001</v>
      </c>
      <c r="G1958" s="459"/>
    </row>
    <row r="1959" spans="3:7" outlineLevel="1" x14ac:dyDescent="0.2">
      <c r="C1959" s="1989" t="s">
        <v>2331</v>
      </c>
      <c r="D1959" s="1989" t="s">
        <v>3669</v>
      </c>
      <c r="E1959" s="1989">
        <v>0.51</v>
      </c>
      <c r="F1959" s="38">
        <f t="shared" si="30"/>
        <v>41.473832399999999</v>
      </c>
      <c r="G1959" s="459"/>
    </row>
    <row r="1960" spans="3:7" outlineLevel="1" x14ac:dyDescent="0.2">
      <c r="C1960" s="1989" t="s">
        <v>6767</v>
      </c>
      <c r="D1960" s="1989" t="s">
        <v>6032</v>
      </c>
      <c r="E1960" s="1989">
        <v>10.050000000000001</v>
      </c>
      <c r="F1960" s="38">
        <f t="shared" si="30"/>
        <v>817.2784620000001</v>
      </c>
      <c r="G1960" s="459"/>
    </row>
    <row r="1961" spans="3:7" outlineLevel="1" x14ac:dyDescent="0.2">
      <c r="C1961" s="1989" t="s">
        <v>6768</v>
      </c>
      <c r="D1961" s="1989" t="s">
        <v>6033</v>
      </c>
      <c r="E1961" s="1989">
        <v>10.050000000000001</v>
      </c>
      <c r="F1961" s="38">
        <f t="shared" si="30"/>
        <v>817.2784620000001</v>
      </c>
      <c r="G1961" s="459"/>
    </row>
    <row r="1962" spans="3:7" outlineLevel="1" x14ac:dyDescent="0.2">
      <c r="C1962" s="1989" t="s">
        <v>3043</v>
      </c>
      <c r="D1962" s="1989" t="s">
        <v>6034</v>
      </c>
      <c r="E1962" s="1989">
        <v>14.74</v>
      </c>
      <c r="F1962" s="38">
        <f t="shared" si="30"/>
        <v>1198.6750775999999</v>
      </c>
      <c r="G1962" s="459"/>
    </row>
    <row r="1963" spans="3:7" outlineLevel="1" x14ac:dyDescent="0.2">
      <c r="C1963" s="1989" t="s">
        <v>6769</v>
      </c>
      <c r="D1963" s="1989" t="s">
        <v>6035</v>
      </c>
      <c r="E1963" s="1989">
        <v>7.07</v>
      </c>
      <c r="F1963" s="38">
        <f t="shared" si="30"/>
        <v>574.94116680000002</v>
      </c>
      <c r="G1963" s="459"/>
    </row>
    <row r="1964" spans="3:7" outlineLevel="1" x14ac:dyDescent="0.2">
      <c r="C1964" s="1989" t="s">
        <v>4455</v>
      </c>
      <c r="D1964" s="1989" t="s">
        <v>6036</v>
      </c>
      <c r="E1964" s="1989">
        <v>18.68</v>
      </c>
      <c r="F1964" s="38">
        <f t="shared" si="30"/>
        <v>1519.0807632000001</v>
      </c>
      <c r="G1964" s="459"/>
    </row>
    <row r="1965" spans="3:7" outlineLevel="1" x14ac:dyDescent="0.2">
      <c r="C1965" s="1989" t="s">
        <v>6770</v>
      </c>
      <c r="D1965" s="1989" t="s">
        <v>6037</v>
      </c>
      <c r="E1965" s="1989">
        <v>7.07</v>
      </c>
      <c r="F1965" s="38">
        <f t="shared" si="30"/>
        <v>574.94116680000002</v>
      </c>
      <c r="G1965" s="459"/>
    </row>
    <row r="1966" spans="3:7" outlineLevel="1" x14ac:dyDescent="0.2">
      <c r="C1966" s="1989" t="s">
        <v>4456</v>
      </c>
      <c r="D1966" s="1989" t="s">
        <v>6038</v>
      </c>
      <c r="E1966" s="1989">
        <v>18.68</v>
      </c>
      <c r="F1966" s="38">
        <f t="shared" si="30"/>
        <v>1519.0807632000001</v>
      </c>
      <c r="G1966" s="459"/>
    </row>
    <row r="1967" spans="3:7" outlineLevel="1" x14ac:dyDescent="0.2">
      <c r="C1967" s="1989" t="s">
        <v>2336</v>
      </c>
      <c r="D1967" s="1989" t="s">
        <v>7836</v>
      </c>
      <c r="E1967" s="1989">
        <v>0.11</v>
      </c>
      <c r="F1967" s="38">
        <f t="shared" si="30"/>
        <v>8.9453364000000004</v>
      </c>
      <c r="G1967" s="459"/>
    </row>
    <row r="1968" spans="3:7" outlineLevel="1" x14ac:dyDescent="0.2">
      <c r="C1968" s="1989" t="s">
        <v>3044</v>
      </c>
      <c r="D1968" s="1989" t="s">
        <v>6039</v>
      </c>
      <c r="E1968" s="1989">
        <v>6.87</v>
      </c>
      <c r="F1968" s="38">
        <f t="shared" si="30"/>
        <v>558.67691880000007</v>
      </c>
      <c r="G1968" s="459"/>
    </row>
    <row r="1969" spans="3:7" outlineLevel="1" x14ac:dyDescent="0.2">
      <c r="C1969" s="1989" t="s">
        <v>4457</v>
      </c>
      <c r="D1969" s="1989" t="s">
        <v>6040</v>
      </c>
      <c r="E1969" s="1989">
        <v>18.899999999999999</v>
      </c>
      <c r="F1969" s="38">
        <f t="shared" si="30"/>
        <v>1536.9714359999998</v>
      </c>
      <c r="G1969" s="459"/>
    </row>
    <row r="1970" spans="3:7" outlineLevel="1" x14ac:dyDescent="0.2">
      <c r="C1970" s="1989" t="s">
        <v>3045</v>
      </c>
      <c r="D1970" s="1989" t="s">
        <v>6041</v>
      </c>
      <c r="E1970" s="1989">
        <v>6.87</v>
      </c>
      <c r="F1970" s="38">
        <f t="shared" si="30"/>
        <v>558.67691880000007</v>
      </c>
      <c r="G1970" s="459"/>
    </row>
    <row r="1971" spans="3:7" outlineLevel="1" x14ac:dyDescent="0.2">
      <c r="C1971" s="1989" t="s">
        <v>4458</v>
      </c>
      <c r="D1971" s="1989" t="s">
        <v>6042</v>
      </c>
      <c r="E1971" s="1989">
        <v>19.13</v>
      </c>
      <c r="F1971" s="38">
        <f t="shared" si="30"/>
        <v>1555.6753212000001</v>
      </c>
      <c r="G1971" s="459"/>
    </row>
    <row r="1972" spans="3:7" outlineLevel="1" x14ac:dyDescent="0.2">
      <c r="C1972" s="1989" t="s">
        <v>4459</v>
      </c>
      <c r="D1972" s="1989" t="s">
        <v>6043</v>
      </c>
      <c r="E1972" s="1989">
        <v>18.57</v>
      </c>
      <c r="F1972" s="38">
        <f t="shared" si="30"/>
        <v>1510.1354268</v>
      </c>
      <c r="G1972" s="459"/>
    </row>
    <row r="1973" spans="3:7" outlineLevel="1" x14ac:dyDescent="0.2">
      <c r="C1973" s="1989" t="s">
        <v>2337</v>
      </c>
      <c r="D1973" s="1989" t="s">
        <v>3670</v>
      </c>
      <c r="E1973" s="1989">
        <v>0.51</v>
      </c>
      <c r="F1973" s="38">
        <f t="shared" si="30"/>
        <v>41.473832399999999</v>
      </c>
      <c r="G1973" s="459"/>
    </row>
    <row r="1974" spans="3:7" outlineLevel="1" x14ac:dyDescent="0.2">
      <c r="C1974" s="1989" t="s">
        <v>6771</v>
      </c>
      <c r="D1974" s="1989" t="s">
        <v>6044</v>
      </c>
      <c r="E1974" s="1989">
        <v>10.210000000000001</v>
      </c>
      <c r="F1974" s="38">
        <f t="shared" si="30"/>
        <v>830.28986040000007</v>
      </c>
      <c r="G1974" s="459"/>
    </row>
    <row r="1975" spans="3:7" outlineLevel="1" x14ac:dyDescent="0.2">
      <c r="C1975" s="1989" t="s">
        <v>6772</v>
      </c>
      <c r="D1975" s="1989" t="s">
        <v>6045</v>
      </c>
      <c r="E1975" s="1989">
        <v>10.210000000000001</v>
      </c>
      <c r="F1975" s="38">
        <f t="shared" si="30"/>
        <v>830.28986040000007</v>
      </c>
      <c r="G1975" s="459"/>
    </row>
    <row r="1976" spans="3:7" outlineLevel="1" x14ac:dyDescent="0.2">
      <c r="C1976" s="1989" t="s">
        <v>6773</v>
      </c>
      <c r="D1976" s="1989" t="s">
        <v>6046</v>
      </c>
      <c r="E1976" s="1989">
        <v>10.36</v>
      </c>
      <c r="F1976" s="38">
        <f t="shared" si="30"/>
        <v>842.48804639999992</v>
      </c>
      <c r="G1976" s="459"/>
    </row>
    <row r="1977" spans="3:7" outlineLevel="1" x14ac:dyDescent="0.2">
      <c r="C1977" s="1989" t="s">
        <v>6774</v>
      </c>
      <c r="D1977" s="1989" t="s">
        <v>6047</v>
      </c>
      <c r="E1977" s="1989">
        <v>10.36</v>
      </c>
      <c r="F1977" s="38">
        <f t="shared" si="30"/>
        <v>842.48804639999992</v>
      </c>
      <c r="G1977" s="459"/>
    </row>
    <row r="1978" spans="3:7" outlineLevel="1" x14ac:dyDescent="0.2">
      <c r="C1978" s="1989" t="s">
        <v>4460</v>
      </c>
      <c r="D1978" s="1989" t="s">
        <v>6048</v>
      </c>
      <c r="E1978" s="1989">
        <v>29.23</v>
      </c>
      <c r="F1978" s="38">
        <f t="shared" si="30"/>
        <v>2377.0198452000004</v>
      </c>
      <c r="G1978" s="459"/>
    </row>
    <row r="1979" spans="3:7" outlineLevel="1" x14ac:dyDescent="0.2">
      <c r="C1979" s="1989" t="s">
        <v>6775</v>
      </c>
      <c r="D1979" s="1989" t="s">
        <v>6049</v>
      </c>
      <c r="E1979" s="1989">
        <v>29.23</v>
      </c>
      <c r="F1979" s="38">
        <f t="shared" si="30"/>
        <v>2377.0198452000004</v>
      </c>
      <c r="G1979" s="459"/>
    </row>
    <row r="1980" spans="3:7" outlineLevel="1" x14ac:dyDescent="0.2">
      <c r="C1980" s="1989" t="s">
        <v>4461</v>
      </c>
      <c r="D1980" s="1989" t="s">
        <v>6050</v>
      </c>
      <c r="E1980" s="1989">
        <v>29.23</v>
      </c>
      <c r="F1980" s="38">
        <f t="shared" si="30"/>
        <v>2377.0198452000004</v>
      </c>
      <c r="G1980" s="459"/>
    </row>
    <row r="1981" spans="3:7" outlineLevel="1" x14ac:dyDescent="0.2">
      <c r="C1981" s="1989" t="s">
        <v>3046</v>
      </c>
      <c r="D1981" s="1989" t="s">
        <v>7837</v>
      </c>
      <c r="E1981" s="1989">
        <v>5.2</v>
      </c>
      <c r="F1981" s="38">
        <f t="shared" si="30"/>
        <v>422.87044800000007</v>
      </c>
      <c r="G1981" s="459"/>
    </row>
    <row r="1982" spans="3:7" outlineLevel="1" x14ac:dyDescent="0.2">
      <c r="C1982" s="1989" t="s">
        <v>4462</v>
      </c>
      <c r="D1982" s="1989" t="s">
        <v>6051</v>
      </c>
      <c r="E1982" s="1989">
        <v>29.58</v>
      </c>
      <c r="F1982" s="38">
        <f t="shared" si="30"/>
        <v>2405.4822792</v>
      </c>
      <c r="G1982" s="459"/>
    </row>
    <row r="1983" spans="3:7" outlineLevel="1" x14ac:dyDescent="0.2">
      <c r="C1983" s="1989" t="s">
        <v>4463</v>
      </c>
      <c r="D1983" s="1989" t="s">
        <v>6052</v>
      </c>
      <c r="E1983" s="1989">
        <v>29.95</v>
      </c>
      <c r="F1983" s="38">
        <f t="shared" si="30"/>
        <v>2435.5711380000002</v>
      </c>
      <c r="G1983" s="459"/>
    </row>
    <row r="1984" spans="3:7" outlineLevel="1" x14ac:dyDescent="0.2">
      <c r="C1984" s="1989" t="s">
        <v>4464</v>
      </c>
      <c r="D1984" s="1989" t="s">
        <v>6053</v>
      </c>
      <c r="E1984" s="1989">
        <v>29.1</v>
      </c>
      <c r="F1984" s="38">
        <f t="shared" si="30"/>
        <v>2366.4480840000001</v>
      </c>
      <c r="G1984" s="459"/>
    </row>
    <row r="1985" spans="3:7" outlineLevel="1" x14ac:dyDescent="0.2">
      <c r="C1985" s="1989" t="s">
        <v>3047</v>
      </c>
      <c r="D1985" s="1989" t="s">
        <v>6054</v>
      </c>
      <c r="E1985" s="1989">
        <v>11.84</v>
      </c>
      <c r="F1985" s="38">
        <f t="shared" si="30"/>
        <v>962.84348160000013</v>
      </c>
      <c r="G1985" s="459"/>
    </row>
    <row r="1986" spans="3:7" outlineLevel="1" x14ac:dyDescent="0.2">
      <c r="C1986" s="1989" t="s">
        <v>3048</v>
      </c>
      <c r="D1986" s="1989" t="s">
        <v>6055</v>
      </c>
      <c r="E1986" s="1989">
        <v>11.84</v>
      </c>
      <c r="F1986" s="38">
        <f t="shared" si="30"/>
        <v>962.84348160000013</v>
      </c>
      <c r="G1986" s="459"/>
    </row>
    <row r="1987" spans="3:7" outlineLevel="1" x14ac:dyDescent="0.2">
      <c r="C1987" s="1989" t="s">
        <v>3600</v>
      </c>
      <c r="D1987" s="1989" t="s">
        <v>6056</v>
      </c>
      <c r="E1987" s="1989">
        <v>10.029999999999999</v>
      </c>
      <c r="F1987" s="38">
        <f t="shared" si="30"/>
        <v>815.6520372</v>
      </c>
      <c r="G1987" s="459"/>
    </row>
    <row r="1988" spans="3:7" outlineLevel="1" x14ac:dyDescent="0.2">
      <c r="C1988" s="1989" t="s">
        <v>3601</v>
      </c>
      <c r="D1988" s="1989" t="s">
        <v>6057</v>
      </c>
      <c r="E1988" s="1989">
        <v>10.029999999999999</v>
      </c>
      <c r="F1988" s="38">
        <f t="shared" si="30"/>
        <v>815.6520372</v>
      </c>
      <c r="G1988" s="459"/>
    </row>
    <row r="1989" spans="3:7" outlineLevel="1" x14ac:dyDescent="0.2">
      <c r="C1989" s="1989" t="s">
        <v>4465</v>
      </c>
      <c r="D1989" s="1989" t="s">
        <v>7838</v>
      </c>
      <c r="E1989" s="1989">
        <v>49.94</v>
      </c>
      <c r="F1989" s="38">
        <f t="shared" si="30"/>
        <v>4061.1827256000001</v>
      </c>
      <c r="G1989" s="459"/>
    </row>
    <row r="1990" spans="3:7" outlineLevel="1" x14ac:dyDescent="0.2">
      <c r="C1990" s="1989" t="s">
        <v>3671</v>
      </c>
      <c r="D1990" s="1989" t="s">
        <v>6058</v>
      </c>
      <c r="E1990" s="1989">
        <v>0</v>
      </c>
      <c r="F1990" s="38">
        <f t="shared" si="30"/>
        <v>0</v>
      </c>
      <c r="G1990" s="459"/>
    </row>
    <row r="1991" spans="3:7" outlineLevel="1" x14ac:dyDescent="0.2">
      <c r="C1991" s="1989" t="s">
        <v>2383</v>
      </c>
      <c r="D1991" s="1989" t="s">
        <v>6059</v>
      </c>
      <c r="E1991" s="1989">
        <v>5.71</v>
      </c>
      <c r="F1991" s="38">
        <f t="shared" si="30"/>
        <v>464.3442804</v>
      </c>
      <c r="G1991" s="459"/>
    </row>
    <row r="1992" spans="3:7" outlineLevel="1" x14ac:dyDescent="0.2">
      <c r="C1992" s="1989" t="s">
        <v>3672</v>
      </c>
      <c r="D1992" s="1989" t="s">
        <v>6060</v>
      </c>
      <c r="E1992" s="1989">
        <v>50.37</v>
      </c>
      <c r="F1992" s="38">
        <f t="shared" si="30"/>
        <v>4096.1508587999997</v>
      </c>
      <c r="G1992" s="459"/>
    </row>
    <row r="1993" spans="3:7" outlineLevel="1" x14ac:dyDescent="0.2">
      <c r="C1993" s="1989" t="s">
        <v>2384</v>
      </c>
      <c r="D1993" s="1989" t="s">
        <v>6061</v>
      </c>
      <c r="E1993" s="1989">
        <v>5.71</v>
      </c>
      <c r="F1993" s="38">
        <f t="shared" si="30"/>
        <v>464.3442804</v>
      </c>
      <c r="G1993" s="459"/>
    </row>
    <row r="1994" spans="3:7" outlineLevel="1" x14ac:dyDescent="0.2">
      <c r="C1994" s="1989" t="s">
        <v>3673</v>
      </c>
      <c r="D1994" s="1989" t="s">
        <v>7839</v>
      </c>
      <c r="E1994" s="1989">
        <v>5.2</v>
      </c>
      <c r="F1994" s="38">
        <f t="shared" si="30"/>
        <v>422.87044800000007</v>
      </c>
      <c r="G1994" s="459"/>
    </row>
    <row r="1995" spans="3:7" outlineLevel="1" x14ac:dyDescent="0.2">
      <c r="C1995" s="1989" t="s">
        <v>3674</v>
      </c>
      <c r="D1995" s="1989" t="s">
        <v>6062</v>
      </c>
      <c r="E1995" s="1989">
        <v>11.68</v>
      </c>
      <c r="F1995" s="38">
        <f t="shared" si="30"/>
        <v>949.83208320000006</v>
      </c>
      <c r="G1995" s="459"/>
    </row>
    <row r="1996" spans="3:7" outlineLevel="1" x14ac:dyDescent="0.2">
      <c r="C1996" s="1989" t="s">
        <v>3049</v>
      </c>
      <c r="D1996" s="1989" t="s">
        <v>7840</v>
      </c>
      <c r="E1996" s="1989">
        <v>2.23</v>
      </c>
      <c r="F1996" s="38">
        <f t="shared" si="30"/>
        <v>181.34636519999998</v>
      </c>
      <c r="G1996" s="459"/>
    </row>
    <row r="1997" spans="3:7" outlineLevel="1" x14ac:dyDescent="0.2">
      <c r="C1997" s="1989" t="s">
        <v>3675</v>
      </c>
      <c r="D1997" s="1989" t="s">
        <v>6063</v>
      </c>
      <c r="E1997" s="1989">
        <v>0</v>
      </c>
      <c r="F1997" s="38">
        <f t="shared" si="30"/>
        <v>0</v>
      </c>
      <c r="G1997" s="459"/>
    </row>
    <row r="1998" spans="3:7" outlineLevel="1" x14ac:dyDescent="0.2">
      <c r="C1998" s="1989" t="s">
        <v>4466</v>
      </c>
      <c r="D1998" s="1989" t="s">
        <v>6064</v>
      </c>
      <c r="E1998" s="1989">
        <v>24.2</v>
      </c>
      <c r="F1998" s="38">
        <f t="shared" si="30"/>
        <v>1967.9740080000001</v>
      </c>
      <c r="G1998" s="459"/>
    </row>
    <row r="1999" spans="3:7" outlineLevel="1" x14ac:dyDescent="0.2">
      <c r="C1999" s="1989" t="s">
        <v>3676</v>
      </c>
      <c r="D1999" s="1989" t="s">
        <v>6065</v>
      </c>
      <c r="E1999" s="1989">
        <v>11.68</v>
      </c>
      <c r="F1999" s="38">
        <f t="shared" si="30"/>
        <v>949.83208320000006</v>
      </c>
      <c r="G1999" s="459"/>
    </row>
    <row r="2000" spans="3:7" outlineLevel="1" x14ac:dyDescent="0.2">
      <c r="C2000" s="1989" t="s">
        <v>3677</v>
      </c>
      <c r="D2000" s="1989" t="s">
        <v>7841</v>
      </c>
      <c r="E2000" s="1989">
        <v>21.46</v>
      </c>
      <c r="F2000" s="38">
        <f t="shared" si="30"/>
        <v>1745.1538104000001</v>
      </c>
      <c r="G2000" s="459"/>
    </row>
    <row r="2001" spans="1:47" outlineLevel="1" x14ac:dyDescent="0.2">
      <c r="C2001" s="1989" t="s">
        <v>3678</v>
      </c>
      <c r="D2001" s="1989" t="s">
        <v>6066</v>
      </c>
      <c r="E2001" s="1989">
        <v>21.46</v>
      </c>
      <c r="F2001" s="38">
        <f t="shared" si="30"/>
        <v>1745.1538104000001</v>
      </c>
      <c r="G2001" s="459"/>
    </row>
    <row r="2002" spans="1:47" outlineLevel="1" x14ac:dyDescent="0.2">
      <c r="C2002" s="1989" t="s">
        <v>2344</v>
      </c>
      <c r="D2002" s="1989" t="s">
        <v>3679</v>
      </c>
      <c r="E2002" s="1989">
        <v>1.1200000000000001</v>
      </c>
      <c r="F2002" s="38">
        <f t="shared" si="30"/>
        <v>91.079788800000017</v>
      </c>
      <c r="G2002" s="459"/>
    </row>
    <row r="2003" spans="1:47" outlineLevel="1" x14ac:dyDescent="0.2">
      <c r="C2003" s="1989" t="s">
        <v>3321</v>
      </c>
      <c r="D2003" s="1989" t="s">
        <v>6067</v>
      </c>
      <c r="E2003" s="1989">
        <v>5.1100000000000003</v>
      </c>
      <c r="F2003" s="38">
        <f t="shared" si="30"/>
        <v>415.55153640000009</v>
      </c>
      <c r="G2003" s="459"/>
    </row>
    <row r="2004" spans="1:47" outlineLevel="1" x14ac:dyDescent="0.2">
      <c r="C2004" s="1989" t="s">
        <v>2346</v>
      </c>
      <c r="D2004" s="1989" t="s">
        <v>2347</v>
      </c>
      <c r="E2004" s="1989">
        <v>0.44</v>
      </c>
      <c r="F2004" s="38">
        <f t="shared" si="30"/>
        <v>35.781345600000002</v>
      </c>
      <c r="G2004" s="459"/>
    </row>
    <row r="2005" spans="1:47" outlineLevel="1" x14ac:dyDescent="0.2">
      <c r="C2005" s="1989" t="s">
        <v>2387</v>
      </c>
      <c r="D2005" s="1989" t="s">
        <v>6068</v>
      </c>
      <c r="E2005" s="1989">
        <v>9.85</v>
      </c>
      <c r="F2005" s="38">
        <f t="shared" si="30"/>
        <v>801.01421399999992</v>
      </c>
      <c r="G2005" s="459"/>
    </row>
    <row r="2006" spans="1:47" outlineLevel="1" x14ac:dyDescent="0.2">
      <c r="C2006" s="1989" t="s">
        <v>4079</v>
      </c>
      <c r="D2006" s="1989" t="s">
        <v>6069</v>
      </c>
      <c r="E2006" s="1989">
        <v>19.13</v>
      </c>
      <c r="F2006" s="38">
        <f t="shared" si="30"/>
        <v>1555.6753212000001</v>
      </c>
      <c r="G2006" s="459"/>
    </row>
    <row r="2007" spans="1:47" outlineLevel="1" x14ac:dyDescent="0.2">
      <c r="C2007" s="1989" t="s">
        <v>4468</v>
      </c>
      <c r="D2007" s="1989" t="s">
        <v>6070</v>
      </c>
      <c r="E2007" s="1989">
        <v>19.350000000000001</v>
      </c>
      <c r="F2007" s="38">
        <f t="shared" si="30"/>
        <v>1573.5659940000003</v>
      </c>
      <c r="G2007" s="459"/>
    </row>
    <row r="2008" spans="1:47" outlineLevel="1" x14ac:dyDescent="0.2">
      <c r="C2008" s="1989" t="s">
        <v>2388</v>
      </c>
      <c r="D2008" s="1989" t="s">
        <v>6071</v>
      </c>
      <c r="E2008" s="1989">
        <v>9.85</v>
      </c>
      <c r="F2008" s="38">
        <f t="shared" si="30"/>
        <v>801.01421399999992</v>
      </c>
      <c r="G2008" s="459"/>
    </row>
    <row r="2009" spans="1:47" s="915" customFormat="1" outlineLevel="1" x14ac:dyDescent="0.2">
      <c r="A2009" s="8"/>
      <c r="B2009" s="8"/>
      <c r="C2009" s="1989" t="s">
        <v>4406</v>
      </c>
      <c r="D2009" s="1989" t="s">
        <v>6072</v>
      </c>
      <c r="E2009" s="1989">
        <v>50.94</v>
      </c>
      <c r="F2009" s="38">
        <f t="shared" si="30"/>
        <v>4142.5039655999999</v>
      </c>
      <c r="G2009" s="459"/>
      <c r="H2009" s="8"/>
      <c r="I2009" s="8"/>
      <c r="J2009" s="8"/>
      <c r="K2009" s="8"/>
      <c r="L2009" s="8"/>
      <c r="M2009" s="8"/>
      <c r="N2009" s="8"/>
      <c r="O2009" s="8"/>
      <c r="P2009" s="8"/>
      <c r="Q2009" s="8"/>
      <c r="R2009" s="8"/>
      <c r="S2009" s="8"/>
      <c r="T2009" s="8"/>
      <c r="U2009" s="8"/>
      <c r="V2009" s="8"/>
      <c r="W2009" s="8"/>
      <c r="X2009" s="771"/>
      <c r="Y2009" s="771"/>
      <c r="Z2009" s="771"/>
      <c r="AA2009" s="771"/>
      <c r="AB2009" s="771"/>
      <c r="AC2009" s="771"/>
      <c r="AD2009" s="771"/>
      <c r="AE2009" s="771"/>
      <c r="AF2009" s="771"/>
      <c r="AG2009" s="771"/>
      <c r="AH2009" s="771"/>
      <c r="AI2009" s="771"/>
      <c r="AJ2009" s="771"/>
      <c r="AK2009" s="771"/>
      <c r="AL2009" s="771"/>
      <c r="AM2009" s="771"/>
      <c r="AN2009" s="771"/>
      <c r="AO2009" s="771"/>
      <c r="AP2009" s="771"/>
      <c r="AQ2009" s="771"/>
      <c r="AR2009" s="771"/>
      <c r="AS2009" s="771"/>
      <c r="AT2009" s="771"/>
      <c r="AU2009" s="771"/>
    </row>
    <row r="2010" spans="1:47" s="915" customFormat="1" outlineLevel="1" x14ac:dyDescent="0.2">
      <c r="A2010" s="8"/>
      <c r="B2010" s="8"/>
      <c r="C2010" s="1989" t="s">
        <v>4408</v>
      </c>
      <c r="D2010" s="1989" t="s">
        <v>6073</v>
      </c>
      <c r="E2010" s="1989">
        <v>72.62</v>
      </c>
      <c r="F2010" s="38">
        <f t="shared" ref="F2010:F2073" si="31">E2010*$G$4*$J$4</f>
        <v>5905.5484488000011</v>
      </c>
      <c r="G2010" s="459"/>
      <c r="H2010" s="8"/>
      <c r="I2010" s="8"/>
      <c r="J2010" s="8"/>
      <c r="K2010" s="8"/>
      <c r="L2010" s="8"/>
      <c r="M2010" s="8"/>
      <c r="N2010" s="8"/>
      <c r="O2010" s="8"/>
      <c r="P2010" s="8"/>
      <c r="Q2010" s="8"/>
      <c r="R2010" s="8"/>
      <c r="S2010" s="8"/>
      <c r="T2010" s="8"/>
      <c r="U2010" s="8"/>
      <c r="V2010" s="8"/>
      <c r="W2010" s="8"/>
      <c r="X2010" s="771"/>
      <c r="Y2010" s="771"/>
      <c r="Z2010" s="771"/>
      <c r="AA2010" s="771"/>
      <c r="AB2010" s="771"/>
      <c r="AC2010" s="771"/>
      <c r="AD2010" s="771"/>
      <c r="AE2010" s="771"/>
      <c r="AF2010" s="771"/>
      <c r="AG2010" s="771"/>
      <c r="AH2010" s="771"/>
      <c r="AI2010" s="771"/>
      <c r="AJ2010" s="771"/>
      <c r="AK2010" s="771"/>
      <c r="AL2010" s="771"/>
      <c r="AM2010" s="771"/>
      <c r="AN2010" s="771"/>
      <c r="AO2010" s="771"/>
      <c r="AP2010" s="771"/>
      <c r="AQ2010" s="771"/>
      <c r="AR2010" s="771"/>
      <c r="AS2010" s="771"/>
      <c r="AT2010" s="771"/>
      <c r="AU2010" s="771"/>
    </row>
    <row r="2011" spans="1:47" s="915" customFormat="1" outlineLevel="1" x14ac:dyDescent="0.2">
      <c r="A2011" s="8"/>
      <c r="B2011" s="8"/>
      <c r="C2011" s="1989" t="s">
        <v>4410</v>
      </c>
      <c r="D2011" s="1989" t="s">
        <v>6074</v>
      </c>
      <c r="E2011" s="1989">
        <v>39.35</v>
      </c>
      <c r="F2011" s="38">
        <f t="shared" si="31"/>
        <v>3199.9907940000003</v>
      </c>
      <c r="G2011" s="459"/>
      <c r="H2011" s="8"/>
      <c r="I2011" s="8"/>
      <c r="J2011" s="8"/>
      <c r="K2011" s="8"/>
      <c r="L2011" s="8"/>
      <c r="M2011" s="8"/>
      <c r="N2011" s="8"/>
      <c r="O2011" s="8"/>
      <c r="P2011" s="8"/>
      <c r="Q2011" s="8"/>
      <c r="R2011" s="8"/>
      <c r="S2011" s="8"/>
      <c r="T2011" s="8"/>
      <c r="U2011" s="8"/>
      <c r="V2011" s="8"/>
      <c r="W2011" s="8"/>
      <c r="X2011" s="771"/>
      <c r="Y2011" s="771"/>
      <c r="Z2011" s="771"/>
      <c r="AA2011" s="771"/>
      <c r="AB2011" s="771"/>
      <c r="AC2011" s="771"/>
      <c r="AD2011" s="771"/>
      <c r="AE2011" s="771"/>
      <c r="AF2011" s="771"/>
      <c r="AG2011" s="771"/>
      <c r="AH2011" s="771"/>
      <c r="AI2011" s="771"/>
      <c r="AJ2011" s="771"/>
      <c r="AK2011" s="771"/>
      <c r="AL2011" s="771"/>
      <c r="AM2011" s="771"/>
      <c r="AN2011" s="771"/>
      <c r="AO2011" s="771"/>
      <c r="AP2011" s="771"/>
      <c r="AQ2011" s="771"/>
      <c r="AR2011" s="771"/>
      <c r="AS2011" s="771"/>
      <c r="AT2011" s="771"/>
      <c r="AU2011" s="771"/>
    </row>
    <row r="2012" spans="1:47" s="915" customFormat="1" outlineLevel="1" x14ac:dyDescent="0.2">
      <c r="A2012" s="8"/>
      <c r="B2012" s="8"/>
      <c r="C2012" s="1989" t="s">
        <v>4080</v>
      </c>
      <c r="D2012" s="1989" t="s">
        <v>6075</v>
      </c>
      <c r="E2012" s="1989">
        <v>46.67</v>
      </c>
      <c r="F2012" s="38">
        <f t="shared" si="31"/>
        <v>3795.2622708000004</v>
      </c>
      <c r="G2012" s="459"/>
      <c r="H2012" s="8"/>
      <c r="I2012" s="8"/>
      <c r="J2012" s="8"/>
      <c r="K2012" s="8"/>
      <c r="L2012" s="8"/>
      <c r="M2012" s="8"/>
      <c r="N2012" s="8"/>
      <c r="O2012" s="8"/>
      <c r="P2012" s="8"/>
      <c r="Q2012" s="8"/>
      <c r="R2012" s="8"/>
      <c r="S2012" s="8"/>
      <c r="T2012" s="8"/>
      <c r="U2012" s="8"/>
      <c r="V2012" s="8"/>
      <c r="W2012" s="8"/>
      <c r="X2012" s="771"/>
      <c r="Y2012" s="771"/>
      <c r="Z2012" s="771"/>
      <c r="AA2012" s="771"/>
      <c r="AB2012" s="771"/>
      <c r="AC2012" s="771"/>
      <c r="AD2012" s="771"/>
      <c r="AE2012" s="771"/>
      <c r="AF2012" s="771"/>
      <c r="AG2012" s="771"/>
      <c r="AH2012" s="771"/>
      <c r="AI2012" s="771"/>
      <c r="AJ2012" s="771"/>
      <c r="AK2012" s="771"/>
      <c r="AL2012" s="771"/>
      <c r="AM2012" s="771"/>
      <c r="AN2012" s="771"/>
      <c r="AO2012" s="771"/>
      <c r="AP2012" s="771"/>
      <c r="AQ2012" s="771"/>
      <c r="AR2012" s="771"/>
      <c r="AS2012" s="771"/>
      <c r="AT2012" s="771"/>
      <c r="AU2012" s="771"/>
    </row>
    <row r="2013" spans="1:47" s="915" customFormat="1" outlineLevel="1" x14ac:dyDescent="0.2">
      <c r="A2013" s="8"/>
      <c r="B2013" s="8"/>
      <c r="C2013" s="1989" t="s">
        <v>3748</v>
      </c>
      <c r="D2013" s="1989" t="s">
        <v>6076</v>
      </c>
      <c r="E2013" s="1989">
        <v>69.61</v>
      </c>
      <c r="F2013" s="38">
        <f t="shared" si="31"/>
        <v>5660.7715164000001</v>
      </c>
      <c r="G2013" s="459"/>
      <c r="H2013" s="8"/>
      <c r="I2013" s="8"/>
      <c r="J2013" s="8"/>
      <c r="K2013" s="8"/>
      <c r="L2013" s="8"/>
      <c r="M2013" s="8"/>
      <c r="N2013" s="8"/>
      <c r="O2013" s="8"/>
      <c r="P2013" s="8"/>
      <c r="Q2013" s="8"/>
      <c r="R2013" s="8"/>
      <c r="S2013" s="8"/>
      <c r="T2013" s="8"/>
      <c r="U2013" s="8"/>
      <c r="V2013" s="8"/>
      <c r="W2013" s="8"/>
      <c r="X2013" s="771"/>
      <c r="Y2013" s="771"/>
      <c r="Z2013" s="771"/>
      <c r="AA2013" s="771"/>
      <c r="AB2013" s="771"/>
      <c r="AC2013" s="771"/>
      <c r="AD2013" s="771"/>
      <c r="AE2013" s="771"/>
      <c r="AF2013" s="771"/>
      <c r="AG2013" s="771"/>
      <c r="AH2013" s="771"/>
      <c r="AI2013" s="771"/>
      <c r="AJ2013" s="771"/>
      <c r="AK2013" s="771"/>
      <c r="AL2013" s="771"/>
      <c r="AM2013" s="771"/>
      <c r="AN2013" s="771"/>
      <c r="AO2013" s="771"/>
      <c r="AP2013" s="771"/>
      <c r="AQ2013" s="771"/>
      <c r="AR2013" s="771"/>
      <c r="AS2013" s="771"/>
      <c r="AT2013" s="771"/>
      <c r="AU2013" s="771"/>
    </row>
    <row r="2014" spans="1:47" s="915" customFormat="1" outlineLevel="1" x14ac:dyDescent="0.2">
      <c r="A2014" s="8"/>
      <c r="B2014" s="8"/>
      <c r="C2014" s="1989" t="s">
        <v>3749</v>
      </c>
      <c r="D2014" s="1989" t="s">
        <v>6077</v>
      </c>
      <c r="E2014" s="1989">
        <v>35.39</v>
      </c>
      <c r="F2014" s="38">
        <f t="shared" si="31"/>
        <v>2877.9586835999999</v>
      </c>
      <c r="G2014" s="459"/>
      <c r="H2014" s="8"/>
      <c r="I2014" s="8"/>
      <c r="J2014" s="8"/>
      <c r="K2014" s="8"/>
      <c r="L2014" s="8"/>
      <c r="M2014" s="8"/>
      <c r="N2014" s="8"/>
      <c r="O2014" s="8"/>
      <c r="P2014" s="8"/>
      <c r="Q2014" s="8"/>
      <c r="R2014" s="8"/>
      <c r="S2014" s="8"/>
      <c r="T2014" s="8"/>
      <c r="U2014" s="8"/>
      <c r="V2014" s="8"/>
      <c r="W2014" s="8"/>
      <c r="X2014" s="771"/>
      <c r="Y2014" s="771"/>
      <c r="Z2014" s="771"/>
      <c r="AA2014" s="771"/>
      <c r="AB2014" s="771"/>
      <c r="AC2014" s="771"/>
      <c r="AD2014" s="771"/>
      <c r="AE2014" s="771"/>
      <c r="AF2014" s="771"/>
      <c r="AG2014" s="771"/>
      <c r="AH2014" s="771"/>
      <c r="AI2014" s="771"/>
      <c r="AJ2014" s="771"/>
      <c r="AK2014" s="771"/>
      <c r="AL2014" s="771"/>
      <c r="AM2014" s="771"/>
      <c r="AN2014" s="771"/>
      <c r="AO2014" s="771"/>
      <c r="AP2014" s="771"/>
      <c r="AQ2014" s="771"/>
      <c r="AR2014" s="771"/>
      <c r="AS2014" s="771"/>
      <c r="AT2014" s="771"/>
      <c r="AU2014" s="771"/>
    </row>
    <row r="2015" spans="1:47" s="919" customFormat="1" outlineLevel="1" x14ac:dyDescent="0.2">
      <c r="A2015" s="8"/>
      <c r="B2015" s="8"/>
      <c r="C2015" s="1989" t="s">
        <v>3750</v>
      </c>
      <c r="D2015" s="1989" t="s">
        <v>6078</v>
      </c>
      <c r="E2015" s="1989">
        <v>36.85</v>
      </c>
      <c r="F2015" s="38">
        <f t="shared" si="31"/>
        <v>2996.6876940000002</v>
      </c>
      <c r="G2015" s="459"/>
      <c r="H2015" s="8"/>
      <c r="I2015" s="8"/>
      <c r="J2015" s="8"/>
      <c r="K2015" s="8"/>
      <c r="L2015" s="8"/>
      <c r="M2015" s="8"/>
      <c r="N2015" s="8"/>
      <c r="O2015" s="8"/>
      <c r="P2015" s="8"/>
      <c r="Q2015" s="8"/>
      <c r="R2015" s="8"/>
      <c r="S2015" s="8"/>
      <c r="T2015" s="8"/>
      <c r="U2015" s="8"/>
      <c r="V2015" s="8"/>
      <c r="W2015" s="8"/>
      <c r="X2015" s="771"/>
      <c r="Y2015" s="771"/>
      <c r="Z2015" s="771"/>
      <c r="AA2015" s="771"/>
      <c r="AB2015" s="771"/>
      <c r="AC2015" s="771"/>
      <c r="AD2015" s="771"/>
      <c r="AE2015" s="771"/>
      <c r="AF2015" s="771"/>
      <c r="AG2015" s="771"/>
      <c r="AH2015" s="771"/>
      <c r="AI2015" s="771"/>
      <c r="AJ2015" s="771"/>
      <c r="AK2015" s="771"/>
      <c r="AL2015" s="771"/>
      <c r="AM2015" s="771"/>
      <c r="AN2015" s="771"/>
      <c r="AO2015" s="771"/>
      <c r="AP2015" s="771"/>
      <c r="AQ2015" s="771"/>
      <c r="AR2015" s="771"/>
      <c r="AS2015" s="771"/>
      <c r="AT2015" s="771"/>
      <c r="AU2015" s="771"/>
    </row>
    <row r="2016" spans="1:47" s="919" customFormat="1" outlineLevel="1" x14ac:dyDescent="0.2">
      <c r="A2016" s="8"/>
      <c r="B2016" s="8"/>
      <c r="C2016" s="1989" t="s">
        <v>4610</v>
      </c>
      <c r="D2016" s="1989" t="s">
        <v>6079</v>
      </c>
      <c r="E2016" s="1989">
        <v>48.52</v>
      </c>
      <c r="F2016" s="38">
        <f t="shared" si="31"/>
        <v>3945.7065648000007</v>
      </c>
      <c r="G2016" s="459"/>
      <c r="H2016" s="8"/>
      <c r="I2016" s="8"/>
      <c r="J2016" s="8"/>
      <c r="K2016" s="8"/>
      <c r="L2016" s="8"/>
      <c r="M2016" s="8"/>
      <c r="N2016" s="8"/>
      <c r="O2016" s="8"/>
      <c r="P2016" s="8"/>
      <c r="Q2016" s="8"/>
      <c r="R2016" s="8"/>
      <c r="S2016" s="8"/>
      <c r="T2016" s="8"/>
      <c r="U2016" s="8"/>
      <c r="V2016" s="8"/>
      <c r="W2016" s="8"/>
      <c r="X2016" s="771"/>
      <c r="Y2016" s="771"/>
      <c r="Z2016" s="771"/>
      <c r="AA2016" s="771"/>
      <c r="AB2016" s="771"/>
      <c r="AC2016" s="771"/>
      <c r="AD2016" s="771"/>
      <c r="AE2016" s="771"/>
      <c r="AF2016" s="771"/>
      <c r="AG2016" s="771"/>
      <c r="AH2016" s="771"/>
      <c r="AI2016" s="771"/>
      <c r="AJ2016" s="771"/>
      <c r="AK2016" s="771"/>
      <c r="AL2016" s="771"/>
      <c r="AM2016" s="771"/>
      <c r="AN2016" s="771"/>
      <c r="AO2016" s="771"/>
      <c r="AP2016" s="771"/>
      <c r="AQ2016" s="771"/>
      <c r="AR2016" s="771"/>
      <c r="AS2016" s="771"/>
      <c r="AT2016" s="771"/>
      <c r="AU2016" s="771"/>
    </row>
    <row r="2017" spans="1:47" s="919" customFormat="1" outlineLevel="1" x14ac:dyDescent="0.2">
      <c r="A2017" s="8"/>
      <c r="B2017" s="8"/>
      <c r="C2017" s="1989" t="s">
        <v>3680</v>
      </c>
      <c r="D2017" s="1989" t="s">
        <v>3681</v>
      </c>
      <c r="E2017" s="1989">
        <v>1.1200000000000001</v>
      </c>
      <c r="F2017" s="38">
        <f t="shared" si="31"/>
        <v>91.079788800000017</v>
      </c>
      <c r="G2017" s="459"/>
      <c r="H2017" s="8"/>
      <c r="I2017" s="8"/>
      <c r="J2017" s="8"/>
      <c r="K2017" s="8"/>
      <c r="L2017" s="8"/>
      <c r="M2017" s="8"/>
      <c r="N2017" s="8"/>
      <c r="O2017" s="8"/>
      <c r="P2017" s="8"/>
      <c r="Q2017" s="8"/>
      <c r="R2017" s="8"/>
      <c r="S2017" s="8"/>
      <c r="T2017" s="8"/>
      <c r="U2017" s="8"/>
      <c r="V2017" s="8"/>
      <c r="W2017" s="8"/>
      <c r="X2017" s="771"/>
      <c r="Y2017" s="771"/>
      <c r="Z2017" s="771"/>
      <c r="AA2017" s="771"/>
      <c r="AB2017" s="771"/>
      <c r="AC2017" s="771"/>
      <c r="AD2017" s="771"/>
      <c r="AE2017" s="771"/>
      <c r="AF2017" s="771"/>
      <c r="AG2017" s="771"/>
      <c r="AH2017" s="771"/>
      <c r="AI2017" s="771"/>
      <c r="AJ2017" s="771"/>
      <c r="AK2017" s="771"/>
      <c r="AL2017" s="771"/>
      <c r="AM2017" s="771"/>
      <c r="AN2017" s="771"/>
      <c r="AO2017" s="771"/>
      <c r="AP2017" s="771"/>
      <c r="AQ2017" s="771"/>
      <c r="AR2017" s="771"/>
      <c r="AS2017" s="771"/>
      <c r="AT2017" s="771"/>
      <c r="AU2017" s="771"/>
    </row>
    <row r="2018" spans="1:47" s="919" customFormat="1" outlineLevel="1" x14ac:dyDescent="0.2">
      <c r="A2018" s="8"/>
      <c r="B2018" s="8"/>
      <c r="C2018" s="1989" t="s">
        <v>6776</v>
      </c>
      <c r="D2018" s="1989" t="s">
        <v>6080</v>
      </c>
      <c r="E2018" s="1989">
        <v>0</v>
      </c>
      <c r="F2018" s="38">
        <f t="shared" si="31"/>
        <v>0</v>
      </c>
      <c r="G2018" s="459"/>
      <c r="H2018" s="8"/>
      <c r="I2018" s="8"/>
      <c r="J2018" s="8"/>
      <c r="K2018" s="8"/>
      <c r="L2018" s="8"/>
      <c r="M2018" s="8"/>
      <c r="N2018" s="8"/>
      <c r="O2018" s="8"/>
      <c r="P2018" s="8"/>
      <c r="Q2018" s="8"/>
      <c r="R2018" s="8"/>
      <c r="S2018" s="8"/>
      <c r="T2018" s="8"/>
      <c r="U2018" s="8"/>
      <c r="V2018" s="8"/>
      <c r="W2018" s="8"/>
      <c r="X2018" s="771"/>
      <c r="Y2018" s="771"/>
      <c r="Z2018" s="771"/>
      <c r="AA2018" s="771"/>
      <c r="AB2018" s="771"/>
      <c r="AC2018" s="771"/>
      <c r="AD2018" s="771"/>
      <c r="AE2018" s="771"/>
      <c r="AF2018" s="771"/>
      <c r="AG2018" s="771"/>
      <c r="AH2018" s="771"/>
      <c r="AI2018" s="771"/>
      <c r="AJ2018" s="771"/>
      <c r="AK2018" s="771"/>
      <c r="AL2018" s="771"/>
      <c r="AM2018" s="771"/>
      <c r="AN2018" s="771"/>
      <c r="AO2018" s="771"/>
      <c r="AP2018" s="771"/>
      <c r="AQ2018" s="771"/>
      <c r="AR2018" s="771"/>
      <c r="AS2018" s="771"/>
      <c r="AT2018" s="771"/>
      <c r="AU2018" s="771"/>
    </row>
    <row r="2019" spans="1:47" s="919" customFormat="1" outlineLevel="1" x14ac:dyDescent="0.2">
      <c r="A2019" s="8"/>
      <c r="B2019" s="8"/>
      <c r="C2019" s="1989" t="s">
        <v>3050</v>
      </c>
      <c r="D2019" s="1989" t="s">
        <v>4081</v>
      </c>
      <c r="E2019" s="1989">
        <v>0.51</v>
      </c>
      <c r="F2019" s="38">
        <f t="shared" si="31"/>
        <v>41.473832399999999</v>
      </c>
      <c r="G2019" s="459"/>
      <c r="H2019" s="8"/>
      <c r="I2019" s="8"/>
      <c r="J2019" s="8"/>
      <c r="K2019" s="8"/>
      <c r="L2019" s="8"/>
      <c r="M2019" s="8"/>
      <c r="N2019" s="8"/>
      <c r="O2019" s="8"/>
      <c r="P2019" s="8"/>
      <c r="Q2019" s="8"/>
      <c r="R2019" s="8"/>
      <c r="S2019" s="8"/>
      <c r="T2019" s="8"/>
      <c r="U2019" s="8"/>
      <c r="V2019" s="8"/>
      <c r="W2019" s="8"/>
      <c r="X2019" s="771"/>
      <c r="Y2019" s="771"/>
      <c r="Z2019" s="771"/>
      <c r="AA2019" s="771"/>
      <c r="AB2019" s="771"/>
      <c r="AC2019" s="771"/>
      <c r="AD2019" s="771"/>
      <c r="AE2019" s="771"/>
      <c r="AF2019" s="771"/>
      <c r="AG2019" s="771"/>
      <c r="AH2019" s="771"/>
      <c r="AI2019" s="771"/>
      <c r="AJ2019" s="771"/>
      <c r="AK2019" s="771"/>
      <c r="AL2019" s="771"/>
      <c r="AM2019" s="771"/>
      <c r="AN2019" s="771"/>
      <c r="AO2019" s="771"/>
      <c r="AP2019" s="771"/>
      <c r="AQ2019" s="771"/>
      <c r="AR2019" s="771"/>
      <c r="AS2019" s="771"/>
      <c r="AT2019" s="771"/>
      <c r="AU2019" s="771"/>
    </row>
    <row r="2020" spans="1:47" s="919" customFormat="1" outlineLevel="1" x14ac:dyDescent="0.2">
      <c r="A2020" s="8"/>
      <c r="B2020" s="8"/>
      <c r="C2020" s="1989" t="s">
        <v>3682</v>
      </c>
      <c r="D2020" s="1989" t="s">
        <v>3683</v>
      </c>
      <c r="E2020" s="1989">
        <v>1.1200000000000001</v>
      </c>
      <c r="F2020" s="38">
        <f t="shared" si="31"/>
        <v>91.079788800000017</v>
      </c>
      <c r="G2020" s="1547"/>
      <c r="H2020" s="8"/>
      <c r="I2020" s="8"/>
      <c r="J2020" s="8"/>
      <c r="K2020" s="8"/>
      <c r="L2020" s="8"/>
      <c r="M2020" s="8"/>
      <c r="N2020" s="8"/>
      <c r="O2020" s="8"/>
      <c r="P2020" s="8"/>
      <c r="Q2020" s="8"/>
      <c r="R2020" s="8"/>
      <c r="S2020" s="8"/>
      <c r="T2020" s="8"/>
      <c r="U2020" s="8"/>
      <c r="V2020" s="8"/>
      <c r="W2020" s="8"/>
      <c r="X2020" s="771"/>
      <c r="Y2020" s="771"/>
      <c r="Z2020" s="771"/>
      <c r="AA2020" s="771"/>
      <c r="AB2020" s="771"/>
      <c r="AC2020" s="771"/>
      <c r="AD2020" s="771"/>
      <c r="AE2020" s="771"/>
      <c r="AF2020" s="771"/>
      <c r="AG2020" s="771"/>
      <c r="AH2020" s="771"/>
      <c r="AI2020" s="771"/>
      <c r="AJ2020" s="771"/>
      <c r="AK2020" s="771"/>
      <c r="AL2020" s="771"/>
      <c r="AM2020" s="771"/>
      <c r="AN2020" s="771"/>
      <c r="AO2020" s="771"/>
      <c r="AP2020" s="771"/>
      <c r="AQ2020" s="771"/>
      <c r="AR2020" s="771"/>
      <c r="AS2020" s="771"/>
      <c r="AT2020" s="771"/>
      <c r="AU2020" s="771"/>
    </row>
    <row r="2021" spans="1:47" s="919" customFormat="1" outlineLevel="1" x14ac:dyDescent="0.2">
      <c r="A2021" s="8"/>
      <c r="B2021" s="8"/>
      <c r="C2021" s="1989" t="s">
        <v>6777</v>
      </c>
      <c r="D2021" s="1989" t="s">
        <v>6081</v>
      </c>
      <c r="E2021" s="1989">
        <v>5.84</v>
      </c>
      <c r="F2021" s="38">
        <f t="shared" si="31"/>
        <v>474.91604160000003</v>
      </c>
      <c r="G2021" s="1547"/>
      <c r="H2021" s="8"/>
      <c r="I2021" s="8"/>
      <c r="J2021" s="8"/>
      <c r="K2021" s="8"/>
      <c r="L2021" s="8"/>
      <c r="M2021" s="8"/>
      <c r="N2021" s="8"/>
      <c r="O2021" s="8"/>
      <c r="P2021" s="8"/>
      <c r="Q2021" s="8"/>
      <c r="R2021" s="8"/>
      <c r="S2021" s="8"/>
      <c r="T2021" s="8"/>
      <c r="U2021" s="8"/>
      <c r="V2021" s="8"/>
      <c r="W2021" s="8"/>
      <c r="X2021" s="771"/>
      <c r="Y2021" s="771"/>
      <c r="Z2021" s="771"/>
      <c r="AA2021" s="771"/>
      <c r="AB2021" s="771"/>
      <c r="AC2021" s="771"/>
      <c r="AD2021" s="771"/>
      <c r="AE2021" s="771"/>
      <c r="AF2021" s="771"/>
      <c r="AG2021" s="771"/>
      <c r="AH2021" s="771"/>
      <c r="AI2021" s="771"/>
      <c r="AJ2021" s="771"/>
      <c r="AK2021" s="771"/>
      <c r="AL2021" s="771"/>
      <c r="AM2021" s="771"/>
      <c r="AN2021" s="771"/>
      <c r="AO2021" s="771"/>
      <c r="AP2021" s="771"/>
      <c r="AQ2021" s="771"/>
      <c r="AR2021" s="771"/>
      <c r="AS2021" s="771"/>
      <c r="AT2021" s="771"/>
      <c r="AU2021" s="771"/>
    </row>
    <row r="2022" spans="1:47" s="919" customFormat="1" outlineLevel="1" x14ac:dyDescent="0.2">
      <c r="A2022" s="8"/>
      <c r="B2022" s="8"/>
      <c r="C2022" s="1989" t="s">
        <v>6778</v>
      </c>
      <c r="D2022" s="1989" t="s">
        <v>6082</v>
      </c>
      <c r="E2022" s="1989">
        <v>5.84</v>
      </c>
      <c r="F2022" s="38">
        <f t="shared" si="31"/>
        <v>474.91604160000003</v>
      </c>
      <c r="G2022" s="1547"/>
      <c r="H2022" s="8"/>
      <c r="I2022" s="8"/>
      <c r="J2022" s="8"/>
      <c r="K2022" s="8"/>
      <c r="L2022" s="8"/>
      <c r="M2022" s="8"/>
      <c r="N2022" s="8"/>
      <c r="O2022" s="8"/>
      <c r="P2022" s="8"/>
      <c r="Q2022" s="8"/>
      <c r="R2022" s="8"/>
      <c r="S2022" s="8"/>
      <c r="T2022" s="8"/>
      <c r="U2022" s="8"/>
      <c r="V2022" s="8"/>
      <c r="W2022" s="8"/>
      <c r="X2022" s="771"/>
      <c r="Y2022" s="771"/>
      <c r="Z2022" s="771"/>
      <c r="AA2022" s="771"/>
      <c r="AB2022" s="771"/>
      <c r="AC2022" s="771"/>
      <c r="AD2022" s="771"/>
      <c r="AE2022" s="771"/>
      <c r="AF2022" s="771"/>
      <c r="AG2022" s="771"/>
      <c r="AH2022" s="771"/>
      <c r="AI2022" s="771"/>
      <c r="AJ2022" s="771"/>
      <c r="AK2022" s="771"/>
      <c r="AL2022" s="771"/>
      <c r="AM2022" s="771"/>
      <c r="AN2022" s="771"/>
      <c r="AO2022" s="771"/>
      <c r="AP2022" s="771"/>
      <c r="AQ2022" s="771"/>
      <c r="AR2022" s="771"/>
      <c r="AS2022" s="771"/>
      <c r="AT2022" s="771"/>
      <c r="AU2022" s="771"/>
    </row>
    <row r="2023" spans="1:47" s="919" customFormat="1" outlineLevel="1" x14ac:dyDescent="0.2">
      <c r="A2023" s="8"/>
      <c r="B2023" s="8"/>
      <c r="C2023" s="1989" t="s">
        <v>3051</v>
      </c>
      <c r="D2023" s="1989" t="s">
        <v>7842</v>
      </c>
      <c r="E2023" s="1989">
        <v>2.71</v>
      </c>
      <c r="F2023" s="38">
        <f t="shared" si="31"/>
        <v>220.38056040000001</v>
      </c>
      <c r="G2023" s="1547"/>
      <c r="H2023" s="8"/>
      <c r="I2023" s="8"/>
      <c r="J2023" s="8"/>
      <c r="K2023" s="8"/>
      <c r="L2023" s="8"/>
      <c r="M2023" s="8"/>
      <c r="N2023" s="8"/>
      <c r="O2023" s="8"/>
      <c r="P2023" s="8"/>
      <c r="Q2023" s="8"/>
      <c r="R2023" s="8"/>
      <c r="S2023" s="8"/>
      <c r="T2023" s="8"/>
      <c r="U2023" s="8"/>
      <c r="V2023" s="8"/>
      <c r="W2023" s="8"/>
      <c r="X2023" s="771"/>
      <c r="Y2023" s="771"/>
      <c r="Z2023" s="771"/>
      <c r="AA2023" s="771"/>
      <c r="AB2023" s="771"/>
      <c r="AC2023" s="771"/>
      <c r="AD2023" s="771"/>
      <c r="AE2023" s="771"/>
      <c r="AF2023" s="771"/>
      <c r="AG2023" s="771"/>
      <c r="AH2023" s="771"/>
      <c r="AI2023" s="771"/>
      <c r="AJ2023" s="771"/>
      <c r="AK2023" s="771"/>
      <c r="AL2023" s="771"/>
      <c r="AM2023" s="771"/>
      <c r="AN2023" s="771"/>
      <c r="AO2023" s="771"/>
      <c r="AP2023" s="771"/>
      <c r="AQ2023" s="771"/>
      <c r="AR2023" s="771"/>
      <c r="AS2023" s="771"/>
      <c r="AT2023" s="771"/>
      <c r="AU2023" s="771"/>
    </row>
    <row r="2024" spans="1:47" s="919" customFormat="1" outlineLevel="1" x14ac:dyDescent="0.2">
      <c r="A2024" s="8"/>
      <c r="B2024" s="8"/>
      <c r="C2024" s="1989" t="s">
        <v>3052</v>
      </c>
      <c r="D2024" s="1989" t="s">
        <v>6083</v>
      </c>
      <c r="E2024" s="1989">
        <v>1.52</v>
      </c>
      <c r="F2024" s="38">
        <f t="shared" si="31"/>
        <v>123.60828479999999</v>
      </c>
      <c r="G2024" s="1547"/>
      <c r="H2024" s="8"/>
      <c r="I2024" s="8"/>
      <c r="J2024" s="8"/>
      <c r="K2024" s="8"/>
      <c r="L2024" s="8"/>
      <c r="M2024" s="8"/>
      <c r="N2024" s="8"/>
      <c r="O2024" s="8"/>
      <c r="P2024" s="8"/>
      <c r="Q2024" s="8"/>
      <c r="R2024" s="8"/>
      <c r="S2024" s="8"/>
      <c r="T2024" s="8"/>
      <c r="U2024" s="8"/>
      <c r="V2024" s="8"/>
      <c r="W2024" s="8"/>
      <c r="X2024" s="771"/>
      <c r="Y2024" s="771"/>
      <c r="Z2024" s="771"/>
      <c r="AA2024" s="771"/>
      <c r="AB2024" s="771"/>
      <c r="AC2024" s="771"/>
      <c r="AD2024" s="771"/>
      <c r="AE2024" s="771"/>
      <c r="AF2024" s="771"/>
      <c r="AG2024" s="771"/>
      <c r="AH2024" s="771"/>
      <c r="AI2024" s="771"/>
      <c r="AJ2024" s="771"/>
      <c r="AK2024" s="771"/>
      <c r="AL2024" s="771"/>
      <c r="AM2024" s="771"/>
      <c r="AN2024" s="771"/>
      <c r="AO2024" s="771"/>
      <c r="AP2024" s="771"/>
      <c r="AQ2024" s="771"/>
      <c r="AR2024" s="771"/>
      <c r="AS2024" s="771"/>
      <c r="AT2024" s="771"/>
      <c r="AU2024" s="771"/>
    </row>
    <row r="2025" spans="1:47" s="919" customFormat="1" outlineLevel="1" x14ac:dyDescent="0.2">
      <c r="A2025" s="8"/>
      <c r="B2025" s="8"/>
      <c r="C2025" s="1989" t="s">
        <v>3684</v>
      </c>
      <c r="D2025" s="1989" t="s">
        <v>3685</v>
      </c>
      <c r="E2025" s="1989">
        <v>0.51</v>
      </c>
      <c r="F2025" s="38">
        <f t="shared" si="31"/>
        <v>41.473832399999999</v>
      </c>
      <c r="G2025" s="1547"/>
      <c r="H2025" s="8"/>
      <c r="I2025" s="8"/>
      <c r="J2025" s="8"/>
      <c r="K2025" s="8"/>
      <c r="L2025" s="8"/>
      <c r="M2025" s="8"/>
      <c r="N2025" s="8"/>
      <c r="O2025" s="8"/>
      <c r="P2025" s="8"/>
      <c r="Q2025" s="8"/>
      <c r="R2025" s="8"/>
      <c r="S2025" s="8"/>
      <c r="T2025" s="8"/>
      <c r="U2025" s="8"/>
      <c r="V2025" s="8"/>
      <c r="W2025" s="8"/>
      <c r="X2025" s="771"/>
      <c r="Y2025" s="771"/>
      <c r="Z2025" s="771"/>
      <c r="AA2025" s="771"/>
      <c r="AB2025" s="771"/>
      <c r="AC2025" s="771"/>
      <c r="AD2025" s="771"/>
      <c r="AE2025" s="771"/>
      <c r="AF2025" s="771"/>
      <c r="AG2025" s="771"/>
      <c r="AH2025" s="771"/>
      <c r="AI2025" s="771"/>
      <c r="AJ2025" s="771"/>
      <c r="AK2025" s="771"/>
      <c r="AL2025" s="771"/>
      <c r="AM2025" s="771"/>
      <c r="AN2025" s="771"/>
      <c r="AO2025" s="771"/>
      <c r="AP2025" s="771"/>
      <c r="AQ2025" s="771"/>
      <c r="AR2025" s="771"/>
      <c r="AS2025" s="771"/>
      <c r="AT2025" s="771"/>
      <c r="AU2025" s="771"/>
    </row>
    <row r="2026" spans="1:47" s="919" customFormat="1" outlineLevel="1" x14ac:dyDescent="0.2">
      <c r="A2026" s="8"/>
      <c r="B2026" s="8"/>
      <c r="C2026" s="1989" t="s">
        <v>3686</v>
      </c>
      <c r="D2026" s="1989" t="s">
        <v>6085</v>
      </c>
      <c r="E2026" s="1989">
        <v>0.51</v>
      </c>
      <c r="F2026" s="38">
        <f t="shared" si="31"/>
        <v>41.473832399999999</v>
      </c>
      <c r="G2026" s="1547"/>
      <c r="H2026" s="8"/>
      <c r="I2026" s="8"/>
      <c r="J2026" s="8"/>
      <c r="K2026" s="8"/>
      <c r="L2026" s="8"/>
      <c r="M2026" s="8"/>
      <c r="N2026" s="8"/>
      <c r="O2026" s="8"/>
      <c r="P2026" s="8"/>
      <c r="Q2026" s="8"/>
      <c r="R2026" s="8"/>
      <c r="S2026" s="8"/>
      <c r="T2026" s="8"/>
      <c r="U2026" s="8"/>
      <c r="V2026" s="8"/>
      <c r="W2026" s="8"/>
      <c r="X2026" s="771"/>
      <c r="Y2026" s="771"/>
      <c r="Z2026" s="771"/>
      <c r="AA2026" s="771"/>
      <c r="AB2026" s="771"/>
      <c r="AC2026" s="771"/>
      <c r="AD2026" s="771"/>
      <c r="AE2026" s="771"/>
      <c r="AF2026" s="771"/>
      <c r="AG2026" s="771"/>
      <c r="AH2026" s="771"/>
      <c r="AI2026" s="771"/>
      <c r="AJ2026" s="771"/>
      <c r="AK2026" s="771"/>
      <c r="AL2026" s="771"/>
      <c r="AM2026" s="771"/>
      <c r="AN2026" s="771"/>
      <c r="AO2026" s="771"/>
      <c r="AP2026" s="771"/>
      <c r="AQ2026" s="771"/>
      <c r="AR2026" s="771"/>
      <c r="AS2026" s="771"/>
      <c r="AT2026" s="771"/>
      <c r="AU2026" s="771"/>
    </row>
    <row r="2027" spans="1:47" s="919" customFormat="1" outlineLevel="1" x14ac:dyDescent="0.2">
      <c r="A2027" s="8"/>
      <c r="B2027" s="8"/>
      <c r="C2027" s="1989" t="s">
        <v>7843</v>
      </c>
      <c r="D2027" s="1989" t="s">
        <v>6084</v>
      </c>
      <c r="E2027" s="1989">
        <v>6.95</v>
      </c>
      <c r="F2027" s="38">
        <f t="shared" si="31"/>
        <v>565.18261800000005</v>
      </c>
      <c r="G2027" s="1547"/>
      <c r="H2027" s="8"/>
      <c r="I2027" s="8"/>
      <c r="J2027" s="8"/>
      <c r="K2027" s="8"/>
      <c r="L2027" s="8"/>
      <c r="M2027" s="8"/>
      <c r="N2027" s="8"/>
      <c r="O2027" s="8"/>
      <c r="P2027" s="8"/>
      <c r="Q2027" s="8"/>
      <c r="R2027" s="8"/>
      <c r="S2027" s="8"/>
      <c r="T2027" s="8"/>
      <c r="U2027" s="8"/>
      <c r="V2027" s="8"/>
      <c r="W2027" s="8"/>
      <c r="X2027" s="771"/>
      <c r="Y2027" s="771"/>
      <c r="Z2027" s="771"/>
      <c r="AA2027" s="771"/>
      <c r="AB2027" s="771"/>
      <c r="AC2027" s="771"/>
      <c r="AD2027" s="771"/>
      <c r="AE2027" s="771"/>
      <c r="AF2027" s="771"/>
      <c r="AG2027" s="771"/>
      <c r="AH2027" s="771"/>
      <c r="AI2027" s="771"/>
      <c r="AJ2027" s="771"/>
      <c r="AK2027" s="771"/>
      <c r="AL2027" s="771"/>
      <c r="AM2027" s="771"/>
      <c r="AN2027" s="771"/>
      <c r="AO2027" s="771"/>
      <c r="AP2027" s="771"/>
      <c r="AQ2027" s="771"/>
      <c r="AR2027" s="771"/>
      <c r="AS2027" s="771"/>
      <c r="AT2027" s="771"/>
      <c r="AU2027" s="771"/>
    </row>
    <row r="2028" spans="1:47" s="919" customFormat="1" outlineLevel="1" x14ac:dyDescent="0.2">
      <c r="A2028" s="8"/>
      <c r="B2028" s="8"/>
      <c r="C2028" s="1989" t="s">
        <v>6780</v>
      </c>
      <c r="D2028" s="1989" t="s">
        <v>6086</v>
      </c>
      <c r="E2028" s="1989">
        <v>6.95</v>
      </c>
      <c r="F2028" s="38">
        <f t="shared" si="31"/>
        <v>565.18261800000005</v>
      </c>
      <c r="G2028" s="1547"/>
      <c r="H2028" s="8"/>
      <c r="I2028" s="8"/>
      <c r="J2028" s="8"/>
      <c r="K2028" s="8"/>
      <c r="L2028" s="8"/>
      <c r="M2028" s="8"/>
      <c r="N2028" s="8"/>
      <c r="O2028" s="8"/>
      <c r="P2028" s="8"/>
      <c r="Q2028" s="8"/>
      <c r="R2028" s="8"/>
      <c r="S2028" s="8"/>
      <c r="T2028" s="8"/>
      <c r="U2028" s="8"/>
      <c r="V2028" s="8"/>
      <c r="W2028" s="8"/>
      <c r="X2028" s="771"/>
      <c r="Y2028" s="771"/>
      <c r="Z2028" s="771"/>
      <c r="AA2028" s="771"/>
      <c r="AB2028" s="771"/>
      <c r="AC2028" s="771"/>
      <c r="AD2028" s="771"/>
      <c r="AE2028" s="771"/>
      <c r="AF2028" s="771"/>
      <c r="AG2028" s="771"/>
      <c r="AH2028" s="771"/>
      <c r="AI2028" s="771"/>
      <c r="AJ2028" s="771"/>
      <c r="AK2028" s="771"/>
      <c r="AL2028" s="771"/>
      <c r="AM2028" s="771"/>
      <c r="AN2028" s="771"/>
      <c r="AO2028" s="771"/>
      <c r="AP2028" s="771"/>
      <c r="AQ2028" s="771"/>
      <c r="AR2028" s="771"/>
      <c r="AS2028" s="771"/>
      <c r="AT2028" s="771"/>
      <c r="AU2028" s="771"/>
    </row>
    <row r="2029" spans="1:47" s="919" customFormat="1" outlineLevel="1" x14ac:dyDescent="0.2">
      <c r="A2029" s="8"/>
      <c r="B2029" s="8"/>
      <c r="C2029" s="1989" t="s">
        <v>3687</v>
      </c>
      <c r="D2029" s="1989" t="s">
        <v>3688</v>
      </c>
      <c r="E2029" s="1989">
        <v>9.75</v>
      </c>
      <c r="F2029" s="38">
        <f t="shared" si="31"/>
        <v>792.88209000000006</v>
      </c>
      <c r="G2029" s="1547"/>
      <c r="H2029" s="8"/>
      <c r="I2029" s="8"/>
      <c r="J2029" s="8"/>
      <c r="K2029" s="8"/>
      <c r="L2029" s="8"/>
      <c r="M2029" s="8"/>
      <c r="N2029" s="8"/>
      <c r="O2029" s="8"/>
      <c r="P2029" s="8"/>
      <c r="Q2029" s="8"/>
      <c r="R2029" s="8"/>
      <c r="S2029" s="8"/>
      <c r="T2029" s="8"/>
      <c r="U2029" s="8"/>
      <c r="V2029" s="8"/>
      <c r="W2029" s="8"/>
      <c r="X2029" s="771"/>
      <c r="Y2029" s="771"/>
      <c r="Z2029" s="771"/>
      <c r="AA2029" s="771"/>
      <c r="AB2029" s="771"/>
      <c r="AC2029" s="771"/>
      <c r="AD2029" s="771"/>
      <c r="AE2029" s="771"/>
      <c r="AF2029" s="771"/>
      <c r="AG2029" s="771"/>
      <c r="AH2029" s="771"/>
      <c r="AI2029" s="771"/>
      <c r="AJ2029" s="771"/>
      <c r="AK2029" s="771"/>
      <c r="AL2029" s="771"/>
      <c r="AM2029" s="771"/>
      <c r="AN2029" s="771"/>
      <c r="AO2029" s="771"/>
      <c r="AP2029" s="771"/>
      <c r="AQ2029" s="771"/>
      <c r="AR2029" s="771"/>
      <c r="AS2029" s="771"/>
      <c r="AT2029" s="771"/>
      <c r="AU2029" s="771"/>
    </row>
    <row r="2030" spans="1:47" s="919" customFormat="1" outlineLevel="1" x14ac:dyDescent="0.2">
      <c r="A2030" s="8"/>
      <c r="B2030" s="8"/>
      <c r="C2030" s="1989" t="s">
        <v>3689</v>
      </c>
      <c r="D2030" s="1989" t="s">
        <v>6087</v>
      </c>
      <c r="E2030" s="1989">
        <v>9.75</v>
      </c>
      <c r="F2030" s="38">
        <f t="shared" si="31"/>
        <v>792.88209000000006</v>
      </c>
      <c r="G2030" s="1547"/>
      <c r="H2030" s="8"/>
      <c r="I2030" s="8"/>
      <c r="J2030" s="8"/>
      <c r="K2030" s="8"/>
      <c r="L2030" s="8"/>
      <c r="M2030" s="8"/>
      <c r="N2030" s="8"/>
      <c r="O2030" s="8"/>
      <c r="P2030" s="8"/>
      <c r="Q2030" s="8"/>
      <c r="R2030" s="8"/>
      <c r="S2030" s="8"/>
      <c r="T2030" s="8"/>
      <c r="U2030" s="8"/>
      <c r="V2030" s="8"/>
      <c r="W2030" s="8"/>
      <c r="X2030" s="771"/>
      <c r="Y2030" s="771"/>
      <c r="Z2030" s="771"/>
      <c r="AA2030" s="771"/>
      <c r="AB2030" s="771"/>
      <c r="AC2030" s="771"/>
      <c r="AD2030" s="771"/>
      <c r="AE2030" s="771"/>
      <c r="AF2030" s="771"/>
      <c r="AG2030" s="771"/>
      <c r="AH2030" s="771"/>
      <c r="AI2030" s="771"/>
      <c r="AJ2030" s="771"/>
      <c r="AK2030" s="771"/>
      <c r="AL2030" s="771"/>
      <c r="AM2030" s="771"/>
      <c r="AN2030" s="771"/>
      <c r="AO2030" s="771"/>
      <c r="AP2030" s="771"/>
      <c r="AQ2030" s="771"/>
      <c r="AR2030" s="771"/>
      <c r="AS2030" s="771"/>
      <c r="AT2030" s="771"/>
      <c r="AU2030" s="771"/>
    </row>
    <row r="2031" spans="1:47" s="919" customFormat="1" outlineLevel="1" x14ac:dyDescent="0.2">
      <c r="A2031" s="8"/>
      <c r="B2031" s="8"/>
      <c r="C2031" s="1989" t="s">
        <v>2278</v>
      </c>
      <c r="D2031" s="1989" t="s">
        <v>2279</v>
      </c>
      <c r="E2031" s="1989">
        <v>0.59</v>
      </c>
      <c r="F2031" s="38">
        <f t="shared" si="31"/>
        <v>47.979531600000001</v>
      </c>
      <c r="G2031" s="1547"/>
      <c r="H2031" s="8"/>
      <c r="I2031" s="8"/>
      <c r="J2031" s="8"/>
      <c r="K2031" s="8"/>
      <c r="L2031" s="8"/>
      <c r="M2031" s="8"/>
      <c r="N2031" s="8"/>
      <c r="O2031" s="8"/>
      <c r="P2031" s="8"/>
      <c r="Q2031" s="8"/>
      <c r="R2031" s="8"/>
      <c r="S2031" s="8"/>
      <c r="T2031" s="8"/>
      <c r="U2031" s="8"/>
      <c r="V2031" s="8"/>
      <c r="W2031" s="8"/>
      <c r="X2031" s="771"/>
      <c r="Y2031" s="771"/>
      <c r="Z2031" s="771"/>
      <c r="AA2031" s="771"/>
      <c r="AB2031" s="771"/>
      <c r="AC2031" s="771"/>
      <c r="AD2031" s="771"/>
      <c r="AE2031" s="771"/>
      <c r="AF2031" s="771"/>
      <c r="AG2031" s="771"/>
      <c r="AH2031" s="771"/>
      <c r="AI2031" s="771"/>
      <c r="AJ2031" s="771"/>
      <c r="AK2031" s="771"/>
      <c r="AL2031" s="771"/>
      <c r="AM2031" s="771"/>
      <c r="AN2031" s="771"/>
      <c r="AO2031" s="771"/>
      <c r="AP2031" s="771"/>
      <c r="AQ2031" s="771"/>
      <c r="AR2031" s="771"/>
      <c r="AS2031" s="771"/>
      <c r="AT2031" s="771"/>
      <c r="AU2031" s="771"/>
    </row>
    <row r="2032" spans="1:47" s="919" customFormat="1" outlineLevel="1" x14ac:dyDescent="0.2">
      <c r="A2032" s="8"/>
      <c r="B2032" s="8"/>
      <c r="C2032" s="1989" t="s">
        <v>3690</v>
      </c>
      <c r="D2032" s="1989" t="s">
        <v>6088</v>
      </c>
      <c r="E2032" s="1989">
        <v>21.46</v>
      </c>
      <c r="F2032" s="38">
        <f t="shared" si="31"/>
        <v>1745.1538104000001</v>
      </c>
      <c r="G2032" s="1547"/>
      <c r="H2032" s="8"/>
      <c r="I2032" s="8"/>
      <c r="J2032" s="8"/>
      <c r="K2032" s="8"/>
      <c r="L2032" s="8"/>
      <c r="M2032" s="8"/>
      <c r="N2032" s="8"/>
      <c r="O2032" s="8"/>
      <c r="P2032" s="8"/>
      <c r="Q2032" s="8"/>
      <c r="R2032" s="8"/>
      <c r="S2032" s="8"/>
      <c r="T2032" s="8"/>
      <c r="U2032" s="8"/>
      <c r="V2032" s="8"/>
      <c r="W2032" s="8"/>
      <c r="X2032" s="771"/>
      <c r="Y2032" s="771"/>
      <c r="Z2032" s="771"/>
      <c r="AA2032" s="771"/>
      <c r="AB2032" s="771"/>
      <c r="AC2032" s="771"/>
      <c r="AD2032" s="771"/>
      <c r="AE2032" s="771"/>
      <c r="AF2032" s="771"/>
      <c r="AG2032" s="771"/>
      <c r="AH2032" s="771"/>
      <c r="AI2032" s="771"/>
      <c r="AJ2032" s="771"/>
      <c r="AK2032" s="771"/>
      <c r="AL2032" s="771"/>
      <c r="AM2032" s="771"/>
      <c r="AN2032" s="771"/>
      <c r="AO2032" s="771"/>
      <c r="AP2032" s="771"/>
      <c r="AQ2032" s="771"/>
      <c r="AR2032" s="771"/>
      <c r="AS2032" s="771"/>
      <c r="AT2032" s="771"/>
      <c r="AU2032" s="771"/>
    </row>
    <row r="2033" spans="1:47" s="919" customFormat="1" outlineLevel="1" x14ac:dyDescent="0.2">
      <c r="A2033" s="8"/>
      <c r="B2033" s="8"/>
      <c r="C2033" s="1989" t="s">
        <v>3691</v>
      </c>
      <c r="D2033" s="1989" t="s">
        <v>6089</v>
      </c>
      <c r="E2033" s="1989">
        <v>21.46</v>
      </c>
      <c r="F2033" s="38">
        <f t="shared" si="31"/>
        <v>1745.1538104000001</v>
      </c>
      <c r="G2033" s="1547"/>
      <c r="H2033" s="8"/>
      <c r="I2033" s="8"/>
      <c r="J2033" s="8"/>
      <c r="K2033" s="8"/>
      <c r="L2033" s="8"/>
      <c r="M2033" s="8"/>
      <c r="N2033" s="8"/>
      <c r="O2033" s="8"/>
      <c r="P2033" s="8"/>
      <c r="Q2033" s="8"/>
      <c r="R2033" s="8"/>
      <c r="S2033" s="8"/>
      <c r="T2033" s="8"/>
      <c r="U2033" s="8"/>
      <c r="V2033" s="8"/>
      <c r="W2033" s="8"/>
      <c r="X2033" s="771"/>
      <c r="Y2033" s="771"/>
      <c r="Z2033" s="771"/>
      <c r="AA2033" s="771"/>
      <c r="AB2033" s="771"/>
      <c r="AC2033" s="771"/>
      <c r="AD2033" s="771"/>
      <c r="AE2033" s="771"/>
      <c r="AF2033" s="771"/>
      <c r="AG2033" s="771"/>
      <c r="AH2033" s="771"/>
      <c r="AI2033" s="771"/>
      <c r="AJ2033" s="771"/>
      <c r="AK2033" s="771"/>
      <c r="AL2033" s="771"/>
      <c r="AM2033" s="771"/>
      <c r="AN2033" s="771"/>
      <c r="AO2033" s="771"/>
      <c r="AP2033" s="771"/>
      <c r="AQ2033" s="771"/>
      <c r="AR2033" s="771"/>
      <c r="AS2033" s="771"/>
      <c r="AT2033" s="771"/>
      <c r="AU2033" s="771"/>
    </row>
    <row r="2034" spans="1:47" s="919" customFormat="1" outlineLevel="1" x14ac:dyDescent="0.2">
      <c r="A2034" s="8"/>
      <c r="B2034" s="8"/>
      <c r="C2034" s="1989" t="s">
        <v>4611</v>
      </c>
      <c r="D2034" s="1989" t="s">
        <v>4612</v>
      </c>
      <c r="E2034" s="1989">
        <v>17.3</v>
      </c>
      <c r="F2034" s="38">
        <f t="shared" si="31"/>
        <v>1406.8574520000002</v>
      </c>
      <c r="G2034" s="1547"/>
      <c r="H2034" s="8"/>
      <c r="I2034" s="8"/>
      <c r="J2034" s="8"/>
      <c r="K2034" s="8"/>
      <c r="L2034" s="8"/>
      <c r="M2034" s="8"/>
      <c r="N2034" s="8"/>
      <c r="O2034" s="8"/>
      <c r="P2034" s="8"/>
      <c r="Q2034" s="8"/>
      <c r="R2034" s="8"/>
      <c r="S2034" s="8"/>
      <c r="T2034" s="8"/>
      <c r="U2034" s="8"/>
      <c r="V2034" s="8"/>
      <c r="W2034" s="8"/>
      <c r="X2034" s="771"/>
      <c r="Y2034" s="771"/>
      <c r="Z2034" s="771"/>
      <c r="AA2034" s="771"/>
      <c r="AB2034" s="771"/>
      <c r="AC2034" s="771"/>
      <c r="AD2034" s="771"/>
      <c r="AE2034" s="771"/>
      <c r="AF2034" s="771"/>
      <c r="AG2034" s="771"/>
      <c r="AH2034" s="771"/>
      <c r="AI2034" s="771"/>
      <c r="AJ2034" s="771"/>
      <c r="AK2034" s="771"/>
      <c r="AL2034" s="771"/>
      <c r="AM2034" s="771"/>
      <c r="AN2034" s="771"/>
      <c r="AO2034" s="771"/>
      <c r="AP2034" s="771"/>
      <c r="AQ2034" s="771"/>
      <c r="AR2034" s="771"/>
      <c r="AS2034" s="771"/>
      <c r="AT2034" s="771"/>
      <c r="AU2034" s="771"/>
    </row>
    <row r="2035" spans="1:47" s="919" customFormat="1" outlineLevel="1" x14ac:dyDescent="0.2">
      <c r="A2035" s="8"/>
      <c r="B2035" s="8"/>
      <c r="C2035" s="1989" t="s">
        <v>3613</v>
      </c>
      <c r="D2035" s="1989" t="s">
        <v>6090</v>
      </c>
      <c r="E2035" s="1989">
        <v>0.51</v>
      </c>
      <c r="F2035" s="38">
        <f t="shared" si="31"/>
        <v>41.473832399999999</v>
      </c>
      <c r="G2035" s="1547"/>
      <c r="H2035" s="8"/>
      <c r="I2035" s="8"/>
      <c r="J2035" s="8"/>
      <c r="K2035" s="8"/>
      <c r="L2035" s="8"/>
      <c r="M2035" s="8"/>
      <c r="N2035" s="8"/>
      <c r="O2035" s="8"/>
      <c r="P2035" s="8"/>
      <c r="Q2035" s="8"/>
      <c r="R2035" s="8"/>
      <c r="S2035" s="8"/>
      <c r="T2035" s="8"/>
      <c r="U2035" s="8"/>
      <c r="V2035" s="8"/>
      <c r="W2035" s="8"/>
      <c r="X2035" s="771"/>
      <c r="Y2035" s="771"/>
      <c r="Z2035" s="771"/>
      <c r="AA2035" s="771"/>
      <c r="AB2035" s="771"/>
      <c r="AC2035" s="771"/>
      <c r="AD2035" s="771"/>
      <c r="AE2035" s="771"/>
      <c r="AF2035" s="771"/>
      <c r="AG2035" s="771"/>
      <c r="AH2035" s="771"/>
      <c r="AI2035" s="771"/>
      <c r="AJ2035" s="771"/>
      <c r="AK2035" s="771"/>
      <c r="AL2035" s="771"/>
      <c r="AM2035" s="771"/>
      <c r="AN2035" s="771"/>
      <c r="AO2035" s="771"/>
      <c r="AP2035" s="771"/>
      <c r="AQ2035" s="771"/>
      <c r="AR2035" s="771"/>
      <c r="AS2035" s="771"/>
      <c r="AT2035" s="771"/>
      <c r="AU2035" s="771"/>
    </row>
    <row r="2036" spans="1:47" s="919" customFormat="1" outlineLevel="1" x14ac:dyDescent="0.2">
      <c r="A2036" s="8"/>
      <c r="B2036" s="8"/>
      <c r="C2036" s="1989" t="s">
        <v>3053</v>
      </c>
      <c r="D2036" s="1989" t="s">
        <v>3692</v>
      </c>
      <c r="E2036" s="1989">
        <v>1.52</v>
      </c>
      <c r="F2036" s="38">
        <f t="shared" si="31"/>
        <v>123.60828479999999</v>
      </c>
      <c r="G2036" s="1547"/>
      <c r="H2036" s="8"/>
      <c r="I2036" s="8"/>
      <c r="J2036" s="8"/>
      <c r="K2036" s="8"/>
      <c r="L2036" s="8"/>
      <c r="M2036" s="8"/>
      <c r="N2036" s="8"/>
      <c r="O2036" s="8"/>
      <c r="P2036" s="8"/>
      <c r="Q2036" s="8"/>
      <c r="R2036" s="8"/>
      <c r="S2036" s="8"/>
      <c r="T2036" s="8"/>
      <c r="U2036" s="8"/>
      <c r="V2036" s="8"/>
      <c r="W2036" s="8"/>
      <c r="X2036" s="771"/>
      <c r="Y2036" s="771"/>
      <c r="Z2036" s="771"/>
      <c r="AA2036" s="771"/>
      <c r="AB2036" s="771"/>
      <c r="AC2036" s="771"/>
      <c r="AD2036" s="771"/>
      <c r="AE2036" s="771"/>
      <c r="AF2036" s="771"/>
      <c r="AG2036" s="771"/>
      <c r="AH2036" s="771"/>
      <c r="AI2036" s="771"/>
      <c r="AJ2036" s="771"/>
      <c r="AK2036" s="771"/>
      <c r="AL2036" s="771"/>
      <c r="AM2036" s="771"/>
      <c r="AN2036" s="771"/>
      <c r="AO2036" s="771"/>
      <c r="AP2036" s="771"/>
      <c r="AQ2036" s="771"/>
      <c r="AR2036" s="771"/>
      <c r="AS2036" s="771"/>
      <c r="AT2036" s="771"/>
      <c r="AU2036" s="771"/>
    </row>
    <row r="2037" spans="1:47" s="919" customFormat="1" outlineLevel="1" x14ac:dyDescent="0.2">
      <c r="A2037" s="8"/>
      <c r="B2037" s="8"/>
      <c r="C2037" s="1989" t="s">
        <v>3693</v>
      </c>
      <c r="D2037" s="1989" t="s">
        <v>3694</v>
      </c>
      <c r="E2037" s="1989">
        <v>22.68</v>
      </c>
      <c r="F2037" s="38">
        <f t="shared" si="31"/>
        <v>1844.3657232</v>
      </c>
      <c r="G2037" s="1547"/>
      <c r="H2037" s="8"/>
      <c r="I2037" s="8"/>
      <c r="J2037" s="8"/>
      <c r="K2037" s="8"/>
      <c r="L2037" s="8"/>
      <c r="M2037" s="8"/>
      <c r="N2037" s="8"/>
      <c r="O2037" s="8"/>
      <c r="P2037" s="8"/>
      <c r="Q2037" s="8"/>
      <c r="R2037" s="8"/>
      <c r="S2037" s="8"/>
      <c r="T2037" s="8"/>
      <c r="U2037" s="8"/>
      <c r="V2037" s="8"/>
      <c r="W2037" s="8"/>
      <c r="X2037" s="771"/>
      <c r="Y2037" s="771"/>
      <c r="Z2037" s="771"/>
      <c r="AA2037" s="771"/>
      <c r="AB2037" s="771"/>
      <c r="AC2037" s="771"/>
      <c r="AD2037" s="771"/>
      <c r="AE2037" s="771"/>
      <c r="AF2037" s="771"/>
      <c r="AG2037" s="771"/>
      <c r="AH2037" s="771"/>
      <c r="AI2037" s="771"/>
      <c r="AJ2037" s="771"/>
      <c r="AK2037" s="771"/>
      <c r="AL2037" s="771"/>
      <c r="AM2037" s="771"/>
      <c r="AN2037" s="771"/>
      <c r="AO2037" s="771"/>
      <c r="AP2037" s="771"/>
      <c r="AQ2037" s="771"/>
      <c r="AR2037" s="771"/>
      <c r="AS2037" s="771"/>
      <c r="AT2037" s="771"/>
      <c r="AU2037" s="771"/>
    </row>
    <row r="2038" spans="1:47" s="919" customFormat="1" outlineLevel="1" x14ac:dyDescent="0.2">
      <c r="A2038" s="8"/>
      <c r="B2038" s="8"/>
      <c r="C2038" s="1989" t="s">
        <v>2448</v>
      </c>
      <c r="D2038" s="1989" t="s">
        <v>7844</v>
      </c>
      <c r="E2038" s="1989">
        <v>0.11</v>
      </c>
      <c r="F2038" s="38">
        <f t="shared" si="31"/>
        <v>8.9453364000000004</v>
      </c>
      <c r="G2038" s="1547"/>
      <c r="H2038" s="8"/>
      <c r="I2038" s="8"/>
      <c r="J2038" s="8"/>
      <c r="K2038" s="8"/>
      <c r="L2038" s="8"/>
      <c r="M2038" s="8"/>
      <c r="N2038" s="8"/>
      <c r="O2038" s="8"/>
      <c r="P2038" s="8"/>
      <c r="Q2038" s="8"/>
      <c r="R2038" s="8"/>
      <c r="S2038" s="8"/>
      <c r="T2038" s="8"/>
      <c r="U2038" s="8"/>
      <c r="V2038" s="8"/>
      <c r="W2038" s="8"/>
      <c r="X2038" s="771"/>
      <c r="Y2038" s="771"/>
      <c r="Z2038" s="771"/>
      <c r="AA2038" s="771"/>
      <c r="AB2038" s="771"/>
      <c r="AC2038" s="771"/>
      <c r="AD2038" s="771"/>
      <c r="AE2038" s="771"/>
      <c r="AF2038" s="771"/>
      <c r="AG2038" s="771"/>
      <c r="AH2038" s="771"/>
      <c r="AI2038" s="771"/>
      <c r="AJ2038" s="771"/>
      <c r="AK2038" s="771"/>
      <c r="AL2038" s="771"/>
      <c r="AM2038" s="771"/>
      <c r="AN2038" s="771"/>
      <c r="AO2038" s="771"/>
      <c r="AP2038" s="771"/>
      <c r="AQ2038" s="771"/>
      <c r="AR2038" s="771"/>
      <c r="AS2038" s="771"/>
      <c r="AT2038" s="771"/>
      <c r="AU2038" s="771"/>
    </row>
    <row r="2039" spans="1:47" s="919" customFormat="1" outlineLevel="1" x14ac:dyDescent="0.2">
      <c r="A2039" s="8"/>
      <c r="B2039" s="8"/>
      <c r="C2039" s="1989" t="s">
        <v>3054</v>
      </c>
      <c r="D2039" s="1989" t="s">
        <v>6091</v>
      </c>
      <c r="E2039" s="1989">
        <v>7.04</v>
      </c>
      <c r="F2039" s="38">
        <f t="shared" si="31"/>
        <v>572.50152960000003</v>
      </c>
      <c r="G2039" s="1547"/>
      <c r="H2039" s="8"/>
      <c r="I2039" s="8"/>
      <c r="J2039" s="8"/>
      <c r="K2039" s="8"/>
      <c r="L2039" s="8"/>
      <c r="M2039" s="8"/>
      <c r="N2039" s="8"/>
      <c r="O2039" s="8"/>
      <c r="P2039" s="8"/>
      <c r="Q2039" s="8"/>
      <c r="R2039" s="8"/>
      <c r="S2039" s="8"/>
      <c r="T2039" s="8"/>
      <c r="U2039" s="8"/>
      <c r="V2039" s="8"/>
      <c r="W2039" s="8"/>
      <c r="X2039" s="771"/>
      <c r="Y2039" s="771"/>
      <c r="Z2039" s="771"/>
      <c r="AA2039" s="771"/>
      <c r="AB2039" s="771"/>
      <c r="AC2039" s="771"/>
      <c r="AD2039" s="771"/>
      <c r="AE2039" s="771"/>
      <c r="AF2039" s="771"/>
      <c r="AG2039" s="771"/>
      <c r="AH2039" s="771"/>
      <c r="AI2039" s="771"/>
      <c r="AJ2039" s="771"/>
      <c r="AK2039" s="771"/>
      <c r="AL2039" s="771"/>
      <c r="AM2039" s="771"/>
      <c r="AN2039" s="771"/>
      <c r="AO2039" s="771"/>
      <c r="AP2039" s="771"/>
      <c r="AQ2039" s="771"/>
      <c r="AR2039" s="771"/>
      <c r="AS2039" s="771"/>
      <c r="AT2039" s="771"/>
      <c r="AU2039" s="771"/>
    </row>
    <row r="2040" spans="1:47" s="919" customFormat="1" outlineLevel="1" x14ac:dyDescent="0.2">
      <c r="A2040" s="8"/>
      <c r="B2040" s="8"/>
      <c r="C2040" s="1989" t="s">
        <v>4613</v>
      </c>
      <c r="D2040" s="1989" t="s">
        <v>6092</v>
      </c>
      <c r="E2040" s="1989">
        <v>0</v>
      </c>
      <c r="F2040" s="38">
        <f t="shared" si="31"/>
        <v>0</v>
      </c>
      <c r="G2040" s="1547"/>
      <c r="H2040" s="8"/>
      <c r="I2040" s="8"/>
      <c r="J2040" s="8"/>
      <c r="K2040" s="8"/>
      <c r="L2040" s="8"/>
      <c r="M2040" s="8"/>
      <c r="N2040" s="8"/>
      <c r="O2040" s="8"/>
      <c r="P2040" s="8"/>
      <c r="Q2040" s="8"/>
      <c r="R2040" s="8"/>
      <c r="S2040" s="8"/>
      <c r="T2040" s="8"/>
      <c r="U2040" s="8"/>
      <c r="V2040" s="8"/>
      <c r="W2040" s="8"/>
      <c r="X2040" s="771"/>
      <c r="Y2040" s="771"/>
      <c r="Z2040" s="771"/>
      <c r="AA2040" s="771"/>
      <c r="AB2040" s="771"/>
      <c r="AC2040" s="771"/>
      <c r="AD2040" s="771"/>
      <c r="AE2040" s="771"/>
      <c r="AF2040" s="771"/>
      <c r="AG2040" s="771"/>
      <c r="AH2040" s="771"/>
      <c r="AI2040" s="771"/>
      <c r="AJ2040" s="771"/>
      <c r="AK2040" s="771"/>
      <c r="AL2040" s="771"/>
      <c r="AM2040" s="771"/>
      <c r="AN2040" s="771"/>
      <c r="AO2040" s="771"/>
      <c r="AP2040" s="771"/>
      <c r="AQ2040" s="771"/>
      <c r="AR2040" s="771"/>
      <c r="AS2040" s="771"/>
      <c r="AT2040" s="771"/>
      <c r="AU2040" s="771"/>
    </row>
    <row r="2041" spans="1:47" s="919" customFormat="1" outlineLevel="1" x14ac:dyDescent="0.2">
      <c r="A2041" s="8"/>
      <c r="B2041" s="8"/>
      <c r="C2041" s="1989" t="s">
        <v>4614</v>
      </c>
      <c r="D2041" s="1989" t="s">
        <v>4615</v>
      </c>
      <c r="E2041" s="1989">
        <v>0</v>
      </c>
      <c r="F2041" s="38">
        <f t="shared" si="31"/>
        <v>0</v>
      </c>
      <c r="G2041" s="1547"/>
      <c r="H2041" s="8"/>
      <c r="I2041" s="8"/>
      <c r="J2041" s="8"/>
      <c r="K2041" s="8"/>
      <c r="L2041" s="8"/>
      <c r="M2041" s="8"/>
      <c r="N2041" s="8"/>
      <c r="O2041" s="8"/>
      <c r="P2041" s="8"/>
      <c r="Q2041" s="8"/>
      <c r="R2041" s="8"/>
      <c r="S2041" s="8"/>
      <c r="T2041" s="8"/>
      <c r="U2041" s="8"/>
      <c r="V2041" s="8"/>
      <c r="W2041" s="8"/>
      <c r="X2041" s="771"/>
      <c r="Y2041" s="771"/>
      <c r="Z2041" s="771"/>
      <c r="AA2041" s="771"/>
      <c r="AB2041" s="771"/>
      <c r="AC2041" s="771"/>
      <c r="AD2041" s="771"/>
      <c r="AE2041" s="771"/>
      <c r="AF2041" s="771"/>
      <c r="AG2041" s="771"/>
      <c r="AH2041" s="771"/>
      <c r="AI2041" s="771"/>
      <c r="AJ2041" s="771"/>
      <c r="AK2041" s="771"/>
      <c r="AL2041" s="771"/>
      <c r="AM2041" s="771"/>
      <c r="AN2041" s="771"/>
      <c r="AO2041" s="771"/>
      <c r="AP2041" s="771"/>
      <c r="AQ2041" s="771"/>
      <c r="AR2041" s="771"/>
      <c r="AS2041" s="771"/>
      <c r="AT2041" s="771"/>
      <c r="AU2041" s="771"/>
    </row>
    <row r="2042" spans="1:47" s="919" customFormat="1" outlineLevel="1" x14ac:dyDescent="0.2">
      <c r="A2042" s="8"/>
      <c r="B2042" s="8"/>
      <c r="C2042" s="1989" t="s">
        <v>3056</v>
      </c>
      <c r="D2042" s="1989" t="s">
        <v>3695</v>
      </c>
      <c r="E2042" s="1989">
        <v>1.1200000000000001</v>
      </c>
      <c r="F2042" s="38">
        <f t="shared" si="31"/>
        <v>91.079788800000017</v>
      </c>
      <c r="G2042" s="1547"/>
      <c r="H2042" s="8"/>
      <c r="I2042" s="8"/>
      <c r="J2042" s="8"/>
      <c r="K2042" s="8"/>
      <c r="L2042" s="8"/>
      <c r="M2042" s="8"/>
      <c r="N2042" s="8"/>
      <c r="O2042" s="8"/>
      <c r="P2042" s="8"/>
      <c r="Q2042" s="8"/>
      <c r="R2042" s="8"/>
      <c r="S2042" s="8"/>
      <c r="T2042" s="8"/>
      <c r="U2042" s="8"/>
      <c r="V2042" s="8"/>
      <c r="W2042" s="8"/>
      <c r="X2042" s="771"/>
      <c r="Y2042" s="771"/>
      <c r="Z2042" s="771"/>
      <c r="AA2042" s="771"/>
      <c r="AB2042" s="771"/>
      <c r="AC2042" s="771"/>
      <c r="AD2042" s="771"/>
      <c r="AE2042" s="771"/>
      <c r="AF2042" s="771"/>
      <c r="AG2042" s="771"/>
      <c r="AH2042" s="771"/>
      <c r="AI2042" s="771"/>
      <c r="AJ2042" s="771"/>
      <c r="AK2042" s="771"/>
      <c r="AL2042" s="771"/>
      <c r="AM2042" s="771"/>
      <c r="AN2042" s="771"/>
      <c r="AO2042" s="771"/>
      <c r="AP2042" s="771"/>
      <c r="AQ2042" s="771"/>
      <c r="AR2042" s="771"/>
      <c r="AS2042" s="771"/>
      <c r="AT2042" s="771"/>
      <c r="AU2042" s="771"/>
    </row>
    <row r="2043" spans="1:47" s="919" customFormat="1" outlineLevel="1" x14ac:dyDescent="0.2">
      <c r="A2043" s="8"/>
      <c r="B2043" s="8"/>
      <c r="C2043" s="1989" t="s">
        <v>3057</v>
      </c>
      <c r="D2043" s="1989" t="s">
        <v>7845</v>
      </c>
      <c r="E2043" s="1989">
        <v>5.2</v>
      </c>
      <c r="F2043" s="38">
        <f t="shared" si="31"/>
        <v>422.87044800000007</v>
      </c>
      <c r="G2043" s="1547"/>
      <c r="H2043" s="8"/>
      <c r="I2043" s="8"/>
      <c r="J2043" s="8"/>
      <c r="K2043" s="8"/>
      <c r="L2043" s="8"/>
      <c r="M2043" s="8"/>
      <c r="N2043" s="8"/>
      <c r="O2043" s="8"/>
      <c r="P2043" s="8"/>
      <c r="Q2043" s="8"/>
      <c r="R2043" s="8"/>
      <c r="S2043" s="8"/>
      <c r="T2043" s="8"/>
      <c r="U2043" s="8"/>
      <c r="V2043" s="8"/>
      <c r="W2043" s="8"/>
      <c r="X2043" s="771"/>
      <c r="Y2043" s="771"/>
      <c r="Z2043" s="771"/>
      <c r="AA2043" s="771"/>
      <c r="AB2043" s="771"/>
      <c r="AC2043" s="771"/>
      <c r="AD2043" s="771"/>
      <c r="AE2043" s="771"/>
      <c r="AF2043" s="771"/>
      <c r="AG2043" s="771"/>
      <c r="AH2043" s="771"/>
      <c r="AI2043" s="771"/>
      <c r="AJ2043" s="771"/>
      <c r="AK2043" s="771"/>
      <c r="AL2043" s="771"/>
      <c r="AM2043" s="771"/>
      <c r="AN2043" s="771"/>
      <c r="AO2043" s="771"/>
      <c r="AP2043" s="771"/>
      <c r="AQ2043" s="771"/>
      <c r="AR2043" s="771"/>
      <c r="AS2043" s="771"/>
      <c r="AT2043" s="771"/>
      <c r="AU2043" s="771"/>
    </row>
    <row r="2044" spans="1:47" s="919" customFormat="1" outlineLevel="1" x14ac:dyDescent="0.2">
      <c r="A2044" s="8"/>
      <c r="B2044" s="8"/>
      <c r="C2044" s="1989" t="s">
        <v>2815</v>
      </c>
      <c r="D2044" s="1989" t="s">
        <v>2816</v>
      </c>
      <c r="E2044" s="1989">
        <v>1.37</v>
      </c>
      <c r="F2044" s="38">
        <f t="shared" si="31"/>
        <v>111.41009880000001</v>
      </c>
      <c r="G2044" s="1547"/>
      <c r="H2044" s="8"/>
      <c r="I2044" s="8"/>
      <c r="J2044" s="8"/>
      <c r="K2044" s="8"/>
      <c r="L2044" s="8"/>
      <c r="M2044" s="8"/>
      <c r="N2044" s="8"/>
      <c r="O2044" s="8"/>
      <c r="P2044" s="8"/>
      <c r="Q2044" s="8"/>
      <c r="R2044" s="8"/>
      <c r="S2044" s="8"/>
      <c r="T2044" s="8"/>
      <c r="U2044" s="8"/>
      <c r="V2044" s="8"/>
      <c r="W2044" s="8"/>
      <c r="X2044" s="771"/>
      <c r="Y2044" s="771"/>
      <c r="Z2044" s="771"/>
      <c r="AA2044" s="771"/>
      <c r="AB2044" s="771"/>
      <c r="AC2044" s="771"/>
      <c r="AD2044" s="771"/>
      <c r="AE2044" s="771"/>
      <c r="AF2044" s="771"/>
      <c r="AG2044" s="771"/>
      <c r="AH2044" s="771"/>
      <c r="AI2044" s="771"/>
      <c r="AJ2044" s="771"/>
      <c r="AK2044" s="771"/>
      <c r="AL2044" s="771"/>
      <c r="AM2044" s="771"/>
      <c r="AN2044" s="771"/>
      <c r="AO2044" s="771"/>
      <c r="AP2044" s="771"/>
      <c r="AQ2044" s="771"/>
      <c r="AR2044" s="771"/>
      <c r="AS2044" s="771"/>
      <c r="AT2044" s="771"/>
      <c r="AU2044" s="771"/>
    </row>
    <row r="2045" spans="1:47" s="919" customFormat="1" outlineLevel="1" x14ac:dyDescent="0.2">
      <c r="A2045" s="8"/>
      <c r="B2045" s="8"/>
      <c r="C2045" s="1989" t="s">
        <v>6781</v>
      </c>
      <c r="D2045" s="1989" t="s">
        <v>6093</v>
      </c>
      <c r="E2045" s="1989">
        <v>10.17</v>
      </c>
      <c r="F2045" s="38">
        <f t="shared" si="31"/>
        <v>827.03701079999996</v>
      </c>
      <c r="G2045" s="1547"/>
      <c r="H2045" s="8"/>
      <c r="I2045" s="8"/>
      <c r="J2045" s="8"/>
      <c r="K2045" s="8"/>
      <c r="L2045" s="8"/>
      <c r="M2045" s="8"/>
      <c r="N2045" s="8"/>
      <c r="O2045" s="8"/>
      <c r="P2045" s="8"/>
      <c r="Q2045" s="8"/>
      <c r="R2045" s="8"/>
      <c r="S2045" s="8"/>
      <c r="T2045" s="8"/>
      <c r="U2045" s="8"/>
      <c r="V2045" s="8"/>
      <c r="W2045" s="8"/>
      <c r="X2045" s="771"/>
      <c r="Y2045" s="771"/>
      <c r="Z2045" s="771"/>
      <c r="AA2045" s="771"/>
      <c r="AB2045" s="771"/>
      <c r="AC2045" s="771"/>
      <c r="AD2045" s="771"/>
      <c r="AE2045" s="771"/>
      <c r="AF2045" s="771"/>
      <c r="AG2045" s="771"/>
      <c r="AH2045" s="771"/>
      <c r="AI2045" s="771"/>
      <c r="AJ2045" s="771"/>
      <c r="AK2045" s="771"/>
      <c r="AL2045" s="771"/>
      <c r="AM2045" s="771"/>
      <c r="AN2045" s="771"/>
      <c r="AO2045" s="771"/>
      <c r="AP2045" s="771"/>
      <c r="AQ2045" s="771"/>
      <c r="AR2045" s="771"/>
      <c r="AS2045" s="771"/>
      <c r="AT2045" s="771"/>
      <c r="AU2045" s="771"/>
    </row>
    <row r="2046" spans="1:47" s="919" customFormat="1" outlineLevel="1" x14ac:dyDescent="0.2">
      <c r="A2046" s="8"/>
      <c r="B2046" s="8"/>
      <c r="C2046" s="1989" t="s">
        <v>6782</v>
      </c>
      <c r="D2046" s="1989" t="s">
        <v>6094</v>
      </c>
      <c r="E2046" s="1989">
        <v>10.17</v>
      </c>
      <c r="F2046" s="38">
        <f t="shared" si="31"/>
        <v>827.03701079999996</v>
      </c>
      <c r="G2046" s="1547"/>
      <c r="H2046" s="8"/>
      <c r="I2046" s="8"/>
      <c r="J2046" s="8"/>
      <c r="K2046" s="8"/>
      <c r="L2046" s="8"/>
      <c r="M2046" s="8"/>
      <c r="N2046" s="8"/>
      <c r="O2046" s="8"/>
      <c r="P2046" s="8"/>
      <c r="Q2046" s="8"/>
      <c r="R2046" s="8"/>
      <c r="S2046" s="8"/>
      <c r="T2046" s="8"/>
      <c r="U2046" s="8"/>
      <c r="V2046" s="8"/>
      <c r="W2046" s="8"/>
      <c r="X2046" s="771"/>
      <c r="Y2046" s="771"/>
      <c r="Z2046" s="771"/>
      <c r="AA2046" s="771"/>
      <c r="AB2046" s="771"/>
      <c r="AC2046" s="771"/>
      <c r="AD2046" s="771"/>
      <c r="AE2046" s="771"/>
      <c r="AF2046" s="771"/>
      <c r="AG2046" s="771"/>
      <c r="AH2046" s="771"/>
      <c r="AI2046" s="771"/>
      <c r="AJ2046" s="771"/>
      <c r="AK2046" s="771"/>
      <c r="AL2046" s="771"/>
      <c r="AM2046" s="771"/>
      <c r="AN2046" s="771"/>
      <c r="AO2046" s="771"/>
      <c r="AP2046" s="771"/>
      <c r="AQ2046" s="771"/>
      <c r="AR2046" s="771"/>
      <c r="AS2046" s="771"/>
      <c r="AT2046" s="771"/>
      <c r="AU2046" s="771"/>
    </row>
    <row r="2047" spans="1:47" s="919" customFormat="1" outlineLevel="1" x14ac:dyDescent="0.2">
      <c r="A2047" s="8"/>
      <c r="B2047" s="8"/>
      <c r="C2047" s="1989" t="s">
        <v>3696</v>
      </c>
      <c r="D2047" s="1989" t="s">
        <v>6095</v>
      </c>
      <c r="E2047" s="1989">
        <v>6.76</v>
      </c>
      <c r="F2047" s="38">
        <f t="shared" si="31"/>
        <v>549.73158240000009</v>
      </c>
      <c r="G2047" s="1547"/>
      <c r="H2047" s="8"/>
      <c r="I2047" s="8"/>
      <c r="J2047" s="8"/>
      <c r="K2047" s="8"/>
      <c r="L2047" s="8"/>
      <c r="M2047" s="8"/>
      <c r="N2047" s="8"/>
      <c r="O2047" s="8"/>
      <c r="P2047" s="8"/>
      <c r="Q2047" s="8"/>
      <c r="R2047" s="8"/>
      <c r="S2047" s="8"/>
      <c r="T2047" s="8"/>
      <c r="U2047" s="8"/>
      <c r="V2047" s="8"/>
      <c r="W2047" s="8"/>
      <c r="X2047" s="771"/>
      <c r="Y2047" s="771"/>
      <c r="Z2047" s="771"/>
      <c r="AA2047" s="771"/>
      <c r="AB2047" s="771"/>
      <c r="AC2047" s="771"/>
      <c r="AD2047" s="771"/>
      <c r="AE2047" s="771"/>
      <c r="AF2047" s="771"/>
      <c r="AG2047" s="771"/>
      <c r="AH2047" s="771"/>
      <c r="AI2047" s="771"/>
      <c r="AJ2047" s="771"/>
      <c r="AK2047" s="771"/>
      <c r="AL2047" s="771"/>
      <c r="AM2047" s="771"/>
      <c r="AN2047" s="771"/>
      <c r="AO2047" s="771"/>
      <c r="AP2047" s="771"/>
      <c r="AQ2047" s="771"/>
      <c r="AR2047" s="771"/>
      <c r="AS2047" s="771"/>
      <c r="AT2047" s="771"/>
      <c r="AU2047" s="771"/>
    </row>
    <row r="2048" spans="1:47" s="919" customFormat="1" outlineLevel="1" x14ac:dyDescent="0.2">
      <c r="A2048" s="8"/>
      <c r="B2048" s="8"/>
      <c r="C2048" s="1989" t="s">
        <v>3697</v>
      </c>
      <c r="D2048" s="1989" t="s">
        <v>6096</v>
      </c>
      <c r="E2048" s="1989">
        <v>6.76</v>
      </c>
      <c r="F2048" s="38">
        <f t="shared" si="31"/>
        <v>549.73158240000009</v>
      </c>
      <c r="G2048" s="1547"/>
      <c r="H2048" s="8"/>
      <c r="I2048" s="8"/>
      <c r="J2048" s="8"/>
      <c r="K2048" s="8"/>
      <c r="L2048" s="8"/>
      <c r="M2048" s="8"/>
      <c r="N2048" s="8"/>
      <c r="O2048" s="8"/>
      <c r="P2048" s="8"/>
      <c r="Q2048" s="8"/>
      <c r="R2048" s="8"/>
      <c r="S2048" s="8"/>
      <c r="T2048" s="8"/>
      <c r="U2048" s="8"/>
      <c r="V2048" s="8"/>
      <c r="W2048" s="8"/>
      <c r="X2048" s="771"/>
      <c r="Y2048" s="771"/>
      <c r="Z2048" s="771"/>
      <c r="AA2048" s="771"/>
      <c r="AB2048" s="771"/>
      <c r="AC2048" s="771"/>
      <c r="AD2048" s="771"/>
      <c r="AE2048" s="771"/>
      <c r="AF2048" s="771"/>
      <c r="AG2048" s="771"/>
      <c r="AH2048" s="771"/>
      <c r="AI2048" s="771"/>
      <c r="AJ2048" s="771"/>
      <c r="AK2048" s="771"/>
      <c r="AL2048" s="771"/>
      <c r="AM2048" s="771"/>
      <c r="AN2048" s="771"/>
      <c r="AO2048" s="771"/>
      <c r="AP2048" s="771"/>
      <c r="AQ2048" s="771"/>
      <c r="AR2048" s="771"/>
      <c r="AS2048" s="771"/>
      <c r="AT2048" s="771"/>
      <c r="AU2048" s="771"/>
    </row>
    <row r="2049" spans="1:47" s="919" customFormat="1" outlineLevel="1" x14ac:dyDescent="0.2">
      <c r="A2049" s="8"/>
      <c r="B2049" s="8"/>
      <c r="C2049" s="1989" t="s">
        <v>3594</v>
      </c>
      <c r="D2049" s="1989" t="s">
        <v>3596</v>
      </c>
      <c r="E2049" s="1989">
        <v>31.06</v>
      </c>
      <c r="F2049" s="38">
        <f t="shared" si="31"/>
        <v>2525.8377144000001</v>
      </c>
      <c r="G2049" s="1547"/>
      <c r="H2049" s="8"/>
      <c r="I2049" s="8"/>
      <c r="J2049" s="8"/>
      <c r="K2049" s="8"/>
      <c r="L2049" s="8"/>
      <c r="M2049" s="8"/>
      <c r="N2049" s="8"/>
      <c r="O2049" s="8"/>
      <c r="P2049" s="8"/>
      <c r="Q2049" s="8"/>
      <c r="R2049" s="8"/>
      <c r="S2049" s="8"/>
      <c r="T2049" s="8"/>
      <c r="U2049" s="8"/>
      <c r="V2049" s="8"/>
      <c r="W2049" s="8"/>
      <c r="X2049" s="771"/>
      <c r="Y2049" s="771"/>
      <c r="Z2049" s="771"/>
      <c r="AA2049" s="771"/>
      <c r="AB2049" s="771"/>
      <c r="AC2049" s="771"/>
      <c r="AD2049" s="771"/>
      <c r="AE2049" s="771"/>
      <c r="AF2049" s="771"/>
      <c r="AG2049" s="771"/>
      <c r="AH2049" s="771"/>
      <c r="AI2049" s="771"/>
      <c r="AJ2049" s="771"/>
      <c r="AK2049" s="771"/>
      <c r="AL2049" s="771"/>
      <c r="AM2049" s="771"/>
      <c r="AN2049" s="771"/>
      <c r="AO2049" s="771"/>
      <c r="AP2049" s="771"/>
      <c r="AQ2049" s="771"/>
      <c r="AR2049" s="771"/>
      <c r="AS2049" s="771"/>
      <c r="AT2049" s="771"/>
      <c r="AU2049" s="771"/>
    </row>
    <row r="2050" spans="1:47" s="919" customFormat="1" outlineLevel="1" x14ac:dyDescent="0.2">
      <c r="A2050" s="8"/>
      <c r="B2050" s="8"/>
      <c r="C2050" s="1989" t="s">
        <v>3058</v>
      </c>
      <c r="D2050" s="1989" t="s">
        <v>6097</v>
      </c>
      <c r="E2050" s="1989">
        <v>1.1200000000000001</v>
      </c>
      <c r="F2050" s="38">
        <f t="shared" si="31"/>
        <v>91.079788800000017</v>
      </c>
      <c r="G2050" s="1547"/>
      <c r="H2050" s="8"/>
      <c r="I2050" s="8"/>
      <c r="J2050" s="8"/>
      <c r="K2050" s="8"/>
      <c r="L2050" s="8"/>
      <c r="M2050" s="8"/>
      <c r="N2050" s="8"/>
      <c r="O2050" s="8"/>
      <c r="P2050" s="8"/>
      <c r="Q2050" s="8"/>
      <c r="R2050" s="8"/>
      <c r="S2050" s="8"/>
      <c r="T2050" s="8"/>
      <c r="U2050" s="8"/>
      <c r="V2050" s="8"/>
      <c r="W2050" s="8"/>
      <c r="X2050" s="771"/>
      <c r="Y2050" s="771"/>
      <c r="Z2050" s="771"/>
      <c r="AA2050" s="771"/>
      <c r="AB2050" s="771"/>
      <c r="AC2050" s="771"/>
      <c r="AD2050" s="771"/>
      <c r="AE2050" s="771"/>
      <c r="AF2050" s="771"/>
      <c r="AG2050" s="771"/>
      <c r="AH2050" s="771"/>
      <c r="AI2050" s="771"/>
      <c r="AJ2050" s="771"/>
      <c r="AK2050" s="771"/>
      <c r="AL2050" s="771"/>
      <c r="AM2050" s="771"/>
      <c r="AN2050" s="771"/>
      <c r="AO2050" s="771"/>
      <c r="AP2050" s="771"/>
      <c r="AQ2050" s="771"/>
      <c r="AR2050" s="771"/>
      <c r="AS2050" s="771"/>
      <c r="AT2050" s="771"/>
      <c r="AU2050" s="771"/>
    </row>
    <row r="2051" spans="1:47" s="919" customFormat="1" outlineLevel="1" x14ac:dyDescent="0.2">
      <c r="A2051" s="8"/>
      <c r="B2051" s="8"/>
      <c r="C2051" s="1989" t="s">
        <v>3698</v>
      </c>
      <c r="D2051" s="1989" t="s">
        <v>6098</v>
      </c>
      <c r="E2051" s="1989">
        <v>5.65</v>
      </c>
      <c r="F2051" s="38">
        <f t="shared" si="31"/>
        <v>459.46500600000007</v>
      </c>
      <c r="G2051" s="1547"/>
      <c r="H2051" s="8"/>
      <c r="I2051" s="8"/>
      <c r="J2051" s="8"/>
      <c r="K2051" s="8"/>
      <c r="L2051" s="8"/>
      <c r="M2051" s="8"/>
      <c r="N2051" s="8"/>
      <c r="O2051" s="8"/>
      <c r="P2051" s="8"/>
      <c r="Q2051" s="8"/>
      <c r="R2051" s="8"/>
      <c r="S2051" s="8"/>
      <c r="T2051" s="8"/>
      <c r="U2051" s="8"/>
      <c r="V2051" s="8"/>
      <c r="W2051" s="8"/>
      <c r="X2051" s="771"/>
      <c r="Y2051" s="771"/>
      <c r="Z2051" s="771"/>
      <c r="AA2051" s="771"/>
      <c r="AB2051" s="771"/>
      <c r="AC2051" s="771"/>
      <c r="AD2051" s="771"/>
      <c r="AE2051" s="771"/>
      <c r="AF2051" s="771"/>
      <c r="AG2051" s="771"/>
      <c r="AH2051" s="771"/>
      <c r="AI2051" s="771"/>
      <c r="AJ2051" s="771"/>
      <c r="AK2051" s="771"/>
      <c r="AL2051" s="771"/>
      <c r="AM2051" s="771"/>
      <c r="AN2051" s="771"/>
      <c r="AO2051" s="771"/>
      <c r="AP2051" s="771"/>
      <c r="AQ2051" s="771"/>
      <c r="AR2051" s="771"/>
      <c r="AS2051" s="771"/>
      <c r="AT2051" s="771"/>
      <c r="AU2051" s="771"/>
    </row>
    <row r="2052" spans="1:47" s="919" customFormat="1" outlineLevel="1" x14ac:dyDescent="0.2">
      <c r="A2052" s="8"/>
      <c r="B2052" s="8"/>
      <c r="C2052" s="1989" t="s">
        <v>2316</v>
      </c>
      <c r="D2052" s="1989" t="s">
        <v>6099</v>
      </c>
      <c r="E2052" s="1989">
        <v>5.75</v>
      </c>
      <c r="F2052" s="38">
        <f t="shared" si="31"/>
        <v>467.59712999999999</v>
      </c>
      <c r="G2052" s="1547"/>
      <c r="H2052" s="8"/>
      <c r="I2052" s="8"/>
      <c r="J2052" s="8"/>
      <c r="K2052" s="8"/>
      <c r="L2052" s="8"/>
      <c r="M2052" s="8"/>
      <c r="N2052" s="8"/>
      <c r="O2052" s="8"/>
      <c r="P2052" s="8"/>
      <c r="Q2052" s="8"/>
      <c r="R2052" s="8"/>
      <c r="S2052" s="8"/>
      <c r="T2052" s="8"/>
      <c r="U2052" s="8"/>
      <c r="V2052" s="8"/>
      <c r="W2052" s="8"/>
      <c r="X2052" s="771"/>
      <c r="Y2052" s="771"/>
      <c r="Z2052" s="771"/>
      <c r="AA2052" s="771"/>
      <c r="AB2052" s="771"/>
      <c r="AC2052" s="771"/>
      <c r="AD2052" s="771"/>
      <c r="AE2052" s="771"/>
      <c r="AF2052" s="771"/>
      <c r="AG2052" s="771"/>
      <c r="AH2052" s="771"/>
      <c r="AI2052" s="771"/>
      <c r="AJ2052" s="771"/>
      <c r="AK2052" s="771"/>
      <c r="AL2052" s="771"/>
      <c r="AM2052" s="771"/>
      <c r="AN2052" s="771"/>
      <c r="AO2052" s="771"/>
      <c r="AP2052" s="771"/>
      <c r="AQ2052" s="771"/>
      <c r="AR2052" s="771"/>
      <c r="AS2052" s="771"/>
      <c r="AT2052" s="771"/>
      <c r="AU2052" s="771"/>
    </row>
    <row r="2053" spans="1:47" s="919" customFormat="1" outlineLevel="1" x14ac:dyDescent="0.2">
      <c r="A2053" s="8"/>
      <c r="B2053" s="8"/>
      <c r="C2053" s="1989" t="s">
        <v>3699</v>
      </c>
      <c r="D2053" s="1989" t="s">
        <v>6100</v>
      </c>
      <c r="E2053" s="1989">
        <v>5.65</v>
      </c>
      <c r="F2053" s="38">
        <f t="shared" si="31"/>
        <v>459.46500600000007</v>
      </c>
      <c r="G2053" s="1547"/>
      <c r="H2053" s="8"/>
      <c r="I2053" s="8"/>
      <c r="J2053" s="8"/>
      <c r="K2053" s="8"/>
      <c r="L2053" s="8"/>
      <c r="M2053" s="8"/>
      <c r="N2053" s="8"/>
      <c r="O2053" s="8"/>
      <c r="P2053" s="8"/>
      <c r="Q2053" s="8"/>
      <c r="R2053" s="8"/>
      <c r="S2053" s="8"/>
      <c r="T2053" s="8"/>
      <c r="U2053" s="8"/>
      <c r="V2053" s="8"/>
      <c r="W2053" s="8"/>
      <c r="X2053" s="771"/>
      <c r="Y2053" s="771"/>
      <c r="Z2053" s="771"/>
      <c r="AA2053" s="771"/>
      <c r="AB2053" s="771"/>
      <c r="AC2053" s="771"/>
      <c r="AD2053" s="771"/>
      <c r="AE2053" s="771"/>
      <c r="AF2053" s="771"/>
      <c r="AG2053" s="771"/>
      <c r="AH2053" s="771"/>
      <c r="AI2053" s="771"/>
      <c r="AJ2053" s="771"/>
      <c r="AK2053" s="771"/>
      <c r="AL2053" s="771"/>
      <c r="AM2053" s="771"/>
      <c r="AN2053" s="771"/>
      <c r="AO2053" s="771"/>
      <c r="AP2053" s="771"/>
      <c r="AQ2053" s="771"/>
      <c r="AR2053" s="771"/>
      <c r="AS2053" s="771"/>
      <c r="AT2053" s="771"/>
      <c r="AU2053" s="771"/>
    </row>
    <row r="2054" spans="1:47" s="919" customFormat="1" outlineLevel="1" x14ac:dyDescent="0.2">
      <c r="A2054" s="8"/>
      <c r="B2054" s="8"/>
      <c r="C2054" s="1989" t="s">
        <v>2317</v>
      </c>
      <c r="D2054" s="1989" t="s">
        <v>6101</v>
      </c>
      <c r="E2054" s="1989">
        <v>5.75</v>
      </c>
      <c r="F2054" s="38">
        <f t="shared" si="31"/>
        <v>467.59712999999999</v>
      </c>
      <c r="G2054" s="1547"/>
      <c r="H2054" s="8"/>
      <c r="I2054" s="8"/>
      <c r="J2054" s="8"/>
      <c r="K2054" s="8"/>
      <c r="L2054" s="8"/>
      <c r="M2054" s="8"/>
      <c r="N2054" s="8"/>
      <c r="O2054" s="8"/>
      <c r="P2054" s="8"/>
      <c r="Q2054" s="8"/>
      <c r="R2054" s="8"/>
      <c r="S2054" s="8"/>
      <c r="T2054" s="8"/>
      <c r="U2054" s="8"/>
      <c r="V2054" s="8"/>
      <c r="W2054" s="8"/>
      <c r="X2054" s="771"/>
      <c r="Y2054" s="771"/>
      <c r="Z2054" s="771"/>
      <c r="AA2054" s="771"/>
      <c r="AB2054" s="771"/>
      <c r="AC2054" s="771"/>
      <c r="AD2054" s="771"/>
      <c r="AE2054" s="771"/>
      <c r="AF2054" s="771"/>
      <c r="AG2054" s="771"/>
      <c r="AH2054" s="771"/>
      <c r="AI2054" s="771"/>
      <c r="AJ2054" s="771"/>
      <c r="AK2054" s="771"/>
      <c r="AL2054" s="771"/>
      <c r="AM2054" s="771"/>
      <c r="AN2054" s="771"/>
      <c r="AO2054" s="771"/>
      <c r="AP2054" s="771"/>
      <c r="AQ2054" s="771"/>
      <c r="AR2054" s="771"/>
      <c r="AS2054" s="771"/>
      <c r="AT2054" s="771"/>
      <c r="AU2054" s="771"/>
    </row>
    <row r="2055" spans="1:47" s="919" customFormat="1" outlineLevel="1" x14ac:dyDescent="0.2">
      <c r="A2055" s="8"/>
      <c r="B2055" s="8"/>
      <c r="C2055" s="1989" t="s">
        <v>2319</v>
      </c>
      <c r="D2055" s="1989" t="s">
        <v>7846</v>
      </c>
      <c r="E2055" s="1989">
        <v>0.11</v>
      </c>
      <c r="F2055" s="38">
        <f t="shared" si="31"/>
        <v>8.9453364000000004</v>
      </c>
      <c r="G2055" s="1547"/>
      <c r="H2055" s="8"/>
      <c r="I2055" s="8"/>
      <c r="J2055" s="8"/>
      <c r="K2055" s="8"/>
      <c r="L2055" s="8"/>
      <c r="M2055" s="8"/>
      <c r="N2055" s="8"/>
      <c r="O2055" s="8"/>
      <c r="P2055" s="8"/>
      <c r="Q2055" s="8"/>
      <c r="R2055" s="8"/>
      <c r="S2055" s="8"/>
      <c r="T2055" s="8"/>
      <c r="U2055" s="8"/>
      <c r="V2055" s="8"/>
      <c r="W2055" s="8"/>
      <c r="X2055" s="771"/>
      <c r="Y2055" s="771"/>
      <c r="Z2055" s="771"/>
      <c r="AA2055" s="771"/>
      <c r="AB2055" s="771"/>
      <c r="AC2055" s="771"/>
      <c r="AD2055" s="771"/>
      <c r="AE2055" s="771"/>
      <c r="AF2055" s="771"/>
      <c r="AG2055" s="771"/>
      <c r="AH2055" s="771"/>
      <c r="AI2055" s="771"/>
      <c r="AJ2055" s="771"/>
      <c r="AK2055" s="771"/>
      <c r="AL2055" s="771"/>
      <c r="AM2055" s="771"/>
      <c r="AN2055" s="771"/>
      <c r="AO2055" s="771"/>
      <c r="AP2055" s="771"/>
      <c r="AQ2055" s="771"/>
      <c r="AR2055" s="771"/>
      <c r="AS2055" s="771"/>
      <c r="AT2055" s="771"/>
      <c r="AU2055" s="771"/>
    </row>
    <row r="2056" spans="1:47" s="919" customFormat="1" outlineLevel="1" x14ac:dyDescent="0.2">
      <c r="A2056" s="8"/>
      <c r="B2056" s="8"/>
      <c r="C2056" s="1989" t="s">
        <v>2322</v>
      </c>
      <c r="D2056" s="1989" t="s">
        <v>6102</v>
      </c>
      <c r="E2056" s="1989">
        <v>0.44</v>
      </c>
      <c r="F2056" s="38">
        <f t="shared" si="31"/>
        <v>35.781345600000002</v>
      </c>
      <c r="G2056" s="1547"/>
      <c r="H2056" s="8"/>
      <c r="I2056" s="8"/>
      <c r="J2056" s="8"/>
      <c r="K2056" s="8"/>
      <c r="L2056" s="8"/>
      <c r="M2056" s="8"/>
      <c r="N2056" s="8"/>
      <c r="O2056" s="8"/>
      <c r="P2056" s="8"/>
      <c r="Q2056" s="8"/>
      <c r="R2056" s="8"/>
      <c r="S2056" s="8"/>
      <c r="T2056" s="8"/>
      <c r="U2056" s="8"/>
      <c r="V2056" s="8"/>
      <c r="W2056" s="8"/>
      <c r="X2056" s="771"/>
      <c r="Y2056" s="771"/>
      <c r="Z2056" s="771"/>
      <c r="AA2056" s="771"/>
      <c r="AB2056" s="771"/>
      <c r="AC2056" s="771"/>
      <c r="AD2056" s="771"/>
      <c r="AE2056" s="771"/>
      <c r="AF2056" s="771"/>
      <c r="AG2056" s="771"/>
      <c r="AH2056" s="771"/>
      <c r="AI2056" s="771"/>
      <c r="AJ2056" s="771"/>
      <c r="AK2056" s="771"/>
      <c r="AL2056" s="771"/>
      <c r="AM2056" s="771"/>
      <c r="AN2056" s="771"/>
      <c r="AO2056" s="771"/>
      <c r="AP2056" s="771"/>
      <c r="AQ2056" s="771"/>
      <c r="AR2056" s="771"/>
      <c r="AS2056" s="771"/>
      <c r="AT2056" s="771"/>
      <c r="AU2056" s="771"/>
    </row>
    <row r="2057" spans="1:47" s="919" customFormat="1" outlineLevel="1" x14ac:dyDescent="0.2">
      <c r="A2057" s="8"/>
      <c r="B2057" s="8"/>
      <c r="C2057" s="1989" t="s">
        <v>2323</v>
      </c>
      <c r="D2057" s="1989" t="s">
        <v>3700</v>
      </c>
      <c r="E2057" s="1989">
        <v>9.89</v>
      </c>
      <c r="F2057" s="38">
        <f t="shared" si="31"/>
        <v>804.26706360000003</v>
      </c>
      <c r="G2057" s="1547"/>
      <c r="H2057" s="8"/>
      <c r="I2057" s="8"/>
      <c r="J2057" s="8"/>
      <c r="K2057" s="8"/>
      <c r="L2057" s="8"/>
      <c r="M2057" s="8"/>
      <c r="N2057" s="8"/>
      <c r="O2057" s="8"/>
      <c r="P2057" s="8"/>
      <c r="Q2057" s="8"/>
      <c r="R2057" s="8"/>
      <c r="S2057" s="8"/>
      <c r="T2057" s="8"/>
      <c r="U2057" s="8"/>
      <c r="V2057" s="8"/>
      <c r="W2057" s="8"/>
      <c r="X2057" s="771"/>
      <c r="Y2057" s="771"/>
      <c r="Z2057" s="771"/>
      <c r="AA2057" s="771"/>
      <c r="AB2057" s="771"/>
      <c r="AC2057" s="771"/>
      <c r="AD2057" s="771"/>
      <c r="AE2057" s="771"/>
      <c r="AF2057" s="771"/>
      <c r="AG2057" s="771"/>
      <c r="AH2057" s="771"/>
      <c r="AI2057" s="771"/>
      <c r="AJ2057" s="771"/>
      <c r="AK2057" s="771"/>
      <c r="AL2057" s="771"/>
      <c r="AM2057" s="771"/>
      <c r="AN2057" s="771"/>
      <c r="AO2057" s="771"/>
      <c r="AP2057" s="771"/>
      <c r="AQ2057" s="771"/>
      <c r="AR2057" s="771"/>
      <c r="AS2057" s="771"/>
      <c r="AT2057" s="771"/>
      <c r="AU2057" s="771"/>
    </row>
    <row r="2058" spans="1:47" s="919" customFormat="1" outlineLevel="1" x14ac:dyDescent="0.2">
      <c r="A2058" s="8"/>
      <c r="B2058" s="8"/>
      <c r="C2058" s="1989" t="s">
        <v>2324</v>
      </c>
      <c r="D2058" s="1989" t="s">
        <v>6103</v>
      </c>
      <c r="E2058" s="1989">
        <v>9.89</v>
      </c>
      <c r="F2058" s="38">
        <f t="shared" si="31"/>
        <v>804.26706360000003</v>
      </c>
      <c r="G2058" s="1547"/>
      <c r="H2058" s="8"/>
      <c r="I2058" s="8"/>
      <c r="J2058" s="8"/>
      <c r="K2058" s="8"/>
      <c r="L2058" s="8"/>
      <c r="M2058" s="8"/>
      <c r="N2058" s="8"/>
      <c r="O2058" s="8"/>
      <c r="P2058" s="8"/>
      <c r="Q2058" s="8"/>
      <c r="R2058" s="8"/>
      <c r="S2058" s="8"/>
      <c r="T2058" s="8"/>
      <c r="U2058" s="8"/>
      <c r="V2058" s="8"/>
      <c r="W2058" s="8"/>
      <c r="X2058" s="771"/>
      <c r="Y2058" s="771"/>
      <c r="Z2058" s="771"/>
      <c r="AA2058" s="771"/>
      <c r="AB2058" s="771"/>
      <c r="AC2058" s="771"/>
      <c r="AD2058" s="771"/>
      <c r="AE2058" s="771"/>
      <c r="AF2058" s="771"/>
      <c r="AG2058" s="771"/>
      <c r="AH2058" s="771"/>
      <c r="AI2058" s="771"/>
      <c r="AJ2058" s="771"/>
      <c r="AK2058" s="771"/>
      <c r="AL2058" s="771"/>
      <c r="AM2058" s="771"/>
      <c r="AN2058" s="771"/>
      <c r="AO2058" s="771"/>
      <c r="AP2058" s="771"/>
      <c r="AQ2058" s="771"/>
      <c r="AR2058" s="771"/>
      <c r="AS2058" s="771"/>
      <c r="AT2058" s="771"/>
      <c r="AU2058" s="771"/>
    </row>
    <row r="2059" spans="1:47" s="919" customFormat="1" outlineLevel="1" x14ac:dyDescent="0.2">
      <c r="A2059" s="8"/>
      <c r="B2059" s="8"/>
      <c r="C2059" s="1989" t="s">
        <v>2491</v>
      </c>
      <c r="D2059" s="1989" t="s">
        <v>6104</v>
      </c>
      <c r="E2059" s="1989">
        <v>7.06</v>
      </c>
      <c r="F2059" s="38">
        <f t="shared" si="31"/>
        <v>574.12795440000002</v>
      </c>
      <c r="G2059" s="1547"/>
      <c r="H2059" s="8"/>
      <c r="I2059" s="8"/>
      <c r="J2059" s="8"/>
      <c r="K2059" s="8"/>
      <c r="L2059" s="8"/>
      <c r="M2059" s="8"/>
      <c r="N2059" s="8"/>
      <c r="O2059" s="8"/>
      <c r="P2059" s="8"/>
      <c r="Q2059" s="8"/>
      <c r="R2059" s="8"/>
      <c r="S2059" s="8"/>
      <c r="T2059" s="8"/>
      <c r="U2059" s="8"/>
      <c r="V2059" s="8"/>
      <c r="W2059" s="8"/>
      <c r="X2059" s="771"/>
      <c r="Y2059" s="771"/>
      <c r="Z2059" s="771"/>
      <c r="AA2059" s="771"/>
      <c r="AB2059" s="771"/>
      <c r="AC2059" s="771"/>
      <c r="AD2059" s="771"/>
      <c r="AE2059" s="771"/>
      <c r="AF2059" s="771"/>
      <c r="AG2059" s="771"/>
      <c r="AH2059" s="771"/>
      <c r="AI2059" s="771"/>
      <c r="AJ2059" s="771"/>
      <c r="AK2059" s="771"/>
      <c r="AL2059" s="771"/>
      <c r="AM2059" s="771"/>
      <c r="AN2059" s="771"/>
      <c r="AO2059" s="771"/>
      <c r="AP2059" s="771"/>
      <c r="AQ2059" s="771"/>
      <c r="AR2059" s="771"/>
      <c r="AS2059" s="771"/>
      <c r="AT2059" s="771"/>
      <c r="AU2059" s="771"/>
    </row>
    <row r="2060" spans="1:47" s="919" customFormat="1" outlineLevel="1" x14ac:dyDescent="0.2">
      <c r="A2060" s="8"/>
      <c r="B2060" s="8"/>
      <c r="C2060" s="1989" t="s">
        <v>2492</v>
      </c>
      <c r="D2060" s="1989" t="s">
        <v>6105</v>
      </c>
      <c r="E2060" s="1989">
        <v>7.06</v>
      </c>
      <c r="F2060" s="38">
        <f t="shared" si="31"/>
        <v>574.12795440000002</v>
      </c>
      <c r="G2060" s="1547"/>
      <c r="H2060" s="8"/>
      <c r="I2060" s="8"/>
      <c r="J2060" s="8"/>
      <c r="K2060" s="8"/>
      <c r="L2060" s="8"/>
      <c r="M2060" s="8"/>
      <c r="N2060" s="8"/>
      <c r="O2060" s="8"/>
      <c r="P2060" s="8"/>
      <c r="Q2060" s="8"/>
      <c r="R2060" s="8"/>
      <c r="S2060" s="8"/>
      <c r="T2060" s="8"/>
      <c r="U2060" s="8"/>
      <c r="V2060" s="8"/>
      <c r="W2060" s="8"/>
      <c r="X2060" s="771"/>
      <c r="Y2060" s="771"/>
      <c r="Z2060" s="771"/>
      <c r="AA2060" s="771"/>
      <c r="AB2060" s="771"/>
      <c r="AC2060" s="771"/>
      <c r="AD2060" s="771"/>
      <c r="AE2060" s="771"/>
      <c r="AF2060" s="771"/>
      <c r="AG2060" s="771"/>
      <c r="AH2060" s="771"/>
      <c r="AI2060" s="771"/>
      <c r="AJ2060" s="771"/>
      <c r="AK2060" s="771"/>
      <c r="AL2060" s="771"/>
      <c r="AM2060" s="771"/>
      <c r="AN2060" s="771"/>
      <c r="AO2060" s="771"/>
      <c r="AP2060" s="771"/>
      <c r="AQ2060" s="771"/>
      <c r="AR2060" s="771"/>
      <c r="AS2060" s="771"/>
      <c r="AT2060" s="771"/>
      <c r="AU2060" s="771"/>
    </row>
    <row r="2061" spans="1:47" s="919" customFormat="1" outlineLevel="1" x14ac:dyDescent="0.2">
      <c r="A2061" s="8"/>
      <c r="B2061" s="8"/>
      <c r="C2061" s="1989" t="s">
        <v>3614</v>
      </c>
      <c r="D2061" s="1989" t="s">
        <v>6106</v>
      </c>
      <c r="E2061" s="1989">
        <v>0.51</v>
      </c>
      <c r="F2061" s="38">
        <f t="shared" si="31"/>
        <v>41.473832399999999</v>
      </c>
      <c r="G2061" s="1547"/>
      <c r="H2061" s="8"/>
      <c r="I2061" s="8"/>
      <c r="J2061" s="8"/>
      <c r="K2061" s="8"/>
      <c r="L2061" s="8"/>
      <c r="M2061" s="8"/>
      <c r="N2061" s="8"/>
      <c r="O2061" s="8"/>
      <c r="P2061" s="8"/>
      <c r="Q2061" s="8"/>
      <c r="R2061" s="8"/>
      <c r="S2061" s="8"/>
      <c r="T2061" s="8"/>
      <c r="U2061" s="8"/>
      <c r="V2061" s="8"/>
      <c r="W2061" s="8"/>
      <c r="X2061" s="771"/>
      <c r="Y2061" s="771"/>
      <c r="Z2061" s="771"/>
      <c r="AA2061" s="771"/>
      <c r="AB2061" s="771"/>
      <c r="AC2061" s="771"/>
      <c r="AD2061" s="771"/>
      <c r="AE2061" s="771"/>
      <c r="AF2061" s="771"/>
      <c r="AG2061" s="771"/>
      <c r="AH2061" s="771"/>
      <c r="AI2061" s="771"/>
      <c r="AJ2061" s="771"/>
      <c r="AK2061" s="771"/>
      <c r="AL2061" s="771"/>
      <c r="AM2061" s="771"/>
      <c r="AN2061" s="771"/>
      <c r="AO2061" s="771"/>
      <c r="AP2061" s="771"/>
      <c r="AQ2061" s="771"/>
      <c r="AR2061" s="771"/>
      <c r="AS2061" s="771"/>
      <c r="AT2061" s="771"/>
      <c r="AU2061" s="771"/>
    </row>
    <row r="2062" spans="1:47" s="919" customFormat="1" outlineLevel="1" x14ac:dyDescent="0.2">
      <c r="A2062" s="8"/>
      <c r="B2062" s="8"/>
      <c r="C2062" s="1989" t="s">
        <v>3701</v>
      </c>
      <c r="D2062" s="1989" t="s">
        <v>6107</v>
      </c>
      <c r="E2062" s="1989">
        <v>17.82</v>
      </c>
      <c r="F2062" s="38">
        <f t="shared" si="31"/>
        <v>1449.1444968000001</v>
      </c>
      <c r="G2062" s="1547"/>
      <c r="H2062" s="8"/>
      <c r="I2062" s="8"/>
      <c r="J2062" s="8"/>
      <c r="K2062" s="8"/>
      <c r="L2062" s="8"/>
      <c r="M2062" s="8"/>
      <c r="N2062" s="8"/>
      <c r="O2062" s="8"/>
      <c r="P2062" s="8"/>
      <c r="Q2062" s="8"/>
      <c r="R2062" s="8"/>
      <c r="S2062" s="8"/>
      <c r="T2062" s="8"/>
      <c r="U2062" s="8"/>
      <c r="V2062" s="8"/>
      <c r="W2062" s="8"/>
      <c r="X2062" s="771"/>
      <c r="Y2062" s="771"/>
      <c r="Z2062" s="771"/>
      <c r="AA2062" s="771"/>
      <c r="AB2062" s="771"/>
      <c r="AC2062" s="771"/>
      <c r="AD2062" s="771"/>
      <c r="AE2062" s="771"/>
      <c r="AF2062" s="771"/>
      <c r="AG2062" s="771"/>
      <c r="AH2062" s="771"/>
      <c r="AI2062" s="771"/>
      <c r="AJ2062" s="771"/>
      <c r="AK2062" s="771"/>
      <c r="AL2062" s="771"/>
      <c r="AM2062" s="771"/>
      <c r="AN2062" s="771"/>
      <c r="AO2062" s="771"/>
      <c r="AP2062" s="771"/>
      <c r="AQ2062" s="771"/>
      <c r="AR2062" s="771"/>
      <c r="AS2062" s="771"/>
      <c r="AT2062" s="771"/>
      <c r="AU2062" s="771"/>
    </row>
    <row r="2063" spans="1:47" s="919" customFormat="1" outlineLevel="1" x14ac:dyDescent="0.2">
      <c r="A2063" s="8"/>
      <c r="B2063" s="8"/>
      <c r="C2063" s="1989" t="s">
        <v>3702</v>
      </c>
      <c r="D2063" s="1989" t="s">
        <v>6108</v>
      </c>
      <c r="E2063" s="1989">
        <v>17.82</v>
      </c>
      <c r="F2063" s="38">
        <f t="shared" si="31"/>
        <v>1449.1444968000001</v>
      </c>
      <c r="G2063" s="1547"/>
      <c r="H2063" s="8"/>
      <c r="I2063" s="8"/>
      <c r="J2063" s="8"/>
      <c r="K2063" s="8"/>
      <c r="L2063" s="8"/>
      <c r="M2063" s="8"/>
      <c r="N2063" s="8"/>
      <c r="O2063" s="8"/>
      <c r="P2063" s="8"/>
      <c r="Q2063" s="8"/>
      <c r="R2063" s="8"/>
      <c r="S2063" s="8"/>
      <c r="T2063" s="8"/>
      <c r="U2063" s="8"/>
      <c r="V2063" s="8"/>
      <c r="W2063" s="8"/>
      <c r="X2063" s="771"/>
      <c r="Y2063" s="771"/>
      <c r="Z2063" s="771"/>
      <c r="AA2063" s="771"/>
      <c r="AB2063" s="771"/>
      <c r="AC2063" s="771"/>
      <c r="AD2063" s="771"/>
      <c r="AE2063" s="771"/>
      <c r="AF2063" s="771"/>
      <c r="AG2063" s="771"/>
      <c r="AH2063" s="771"/>
      <c r="AI2063" s="771"/>
      <c r="AJ2063" s="771"/>
      <c r="AK2063" s="771"/>
      <c r="AL2063" s="771"/>
      <c r="AM2063" s="771"/>
      <c r="AN2063" s="771"/>
      <c r="AO2063" s="771"/>
      <c r="AP2063" s="771"/>
      <c r="AQ2063" s="771"/>
      <c r="AR2063" s="771"/>
      <c r="AS2063" s="771"/>
      <c r="AT2063" s="771"/>
      <c r="AU2063" s="771"/>
    </row>
    <row r="2064" spans="1:47" s="919" customFormat="1" outlineLevel="1" x14ac:dyDescent="0.2">
      <c r="A2064" s="8"/>
      <c r="B2064" s="8"/>
      <c r="C2064" s="1989" t="s">
        <v>3322</v>
      </c>
      <c r="D2064" s="1989" t="s">
        <v>6109</v>
      </c>
      <c r="E2064" s="1989">
        <v>5.1100000000000003</v>
      </c>
      <c r="F2064" s="38">
        <f t="shared" si="31"/>
        <v>415.55153640000009</v>
      </c>
      <c r="G2064" s="1547"/>
      <c r="H2064" s="8"/>
      <c r="I2064" s="8"/>
      <c r="J2064" s="8"/>
      <c r="K2064" s="8"/>
      <c r="L2064" s="8"/>
      <c r="M2064" s="8"/>
      <c r="N2064" s="8"/>
      <c r="O2064" s="8"/>
      <c r="P2064" s="8"/>
      <c r="Q2064" s="8"/>
      <c r="R2064" s="8"/>
      <c r="S2064" s="8"/>
      <c r="T2064" s="8"/>
      <c r="U2064" s="8"/>
      <c r="V2064" s="8"/>
      <c r="W2064" s="8"/>
      <c r="X2064" s="771"/>
      <c r="Y2064" s="771"/>
      <c r="Z2064" s="771"/>
      <c r="AA2064" s="771"/>
      <c r="AB2064" s="771"/>
      <c r="AC2064" s="771"/>
      <c r="AD2064" s="771"/>
      <c r="AE2064" s="771"/>
      <c r="AF2064" s="771"/>
      <c r="AG2064" s="771"/>
      <c r="AH2064" s="771"/>
      <c r="AI2064" s="771"/>
      <c r="AJ2064" s="771"/>
      <c r="AK2064" s="771"/>
      <c r="AL2064" s="771"/>
      <c r="AM2064" s="771"/>
      <c r="AN2064" s="771"/>
      <c r="AO2064" s="771"/>
      <c r="AP2064" s="771"/>
      <c r="AQ2064" s="771"/>
      <c r="AR2064" s="771"/>
      <c r="AS2064" s="771"/>
      <c r="AT2064" s="771"/>
      <c r="AU2064" s="771"/>
    </row>
    <row r="2065" spans="1:47" s="919" customFormat="1" outlineLevel="1" x14ac:dyDescent="0.2">
      <c r="A2065" s="8"/>
      <c r="B2065" s="8"/>
      <c r="C2065" s="1989" t="s">
        <v>3703</v>
      </c>
      <c r="D2065" s="1989" t="s">
        <v>3704</v>
      </c>
      <c r="E2065" s="1989">
        <v>11.68</v>
      </c>
      <c r="F2065" s="38">
        <f t="shared" si="31"/>
        <v>949.83208320000006</v>
      </c>
      <c r="G2065" s="1547"/>
      <c r="H2065" s="8"/>
      <c r="I2065" s="8"/>
      <c r="J2065" s="8"/>
      <c r="K2065" s="8"/>
      <c r="L2065" s="8"/>
      <c r="M2065" s="8"/>
      <c r="N2065" s="8"/>
      <c r="O2065" s="8"/>
      <c r="P2065" s="8"/>
      <c r="Q2065" s="8"/>
      <c r="R2065" s="8"/>
      <c r="S2065" s="8"/>
      <c r="T2065" s="8"/>
      <c r="U2065" s="8"/>
      <c r="V2065" s="8"/>
      <c r="W2065" s="8"/>
      <c r="X2065" s="771"/>
      <c r="Y2065" s="771"/>
      <c r="Z2065" s="771"/>
      <c r="AA2065" s="771"/>
      <c r="AB2065" s="771"/>
      <c r="AC2065" s="771"/>
      <c r="AD2065" s="771"/>
      <c r="AE2065" s="771"/>
      <c r="AF2065" s="771"/>
      <c r="AG2065" s="771"/>
      <c r="AH2065" s="771"/>
      <c r="AI2065" s="771"/>
      <c r="AJ2065" s="771"/>
      <c r="AK2065" s="771"/>
      <c r="AL2065" s="771"/>
      <c r="AM2065" s="771"/>
      <c r="AN2065" s="771"/>
      <c r="AO2065" s="771"/>
      <c r="AP2065" s="771"/>
      <c r="AQ2065" s="771"/>
      <c r="AR2065" s="771"/>
      <c r="AS2065" s="771"/>
      <c r="AT2065" s="771"/>
      <c r="AU2065" s="771"/>
    </row>
    <row r="2066" spans="1:47" s="919" customFormat="1" outlineLevel="1" x14ac:dyDescent="0.2">
      <c r="A2066" s="8"/>
      <c r="B2066" s="8"/>
      <c r="C2066" s="1989" t="s">
        <v>3705</v>
      </c>
      <c r="D2066" s="1989" t="s">
        <v>6110</v>
      </c>
      <c r="E2066" s="1989">
        <v>11.68</v>
      </c>
      <c r="F2066" s="38">
        <f t="shared" si="31"/>
        <v>949.83208320000006</v>
      </c>
      <c r="G2066" s="1547"/>
      <c r="H2066" s="8"/>
      <c r="I2066" s="8"/>
      <c r="J2066" s="8"/>
      <c r="K2066" s="8"/>
      <c r="L2066" s="8"/>
      <c r="M2066" s="8"/>
      <c r="N2066" s="8"/>
      <c r="O2066" s="8"/>
      <c r="P2066" s="8"/>
      <c r="Q2066" s="8"/>
      <c r="R2066" s="8"/>
      <c r="S2066" s="8"/>
      <c r="T2066" s="8"/>
      <c r="U2066" s="8"/>
      <c r="V2066" s="8"/>
      <c r="W2066" s="8"/>
      <c r="X2066" s="771"/>
      <c r="Y2066" s="771"/>
      <c r="Z2066" s="771"/>
      <c r="AA2066" s="771"/>
      <c r="AB2066" s="771"/>
      <c r="AC2066" s="771"/>
      <c r="AD2066" s="771"/>
      <c r="AE2066" s="771"/>
      <c r="AF2066" s="771"/>
      <c r="AG2066" s="771"/>
      <c r="AH2066" s="771"/>
      <c r="AI2066" s="771"/>
      <c r="AJ2066" s="771"/>
      <c r="AK2066" s="771"/>
      <c r="AL2066" s="771"/>
      <c r="AM2066" s="771"/>
      <c r="AN2066" s="771"/>
      <c r="AO2066" s="771"/>
      <c r="AP2066" s="771"/>
      <c r="AQ2066" s="771"/>
      <c r="AR2066" s="771"/>
      <c r="AS2066" s="771"/>
      <c r="AT2066" s="771"/>
      <c r="AU2066" s="771"/>
    </row>
    <row r="2067" spans="1:47" s="919" customFormat="1" outlineLevel="1" x14ac:dyDescent="0.2">
      <c r="A2067" s="8"/>
      <c r="B2067" s="8"/>
      <c r="C2067" s="1989" t="s">
        <v>3059</v>
      </c>
      <c r="D2067" s="1989" t="s">
        <v>4082</v>
      </c>
      <c r="E2067" s="1989">
        <v>0.51</v>
      </c>
      <c r="F2067" s="38">
        <f t="shared" si="31"/>
        <v>41.473832399999999</v>
      </c>
      <c r="G2067" s="1547"/>
      <c r="H2067" s="8"/>
      <c r="I2067" s="8"/>
      <c r="J2067" s="8"/>
      <c r="K2067" s="8"/>
      <c r="L2067" s="8"/>
      <c r="M2067" s="8"/>
      <c r="N2067" s="8"/>
      <c r="O2067" s="8"/>
      <c r="P2067" s="8"/>
      <c r="Q2067" s="8"/>
      <c r="R2067" s="8"/>
      <c r="S2067" s="8"/>
      <c r="T2067" s="8"/>
      <c r="U2067" s="8"/>
      <c r="V2067" s="8"/>
      <c r="W2067" s="8"/>
      <c r="X2067" s="771"/>
      <c r="Y2067" s="771"/>
      <c r="Z2067" s="771"/>
      <c r="AA2067" s="771"/>
      <c r="AB2067" s="771"/>
      <c r="AC2067" s="771"/>
      <c r="AD2067" s="771"/>
      <c r="AE2067" s="771"/>
      <c r="AF2067" s="771"/>
      <c r="AG2067" s="771"/>
      <c r="AH2067" s="771"/>
      <c r="AI2067" s="771"/>
      <c r="AJ2067" s="771"/>
      <c r="AK2067" s="771"/>
      <c r="AL2067" s="771"/>
      <c r="AM2067" s="771"/>
      <c r="AN2067" s="771"/>
      <c r="AO2067" s="771"/>
      <c r="AP2067" s="771"/>
      <c r="AQ2067" s="771"/>
      <c r="AR2067" s="771"/>
      <c r="AS2067" s="771"/>
      <c r="AT2067" s="771"/>
      <c r="AU2067" s="771"/>
    </row>
    <row r="2068" spans="1:47" s="919" customFormat="1" outlineLevel="1" x14ac:dyDescent="0.2">
      <c r="A2068" s="8"/>
      <c r="B2068" s="8"/>
      <c r="C2068" s="1989" t="s">
        <v>3706</v>
      </c>
      <c r="D2068" s="1989" t="s">
        <v>6111</v>
      </c>
      <c r="E2068" s="1989">
        <v>21.09</v>
      </c>
      <c r="F2068" s="38">
        <f t="shared" si="31"/>
        <v>1715.0649516000001</v>
      </c>
      <c r="G2068" s="1547"/>
      <c r="H2068" s="8"/>
      <c r="I2068" s="8"/>
      <c r="J2068" s="8"/>
      <c r="K2068" s="8"/>
      <c r="L2068" s="8"/>
      <c r="M2068" s="8"/>
      <c r="N2068" s="8"/>
      <c r="O2068" s="8"/>
      <c r="P2068" s="8"/>
      <c r="Q2068" s="8"/>
      <c r="R2068" s="8"/>
      <c r="S2068" s="8"/>
      <c r="T2068" s="8"/>
      <c r="U2068" s="8"/>
      <c r="V2068" s="8"/>
      <c r="W2068" s="8"/>
      <c r="X2068" s="771"/>
      <c r="Y2068" s="771"/>
      <c r="Z2068" s="771"/>
      <c r="AA2068" s="771"/>
      <c r="AB2068" s="771"/>
      <c r="AC2068" s="771"/>
      <c r="AD2068" s="771"/>
      <c r="AE2068" s="771"/>
      <c r="AF2068" s="771"/>
      <c r="AG2068" s="771"/>
      <c r="AH2068" s="771"/>
      <c r="AI2068" s="771"/>
      <c r="AJ2068" s="771"/>
      <c r="AK2068" s="771"/>
      <c r="AL2068" s="771"/>
      <c r="AM2068" s="771"/>
      <c r="AN2068" s="771"/>
      <c r="AO2068" s="771"/>
      <c r="AP2068" s="771"/>
      <c r="AQ2068" s="771"/>
      <c r="AR2068" s="771"/>
      <c r="AS2068" s="771"/>
      <c r="AT2068" s="771"/>
      <c r="AU2068" s="771"/>
    </row>
    <row r="2069" spans="1:47" s="919" customFormat="1" outlineLevel="1" x14ac:dyDescent="0.2">
      <c r="A2069" s="8"/>
      <c r="B2069" s="8"/>
      <c r="C2069" s="1989" t="s">
        <v>3707</v>
      </c>
      <c r="D2069" s="1989" t="s">
        <v>6112</v>
      </c>
      <c r="E2069" s="1989">
        <v>21.09</v>
      </c>
      <c r="F2069" s="38">
        <f t="shared" si="31"/>
        <v>1715.0649516000001</v>
      </c>
      <c r="G2069" s="1547"/>
      <c r="H2069" s="8"/>
      <c r="I2069" s="8"/>
      <c r="J2069" s="8"/>
      <c r="K2069" s="8"/>
      <c r="L2069" s="8"/>
      <c r="M2069" s="8"/>
      <c r="N2069" s="8"/>
      <c r="O2069" s="8"/>
      <c r="P2069" s="8"/>
      <c r="Q2069" s="8"/>
      <c r="R2069" s="8"/>
      <c r="S2069" s="8"/>
      <c r="T2069" s="8"/>
      <c r="U2069" s="8"/>
      <c r="V2069" s="8"/>
      <c r="W2069" s="8"/>
      <c r="X2069" s="771"/>
      <c r="Y2069" s="771"/>
      <c r="Z2069" s="771"/>
      <c r="AA2069" s="771"/>
      <c r="AB2069" s="771"/>
      <c r="AC2069" s="771"/>
      <c r="AD2069" s="771"/>
      <c r="AE2069" s="771"/>
      <c r="AF2069" s="771"/>
      <c r="AG2069" s="771"/>
      <c r="AH2069" s="771"/>
      <c r="AI2069" s="771"/>
      <c r="AJ2069" s="771"/>
      <c r="AK2069" s="771"/>
      <c r="AL2069" s="771"/>
      <c r="AM2069" s="771"/>
      <c r="AN2069" s="771"/>
      <c r="AO2069" s="771"/>
      <c r="AP2069" s="771"/>
      <c r="AQ2069" s="771"/>
      <c r="AR2069" s="771"/>
      <c r="AS2069" s="771"/>
      <c r="AT2069" s="771"/>
      <c r="AU2069" s="771"/>
    </row>
    <row r="2070" spans="1:47" s="919" customFormat="1" outlineLevel="1" x14ac:dyDescent="0.2">
      <c r="A2070" s="8"/>
      <c r="B2070" s="8"/>
      <c r="C2070" s="1989" t="s">
        <v>2378</v>
      </c>
      <c r="D2070" s="1989" t="s">
        <v>6113</v>
      </c>
      <c r="E2070" s="1989">
        <v>0.45</v>
      </c>
      <c r="F2070" s="38">
        <f t="shared" si="31"/>
        <v>36.594558000000006</v>
      </c>
      <c r="G2070" s="1547"/>
      <c r="H2070" s="8"/>
      <c r="I2070" s="8"/>
      <c r="J2070" s="8"/>
      <c r="K2070" s="8"/>
      <c r="L2070" s="8"/>
      <c r="M2070" s="8"/>
      <c r="N2070" s="8"/>
      <c r="O2070" s="8"/>
      <c r="P2070" s="8"/>
      <c r="Q2070" s="8"/>
      <c r="R2070" s="8"/>
      <c r="S2070" s="8"/>
      <c r="T2070" s="8"/>
      <c r="U2070" s="8"/>
      <c r="V2070" s="8"/>
      <c r="W2070" s="8"/>
      <c r="X2070" s="771"/>
      <c r="Y2070" s="771"/>
      <c r="Z2070" s="771"/>
      <c r="AA2070" s="771"/>
      <c r="AB2070" s="771"/>
      <c r="AC2070" s="771"/>
      <c r="AD2070" s="771"/>
      <c r="AE2070" s="771"/>
      <c r="AF2070" s="771"/>
      <c r="AG2070" s="771"/>
      <c r="AH2070" s="771"/>
      <c r="AI2070" s="771"/>
      <c r="AJ2070" s="771"/>
      <c r="AK2070" s="771"/>
      <c r="AL2070" s="771"/>
      <c r="AM2070" s="771"/>
      <c r="AN2070" s="771"/>
      <c r="AO2070" s="771"/>
      <c r="AP2070" s="771"/>
      <c r="AQ2070" s="771"/>
      <c r="AR2070" s="771"/>
      <c r="AS2070" s="771"/>
      <c r="AT2070" s="771"/>
      <c r="AU2070" s="771"/>
    </row>
    <row r="2071" spans="1:47" s="919" customFormat="1" outlineLevel="1" x14ac:dyDescent="0.2">
      <c r="A2071" s="8"/>
      <c r="B2071" s="8"/>
      <c r="C2071" s="1989" t="s">
        <v>3612</v>
      </c>
      <c r="D2071" s="1989" t="s">
        <v>6114</v>
      </c>
      <c r="E2071" s="1989">
        <v>14.74</v>
      </c>
      <c r="F2071" s="38">
        <f t="shared" si="31"/>
        <v>1198.6750775999999</v>
      </c>
      <c r="G2071" s="1547"/>
      <c r="H2071" s="8"/>
      <c r="I2071" s="8"/>
      <c r="J2071" s="8"/>
      <c r="K2071" s="8"/>
      <c r="L2071" s="8"/>
      <c r="M2071" s="8"/>
      <c r="N2071" s="8"/>
      <c r="O2071" s="8"/>
      <c r="P2071" s="8"/>
      <c r="Q2071" s="8"/>
      <c r="R2071" s="8"/>
      <c r="S2071" s="8"/>
      <c r="T2071" s="8"/>
      <c r="U2071" s="8"/>
      <c r="V2071" s="8"/>
      <c r="W2071" s="8"/>
      <c r="X2071" s="771"/>
      <c r="Y2071" s="771"/>
      <c r="Z2071" s="771"/>
      <c r="AA2071" s="771"/>
      <c r="AB2071" s="771"/>
      <c r="AC2071" s="771"/>
      <c r="AD2071" s="771"/>
      <c r="AE2071" s="771"/>
      <c r="AF2071" s="771"/>
      <c r="AG2071" s="771"/>
      <c r="AH2071" s="771"/>
      <c r="AI2071" s="771"/>
      <c r="AJ2071" s="771"/>
      <c r="AK2071" s="771"/>
      <c r="AL2071" s="771"/>
      <c r="AM2071" s="771"/>
      <c r="AN2071" s="771"/>
      <c r="AO2071" s="771"/>
      <c r="AP2071" s="771"/>
      <c r="AQ2071" s="771"/>
      <c r="AR2071" s="771"/>
      <c r="AS2071" s="771"/>
      <c r="AT2071" s="771"/>
      <c r="AU2071" s="771"/>
    </row>
    <row r="2072" spans="1:47" s="919" customFormat="1" outlineLevel="1" x14ac:dyDescent="0.2">
      <c r="A2072" s="8"/>
      <c r="B2072" s="8"/>
      <c r="C2072" s="1989" t="s">
        <v>4470</v>
      </c>
      <c r="D2072" s="1989" t="s">
        <v>6115</v>
      </c>
      <c r="E2072" s="1989">
        <v>18.68</v>
      </c>
      <c r="F2072" s="38">
        <f t="shared" si="31"/>
        <v>1519.0807632000001</v>
      </c>
      <c r="G2072" s="1547"/>
      <c r="H2072" s="8"/>
      <c r="I2072" s="8"/>
      <c r="J2072" s="8"/>
      <c r="K2072" s="8"/>
      <c r="L2072" s="8"/>
      <c r="M2072" s="8"/>
      <c r="N2072" s="8"/>
      <c r="O2072" s="8"/>
      <c r="P2072" s="8"/>
      <c r="Q2072" s="8"/>
      <c r="R2072" s="8"/>
      <c r="S2072" s="8"/>
      <c r="T2072" s="8"/>
      <c r="U2072" s="8"/>
      <c r="V2072" s="8"/>
      <c r="W2072" s="8"/>
      <c r="X2072" s="771"/>
      <c r="Y2072" s="771"/>
      <c r="Z2072" s="771"/>
      <c r="AA2072" s="771"/>
      <c r="AB2072" s="771"/>
      <c r="AC2072" s="771"/>
      <c r="AD2072" s="771"/>
      <c r="AE2072" s="771"/>
      <c r="AF2072" s="771"/>
      <c r="AG2072" s="771"/>
      <c r="AH2072" s="771"/>
      <c r="AI2072" s="771"/>
      <c r="AJ2072" s="771"/>
      <c r="AK2072" s="771"/>
      <c r="AL2072" s="771"/>
      <c r="AM2072" s="771"/>
      <c r="AN2072" s="771"/>
      <c r="AO2072" s="771"/>
      <c r="AP2072" s="771"/>
      <c r="AQ2072" s="771"/>
      <c r="AR2072" s="771"/>
      <c r="AS2072" s="771"/>
      <c r="AT2072" s="771"/>
      <c r="AU2072" s="771"/>
    </row>
    <row r="2073" spans="1:47" s="919" customFormat="1" outlineLevel="1" x14ac:dyDescent="0.2">
      <c r="A2073" s="8"/>
      <c r="B2073" s="8"/>
      <c r="C2073" s="1989" t="s">
        <v>2379</v>
      </c>
      <c r="D2073" s="1989" t="s">
        <v>2380</v>
      </c>
      <c r="E2073" s="1989">
        <v>0.45</v>
      </c>
      <c r="F2073" s="38">
        <f t="shared" si="31"/>
        <v>36.594558000000006</v>
      </c>
      <c r="G2073" s="1547"/>
      <c r="H2073" s="8"/>
      <c r="I2073" s="8"/>
      <c r="J2073" s="8"/>
      <c r="K2073" s="8"/>
      <c r="L2073" s="8"/>
      <c r="M2073" s="8"/>
      <c r="N2073" s="8"/>
      <c r="O2073" s="8"/>
      <c r="P2073" s="8"/>
      <c r="Q2073" s="8"/>
      <c r="R2073" s="8"/>
      <c r="S2073" s="8"/>
      <c r="T2073" s="8"/>
      <c r="U2073" s="8"/>
      <c r="V2073" s="8"/>
      <c r="W2073" s="8"/>
      <c r="X2073" s="771"/>
      <c r="Y2073" s="771"/>
      <c r="Z2073" s="771"/>
      <c r="AA2073" s="771"/>
      <c r="AB2073" s="771"/>
      <c r="AC2073" s="771"/>
      <c r="AD2073" s="771"/>
      <c r="AE2073" s="771"/>
      <c r="AF2073" s="771"/>
      <c r="AG2073" s="771"/>
      <c r="AH2073" s="771"/>
      <c r="AI2073" s="771"/>
      <c r="AJ2073" s="771"/>
      <c r="AK2073" s="771"/>
      <c r="AL2073" s="771"/>
      <c r="AM2073" s="771"/>
      <c r="AN2073" s="771"/>
      <c r="AO2073" s="771"/>
      <c r="AP2073" s="771"/>
      <c r="AQ2073" s="771"/>
      <c r="AR2073" s="771"/>
      <c r="AS2073" s="771"/>
      <c r="AT2073" s="771"/>
      <c r="AU2073" s="771"/>
    </row>
    <row r="2074" spans="1:47" s="919" customFormat="1" outlineLevel="1" x14ac:dyDescent="0.2">
      <c r="A2074" s="8"/>
      <c r="B2074" s="8"/>
      <c r="C2074" s="1989" t="s">
        <v>6783</v>
      </c>
      <c r="D2074" s="1989" t="s">
        <v>6116</v>
      </c>
      <c r="E2074" s="1989">
        <v>18.68</v>
      </c>
      <c r="F2074" s="38">
        <f t="shared" ref="F2074:F2124" si="32">E2074*$G$4*$J$4</f>
        <v>1519.0807632000001</v>
      </c>
      <c r="G2074" s="1547"/>
      <c r="H2074" s="8"/>
      <c r="I2074" s="8"/>
      <c r="J2074" s="8"/>
      <c r="K2074" s="8"/>
      <c r="L2074" s="8"/>
      <c r="M2074" s="8"/>
      <c r="N2074" s="8"/>
      <c r="O2074" s="8"/>
      <c r="P2074" s="8"/>
      <c r="Q2074" s="8"/>
      <c r="R2074" s="8"/>
      <c r="S2074" s="8"/>
      <c r="T2074" s="8"/>
      <c r="U2074" s="8"/>
      <c r="V2074" s="8"/>
      <c r="W2074" s="8"/>
      <c r="X2074" s="771"/>
      <c r="Y2074" s="771"/>
      <c r="Z2074" s="771"/>
      <c r="AA2074" s="771"/>
      <c r="AB2074" s="771"/>
      <c r="AC2074" s="771"/>
      <c r="AD2074" s="771"/>
      <c r="AE2074" s="771"/>
      <c r="AF2074" s="771"/>
      <c r="AG2074" s="771"/>
      <c r="AH2074" s="771"/>
      <c r="AI2074" s="771"/>
      <c r="AJ2074" s="771"/>
      <c r="AK2074" s="771"/>
      <c r="AL2074" s="771"/>
      <c r="AM2074" s="771"/>
      <c r="AN2074" s="771"/>
      <c r="AO2074" s="771"/>
      <c r="AP2074" s="771"/>
      <c r="AQ2074" s="771"/>
      <c r="AR2074" s="771"/>
      <c r="AS2074" s="771"/>
      <c r="AT2074" s="771"/>
      <c r="AU2074" s="771"/>
    </row>
    <row r="2075" spans="1:47" s="919" customFormat="1" outlineLevel="1" x14ac:dyDescent="0.2">
      <c r="A2075" s="8"/>
      <c r="B2075" s="8"/>
      <c r="C2075" s="1989" t="s">
        <v>2381</v>
      </c>
      <c r="D2075" s="1989" t="s">
        <v>3708</v>
      </c>
      <c r="E2075" s="1989">
        <v>9.85</v>
      </c>
      <c r="F2075" s="38">
        <f t="shared" si="32"/>
        <v>801.01421399999992</v>
      </c>
      <c r="G2075" s="1547"/>
      <c r="H2075" s="8"/>
      <c r="I2075" s="8"/>
      <c r="J2075" s="8"/>
      <c r="K2075" s="8"/>
      <c r="L2075" s="8"/>
      <c r="M2075" s="8"/>
      <c r="N2075" s="8"/>
      <c r="O2075" s="8"/>
      <c r="P2075" s="8"/>
      <c r="Q2075" s="8"/>
      <c r="R2075" s="8"/>
      <c r="S2075" s="8"/>
      <c r="T2075" s="8"/>
      <c r="U2075" s="8"/>
      <c r="V2075" s="8"/>
      <c r="W2075" s="8"/>
      <c r="X2075" s="771"/>
      <c r="Y2075" s="771"/>
      <c r="Z2075" s="771"/>
      <c r="AA2075" s="771"/>
      <c r="AB2075" s="771"/>
      <c r="AC2075" s="771"/>
      <c r="AD2075" s="771"/>
      <c r="AE2075" s="771"/>
      <c r="AF2075" s="771"/>
      <c r="AG2075" s="771"/>
      <c r="AH2075" s="771"/>
      <c r="AI2075" s="771"/>
      <c r="AJ2075" s="771"/>
      <c r="AK2075" s="771"/>
      <c r="AL2075" s="771"/>
      <c r="AM2075" s="771"/>
      <c r="AN2075" s="771"/>
      <c r="AO2075" s="771"/>
      <c r="AP2075" s="771"/>
      <c r="AQ2075" s="771"/>
      <c r="AR2075" s="771"/>
      <c r="AS2075" s="771"/>
      <c r="AT2075" s="771"/>
      <c r="AU2075" s="771"/>
    </row>
    <row r="2076" spans="1:47" s="919" customFormat="1" outlineLevel="1" x14ac:dyDescent="0.2">
      <c r="A2076" s="8"/>
      <c r="B2076" s="8"/>
      <c r="C2076" s="1989" t="s">
        <v>4471</v>
      </c>
      <c r="D2076" s="1989" t="s">
        <v>6117</v>
      </c>
      <c r="E2076" s="1989">
        <v>18.68</v>
      </c>
      <c r="F2076" s="38">
        <f t="shared" si="32"/>
        <v>1519.0807632000001</v>
      </c>
      <c r="G2076" s="1547"/>
      <c r="H2076" s="8"/>
      <c r="I2076" s="8"/>
      <c r="J2076" s="8"/>
      <c r="K2076" s="8"/>
      <c r="L2076" s="8"/>
      <c r="M2076" s="8"/>
      <c r="N2076" s="8"/>
      <c r="O2076" s="8"/>
      <c r="P2076" s="8"/>
      <c r="Q2076" s="8"/>
      <c r="R2076" s="8"/>
      <c r="S2076" s="8"/>
      <c r="T2076" s="8"/>
      <c r="U2076" s="8"/>
      <c r="V2076" s="8"/>
      <c r="W2076" s="8"/>
      <c r="X2076" s="771"/>
      <c r="Y2076" s="771"/>
      <c r="Z2076" s="771"/>
      <c r="AA2076" s="771"/>
      <c r="AB2076" s="771"/>
      <c r="AC2076" s="771"/>
      <c r="AD2076" s="771"/>
      <c r="AE2076" s="771"/>
      <c r="AF2076" s="771"/>
      <c r="AG2076" s="771"/>
      <c r="AH2076" s="771"/>
      <c r="AI2076" s="771"/>
      <c r="AJ2076" s="771"/>
      <c r="AK2076" s="771"/>
      <c r="AL2076" s="771"/>
      <c r="AM2076" s="771"/>
      <c r="AN2076" s="771"/>
      <c r="AO2076" s="771"/>
      <c r="AP2076" s="771"/>
      <c r="AQ2076" s="771"/>
      <c r="AR2076" s="771"/>
      <c r="AS2076" s="771"/>
      <c r="AT2076" s="771"/>
      <c r="AU2076" s="771"/>
    </row>
    <row r="2077" spans="1:47" s="919" customFormat="1" outlineLevel="1" x14ac:dyDescent="0.2">
      <c r="A2077" s="8"/>
      <c r="B2077" s="8"/>
      <c r="C2077" s="1989" t="s">
        <v>4472</v>
      </c>
      <c r="D2077" s="1989" t="s">
        <v>6118</v>
      </c>
      <c r="E2077" s="1989">
        <v>18.899999999999999</v>
      </c>
      <c r="F2077" s="38">
        <f t="shared" si="32"/>
        <v>1536.9714359999998</v>
      </c>
      <c r="G2077" s="1547"/>
      <c r="H2077" s="8"/>
      <c r="I2077" s="8"/>
      <c r="J2077" s="8"/>
      <c r="K2077" s="8"/>
      <c r="L2077" s="8"/>
      <c r="M2077" s="8"/>
      <c r="N2077" s="8"/>
      <c r="O2077" s="8"/>
      <c r="P2077" s="8"/>
      <c r="Q2077" s="8"/>
      <c r="R2077" s="8"/>
      <c r="S2077" s="8"/>
      <c r="T2077" s="8"/>
      <c r="U2077" s="8"/>
      <c r="V2077" s="8"/>
      <c r="W2077" s="8"/>
      <c r="X2077" s="771"/>
      <c r="Y2077" s="771"/>
      <c r="Z2077" s="771"/>
      <c r="AA2077" s="771"/>
      <c r="AB2077" s="771"/>
      <c r="AC2077" s="771"/>
      <c r="AD2077" s="771"/>
      <c r="AE2077" s="771"/>
      <c r="AF2077" s="771"/>
      <c r="AG2077" s="771"/>
      <c r="AH2077" s="771"/>
      <c r="AI2077" s="771"/>
      <c r="AJ2077" s="771"/>
      <c r="AK2077" s="771"/>
      <c r="AL2077" s="771"/>
      <c r="AM2077" s="771"/>
      <c r="AN2077" s="771"/>
      <c r="AO2077" s="771"/>
      <c r="AP2077" s="771"/>
      <c r="AQ2077" s="771"/>
      <c r="AR2077" s="771"/>
      <c r="AS2077" s="771"/>
      <c r="AT2077" s="771"/>
      <c r="AU2077" s="771"/>
    </row>
    <row r="2078" spans="1:47" s="919" customFormat="1" outlineLevel="1" x14ac:dyDescent="0.2">
      <c r="A2078" s="8"/>
      <c r="B2078" s="8"/>
      <c r="C2078" s="1989" t="s">
        <v>3709</v>
      </c>
      <c r="D2078" s="1989" t="s">
        <v>6119</v>
      </c>
      <c r="E2078" s="1989">
        <v>19.13</v>
      </c>
      <c r="F2078" s="38">
        <f t="shared" si="32"/>
        <v>1555.6753212000001</v>
      </c>
      <c r="G2078" s="1547"/>
      <c r="H2078" s="8"/>
      <c r="I2078" s="8"/>
      <c r="J2078" s="8"/>
      <c r="K2078" s="8"/>
      <c r="L2078" s="8"/>
      <c r="M2078" s="8"/>
      <c r="N2078" s="8"/>
      <c r="O2078" s="8"/>
      <c r="P2078" s="8"/>
      <c r="Q2078" s="8"/>
      <c r="R2078" s="8"/>
      <c r="S2078" s="8"/>
      <c r="T2078" s="8"/>
      <c r="U2078" s="8"/>
      <c r="V2078" s="8"/>
      <c r="W2078" s="8"/>
      <c r="X2078" s="771"/>
      <c r="Y2078" s="771"/>
      <c r="Z2078" s="771"/>
      <c r="AA2078" s="771"/>
      <c r="AB2078" s="771"/>
      <c r="AC2078" s="771"/>
      <c r="AD2078" s="771"/>
      <c r="AE2078" s="771"/>
      <c r="AF2078" s="771"/>
      <c r="AG2078" s="771"/>
      <c r="AH2078" s="771"/>
      <c r="AI2078" s="771"/>
      <c r="AJ2078" s="771"/>
      <c r="AK2078" s="771"/>
      <c r="AL2078" s="771"/>
      <c r="AM2078" s="771"/>
      <c r="AN2078" s="771"/>
      <c r="AO2078" s="771"/>
      <c r="AP2078" s="771"/>
      <c r="AQ2078" s="771"/>
      <c r="AR2078" s="771"/>
      <c r="AS2078" s="771"/>
      <c r="AT2078" s="771"/>
      <c r="AU2078" s="771"/>
    </row>
    <row r="2079" spans="1:47" s="919" customFormat="1" outlineLevel="1" x14ac:dyDescent="0.2">
      <c r="A2079" s="8"/>
      <c r="B2079" s="8"/>
      <c r="C2079" s="1989" t="s">
        <v>2382</v>
      </c>
      <c r="D2079" s="1989" t="s">
        <v>6120</v>
      </c>
      <c r="E2079" s="1989">
        <v>9.85</v>
      </c>
      <c r="F2079" s="38">
        <f t="shared" si="32"/>
        <v>801.01421399999992</v>
      </c>
      <c r="G2079" s="1547"/>
      <c r="H2079" s="8"/>
      <c r="I2079" s="8"/>
      <c r="J2079" s="8"/>
      <c r="K2079" s="8"/>
      <c r="L2079" s="8"/>
      <c r="M2079" s="8"/>
      <c r="N2079" s="8"/>
      <c r="O2079" s="8"/>
      <c r="P2079" s="8"/>
      <c r="Q2079" s="8"/>
      <c r="R2079" s="8"/>
      <c r="S2079" s="8"/>
      <c r="T2079" s="8"/>
      <c r="U2079" s="8"/>
      <c r="V2079" s="8"/>
      <c r="W2079" s="8"/>
      <c r="X2079" s="771"/>
      <c r="Y2079" s="771"/>
      <c r="Z2079" s="771"/>
      <c r="AA2079" s="771"/>
      <c r="AB2079" s="771"/>
      <c r="AC2079" s="771"/>
      <c r="AD2079" s="771"/>
      <c r="AE2079" s="771"/>
      <c r="AF2079" s="771"/>
      <c r="AG2079" s="771"/>
      <c r="AH2079" s="771"/>
      <c r="AI2079" s="771"/>
      <c r="AJ2079" s="771"/>
      <c r="AK2079" s="771"/>
      <c r="AL2079" s="771"/>
      <c r="AM2079" s="771"/>
      <c r="AN2079" s="771"/>
      <c r="AO2079" s="771"/>
      <c r="AP2079" s="771"/>
      <c r="AQ2079" s="771"/>
      <c r="AR2079" s="771"/>
      <c r="AS2079" s="771"/>
      <c r="AT2079" s="771"/>
      <c r="AU2079" s="771"/>
    </row>
    <row r="2080" spans="1:47" s="919" customFormat="1" outlineLevel="1" x14ac:dyDescent="0.2">
      <c r="A2080" s="8"/>
      <c r="B2080" s="8"/>
      <c r="C2080" s="1989" t="s">
        <v>3589</v>
      </c>
      <c r="D2080" s="1989" t="s">
        <v>3609</v>
      </c>
      <c r="E2080" s="1989">
        <v>1.1000000000000001</v>
      </c>
      <c r="F2080" s="38">
        <f t="shared" si="32"/>
        <v>89.453364000000008</v>
      </c>
      <c r="G2080" s="1547"/>
      <c r="H2080" s="8"/>
      <c r="I2080" s="8"/>
      <c r="J2080" s="8"/>
      <c r="K2080" s="8"/>
      <c r="L2080" s="8"/>
      <c r="M2080" s="8"/>
      <c r="N2080" s="8"/>
      <c r="O2080" s="8"/>
      <c r="P2080" s="8"/>
      <c r="Q2080" s="8"/>
      <c r="R2080" s="8"/>
      <c r="S2080" s="8"/>
      <c r="T2080" s="8"/>
      <c r="U2080" s="8"/>
      <c r="V2080" s="8"/>
      <c r="W2080" s="8"/>
      <c r="X2080" s="771"/>
      <c r="Y2080" s="771"/>
      <c r="Z2080" s="771"/>
      <c r="AA2080" s="771"/>
      <c r="AB2080" s="771"/>
      <c r="AC2080" s="771"/>
      <c r="AD2080" s="771"/>
      <c r="AE2080" s="771"/>
      <c r="AF2080" s="771"/>
      <c r="AG2080" s="771"/>
      <c r="AH2080" s="771"/>
      <c r="AI2080" s="771"/>
      <c r="AJ2080" s="771"/>
      <c r="AK2080" s="771"/>
      <c r="AL2080" s="771"/>
      <c r="AM2080" s="771"/>
      <c r="AN2080" s="771"/>
      <c r="AO2080" s="771"/>
      <c r="AP2080" s="771"/>
      <c r="AQ2080" s="771"/>
      <c r="AR2080" s="771"/>
      <c r="AS2080" s="771"/>
      <c r="AT2080" s="771"/>
      <c r="AU2080" s="771"/>
    </row>
    <row r="2081" spans="1:47" s="919" customFormat="1" outlineLevel="1" x14ac:dyDescent="0.2">
      <c r="A2081" s="8"/>
      <c r="B2081" s="8"/>
      <c r="C2081" s="1989" t="s">
        <v>4473</v>
      </c>
      <c r="D2081" s="1989" t="s">
        <v>6121</v>
      </c>
      <c r="E2081" s="1989">
        <v>18.57</v>
      </c>
      <c r="F2081" s="38">
        <f t="shared" si="32"/>
        <v>1510.1354268</v>
      </c>
      <c r="G2081" s="1547"/>
      <c r="H2081" s="8"/>
      <c r="I2081" s="8"/>
      <c r="J2081" s="8"/>
      <c r="K2081" s="8"/>
      <c r="L2081" s="8"/>
      <c r="M2081" s="8"/>
      <c r="N2081" s="8"/>
      <c r="O2081" s="8"/>
      <c r="P2081" s="8"/>
      <c r="Q2081" s="8"/>
      <c r="R2081" s="8"/>
      <c r="S2081" s="8"/>
      <c r="T2081" s="8"/>
      <c r="U2081" s="8"/>
      <c r="V2081" s="8"/>
      <c r="W2081" s="8"/>
      <c r="X2081" s="771"/>
      <c r="Y2081" s="771"/>
      <c r="Z2081" s="771"/>
      <c r="AA2081" s="771"/>
      <c r="AB2081" s="771"/>
      <c r="AC2081" s="771"/>
      <c r="AD2081" s="771"/>
      <c r="AE2081" s="771"/>
      <c r="AF2081" s="771"/>
      <c r="AG2081" s="771"/>
      <c r="AH2081" s="771"/>
      <c r="AI2081" s="771"/>
      <c r="AJ2081" s="771"/>
      <c r="AK2081" s="771"/>
      <c r="AL2081" s="771"/>
      <c r="AM2081" s="771"/>
      <c r="AN2081" s="771"/>
      <c r="AO2081" s="771"/>
      <c r="AP2081" s="771"/>
      <c r="AQ2081" s="771"/>
      <c r="AR2081" s="771"/>
      <c r="AS2081" s="771"/>
      <c r="AT2081" s="771"/>
      <c r="AU2081" s="771"/>
    </row>
    <row r="2082" spans="1:47" s="919" customFormat="1" outlineLevel="1" x14ac:dyDescent="0.2">
      <c r="A2082" s="8"/>
      <c r="B2082" s="8"/>
      <c r="C2082" s="1989" t="s">
        <v>6784</v>
      </c>
      <c r="D2082" s="1989" t="s">
        <v>6122</v>
      </c>
      <c r="E2082" s="1989">
        <v>10.210000000000001</v>
      </c>
      <c r="F2082" s="38">
        <f t="shared" si="32"/>
        <v>830.28986040000007</v>
      </c>
      <c r="G2082" s="1547"/>
      <c r="H2082" s="8"/>
      <c r="I2082" s="8"/>
      <c r="J2082" s="8"/>
      <c r="K2082" s="8"/>
      <c r="L2082" s="8"/>
      <c r="M2082" s="8"/>
      <c r="N2082" s="8"/>
      <c r="O2082" s="8"/>
      <c r="P2082" s="8"/>
      <c r="Q2082" s="8"/>
      <c r="R2082" s="8"/>
      <c r="S2082" s="8"/>
      <c r="T2082" s="8"/>
      <c r="U2082" s="8"/>
      <c r="V2082" s="8"/>
      <c r="W2082" s="8"/>
      <c r="X2082" s="771"/>
      <c r="Y2082" s="771"/>
      <c r="Z2082" s="771"/>
      <c r="AA2082" s="771"/>
      <c r="AB2082" s="771"/>
      <c r="AC2082" s="771"/>
      <c r="AD2082" s="771"/>
      <c r="AE2082" s="771"/>
      <c r="AF2082" s="771"/>
      <c r="AG2082" s="771"/>
      <c r="AH2082" s="771"/>
      <c r="AI2082" s="771"/>
      <c r="AJ2082" s="771"/>
      <c r="AK2082" s="771"/>
      <c r="AL2082" s="771"/>
      <c r="AM2082" s="771"/>
      <c r="AN2082" s="771"/>
      <c r="AO2082" s="771"/>
      <c r="AP2082" s="771"/>
      <c r="AQ2082" s="771"/>
      <c r="AR2082" s="771"/>
      <c r="AS2082" s="771"/>
      <c r="AT2082" s="771"/>
      <c r="AU2082" s="771"/>
    </row>
    <row r="2083" spans="1:47" s="919" customFormat="1" outlineLevel="1" x14ac:dyDescent="0.2">
      <c r="A2083" s="8"/>
      <c r="B2083" s="8"/>
      <c r="C2083" s="1989" t="s">
        <v>6785</v>
      </c>
      <c r="D2083" s="1989" t="s">
        <v>6123</v>
      </c>
      <c r="E2083" s="1989">
        <v>10.210000000000001</v>
      </c>
      <c r="F2083" s="38">
        <f t="shared" si="32"/>
        <v>830.28986040000007</v>
      </c>
      <c r="G2083" s="1547"/>
      <c r="H2083" s="8"/>
      <c r="I2083" s="8"/>
      <c r="J2083" s="8"/>
      <c r="K2083" s="8"/>
      <c r="L2083" s="8"/>
      <c r="M2083" s="8"/>
      <c r="N2083" s="8"/>
      <c r="O2083" s="8"/>
      <c r="P2083" s="8"/>
      <c r="Q2083" s="8"/>
      <c r="R2083" s="8"/>
      <c r="S2083" s="8"/>
      <c r="T2083" s="8"/>
      <c r="U2083" s="8"/>
      <c r="V2083" s="8"/>
      <c r="W2083" s="8"/>
      <c r="X2083" s="771"/>
      <c r="Y2083" s="771"/>
      <c r="Z2083" s="771"/>
      <c r="AA2083" s="771"/>
      <c r="AB2083" s="771"/>
      <c r="AC2083" s="771"/>
      <c r="AD2083" s="771"/>
      <c r="AE2083" s="771"/>
      <c r="AF2083" s="771"/>
      <c r="AG2083" s="771"/>
      <c r="AH2083" s="771"/>
      <c r="AI2083" s="771"/>
      <c r="AJ2083" s="771"/>
      <c r="AK2083" s="771"/>
      <c r="AL2083" s="771"/>
      <c r="AM2083" s="771"/>
      <c r="AN2083" s="771"/>
      <c r="AO2083" s="771"/>
      <c r="AP2083" s="771"/>
      <c r="AQ2083" s="771"/>
      <c r="AR2083" s="771"/>
      <c r="AS2083" s="771"/>
      <c r="AT2083" s="771"/>
      <c r="AU2083" s="771"/>
    </row>
    <row r="2084" spans="1:47" s="919" customFormat="1" outlineLevel="1" x14ac:dyDescent="0.2">
      <c r="A2084" s="8"/>
      <c r="B2084" s="8"/>
      <c r="C2084" s="1989" t="s">
        <v>2338</v>
      </c>
      <c r="D2084" s="1989" t="s">
        <v>2339</v>
      </c>
      <c r="E2084" s="1989">
        <v>0.44</v>
      </c>
      <c r="F2084" s="38">
        <f t="shared" si="32"/>
        <v>35.781345600000002</v>
      </c>
      <c r="G2084" s="1547"/>
      <c r="H2084" s="8"/>
      <c r="I2084" s="8"/>
      <c r="J2084" s="8"/>
      <c r="K2084" s="8"/>
      <c r="L2084" s="8"/>
      <c r="M2084" s="8"/>
      <c r="N2084" s="8"/>
      <c r="O2084" s="8"/>
      <c r="P2084" s="8"/>
      <c r="Q2084" s="8"/>
      <c r="R2084" s="8"/>
      <c r="S2084" s="8"/>
      <c r="T2084" s="8"/>
      <c r="U2084" s="8"/>
      <c r="V2084" s="8"/>
      <c r="W2084" s="8"/>
      <c r="X2084" s="771"/>
      <c r="Y2084" s="771"/>
      <c r="Z2084" s="771"/>
      <c r="AA2084" s="771"/>
      <c r="AB2084" s="771"/>
      <c r="AC2084" s="771"/>
      <c r="AD2084" s="771"/>
      <c r="AE2084" s="771"/>
      <c r="AF2084" s="771"/>
      <c r="AG2084" s="771"/>
      <c r="AH2084" s="771"/>
      <c r="AI2084" s="771"/>
      <c r="AJ2084" s="771"/>
      <c r="AK2084" s="771"/>
      <c r="AL2084" s="771"/>
      <c r="AM2084" s="771"/>
      <c r="AN2084" s="771"/>
      <c r="AO2084" s="771"/>
      <c r="AP2084" s="771"/>
      <c r="AQ2084" s="771"/>
      <c r="AR2084" s="771"/>
      <c r="AS2084" s="771"/>
      <c r="AT2084" s="771"/>
      <c r="AU2084" s="771"/>
    </row>
    <row r="2085" spans="1:47" s="919" customFormat="1" outlineLevel="1" x14ac:dyDescent="0.2">
      <c r="A2085" s="8"/>
      <c r="B2085" s="8"/>
      <c r="C2085" s="1989" t="s">
        <v>4474</v>
      </c>
      <c r="D2085" s="1989" t="s">
        <v>4475</v>
      </c>
      <c r="E2085" s="1989">
        <v>29.23</v>
      </c>
      <c r="F2085" s="38">
        <f t="shared" si="32"/>
        <v>2377.0198452000004</v>
      </c>
      <c r="G2085" s="1547"/>
      <c r="H2085" s="8"/>
      <c r="I2085" s="8"/>
      <c r="J2085" s="8"/>
      <c r="K2085" s="8"/>
      <c r="L2085" s="8"/>
      <c r="M2085" s="8"/>
      <c r="N2085" s="8"/>
      <c r="O2085" s="8"/>
      <c r="P2085" s="8"/>
      <c r="Q2085" s="8"/>
      <c r="R2085" s="8"/>
      <c r="S2085" s="8"/>
      <c r="T2085" s="8"/>
      <c r="U2085" s="8"/>
      <c r="V2085" s="8"/>
      <c r="W2085" s="8"/>
      <c r="X2085" s="771"/>
      <c r="Y2085" s="771"/>
      <c r="Z2085" s="771"/>
      <c r="AA2085" s="771"/>
      <c r="AB2085" s="771"/>
      <c r="AC2085" s="771"/>
      <c r="AD2085" s="771"/>
      <c r="AE2085" s="771"/>
      <c r="AF2085" s="771"/>
      <c r="AG2085" s="771"/>
      <c r="AH2085" s="771"/>
      <c r="AI2085" s="771"/>
      <c r="AJ2085" s="771"/>
      <c r="AK2085" s="771"/>
      <c r="AL2085" s="771"/>
      <c r="AM2085" s="771"/>
      <c r="AN2085" s="771"/>
      <c r="AO2085" s="771"/>
      <c r="AP2085" s="771"/>
      <c r="AQ2085" s="771"/>
      <c r="AR2085" s="771"/>
      <c r="AS2085" s="771"/>
      <c r="AT2085" s="771"/>
      <c r="AU2085" s="771"/>
    </row>
    <row r="2086" spans="1:47" s="919" customFormat="1" outlineLevel="1" x14ac:dyDescent="0.2">
      <c r="A2086" s="8"/>
      <c r="B2086" s="8"/>
      <c r="C2086" s="1989" t="s">
        <v>4476</v>
      </c>
      <c r="D2086" s="1989" t="s">
        <v>4477</v>
      </c>
      <c r="E2086" s="1989">
        <v>29.23</v>
      </c>
      <c r="F2086" s="38">
        <f t="shared" si="32"/>
        <v>2377.0198452000004</v>
      </c>
      <c r="G2086" s="1547"/>
      <c r="H2086" s="8"/>
      <c r="I2086" s="8"/>
      <c r="J2086" s="8"/>
      <c r="K2086" s="8"/>
      <c r="L2086" s="8"/>
      <c r="M2086" s="8"/>
      <c r="N2086" s="8"/>
      <c r="O2086" s="8"/>
      <c r="P2086" s="8"/>
      <c r="Q2086" s="8"/>
      <c r="R2086" s="8"/>
      <c r="S2086" s="8"/>
      <c r="T2086" s="8"/>
      <c r="U2086" s="8"/>
      <c r="V2086" s="8"/>
      <c r="W2086" s="8"/>
      <c r="X2086" s="771"/>
      <c r="Y2086" s="771"/>
      <c r="Z2086" s="771"/>
      <c r="AA2086" s="771"/>
      <c r="AB2086" s="771"/>
      <c r="AC2086" s="771"/>
      <c r="AD2086" s="771"/>
      <c r="AE2086" s="771"/>
      <c r="AF2086" s="771"/>
      <c r="AG2086" s="771"/>
      <c r="AH2086" s="771"/>
      <c r="AI2086" s="771"/>
      <c r="AJ2086" s="771"/>
      <c r="AK2086" s="771"/>
      <c r="AL2086" s="771"/>
      <c r="AM2086" s="771"/>
      <c r="AN2086" s="771"/>
      <c r="AO2086" s="771"/>
      <c r="AP2086" s="771"/>
      <c r="AQ2086" s="771"/>
      <c r="AR2086" s="771"/>
      <c r="AS2086" s="771"/>
      <c r="AT2086" s="771"/>
      <c r="AU2086" s="771"/>
    </row>
    <row r="2087" spans="1:47" s="919" customFormat="1" outlineLevel="1" x14ac:dyDescent="0.2">
      <c r="A2087" s="8"/>
      <c r="B2087" s="8"/>
      <c r="C2087" s="1989" t="s">
        <v>4616</v>
      </c>
      <c r="D2087" s="1989" t="s">
        <v>6124</v>
      </c>
      <c r="E2087" s="1989">
        <v>0</v>
      </c>
      <c r="F2087" s="38">
        <f t="shared" si="32"/>
        <v>0</v>
      </c>
      <c r="G2087" s="1547"/>
      <c r="H2087" s="8"/>
      <c r="I2087" s="8"/>
      <c r="J2087" s="8"/>
      <c r="K2087" s="8"/>
      <c r="L2087" s="8"/>
      <c r="M2087" s="8"/>
      <c r="N2087" s="8"/>
      <c r="O2087" s="8"/>
      <c r="P2087" s="8"/>
      <c r="Q2087" s="8"/>
      <c r="R2087" s="8"/>
      <c r="S2087" s="8"/>
      <c r="T2087" s="8"/>
      <c r="U2087" s="8"/>
      <c r="V2087" s="8"/>
      <c r="W2087" s="8"/>
      <c r="X2087" s="771"/>
      <c r="Y2087" s="771"/>
      <c r="Z2087" s="771"/>
      <c r="AA2087" s="771"/>
      <c r="AB2087" s="771"/>
      <c r="AC2087" s="771"/>
      <c r="AD2087" s="771"/>
      <c r="AE2087" s="771"/>
      <c r="AF2087" s="771"/>
      <c r="AG2087" s="771"/>
      <c r="AH2087" s="771"/>
      <c r="AI2087" s="771"/>
      <c r="AJ2087" s="771"/>
      <c r="AK2087" s="771"/>
      <c r="AL2087" s="771"/>
      <c r="AM2087" s="771"/>
      <c r="AN2087" s="771"/>
      <c r="AO2087" s="771"/>
      <c r="AP2087" s="771"/>
      <c r="AQ2087" s="771"/>
      <c r="AR2087" s="771"/>
      <c r="AS2087" s="771"/>
      <c r="AT2087" s="771"/>
      <c r="AU2087" s="771"/>
    </row>
    <row r="2088" spans="1:47" s="919" customFormat="1" outlineLevel="1" x14ac:dyDescent="0.2">
      <c r="A2088" s="8"/>
      <c r="B2088" s="8"/>
      <c r="C2088" s="1989" t="s">
        <v>4083</v>
      </c>
      <c r="D2088" s="1989" t="s">
        <v>4084</v>
      </c>
      <c r="E2088" s="1989">
        <v>11.84</v>
      </c>
      <c r="F2088" s="38">
        <f t="shared" si="32"/>
        <v>962.84348160000013</v>
      </c>
      <c r="G2088" s="1547"/>
      <c r="H2088" s="8"/>
      <c r="I2088" s="8"/>
      <c r="J2088" s="8"/>
      <c r="K2088" s="8"/>
      <c r="L2088" s="8"/>
      <c r="M2088" s="8"/>
      <c r="N2088" s="8"/>
      <c r="O2088" s="8"/>
      <c r="P2088" s="8"/>
      <c r="Q2088" s="8"/>
      <c r="R2088" s="8"/>
      <c r="S2088" s="8"/>
      <c r="T2088" s="8"/>
      <c r="U2088" s="8"/>
      <c r="V2088" s="8"/>
      <c r="W2088" s="8"/>
      <c r="X2088" s="771"/>
      <c r="Y2088" s="771"/>
      <c r="Z2088" s="771"/>
      <c r="AA2088" s="771"/>
      <c r="AB2088" s="771"/>
      <c r="AC2088" s="771"/>
      <c r="AD2088" s="771"/>
      <c r="AE2088" s="771"/>
      <c r="AF2088" s="771"/>
      <c r="AG2088" s="771"/>
      <c r="AH2088" s="771"/>
      <c r="AI2088" s="771"/>
      <c r="AJ2088" s="771"/>
      <c r="AK2088" s="771"/>
      <c r="AL2088" s="771"/>
      <c r="AM2088" s="771"/>
      <c r="AN2088" s="771"/>
      <c r="AO2088" s="771"/>
      <c r="AP2088" s="771"/>
      <c r="AQ2088" s="771"/>
      <c r="AR2088" s="771"/>
      <c r="AS2088" s="771"/>
      <c r="AT2088" s="771"/>
      <c r="AU2088" s="771"/>
    </row>
    <row r="2089" spans="1:47" s="919" customFormat="1" outlineLevel="1" x14ac:dyDescent="0.2">
      <c r="A2089" s="8"/>
      <c r="B2089" s="8"/>
      <c r="C2089" s="1989" t="s">
        <v>4478</v>
      </c>
      <c r="D2089" s="1989" t="s">
        <v>4479</v>
      </c>
      <c r="E2089" s="1989">
        <v>29.23</v>
      </c>
      <c r="F2089" s="38">
        <f t="shared" si="32"/>
        <v>2377.0198452000004</v>
      </c>
      <c r="G2089" s="1547"/>
      <c r="H2089" s="8"/>
      <c r="I2089" s="8"/>
      <c r="J2089" s="8"/>
      <c r="K2089" s="8"/>
      <c r="L2089" s="8"/>
      <c r="M2089" s="8"/>
      <c r="N2089" s="8"/>
      <c r="O2089" s="8"/>
      <c r="P2089" s="8"/>
      <c r="Q2089" s="8"/>
      <c r="R2089" s="8"/>
      <c r="S2089" s="8"/>
      <c r="T2089" s="8"/>
      <c r="U2089" s="8"/>
      <c r="V2089" s="8"/>
      <c r="W2089" s="8"/>
      <c r="X2089" s="771"/>
      <c r="Y2089" s="771"/>
      <c r="Z2089" s="771"/>
      <c r="AA2089" s="771"/>
      <c r="AB2089" s="771"/>
      <c r="AC2089" s="771"/>
      <c r="AD2089" s="771"/>
      <c r="AE2089" s="771"/>
      <c r="AF2089" s="771"/>
      <c r="AG2089" s="771"/>
      <c r="AH2089" s="771"/>
      <c r="AI2089" s="771"/>
      <c r="AJ2089" s="771"/>
      <c r="AK2089" s="771"/>
      <c r="AL2089" s="771"/>
      <c r="AM2089" s="771"/>
      <c r="AN2089" s="771"/>
      <c r="AO2089" s="771"/>
      <c r="AP2089" s="771"/>
      <c r="AQ2089" s="771"/>
      <c r="AR2089" s="771"/>
      <c r="AS2089" s="771"/>
      <c r="AT2089" s="771"/>
      <c r="AU2089" s="771"/>
    </row>
    <row r="2090" spans="1:47" s="919" customFormat="1" outlineLevel="1" x14ac:dyDescent="0.2">
      <c r="A2090" s="8"/>
      <c r="B2090" s="8"/>
      <c r="C2090" s="1989" t="s">
        <v>4085</v>
      </c>
      <c r="D2090" s="1989" t="s">
        <v>6125</v>
      </c>
      <c r="E2090" s="1989">
        <v>11.84</v>
      </c>
      <c r="F2090" s="38">
        <f t="shared" si="32"/>
        <v>962.84348160000013</v>
      </c>
      <c r="G2090" s="1547"/>
      <c r="H2090" s="8"/>
      <c r="I2090" s="8"/>
      <c r="J2090" s="8"/>
      <c r="K2090" s="8"/>
      <c r="L2090" s="8"/>
      <c r="M2090" s="8"/>
      <c r="N2090" s="8"/>
      <c r="O2090" s="8"/>
      <c r="P2090" s="8"/>
      <c r="Q2090" s="8"/>
      <c r="R2090" s="8"/>
      <c r="S2090" s="8"/>
      <c r="T2090" s="8"/>
      <c r="U2090" s="8"/>
      <c r="V2090" s="8"/>
      <c r="W2090" s="8"/>
      <c r="X2090" s="771"/>
      <c r="Y2090" s="771"/>
      <c r="Z2090" s="771"/>
      <c r="AA2090" s="771"/>
      <c r="AB2090" s="771"/>
      <c r="AC2090" s="771"/>
      <c r="AD2090" s="771"/>
      <c r="AE2090" s="771"/>
      <c r="AF2090" s="771"/>
      <c r="AG2090" s="771"/>
      <c r="AH2090" s="771"/>
      <c r="AI2090" s="771"/>
      <c r="AJ2090" s="771"/>
      <c r="AK2090" s="771"/>
      <c r="AL2090" s="771"/>
      <c r="AM2090" s="771"/>
      <c r="AN2090" s="771"/>
      <c r="AO2090" s="771"/>
      <c r="AP2090" s="771"/>
      <c r="AQ2090" s="771"/>
      <c r="AR2090" s="771"/>
      <c r="AS2090" s="771"/>
      <c r="AT2090" s="771"/>
      <c r="AU2090" s="771"/>
    </row>
    <row r="2091" spans="1:47" s="919" customFormat="1" outlineLevel="1" x14ac:dyDescent="0.2">
      <c r="A2091" s="8"/>
      <c r="B2091" s="8"/>
      <c r="C2091" s="1989" t="s">
        <v>4480</v>
      </c>
      <c r="D2091" s="1989" t="s">
        <v>4481</v>
      </c>
      <c r="E2091" s="1989">
        <v>29.58</v>
      </c>
      <c r="F2091" s="38">
        <f t="shared" si="32"/>
        <v>2405.4822792</v>
      </c>
      <c r="G2091" s="1547"/>
      <c r="H2091" s="8"/>
      <c r="I2091" s="8"/>
      <c r="J2091" s="8"/>
      <c r="K2091" s="8"/>
      <c r="L2091" s="8"/>
      <c r="M2091" s="8"/>
      <c r="N2091" s="8"/>
      <c r="O2091" s="8"/>
      <c r="P2091" s="8"/>
      <c r="Q2091" s="8"/>
      <c r="R2091" s="8"/>
      <c r="S2091" s="8"/>
      <c r="T2091" s="8"/>
      <c r="U2091" s="8"/>
      <c r="V2091" s="8"/>
      <c r="W2091" s="8"/>
      <c r="X2091" s="771"/>
      <c r="Y2091" s="771"/>
      <c r="Z2091" s="771"/>
      <c r="AA2091" s="771"/>
      <c r="AB2091" s="771"/>
      <c r="AC2091" s="771"/>
      <c r="AD2091" s="771"/>
      <c r="AE2091" s="771"/>
      <c r="AF2091" s="771"/>
      <c r="AG2091" s="771"/>
      <c r="AH2091" s="771"/>
      <c r="AI2091" s="771"/>
      <c r="AJ2091" s="771"/>
      <c r="AK2091" s="771"/>
      <c r="AL2091" s="771"/>
      <c r="AM2091" s="771"/>
      <c r="AN2091" s="771"/>
      <c r="AO2091" s="771"/>
      <c r="AP2091" s="771"/>
      <c r="AQ2091" s="771"/>
      <c r="AR2091" s="771"/>
      <c r="AS2091" s="771"/>
      <c r="AT2091" s="771"/>
      <c r="AU2091" s="771"/>
    </row>
    <row r="2092" spans="1:47" s="919" customFormat="1" outlineLevel="1" x14ac:dyDescent="0.2">
      <c r="A2092" s="8"/>
      <c r="B2092" s="8"/>
      <c r="C2092" s="1989" t="s">
        <v>2867</v>
      </c>
      <c r="D2092" s="1989" t="s">
        <v>6126</v>
      </c>
      <c r="E2092" s="1989">
        <v>18.350000000000001</v>
      </c>
      <c r="F2092" s="38">
        <f t="shared" si="32"/>
        <v>1492.2447540000001</v>
      </c>
      <c r="G2092" s="1547"/>
      <c r="H2092" s="8"/>
      <c r="I2092" s="8"/>
      <c r="J2092" s="8"/>
      <c r="K2092" s="8"/>
      <c r="L2092" s="8"/>
      <c r="M2092" s="8"/>
      <c r="N2092" s="8"/>
      <c r="O2092" s="8"/>
      <c r="P2092" s="8"/>
      <c r="Q2092" s="8"/>
      <c r="R2092" s="8"/>
      <c r="S2092" s="8"/>
      <c r="T2092" s="8"/>
      <c r="U2092" s="8"/>
      <c r="V2092" s="8"/>
      <c r="W2092" s="8"/>
      <c r="X2092" s="771"/>
      <c r="Y2092" s="771"/>
      <c r="Z2092" s="771"/>
      <c r="AA2092" s="771"/>
      <c r="AB2092" s="771"/>
      <c r="AC2092" s="771"/>
      <c r="AD2092" s="771"/>
      <c r="AE2092" s="771"/>
      <c r="AF2092" s="771"/>
      <c r="AG2092" s="771"/>
      <c r="AH2092" s="771"/>
      <c r="AI2092" s="771"/>
      <c r="AJ2092" s="771"/>
      <c r="AK2092" s="771"/>
      <c r="AL2092" s="771"/>
      <c r="AM2092" s="771"/>
      <c r="AN2092" s="771"/>
      <c r="AO2092" s="771"/>
      <c r="AP2092" s="771"/>
      <c r="AQ2092" s="771"/>
      <c r="AR2092" s="771"/>
      <c r="AS2092" s="771"/>
      <c r="AT2092" s="771"/>
      <c r="AU2092" s="771"/>
    </row>
    <row r="2093" spans="1:47" s="919" customFormat="1" outlineLevel="1" x14ac:dyDescent="0.2">
      <c r="A2093" s="8"/>
      <c r="B2093" s="8"/>
      <c r="C2093" s="1989" t="s">
        <v>3710</v>
      </c>
      <c r="D2093" s="1989" t="s">
        <v>4482</v>
      </c>
      <c r="E2093" s="1989">
        <v>29.95</v>
      </c>
      <c r="F2093" s="38">
        <f t="shared" si="32"/>
        <v>2435.5711380000002</v>
      </c>
      <c r="G2093" s="1547"/>
      <c r="H2093" s="8"/>
      <c r="I2093" s="8"/>
      <c r="J2093" s="8"/>
      <c r="K2093" s="8"/>
      <c r="L2093" s="8"/>
      <c r="M2093" s="8"/>
      <c r="N2093" s="8"/>
      <c r="O2093" s="8"/>
      <c r="P2093" s="8"/>
      <c r="Q2093" s="8"/>
      <c r="R2093" s="8"/>
      <c r="S2093" s="8"/>
      <c r="T2093" s="8"/>
      <c r="U2093" s="8"/>
      <c r="V2093" s="8"/>
      <c r="W2093" s="8"/>
      <c r="X2093" s="771"/>
      <c r="Y2093" s="771"/>
      <c r="Z2093" s="771"/>
      <c r="AA2093" s="771"/>
      <c r="AB2093" s="771"/>
      <c r="AC2093" s="771"/>
      <c r="AD2093" s="771"/>
      <c r="AE2093" s="771"/>
      <c r="AF2093" s="771"/>
      <c r="AG2093" s="771"/>
      <c r="AH2093" s="771"/>
      <c r="AI2093" s="771"/>
      <c r="AJ2093" s="771"/>
      <c r="AK2093" s="771"/>
      <c r="AL2093" s="771"/>
      <c r="AM2093" s="771"/>
      <c r="AN2093" s="771"/>
      <c r="AO2093" s="771"/>
      <c r="AP2093" s="771"/>
      <c r="AQ2093" s="771"/>
      <c r="AR2093" s="771"/>
      <c r="AS2093" s="771"/>
      <c r="AT2093" s="771"/>
      <c r="AU2093" s="771"/>
    </row>
    <row r="2094" spans="1:47" s="919" customFormat="1" outlineLevel="1" x14ac:dyDescent="0.2">
      <c r="A2094" s="8"/>
      <c r="B2094" s="8"/>
      <c r="C2094" s="1989" t="s">
        <v>4483</v>
      </c>
      <c r="D2094" s="1989" t="s">
        <v>4484</v>
      </c>
      <c r="E2094" s="1989">
        <v>29.1</v>
      </c>
      <c r="F2094" s="38">
        <f t="shared" si="32"/>
        <v>2366.4480840000001</v>
      </c>
      <c r="G2094" s="1547"/>
      <c r="H2094" s="8"/>
      <c r="I2094" s="8"/>
      <c r="J2094" s="8"/>
      <c r="K2094" s="8"/>
      <c r="L2094" s="8"/>
      <c r="M2094" s="8"/>
      <c r="N2094" s="8"/>
      <c r="O2094" s="8"/>
      <c r="P2094" s="8"/>
      <c r="Q2094" s="8"/>
      <c r="R2094" s="8"/>
      <c r="S2094" s="8"/>
      <c r="T2094" s="8"/>
      <c r="U2094" s="8"/>
      <c r="V2094" s="8"/>
      <c r="W2094" s="8"/>
      <c r="X2094" s="771"/>
      <c r="Y2094" s="771"/>
      <c r="Z2094" s="771"/>
      <c r="AA2094" s="771"/>
      <c r="AB2094" s="771"/>
      <c r="AC2094" s="771"/>
      <c r="AD2094" s="771"/>
      <c r="AE2094" s="771"/>
      <c r="AF2094" s="771"/>
      <c r="AG2094" s="771"/>
      <c r="AH2094" s="771"/>
      <c r="AI2094" s="771"/>
      <c r="AJ2094" s="771"/>
      <c r="AK2094" s="771"/>
      <c r="AL2094" s="771"/>
      <c r="AM2094" s="771"/>
      <c r="AN2094" s="771"/>
      <c r="AO2094" s="771"/>
      <c r="AP2094" s="771"/>
      <c r="AQ2094" s="771"/>
      <c r="AR2094" s="771"/>
      <c r="AS2094" s="771"/>
      <c r="AT2094" s="771"/>
      <c r="AU2094" s="771"/>
    </row>
    <row r="2095" spans="1:47" s="919" customFormat="1" outlineLevel="1" x14ac:dyDescent="0.2">
      <c r="A2095" s="8"/>
      <c r="B2095" s="8"/>
      <c r="C2095" s="1989" t="s">
        <v>2868</v>
      </c>
      <c r="D2095" s="1989" t="s">
        <v>6127</v>
      </c>
      <c r="E2095" s="1989">
        <v>18.350000000000001</v>
      </c>
      <c r="F2095" s="38">
        <f t="shared" si="32"/>
        <v>1492.2447540000001</v>
      </c>
      <c r="G2095" s="1547"/>
      <c r="H2095" s="8"/>
      <c r="I2095" s="8"/>
      <c r="J2095" s="8"/>
      <c r="K2095" s="8"/>
      <c r="L2095" s="8"/>
      <c r="M2095" s="8"/>
      <c r="N2095" s="8"/>
      <c r="O2095" s="8"/>
      <c r="P2095" s="8"/>
      <c r="Q2095" s="8"/>
      <c r="R2095" s="8"/>
      <c r="S2095" s="8"/>
      <c r="T2095" s="8"/>
      <c r="U2095" s="8"/>
      <c r="V2095" s="8"/>
      <c r="W2095" s="8"/>
      <c r="X2095" s="771"/>
      <c r="Y2095" s="771"/>
      <c r="Z2095" s="771"/>
      <c r="AA2095" s="771"/>
      <c r="AB2095" s="771"/>
      <c r="AC2095" s="771"/>
      <c r="AD2095" s="771"/>
      <c r="AE2095" s="771"/>
      <c r="AF2095" s="771"/>
      <c r="AG2095" s="771"/>
      <c r="AH2095" s="771"/>
      <c r="AI2095" s="771"/>
      <c r="AJ2095" s="771"/>
      <c r="AK2095" s="771"/>
      <c r="AL2095" s="771"/>
      <c r="AM2095" s="771"/>
      <c r="AN2095" s="771"/>
      <c r="AO2095" s="771"/>
      <c r="AP2095" s="771"/>
      <c r="AQ2095" s="771"/>
      <c r="AR2095" s="771"/>
      <c r="AS2095" s="771"/>
      <c r="AT2095" s="771"/>
      <c r="AU2095" s="771"/>
    </row>
    <row r="2096" spans="1:47" s="919" customFormat="1" outlineLevel="1" x14ac:dyDescent="0.2">
      <c r="A2096" s="8"/>
      <c r="B2096" s="8"/>
      <c r="C2096" s="1989" t="s">
        <v>3591</v>
      </c>
      <c r="D2096" s="1989" t="s">
        <v>3611</v>
      </c>
      <c r="E2096" s="1989">
        <v>1</v>
      </c>
      <c r="F2096" s="38">
        <f t="shared" si="32"/>
        <v>81.321240000000003</v>
      </c>
      <c r="G2096" s="1547"/>
      <c r="H2096" s="8"/>
      <c r="I2096" s="8"/>
      <c r="J2096" s="8"/>
      <c r="K2096" s="8"/>
      <c r="L2096" s="8"/>
      <c r="M2096" s="8"/>
      <c r="N2096" s="8"/>
      <c r="O2096" s="8"/>
      <c r="P2096" s="8"/>
      <c r="Q2096" s="8"/>
      <c r="R2096" s="8"/>
      <c r="S2096" s="8"/>
      <c r="T2096" s="8"/>
      <c r="U2096" s="8"/>
      <c r="V2096" s="8"/>
      <c r="W2096" s="8"/>
      <c r="X2096" s="771"/>
      <c r="Y2096" s="771"/>
      <c r="Z2096" s="771"/>
      <c r="AA2096" s="771"/>
      <c r="AB2096" s="771"/>
      <c r="AC2096" s="771"/>
      <c r="AD2096" s="771"/>
      <c r="AE2096" s="771"/>
      <c r="AF2096" s="771"/>
      <c r="AG2096" s="771"/>
      <c r="AH2096" s="771"/>
      <c r="AI2096" s="771"/>
      <c r="AJ2096" s="771"/>
      <c r="AK2096" s="771"/>
      <c r="AL2096" s="771"/>
      <c r="AM2096" s="771"/>
      <c r="AN2096" s="771"/>
      <c r="AO2096" s="771"/>
      <c r="AP2096" s="771"/>
      <c r="AQ2096" s="771"/>
      <c r="AR2096" s="771"/>
      <c r="AS2096" s="771"/>
      <c r="AT2096" s="771"/>
      <c r="AU2096" s="771"/>
    </row>
    <row r="2097" spans="1:47" s="919" customFormat="1" outlineLevel="1" x14ac:dyDescent="0.2">
      <c r="A2097" s="8"/>
      <c r="B2097" s="8"/>
      <c r="C2097" s="1989" t="s">
        <v>3711</v>
      </c>
      <c r="D2097" s="1989" t="s">
        <v>6128</v>
      </c>
      <c r="E2097" s="1989">
        <v>49.94</v>
      </c>
      <c r="F2097" s="38">
        <f t="shared" si="32"/>
        <v>4061.1827256000001</v>
      </c>
      <c r="G2097" s="1547"/>
      <c r="H2097" s="8"/>
      <c r="I2097" s="8"/>
      <c r="J2097" s="8"/>
      <c r="K2097" s="8"/>
      <c r="L2097" s="8"/>
      <c r="M2097" s="8"/>
      <c r="N2097" s="8"/>
      <c r="O2097" s="8"/>
      <c r="P2097" s="8"/>
      <c r="Q2097" s="8"/>
      <c r="R2097" s="8"/>
      <c r="S2097" s="8"/>
      <c r="T2097" s="8"/>
      <c r="U2097" s="8"/>
      <c r="V2097" s="8"/>
      <c r="W2097" s="8"/>
      <c r="X2097" s="771"/>
      <c r="Y2097" s="771"/>
      <c r="Z2097" s="771"/>
      <c r="AA2097" s="771"/>
      <c r="AB2097" s="771"/>
      <c r="AC2097" s="771"/>
      <c r="AD2097" s="771"/>
      <c r="AE2097" s="771"/>
      <c r="AF2097" s="771"/>
      <c r="AG2097" s="771"/>
      <c r="AH2097" s="771"/>
      <c r="AI2097" s="771"/>
      <c r="AJ2097" s="771"/>
      <c r="AK2097" s="771"/>
      <c r="AL2097" s="771"/>
      <c r="AM2097" s="771"/>
      <c r="AN2097" s="771"/>
      <c r="AO2097" s="771"/>
      <c r="AP2097" s="771"/>
      <c r="AQ2097" s="771"/>
      <c r="AR2097" s="771"/>
      <c r="AS2097" s="771"/>
      <c r="AT2097" s="771"/>
      <c r="AU2097" s="771"/>
    </row>
    <row r="2098" spans="1:47" s="919" customFormat="1" outlineLevel="1" x14ac:dyDescent="0.2">
      <c r="A2098" s="8"/>
      <c r="B2098" s="8"/>
      <c r="C2098" s="1989" t="s">
        <v>4485</v>
      </c>
      <c r="D2098" s="1989" t="s">
        <v>6129</v>
      </c>
      <c r="E2098" s="1989">
        <v>50.37</v>
      </c>
      <c r="F2098" s="38">
        <f t="shared" si="32"/>
        <v>4096.1508587999997</v>
      </c>
      <c r="G2098" s="1547"/>
      <c r="H2098" s="8"/>
      <c r="I2098" s="8"/>
      <c r="J2098" s="8"/>
      <c r="K2098" s="8"/>
      <c r="L2098" s="8"/>
      <c r="M2098" s="8"/>
      <c r="N2098" s="8"/>
      <c r="O2098" s="8"/>
      <c r="P2098" s="8"/>
      <c r="Q2098" s="8"/>
      <c r="R2098" s="8"/>
      <c r="S2098" s="8"/>
      <c r="T2098" s="8"/>
      <c r="U2098" s="8"/>
      <c r="V2098" s="8"/>
      <c r="W2098" s="8"/>
      <c r="X2098" s="771"/>
      <c r="Y2098" s="771"/>
      <c r="Z2098" s="771"/>
      <c r="AA2098" s="771"/>
      <c r="AB2098" s="771"/>
      <c r="AC2098" s="771"/>
      <c r="AD2098" s="771"/>
      <c r="AE2098" s="771"/>
      <c r="AF2098" s="771"/>
      <c r="AG2098" s="771"/>
      <c r="AH2098" s="771"/>
      <c r="AI2098" s="771"/>
      <c r="AJ2098" s="771"/>
      <c r="AK2098" s="771"/>
      <c r="AL2098" s="771"/>
      <c r="AM2098" s="771"/>
      <c r="AN2098" s="771"/>
      <c r="AO2098" s="771"/>
      <c r="AP2098" s="771"/>
      <c r="AQ2098" s="771"/>
      <c r="AR2098" s="771"/>
      <c r="AS2098" s="771"/>
      <c r="AT2098" s="771"/>
      <c r="AU2098" s="771"/>
    </row>
    <row r="2099" spans="1:47" s="919" customFormat="1" outlineLevel="1" x14ac:dyDescent="0.2">
      <c r="A2099" s="8"/>
      <c r="B2099" s="8"/>
      <c r="C2099" s="1989" t="s">
        <v>2342</v>
      </c>
      <c r="D2099" s="1989" t="s">
        <v>7847</v>
      </c>
      <c r="E2099" s="1989">
        <v>0.18</v>
      </c>
      <c r="F2099" s="38">
        <f t="shared" si="32"/>
        <v>14.637823200000001</v>
      </c>
      <c r="G2099" s="1547"/>
      <c r="H2099" s="8"/>
      <c r="I2099" s="8"/>
      <c r="J2099" s="8"/>
      <c r="K2099" s="8"/>
      <c r="L2099" s="8"/>
      <c r="M2099" s="8"/>
      <c r="N2099" s="8"/>
      <c r="O2099" s="8"/>
      <c r="P2099" s="8"/>
      <c r="Q2099" s="8"/>
      <c r="R2099" s="8"/>
      <c r="S2099" s="8"/>
      <c r="T2099" s="8"/>
      <c r="U2099" s="8"/>
      <c r="V2099" s="8"/>
      <c r="W2099" s="8"/>
      <c r="X2099" s="771"/>
      <c r="Y2099" s="771"/>
      <c r="Z2099" s="771"/>
      <c r="AA2099" s="771"/>
      <c r="AB2099" s="771"/>
      <c r="AC2099" s="771"/>
      <c r="AD2099" s="771"/>
      <c r="AE2099" s="771"/>
      <c r="AF2099" s="771"/>
      <c r="AG2099" s="771"/>
      <c r="AH2099" s="771"/>
      <c r="AI2099" s="771"/>
      <c r="AJ2099" s="771"/>
      <c r="AK2099" s="771"/>
      <c r="AL2099" s="771"/>
      <c r="AM2099" s="771"/>
      <c r="AN2099" s="771"/>
      <c r="AO2099" s="771"/>
      <c r="AP2099" s="771"/>
      <c r="AQ2099" s="771"/>
      <c r="AR2099" s="771"/>
      <c r="AS2099" s="771"/>
      <c r="AT2099" s="771"/>
      <c r="AU2099" s="771"/>
    </row>
    <row r="2100" spans="1:47" s="919" customFormat="1" outlineLevel="1" x14ac:dyDescent="0.2">
      <c r="A2100" s="8"/>
      <c r="B2100" s="8"/>
      <c r="C2100" s="1989" t="s">
        <v>3602</v>
      </c>
      <c r="D2100" s="1989" t="s">
        <v>3608</v>
      </c>
      <c r="E2100" s="1989">
        <v>10.029999999999999</v>
      </c>
      <c r="F2100" s="38">
        <f t="shared" si="32"/>
        <v>815.6520372</v>
      </c>
      <c r="G2100" s="1547"/>
      <c r="H2100" s="8"/>
      <c r="I2100" s="8"/>
      <c r="J2100" s="8"/>
      <c r="K2100" s="8"/>
      <c r="L2100" s="8"/>
      <c r="M2100" s="8"/>
      <c r="N2100" s="8"/>
      <c r="O2100" s="8"/>
      <c r="P2100" s="8"/>
      <c r="Q2100" s="8"/>
      <c r="R2100" s="8"/>
      <c r="S2100" s="8"/>
      <c r="T2100" s="8"/>
      <c r="U2100" s="8"/>
      <c r="V2100" s="8"/>
      <c r="W2100" s="8"/>
      <c r="X2100" s="771"/>
      <c r="Y2100" s="771"/>
      <c r="Z2100" s="771"/>
      <c r="AA2100" s="771"/>
      <c r="AB2100" s="771"/>
      <c r="AC2100" s="771"/>
      <c r="AD2100" s="771"/>
      <c r="AE2100" s="771"/>
      <c r="AF2100" s="771"/>
      <c r="AG2100" s="771"/>
      <c r="AH2100" s="771"/>
      <c r="AI2100" s="771"/>
      <c r="AJ2100" s="771"/>
      <c r="AK2100" s="771"/>
      <c r="AL2100" s="771"/>
      <c r="AM2100" s="771"/>
      <c r="AN2100" s="771"/>
      <c r="AO2100" s="771"/>
      <c r="AP2100" s="771"/>
      <c r="AQ2100" s="771"/>
      <c r="AR2100" s="771"/>
      <c r="AS2100" s="771"/>
      <c r="AT2100" s="771"/>
      <c r="AU2100" s="771"/>
    </row>
    <row r="2101" spans="1:47" s="919" customFormat="1" outlineLevel="1" x14ac:dyDescent="0.2">
      <c r="A2101" s="8"/>
      <c r="B2101" s="8"/>
      <c r="C2101" s="1989" t="s">
        <v>3603</v>
      </c>
      <c r="D2101" s="1989" t="s">
        <v>6130</v>
      </c>
      <c r="E2101" s="1989">
        <v>10.029999999999999</v>
      </c>
      <c r="F2101" s="38">
        <f t="shared" si="32"/>
        <v>815.6520372</v>
      </c>
      <c r="G2101" s="1547"/>
      <c r="H2101" s="8"/>
      <c r="I2101" s="8"/>
      <c r="J2101" s="8"/>
      <c r="K2101" s="8"/>
      <c r="L2101" s="8"/>
      <c r="M2101" s="8"/>
      <c r="N2101" s="8"/>
      <c r="O2101" s="8"/>
      <c r="P2101" s="8"/>
      <c r="Q2101" s="8"/>
      <c r="R2101" s="8"/>
      <c r="S2101" s="8"/>
      <c r="T2101" s="8"/>
      <c r="U2101" s="8"/>
      <c r="V2101" s="8"/>
      <c r="W2101" s="8"/>
      <c r="X2101" s="771"/>
      <c r="Y2101" s="771"/>
      <c r="Z2101" s="771"/>
      <c r="AA2101" s="771"/>
      <c r="AB2101" s="771"/>
      <c r="AC2101" s="771"/>
      <c r="AD2101" s="771"/>
      <c r="AE2101" s="771"/>
      <c r="AF2101" s="771"/>
      <c r="AG2101" s="771"/>
      <c r="AH2101" s="771"/>
      <c r="AI2101" s="771"/>
      <c r="AJ2101" s="771"/>
      <c r="AK2101" s="771"/>
      <c r="AL2101" s="771"/>
      <c r="AM2101" s="771"/>
      <c r="AN2101" s="771"/>
      <c r="AO2101" s="771"/>
      <c r="AP2101" s="771"/>
      <c r="AQ2101" s="771"/>
      <c r="AR2101" s="771"/>
      <c r="AS2101" s="771"/>
      <c r="AT2101" s="771"/>
      <c r="AU2101" s="771"/>
    </row>
    <row r="2102" spans="1:47" s="919" customFormat="1" outlineLevel="1" x14ac:dyDescent="0.2">
      <c r="A2102" s="8"/>
      <c r="B2102" s="8"/>
      <c r="C2102" s="1989" t="s">
        <v>3167</v>
      </c>
      <c r="D2102" s="1989" t="s">
        <v>3055</v>
      </c>
      <c r="E2102" s="1989">
        <v>15.42</v>
      </c>
      <c r="F2102" s="38">
        <f t="shared" si="32"/>
        <v>1253.9735208</v>
      </c>
      <c r="G2102" s="1547"/>
      <c r="H2102" s="8"/>
      <c r="I2102" s="8"/>
      <c r="J2102" s="8"/>
      <c r="K2102" s="8"/>
      <c r="L2102" s="8"/>
      <c r="M2102" s="8"/>
      <c r="N2102" s="8"/>
      <c r="O2102" s="8"/>
      <c r="P2102" s="8"/>
      <c r="Q2102" s="8"/>
      <c r="R2102" s="8"/>
      <c r="S2102" s="8"/>
      <c r="T2102" s="8"/>
      <c r="U2102" s="8"/>
      <c r="V2102" s="8"/>
      <c r="W2102" s="8"/>
      <c r="X2102" s="771"/>
      <c r="Y2102" s="771"/>
      <c r="Z2102" s="771"/>
      <c r="AA2102" s="771"/>
      <c r="AB2102" s="771"/>
      <c r="AC2102" s="771"/>
      <c r="AD2102" s="771"/>
      <c r="AE2102" s="771"/>
      <c r="AF2102" s="771"/>
      <c r="AG2102" s="771"/>
      <c r="AH2102" s="771"/>
      <c r="AI2102" s="771"/>
      <c r="AJ2102" s="771"/>
      <c r="AK2102" s="771"/>
      <c r="AL2102" s="771"/>
      <c r="AM2102" s="771"/>
      <c r="AN2102" s="771"/>
      <c r="AO2102" s="771"/>
      <c r="AP2102" s="771"/>
      <c r="AQ2102" s="771"/>
      <c r="AR2102" s="771"/>
      <c r="AS2102" s="771"/>
      <c r="AT2102" s="771"/>
      <c r="AU2102" s="771"/>
    </row>
    <row r="2103" spans="1:47" s="1033" customFormat="1" outlineLevel="1" x14ac:dyDescent="0.2">
      <c r="A2103" s="8"/>
      <c r="B2103" s="8"/>
      <c r="C2103" s="1989" t="s">
        <v>7848</v>
      </c>
      <c r="D2103" s="1989" t="s">
        <v>7849</v>
      </c>
      <c r="E2103" s="1989">
        <v>0</v>
      </c>
      <c r="F2103" s="38">
        <f t="shared" si="32"/>
        <v>0</v>
      </c>
      <c r="G2103" s="1547"/>
      <c r="H2103" s="8"/>
      <c r="I2103" s="8"/>
      <c r="J2103" s="8"/>
      <c r="K2103" s="8"/>
      <c r="L2103" s="8"/>
      <c r="M2103" s="8"/>
      <c r="N2103" s="8"/>
      <c r="O2103" s="8"/>
      <c r="P2103" s="8"/>
      <c r="Q2103" s="8"/>
      <c r="R2103" s="8"/>
      <c r="S2103" s="8"/>
      <c r="T2103" s="8"/>
      <c r="U2103" s="8"/>
      <c r="V2103" s="8"/>
      <c r="W2103" s="8"/>
      <c r="X2103" s="771"/>
      <c r="Y2103" s="771"/>
      <c r="Z2103" s="771"/>
      <c r="AA2103" s="771"/>
      <c r="AB2103" s="771"/>
      <c r="AC2103" s="771"/>
      <c r="AD2103" s="771"/>
      <c r="AE2103" s="771"/>
      <c r="AF2103" s="771"/>
      <c r="AG2103" s="771"/>
      <c r="AH2103" s="771"/>
      <c r="AI2103" s="771"/>
      <c r="AJ2103" s="771"/>
      <c r="AK2103" s="771"/>
      <c r="AL2103" s="771"/>
      <c r="AM2103" s="771"/>
      <c r="AN2103" s="771"/>
      <c r="AO2103" s="771"/>
      <c r="AP2103" s="771"/>
      <c r="AQ2103" s="771"/>
      <c r="AR2103" s="771"/>
      <c r="AS2103" s="771"/>
      <c r="AT2103" s="771"/>
      <c r="AU2103" s="771"/>
    </row>
    <row r="2104" spans="1:47" s="1033" customFormat="1" outlineLevel="1" x14ac:dyDescent="0.2">
      <c r="A2104" s="8"/>
      <c r="B2104" s="8"/>
      <c r="C2104" s="1989" t="s">
        <v>2343</v>
      </c>
      <c r="D2104" s="1989" t="s">
        <v>6131</v>
      </c>
      <c r="E2104" s="1989">
        <v>0.59</v>
      </c>
      <c r="F2104" s="38">
        <f t="shared" si="32"/>
        <v>47.979531600000001</v>
      </c>
      <c r="G2104" s="1547"/>
      <c r="H2104" s="8"/>
      <c r="I2104" s="8"/>
      <c r="J2104" s="8"/>
      <c r="K2104" s="8"/>
      <c r="L2104" s="8"/>
      <c r="M2104" s="8"/>
      <c r="N2104" s="8"/>
      <c r="O2104" s="8"/>
      <c r="P2104" s="8"/>
      <c r="Q2104" s="8"/>
      <c r="R2104" s="8"/>
      <c r="S2104" s="8"/>
      <c r="T2104" s="8"/>
      <c r="U2104" s="8"/>
      <c r="V2104" s="8"/>
      <c r="W2104" s="8"/>
      <c r="X2104" s="771"/>
      <c r="Y2104" s="771"/>
      <c r="Z2104" s="771"/>
      <c r="AA2104" s="771"/>
      <c r="AB2104" s="771"/>
      <c r="AC2104" s="771"/>
      <c r="AD2104" s="771"/>
      <c r="AE2104" s="771"/>
      <c r="AF2104" s="771"/>
      <c r="AG2104" s="771"/>
      <c r="AH2104" s="771"/>
      <c r="AI2104" s="771"/>
      <c r="AJ2104" s="771"/>
      <c r="AK2104" s="771"/>
      <c r="AL2104" s="771"/>
      <c r="AM2104" s="771"/>
      <c r="AN2104" s="771"/>
      <c r="AO2104" s="771"/>
      <c r="AP2104" s="771"/>
      <c r="AQ2104" s="771"/>
      <c r="AR2104" s="771"/>
      <c r="AS2104" s="771"/>
      <c r="AT2104" s="771"/>
      <c r="AU2104" s="771"/>
    </row>
    <row r="2105" spans="1:47" s="1033" customFormat="1" outlineLevel="1" x14ac:dyDescent="0.2">
      <c r="A2105" s="8"/>
      <c r="B2105" s="8"/>
      <c r="C2105" s="1989" t="s">
        <v>4617</v>
      </c>
      <c r="D2105" s="1989" t="s">
        <v>4618</v>
      </c>
      <c r="E2105" s="1989">
        <v>24.2</v>
      </c>
      <c r="F2105" s="38">
        <f t="shared" si="32"/>
        <v>1967.9740080000001</v>
      </c>
      <c r="G2105" s="1547"/>
      <c r="H2105" s="8"/>
      <c r="I2105" s="8"/>
      <c r="J2105" s="8"/>
      <c r="K2105" s="8"/>
      <c r="L2105" s="8"/>
      <c r="M2105" s="8"/>
      <c r="N2105" s="8"/>
      <c r="O2105" s="8"/>
      <c r="P2105" s="8"/>
      <c r="Q2105" s="8"/>
      <c r="R2105" s="8"/>
      <c r="S2105" s="8"/>
      <c r="T2105" s="8"/>
      <c r="U2105" s="8"/>
      <c r="V2105" s="8"/>
      <c r="W2105" s="8"/>
      <c r="X2105" s="771"/>
      <c r="Y2105" s="771"/>
      <c r="Z2105" s="771"/>
      <c r="AA2105" s="771"/>
      <c r="AB2105" s="771"/>
      <c r="AC2105" s="771"/>
      <c r="AD2105" s="771"/>
      <c r="AE2105" s="771"/>
      <c r="AF2105" s="771"/>
      <c r="AG2105" s="771"/>
      <c r="AH2105" s="771"/>
      <c r="AI2105" s="771"/>
      <c r="AJ2105" s="771"/>
      <c r="AK2105" s="771"/>
      <c r="AL2105" s="771"/>
      <c r="AM2105" s="771"/>
      <c r="AN2105" s="771"/>
      <c r="AO2105" s="771"/>
      <c r="AP2105" s="771"/>
      <c r="AQ2105" s="771"/>
      <c r="AR2105" s="771"/>
      <c r="AS2105" s="771"/>
      <c r="AT2105" s="771"/>
      <c r="AU2105" s="771"/>
    </row>
    <row r="2106" spans="1:47" s="1033" customFormat="1" outlineLevel="1" x14ac:dyDescent="0.2">
      <c r="A2106" s="8"/>
      <c r="B2106" s="8"/>
      <c r="C2106" s="1989" t="s">
        <v>2385</v>
      </c>
      <c r="D2106" s="1989" t="s">
        <v>6132</v>
      </c>
      <c r="E2106" s="1989">
        <v>5.71</v>
      </c>
      <c r="F2106" s="38">
        <f t="shared" si="32"/>
        <v>464.3442804</v>
      </c>
      <c r="G2106" s="1547"/>
      <c r="H2106" s="8"/>
      <c r="I2106" s="8"/>
      <c r="J2106" s="8"/>
      <c r="K2106" s="8"/>
      <c r="L2106" s="8"/>
      <c r="M2106" s="8"/>
      <c r="N2106" s="8"/>
      <c r="O2106" s="8"/>
      <c r="P2106" s="8"/>
      <c r="Q2106" s="8"/>
      <c r="R2106" s="8"/>
      <c r="S2106" s="8"/>
      <c r="T2106" s="8"/>
      <c r="U2106" s="8"/>
      <c r="V2106" s="8"/>
      <c r="W2106" s="8"/>
      <c r="X2106" s="771"/>
      <c r="Y2106" s="771"/>
      <c r="Z2106" s="771"/>
      <c r="AA2106" s="771"/>
      <c r="AB2106" s="771"/>
      <c r="AC2106" s="771"/>
      <c r="AD2106" s="771"/>
      <c r="AE2106" s="771"/>
      <c r="AF2106" s="771"/>
      <c r="AG2106" s="771"/>
      <c r="AH2106" s="771"/>
      <c r="AI2106" s="771"/>
      <c r="AJ2106" s="771"/>
      <c r="AK2106" s="771"/>
      <c r="AL2106" s="771"/>
      <c r="AM2106" s="771"/>
      <c r="AN2106" s="771"/>
      <c r="AO2106" s="771"/>
      <c r="AP2106" s="771"/>
      <c r="AQ2106" s="771"/>
      <c r="AR2106" s="771"/>
      <c r="AS2106" s="771"/>
      <c r="AT2106" s="771"/>
      <c r="AU2106" s="771"/>
    </row>
    <row r="2107" spans="1:47" s="1033" customFormat="1" outlineLevel="1" x14ac:dyDescent="0.2">
      <c r="A2107" s="8"/>
      <c r="B2107" s="8"/>
      <c r="C2107" s="1989" t="s">
        <v>2386</v>
      </c>
      <c r="D2107" s="1989" t="s">
        <v>6133</v>
      </c>
      <c r="E2107" s="1989">
        <v>5.71</v>
      </c>
      <c r="F2107" s="38">
        <f t="shared" si="32"/>
        <v>464.3442804</v>
      </c>
      <c r="G2107" s="1547"/>
      <c r="H2107" s="8"/>
      <c r="I2107" s="8"/>
      <c r="J2107" s="8"/>
      <c r="K2107" s="8"/>
      <c r="L2107" s="8"/>
      <c r="M2107" s="8"/>
      <c r="N2107" s="8"/>
      <c r="O2107" s="8"/>
      <c r="P2107" s="8"/>
      <c r="Q2107" s="8"/>
      <c r="R2107" s="8"/>
      <c r="S2107" s="8"/>
      <c r="T2107" s="8"/>
      <c r="U2107" s="8"/>
      <c r="V2107" s="8"/>
      <c r="W2107" s="8"/>
      <c r="X2107" s="771"/>
      <c r="Y2107" s="771"/>
      <c r="Z2107" s="771"/>
      <c r="AA2107" s="771"/>
      <c r="AB2107" s="771"/>
      <c r="AC2107" s="771"/>
      <c r="AD2107" s="771"/>
      <c r="AE2107" s="771"/>
      <c r="AF2107" s="771"/>
      <c r="AG2107" s="771"/>
      <c r="AH2107" s="771"/>
      <c r="AI2107" s="771"/>
      <c r="AJ2107" s="771"/>
      <c r="AK2107" s="771"/>
      <c r="AL2107" s="771"/>
      <c r="AM2107" s="771"/>
      <c r="AN2107" s="771"/>
      <c r="AO2107" s="771"/>
      <c r="AP2107" s="771"/>
      <c r="AQ2107" s="771"/>
      <c r="AR2107" s="771"/>
      <c r="AS2107" s="771"/>
      <c r="AT2107" s="771"/>
      <c r="AU2107" s="771"/>
    </row>
    <row r="2108" spans="1:47" s="1033" customFormat="1" outlineLevel="1" x14ac:dyDescent="0.2">
      <c r="A2108" s="8"/>
      <c r="B2108" s="8"/>
      <c r="C2108" s="1989" t="s">
        <v>2818</v>
      </c>
      <c r="D2108" s="1989" t="s">
        <v>6134</v>
      </c>
      <c r="E2108" s="1989">
        <v>1.37</v>
      </c>
      <c r="F2108" s="38">
        <f t="shared" si="32"/>
        <v>111.41009880000001</v>
      </c>
      <c r="G2108" s="1547"/>
      <c r="H2108" s="8"/>
      <c r="I2108" s="8"/>
      <c r="J2108" s="8"/>
      <c r="K2108" s="8"/>
      <c r="L2108" s="8"/>
      <c r="M2108" s="8"/>
      <c r="N2108" s="8"/>
      <c r="O2108" s="8"/>
      <c r="P2108" s="8"/>
      <c r="Q2108" s="8"/>
      <c r="R2108" s="8"/>
      <c r="S2108" s="8"/>
      <c r="T2108" s="8"/>
      <c r="U2108" s="8"/>
      <c r="V2108" s="8"/>
      <c r="W2108" s="8"/>
      <c r="X2108" s="771"/>
      <c r="Y2108" s="771"/>
      <c r="Z2108" s="771"/>
      <c r="AA2108" s="771"/>
      <c r="AB2108" s="771"/>
      <c r="AC2108" s="771"/>
      <c r="AD2108" s="771"/>
      <c r="AE2108" s="771"/>
      <c r="AF2108" s="771"/>
      <c r="AG2108" s="771"/>
      <c r="AH2108" s="771"/>
      <c r="AI2108" s="771"/>
      <c r="AJ2108" s="771"/>
      <c r="AK2108" s="771"/>
      <c r="AL2108" s="771"/>
      <c r="AM2108" s="771"/>
      <c r="AN2108" s="771"/>
      <c r="AO2108" s="771"/>
      <c r="AP2108" s="771"/>
      <c r="AQ2108" s="771"/>
      <c r="AR2108" s="771"/>
      <c r="AS2108" s="771"/>
      <c r="AT2108" s="771"/>
      <c r="AU2108" s="771"/>
    </row>
    <row r="2109" spans="1:47" s="1033" customFormat="1" outlineLevel="1" x14ac:dyDescent="0.2">
      <c r="A2109" s="8"/>
      <c r="B2109" s="8"/>
      <c r="C2109" s="1989" t="s">
        <v>3060</v>
      </c>
      <c r="D2109" s="1989" t="s">
        <v>6135</v>
      </c>
      <c r="E2109" s="1989">
        <v>6.77</v>
      </c>
      <c r="F2109" s="38">
        <f t="shared" si="32"/>
        <v>550.54479479999998</v>
      </c>
      <c r="G2109" s="1547"/>
      <c r="H2109" s="8"/>
      <c r="I2109" s="8"/>
      <c r="J2109" s="8"/>
      <c r="K2109" s="8"/>
      <c r="L2109" s="8"/>
      <c r="M2109" s="8"/>
      <c r="N2109" s="8"/>
      <c r="O2109" s="8"/>
      <c r="P2109" s="8"/>
      <c r="Q2109" s="8"/>
      <c r="R2109" s="8"/>
      <c r="S2109" s="8"/>
      <c r="T2109" s="8"/>
      <c r="U2109" s="8"/>
      <c r="V2109" s="8"/>
      <c r="W2109" s="8"/>
      <c r="X2109" s="771"/>
      <c r="Y2109" s="771"/>
      <c r="Z2109" s="771"/>
      <c r="AA2109" s="771"/>
      <c r="AB2109" s="771"/>
      <c r="AC2109" s="771"/>
      <c r="AD2109" s="771"/>
      <c r="AE2109" s="771"/>
      <c r="AF2109" s="771"/>
      <c r="AG2109" s="771"/>
      <c r="AH2109" s="771"/>
      <c r="AI2109" s="771"/>
      <c r="AJ2109" s="771"/>
      <c r="AK2109" s="771"/>
      <c r="AL2109" s="771"/>
      <c r="AM2109" s="771"/>
      <c r="AN2109" s="771"/>
      <c r="AO2109" s="771"/>
      <c r="AP2109" s="771"/>
      <c r="AQ2109" s="771"/>
      <c r="AR2109" s="771"/>
      <c r="AS2109" s="771"/>
      <c r="AT2109" s="771"/>
      <c r="AU2109" s="771"/>
    </row>
    <row r="2110" spans="1:47" s="1033" customFormat="1" outlineLevel="1" x14ac:dyDescent="0.2">
      <c r="A2110" s="8"/>
      <c r="B2110" s="8"/>
      <c r="C2110" s="1989" t="s">
        <v>3590</v>
      </c>
      <c r="D2110" s="1989" t="s">
        <v>3610</v>
      </c>
      <c r="E2110" s="1989">
        <v>1.1000000000000001</v>
      </c>
      <c r="F2110" s="38">
        <f t="shared" si="32"/>
        <v>89.453364000000008</v>
      </c>
      <c r="G2110" s="1547"/>
      <c r="H2110" s="8"/>
      <c r="I2110" s="8"/>
      <c r="J2110" s="8"/>
      <c r="K2110" s="8"/>
      <c r="L2110" s="8"/>
      <c r="M2110" s="8"/>
      <c r="N2110" s="8"/>
      <c r="O2110" s="8"/>
      <c r="P2110" s="8"/>
      <c r="Q2110" s="8"/>
      <c r="R2110" s="8"/>
      <c r="S2110" s="8"/>
      <c r="T2110" s="8"/>
      <c r="U2110" s="8"/>
      <c r="V2110" s="8"/>
      <c r="W2110" s="8"/>
      <c r="X2110" s="771"/>
      <c r="Y2110" s="771"/>
      <c r="Z2110" s="771"/>
      <c r="AA2110" s="771"/>
      <c r="AB2110" s="771"/>
      <c r="AC2110" s="771"/>
      <c r="AD2110" s="771"/>
      <c r="AE2110" s="771"/>
      <c r="AF2110" s="771"/>
      <c r="AG2110" s="771"/>
      <c r="AH2110" s="771"/>
      <c r="AI2110" s="771"/>
      <c r="AJ2110" s="771"/>
      <c r="AK2110" s="771"/>
      <c r="AL2110" s="771"/>
      <c r="AM2110" s="771"/>
      <c r="AN2110" s="771"/>
      <c r="AO2110" s="771"/>
      <c r="AP2110" s="771"/>
      <c r="AQ2110" s="771"/>
      <c r="AR2110" s="771"/>
      <c r="AS2110" s="771"/>
      <c r="AT2110" s="771"/>
      <c r="AU2110" s="771"/>
    </row>
    <row r="2111" spans="1:47" s="1033" customFormat="1" outlineLevel="1" x14ac:dyDescent="0.2">
      <c r="A2111" s="8"/>
      <c r="B2111" s="8"/>
      <c r="C2111" s="1989" t="s">
        <v>4086</v>
      </c>
      <c r="D2111" s="1989" t="s">
        <v>6136</v>
      </c>
      <c r="E2111" s="1989">
        <v>6.87</v>
      </c>
      <c r="F2111" s="38">
        <f t="shared" si="32"/>
        <v>558.67691880000007</v>
      </c>
      <c r="G2111" s="1547"/>
      <c r="H2111" s="8"/>
      <c r="I2111" s="8"/>
      <c r="J2111" s="8"/>
      <c r="K2111" s="8"/>
      <c r="L2111" s="8"/>
      <c r="M2111" s="8"/>
      <c r="N2111" s="8"/>
      <c r="O2111" s="8"/>
      <c r="P2111" s="8"/>
      <c r="Q2111" s="8"/>
      <c r="R2111" s="8"/>
      <c r="S2111" s="8"/>
      <c r="T2111" s="8"/>
      <c r="U2111" s="8"/>
      <c r="V2111" s="8"/>
      <c r="W2111" s="8"/>
      <c r="X2111" s="771"/>
      <c r="Y2111" s="771"/>
      <c r="Z2111" s="771"/>
      <c r="AA2111" s="771"/>
      <c r="AB2111" s="771"/>
      <c r="AC2111" s="771"/>
      <c r="AD2111" s="771"/>
      <c r="AE2111" s="771"/>
      <c r="AF2111" s="771"/>
      <c r="AG2111" s="771"/>
      <c r="AH2111" s="771"/>
      <c r="AI2111" s="771"/>
      <c r="AJ2111" s="771"/>
      <c r="AK2111" s="771"/>
      <c r="AL2111" s="771"/>
      <c r="AM2111" s="771"/>
      <c r="AN2111" s="771"/>
      <c r="AO2111" s="771"/>
      <c r="AP2111" s="771"/>
      <c r="AQ2111" s="771"/>
      <c r="AR2111" s="771"/>
      <c r="AS2111" s="771"/>
      <c r="AT2111" s="771"/>
      <c r="AU2111" s="771"/>
    </row>
    <row r="2112" spans="1:47" s="1033" customFormat="1" outlineLevel="1" x14ac:dyDescent="0.2">
      <c r="A2112" s="8"/>
      <c r="B2112" s="8"/>
      <c r="C2112" s="1989" t="s">
        <v>4087</v>
      </c>
      <c r="D2112" s="1989" t="s">
        <v>6137</v>
      </c>
      <c r="E2112" s="1989">
        <v>6.87</v>
      </c>
      <c r="F2112" s="38">
        <f t="shared" si="32"/>
        <v>558.67691880000007</v>
      </c>
      <c r="G2112" s="1547"/>
      <c r="H2112" s="8"/>
      <c r="I2112" s="8"/>
      <c r="J2112" s="8"/>
      <c r="K2112" s="8"/>
      <c r="L2112" s="8"/>
      <c r="M2112" s="8"/>
      <c r="N2112" s="8"/>
      <c r="O2112" s="8"/>
      <c r="P2112" s="8"/>
      <c r="Q2112" s="8"/>
      <c r="R2112" s="8"/>
      <c r="S2112" s="8"/>
      <c r="T2112" s="8"/>
      <c r="U2112" s="8"/>
      <c r="V2112" s="8"/>
      <c r="W2112" s="8"/>
      <c r="X2112" s="771"/>
      <c r="Y2112" s="771"/>
      <c r="Z2112" s="771"/>
      <c r="AA2112" s="771"/>
      <c r="AB2112" s="771"/>
      <c r="AC2112" s="771"/>
      <c r="AD2112" s="771"/>
      <c r="AE2112" s="771"/>
      <c r="AF2112" s="771"/>
      <c r="AG2112" s="771"/>
      <c r="AH2112" s="771"/>
      <c r="AI2112" s="771"/>
      <c r="AJ2112" s="771"/>
      <c r="AK2112" s="771"/>
      <c r="AL2112" s="771"/>
      <c r="AM2112" s="771"/>
      <c r="AN2112" s="771"/>
      <c r="AO2112" s="771"/>
      <c r="AP2112" s="771"/>
      <c r="AQ2112" s="771"/>
      <c r="AR2112" s="771"/>
      <c r="AS2112" s="771"/>
      <c r="AT2112" s="771"/>
      <c r="AU2112" s="771"/>
    </row>
    <row r="2113" spans="1:47" s="1033" customFormat="1" outlineLevel="1" x14ac:dyDescent="0.2">
      <c r="A2113" s="8"/>
      <c r="B2113" s="8"/>
      <c r="C2113" s="1989" t="s">
        <v>4088</v>
      </c>
      <c r="D2113" s="1989" t="s">
        <v>6138</v>
      </c>
      <c r="E2113" s="1989">
        <v>19.13</v>
      </c>
      <c r="F2113" s="38">
        <f t="shared" si="32"/>
        <v>1555.6753212000001</v>
      </c>
      <c r="G2113" s="1547"/>
      <c r="H2113" s="8"/>
      <c r="I2113" s="8"/>
      <c r="J2113" s="8"/>
      <c r="K2113" s="8"/>
      <c r="L2113" s="8"/>
      <c r="M2113" s="8"/>
      <c r="N2113" s="8"/>
      <c r="O2113" s="8"/>
      <c r="P2113" s="8"/>
      <c r="Q2113" s="8"/>
      <c r="R2113" s="8"/>
      <c r="S2113" s="8"/>
      <c r="T2113" s="8"/>
      <c r="U2113" s="8"/>
      <c r="V2113" s="8"/>
      <c r="W2113" s="8"/>
      <c r="X2113" s="771"/>
      <c r="Y2113" s="771"/>
      <c r="Z2113" s="771"/>
      <c r="AA2113" s="771"/>
      <c r="AB2113" s="771"/>
      <c r="AC2113" s="771"/>
      <c r="AD2113" s="771"/>
      <c r="AE2113" s="771"/>
      <c r="AF2113" s="771"/>
      <c r="AG2113" s="771"/>
      <c r="AH2113" s="771"/>
      <c r="AI2113" s="771"/>
      <c r="AJ2113" s="771"/>
      <c r="AK2113" s="771"/>
      <c r="AL2113" s="771"/>
      <c r="AM2113" s="771"/>
      <c r="AN2113" s="771"/>
      <c r="AO2113" s="771"/>
      <c r="AP2113" s="771"/>
      <c r="AQ2113" s="771"/>
      <c r="AR2113" s="771"/>
      <c r="AS2113" s="771"/>
      <c r="AT2113" s="771"/>
      <c r="AU2113" s="771"/>
    </row>
    <row r="2114" spans="1:47" s="1033" customFormat="1" outlineLevel="1" x14ac:dyDescent="0.2">
      <c r="A2114" s="8"/>
      <c r="B2114" s="8"/>
      <c r="C2114" s="1989" t="s">
        <v>4487</v>
      </c>
      <c r="D2114" s="1989" t="s">
        <v>6139</v>
      </c>
      <c r="E2114" s="1989">
        <v>19.350000000000001</v>
      </c>
      <c r="F2114" s="38">
        <f t="shared" si="32"/>
        <v>1573.5659940000003</v>
      </c>
      <c r="G2114" s="1547"/>
      <c r="H2114" s="8"/>
      <c r="I2114" s="8"/>
      <c r="J2114" s="8"/>
      <c r="K2114" s="8"/>
      <c r="L2114" s="8"/>
      <c r="M2114" s="8"/>
      <c r="N2114" s="8"/>
      <c r="O2114" s="8"/>
      <c r="P2114" s="8"/>
      <c r="Q2114" s="8"/>
      <c r="R2114" s="8"/>
      <c r="S2114" s="8"/>
      <c r="T2114" s="8"/>
      <c r="U2114" s="8"/>
      <c r="V2114" s="8"/>
      <c r="W2114" s="8"/>
      <c r="X2114" s="771"/>
      <c r="Y2114" s="771"/>
      <c r="Z2114" s="771"/>
      <c r="AA2114" s="771"/>
      <c r="AB2114" s="771"/>
      <c r="AC2114" s="771"/>
      <c r="AD2114" s="771"/>
      <c r="AE2114" s="771"/>
      <c r="AF2114" s="771"/>
      <c r="AG2114" s="771"/>
      <c r="AH2114" s="771"/>
      <c r="AI2114" s="771"/>
      <c r="AJ2114" s="771"/>
      <c r="AK2114" s="771"/>
      <c r="AL2114" s="771"/>
      <c r="AM2114" s="771"/>
      <c r="AN2114" s="771"/>
      <c r="AO2114" s="771"/>
      <c r="AP2114" s="771"/>
      <c r="AQ2114" s="771"/>
      <c r="AR2114" s="771"/>
      <c r="AS2114" s="771"/>
      <c r="AT2114" s="771"/>
      <c r="AU2114" s="771"/>
    </row>
    <row r="2115" spans="1:47" s="1033" customFormat="1" outlineLevel="1" x14ac:dyDescent="0.2">
      <c r="A2115" s="8"/>
      <c r="B2115" s="8"/>
      <c r="C2115" s="1989" t="s">
        <v>3751</v>
      </c>
      <c r="D2115" s="1989" t="s">
        <v>7850</v>
      </c>
      <c r="E2115" s="1989">
        <v>46.67</v>
      </c>
      <c r="F2115" s="38">
        <f t="shared" si="32"/>
        <v>3795.2622708000004</v>
      </c>
      <c r="G2115" s="1547"/>
      <c r="H2115" s="8"/>
      <c r="I2115" s="8"/>
      <c r="J2115" s="8"/>
      <c r="K2115" s="8"/>
      <c r="L2115" s="8"/>
      <c r="M2115" s="8"/>
      <c r="N2115" s="8"/>
      <c r="O2115" s="8"/>
      <c r="P2115" s="8"/>
      <c r="Q2115" s="8"/>
      <c r="R2115" s="8"/>
      <c r="S2115" s="8"/>
      <c r="T2115" s="8"/>
      <c r="U2115" s="8"/>
      <c r="V2115" s="8"/>
      <c r="W2115" s="8"/>
      <c r="X2115" s="771"/>
      <c r="Y2115" s="771"/>
      <c r="Z2115" s="771"/>
      <c r="AA2115" s="771"/>
      <c r="AB2115" s="771"/>
      <c r="AC2115" s="771"/>
      <c r="AD2115" s="771"/>
      <c r="AE2115" s="771"/>
      <c r="AF2115" s="771"/>
      <c r="AG2115" s="771"/>
      <c r="AH2115" s="771"/>
      <c r="AI2115" s="771"/>
      <c r="AJ2115" s="771"/>
      <c r="AK2115" s="771"/>
      <c r="AL2115" s="771"/>
      <c r="AM2115" s="771"/>
      <c r="AN2115" s="771"/>
      <c r="AO2115" s="771"/>
      <c r="AP2115" s="771"/>
      <c r="AQ2115" s="771"/>
      <c r="AR2115" s="771"/>
      <c r="AS2115" s="771"/>
      <c r="AT2115" s="771"/>
      <c r="AU2115" s="771"/>
    </row>
    <row r="2116" spans="1:47" s="1033" customFormat="1" outlineLevel="1" x14ac:dyDescent="0.2">
      <c r="A2116" s="8"/>
      <c r="B2116" s="8"/>
      <c r="C2116" s="1989" t="s">
        <v>3752</v>
      </c>
      <c r="D2116" s="1989" t="s">
        <v>7851</v>
      </c>
      <c r="E2116" s="1989">
        <v>69.61</v>
      </c>
      <c r="F2116" s="38">
        <f t="shared" si="32"/>
        <v>5660.7715164000001</v>
      </c>
      <c r="G2116" s="1547"/>
      <c r="H2116" s="8"/>
      <c r="I2116" s="8"/>
      <c r="J2116" s="8"/>
      <c r="K2116" s="8"/>
      <c r="L2116" s="8"/>
      <c r="M2116" s="8"/>
      <c r="N2116" s="8"/>
      <c r="O2116" s="8"/>
      <c r="P2116" s="8"/>
      <c r="Q2116" s="8"/>
      <c r="R2116" s="8"/>
      <c r="S2116" s="8"/>
      <c r="T2116" s="8"/>
      <c r="U2116" s="8"/>
      <c r="V2116" s="8"/>
      <c r="W2116" s="8"/>
      <c r="X2116" s="771"/>
      <c r="Y2116" s="771"/>
      <c r="Z2116" s="771"/>
      <c r="AA2116" s="771"/>
      <c r="AB2116" s="771"/>
      <c r="AC2116" s="771"/>
      <c r="AD2116" s="771"/>
      <c r="AE2116" s="771"/>
      <c r="AF2116" s="771"/>
      <c r="AG2116" s="771"/>
      <c r="AH2116" s="771"/>
      <c r="AI2116" s="771"/>
      <c r="AJ2116" s="771"/>
      <c r="AK2116" s="771"/>
      <c r="AL2116" s="771"/>
      <c r="AM2116" s="771"/>
      <c r="AN2116" s="771"/>
      <c r="AO2116" s="771"/>
      <c r="AP2116" s="771"/>
      <c r="AQ2116" s="771"/>
      <c r="AR2116" s="771"/>
      <c r="AS2116" s="771"/>
      <c r="AT2116" s="771"/>
      <c r="AU2116" s="771"/>
    </row>
    <row r="2117" spans="1:47" s="1033" customFormat="1" outlineLevel="1" x14ac:dyDescent="0.2">
      <c r="A2117" s="8"/>
      <c r="B2117" s="8"/>
      <c r="C2117" s="1989" t="s">
        <v>3753</v>
      </c>
      <c r="D2117" s="1989" t="s">
        <v>7852</v>
      </c>
      <c r="E2117" s="1989">
        <v>35.39</v>
      </c>
      <c r="F2117" s="38">
        <f t="shared" si="32"/>
        <v>2877.9586835999999</v>
      </c>
      <c r="G2117" s="1547"/>
      <c r="H2117" s="8"/>
      <c r="I2117" s="8"/>
      <c r="J2117" s="8"/>
      <c r="K2117" s="8"/>
      <c r="L2117" s="8"/>
      <c r="M2117" s="8"/>
      <c r="N2117" s="8"/>
      <c r="O2117" s="8"/>
      <c r="P2117" s="8"/>
      <c r="Q2117" s="8"/>
      <c r="R2117" s="8"/>
      <c r="S2117" s="8"/>
      <c r="T2117" s="8"/>
      <c r="U2117" s="8"/>
      <c r="V2117" s="8"/>
      <c r="W2117" s="8"/>
      <c r="X2117" s="771"/>
      <c r="Y2117" s="771"/>
      <c r="Z2117" s="771"/>
      <c r="AA2117" s="771"/>
      <c r="AB2117" s="771"/>
      <c r="AC2117" s="771"/>
      <c r="AD2117" s="771"/>
      <c r="AE2117" s="771"/>
      <c r="AF2117" s="771"/>
      <c r="AG2117" s="771"/>
      <c r="AH2117" s="771"/>
      <c r="AI2117" s="771"/>
      <c r="AJ2117" s="771"/>
      <c r="AK2117" s="771"/>
      <c r="AL2117" s="771"/>
      <c r="AM2117" s="771"/>
      <c r="AN2117" s="771"/>
      <c r="AO2117" s="771"/>
      <c r="AP2117" s="771"/>
      <c r="AQ2117" s="771"/>
      <c r="AR2117" s="771"/>
      <c r="AS2117" s="771"/>
      <c r="AT2117" s="771"/>
      <c r="AU2117" s="771"/>
    </row>
    <row r="2118" spans="1:47" s="1033" customFormat="1" outlineLevel="1" x14ac:dyDescent="0.2">
      <c r="A2118" s="8"/>
      <c r="B2118" s="8"/>
      <c r="C2118" s="1989" t="s">
        <v>3754</v>
      </c>
      <c r="D2118" s="1989" t="s">
        <v>7853</v>
      </c>
      <c r="E2118" s="1989">
        <v>36.85</v>
      </c>
      <c r="F2118" s="38">
        <f t="shared" si="32"/>
        <v>2996.6876940000002</v>
      </c>
      <c r="G2118" s="1547"/>
      <c r="H2118" s="8"/>
      <c r="I2118" s="8"/>
      <c r="J2118" s="8"/>
      <c r="K2118" s="8"/>
      <c r="L2118" s="8"/>
      <c r="M2118" s="8"/>
      <c r="N2118" s="8"/>
      <c r="O2118" s="8"/>
      <c r="P2118" s="8"/>
      <c r="Q2118" s="8"/>
      <c r="R2118" s="8"/>
      <c r="S2118" s="8"/>
      <c r="T2118" s="8"/>
      <c r="U2118" s="8"/>
      <c r="V2118" s="8"/>
      <c r="W2118" s="8"/>
      <c r="X2118" s="771"/>
      <c r="Y2118" s="771"/>
      <c r="Z2118" s="771"/>
      <c r="AA2118" s="771"/>
      <c r="AB2118" s="771"/>
      <c r="AC2118" s="771"/>
      <c r="AD2118" s="771"/>
      <c r="AE2118" s="771"/>
      <c r="AF2118" s="771"/>
      <c r="AG2118" s="771"/>
      <c r="AH2118" s="771"/>
      <c r="AI2118" s="771"/>
      <c r="AJ2118" s="771"/>
      <c r="AK2118" s="771"/>
      <c r="AL2118" s="771"/>
      <c r="AM2118" s="771"/>
      <c r="AN2118" s="771"/>
      <c r="AO2118" s="771"/>
      <c r="AP2118" s="771"/>
      <c r="AQ2118" s="771"/>
      <c r="AR2118" s="771"/>
      <c r="AS2118" s="771"/>
      <c r="AT2118" s="771"/>
      <c r="AU2118" s="771"/>
    </row>
    <row r="2119" spans="1:47" s="1033" customFormat="1" outlineLevel="1" x14ac:dyDescent="0.2">
      <c r="A2119" s="8"/>
      <c r="B2119" s="8"/>
      <c r="C2119" s="1989" t="s">
        <v>6786</v>
      </c>
      <c r="D2119" s="1989" t="s">
        <v>6140</v>
      </c>
      <c r="E2119" s="1989">
        <v>37.880000000000003</v>
      </c>
      <c r="F2119" s="38">
        <f t="shared" si="32"/>
        <v>3080.4485712000005</v>
      </c>
      <c r="G2119" s="1547"/>
      <c r="H2119" s="8"/>
      <c r="I2119" s="8"/>
      <c r="J2119" s="8"/>
      <c r="K2119" s="8"/>
      <c r="L2119" s="8"/>
      <c r="M2119" s="8"/>
      <c r="N2119" s="8"/>
      <c r="O2119" s="8"/>
      <c r="P2119" s="8"/>
      <c r="Q2119" s="8"/>
      <c r="R2119" s="8"/>
      <c r="S2119" s="8"/>
      <c r="T2119" s="8"/>
      <c r="U2119" s="8"/>
      <c r="V2119" s="8"/>
      <c r="W2119" s="8"/>
      <c r="X2119" s="771"/>
      <c r="Y2119" s="771"/>
      <c r="Z2119" s="771"/>
      <c r="AA2119" s="771"/>
      <c r="AB2119" s="771"/>
      <c r="AC2119" s="771"/>
      <c r="AD2119" s="771"/>
      <c r="AE2119" s="771"/>
      <c r="AF2119" s="771"/>
      <c r="AG2119" s="771"/>
      <c r="AH2119" s="771"/>
      <c r="AI2119" s="771"/>
      <c r="AJ2119" s="771"/>
      <c r="AK2119" s="771"/>
      <c r="AL2119" s="771"/>
      <c r="AM2119" s="771"/>
      <c r="AN2119" s="771"/>
      <c r="AO2119" s="771"/>
      <c r="AP2119" s="771"/>
      <c r="AQ2119" s="771"/>
      <c r="AR2119" s="771"/>
      <c r="AS2119" s="771"/>
      <c r="AT2119" s="771"/>
      <c r="AU2119" s="771"/>
    </row>
    <row r="2120" spans="1:47" s="1033" customFormat="1" outlineLevel="1" x14ac:dyDescent="0.2">
      <c r="A2120" s="8"/>
      <c r="B2120" s="8"/>
      <c r="C2120" s="1989" t="s">
        <v>3755</v>
      </c>
      <c r="D2120" s="1989" t="s">
        <v>6141</v>
      </c>
      <c r="E2120" s="1989">
        <v>88.97</v>
      </c>
      <c r="F2120" s="38">
        <f t="shared" si="32"/>
        <v>7235.1507228</v>
      </c>
      <c r="G2120" s="1547"/>
      <c r="H2120" s="8"/>
      <c r="I2120" s="8"/>
      <c r="J2120" s="8"/>
      <c r="K2120" s="8"/>
      <c r="L2120" s="8"/>
      <c r="M2120" s="8"/>
      <c r="N2120" s="8"/>
      <c r="O2120" s="8"/>
      <c r="P2120" s="8"/>
      <c r="Q2120" s="8"/>
      <c r="R2120" s="8"/>
      <c r="S2120" s="8"/>
      <c r="T2120" s="8"/>
      <c r="U2120" s="8"/>
      <c r="V2120" s="8"/>
      <c r="W2120" s="8"/>
      <c r="X2120" s="771"/>
      <c r="Y2120" s="771"/>
      <c r="Z2120" s="771"/>
      <c r="AA2120" s="771"/>
      <c r="AB2120" s="771"/>
      <c r="AC2120" s="771"/>
      <c r="AD2120" s="771"/>
      <c r="AE2120" s="771"/>
      <c r="AF2120" s="771"/>
      <c r="AG2120" s="771"/>
      <c r="AH2120" s="771"/>
      <c r="AI2120" s="771"/>
      <c r="AJ2120" s="771"/>
      <c r="AK2120" s="771"/>
      <c r="AL2120" s="771"/>
      <c r="AM2120" s="771"/>
      <c r="AN2120" s="771"/>
      <c r="AO2120" s="771"/>
      <c r="AP2120" s="771"/>
      <c r="AQ2120" s="771"/>
      <c r="AR2120" s="771"/>
      <c r="AS2120" s="771"/>
      <c r="AT2120" s="771"/>
      <c r="AU2120" s="771"/>
    </row>
    <row r="2121" spans="1:47" s="1033" customFormat="1" outlineLevel="1" x14ac:dyDescent="0.2">
      <c r="A2121" s="8"/>
      <c r="B2121" s="8"/>
      <c r="C2121" s="1989" t="s">
        <v>3756</v>
      </c>
      <c r="D2121" s="1989" t="s">
        <v>6142</v>
      </c>
      <c r="E2121" s="1989">
        <v>6.07</v>
      </c>
      <c r="F2121" s="38">
        <f t="shared" si="32"/>
        <v>493.61992680000003</v>
      </c>
      <c r="G2121" s="1547"/>
      <c r="H2121" s="8"/>
      <c r="I2121" s="8"/>
      <c r="J2121" s="8"/>
      <c r="K2121" s="8"/>
      <c r="L2121" s="8"/>
      <c r="M2121" s="8"/>
      <c r="N2121" s="8"/>
      <c r="O2121" s="8"/>
      <c r="P2121" s="8"/>
      <c r="Q2121" s="8"/>
      <c r="R2121" s="8"/>
      <c r="S2121" s="8"/>
      <c r="T2121" s="8"/>
      <c r="U2121" s="8"/>
      <c r="V2121" s="8"/>
      <c r="W2121" s="8"/>
      <c r="X2121" s="771"/>
      <c r="Y2121" s="771"/>
      <c r="Z2121" s="771"/>
      <c r="AA2121" s="771"/>
      <c r="AB2121" s="771"/>
      <c r="AC2121" s="771"/>
      <c r="AD2121" s="771"/>
      <c r="AE2121" s="771"/>
      <c r="AF2121" s="771"/>
      <c r="AG2121" s="771"/>
      <c r="AH2121" s="771"/>
      <c r="AI2121" s="771"/>
      <c r="AJ2121" s="771"/>
      <c r="AK2121" s="771"/>
      <c r="AL2121" s="771"/>
      <c r="AM2121" s="771"/>
      <c r="AN2121" s="771"/>
      <c r="AO2121" s="771"/>
      <c r="AP2121" s="771"/>
      <c r="AQ2121" s="771"/>
      <c r="AR2121" s="771"/>
      <c r="AS2121" s="771"/>
      <c r="AT2121" s="771"/>
      <c r="AU2121" s="771"/>
    </row>
    <row r="2122" spans="1:47" s="1033" customFormat="1" outlineLevel="1" x14ac:dyDescent="0.2">
      <c r="A2122" s="8"/>
      <c r="B2122" s="8"/>
      <c r="C2122" s="1989" t="s">
        <v>6787</v>
      </c>
      <c r="D2122" s="1989" t="s">
        <v>6143</v>
      </c>
      <c r="E2122" s="1989">
        <v>46.95</v>
      </c>
      <c r="F2122" s="38">
        <f t="shared" si="32"/>
        <v>3818.0322180000003</v>
      </c>
      <c r="G2122" s="1547"/>
      <c r="H2122" s="8"/>
      <c r="I2122" s="8"/>
      <c r="J2122" s="8"/>
      <c r="K2122" s="8"/>
      <c r="L2122" s="8"/>
      <c r="M2122" s="8"/>
      <c r="N2122" s="8"/>
      <c r="O2122" s="8"/>
      <c r="P2122" s="8"/>
      <c r="Q2122" s="8"/>
      <c r="R2122" s="8"/>
      <c r="S2122" s="8"/>
      <c r="T2122" s="8"/>
      <c r="U2122" s="8"/>
      <c r="V2122" s="8"/>
      <c r="W2122" s="8"/>
      <c r="X2122" s="771"/>
      <c r="Y2122" s="771"/>
      <c r="Z2122" s="771"/>
      <c r="AA2122" s="771"/>
      <c r="AB2122" s="771"/>
      <c r="AC2122" s="771"/>
      <c r="AD2122" s="771"/>
      <c r="AE2122" s="771"/>
      <c r="AF2122" s="771"/>
      <c r="AG2122" s="771"/>
      <c r="AH2122" s="771"/>
      <c r="AI2122" s="771"/>
      <c r="AJ2122" s="771"/>
      <c r="AK2122" s="771"/>
      <c r="AL2122" s="771"/>
      <c r="AM2122" s="771"/>
      <c r="AN2122" s="771"/>
      <c r="AO2122" s="771"/>
      <c r="AP2122" s="771"/>
      <c r="AQ2122" s="771"/>
      <c r="AR2122" s="771"/>
      <c r="AS2122" s="771"/>
      <c r="AT2122" s="771"/>
      <c r="AU2122" s="771"/>
    </row>
    <row r="2123" spans="1:47" s="1033" customFormat="1" outlineLevel="1" x14ac:dyDescent="0.2">
      <c r="A2123" s="8"/>
      <c r="B2123" s="8"/>
      <c r="C2123" s="1989" t="s">
        <v>3712</v>
      </c>
      <c r="D2123" s="1989" t="s">
        <v>6144</v>
      </c>
      <c r="E2123" s="1989">
        <v>4.1500000000000004</v>
      </c>
      <c r="F2123" s="38">
        <f t="shared" si="32"/>
        <v>337.48314600000003</v>
      </c>
      <c r="G2123" s="1547"/>
      <c r="H2123" s="8"/>
      <c r="I2123" s="8"/>
      <c r="J2123" s="8"/>
      <c r="K2123" s="8"/>
      <c r="L2123" s="8"/>
      <c r="M2123" s="8"/>
      <c r="N2123" s="8"/>
      <c r="O2123" s="8"/>
      <c r="P2123" s="8"/>
      <c r="Q2123" s="8"/>
      <c r="R2123" s="8"/>
      <c r="S2123" s="8"/>
      <c r="T2123" s="8"/>
      <c r="U2123" s="8"/>
      <c r="V2123" s="8"/>
      <c r="W2123" s="8"/>
      <c r="X2123" s="771"/>
      <c r="Y2123" s="771"/>
      <c r="Z2123" s="771"/>
      <c r="AA2123" s="771"/>
      <c r="AB2123" s="771"/>
      <c r="AC2123" s="771"/>
      <c r="AD2123" s="771"/>
      <c r="AE2123" s="771"/>
      <c r="AF2123" s="771"/>
      <c r="AG2123" s="771"/>
      <c r="AH2123" s="771"/>
      <c r="AI2123" s="771"/>
      <c r="AJ2123" s="771"/>
      <c r="AK2123" s="771"/>
      <c r="AL2123" s="771"/>
      <c r="AM2123" s="771"/>
      <c r="AN2123" s="771"/>
      <c r="AO2123" s="771"/>
      <c r="AP2123" s="771"/>
      <c r="AQ2123" s="771"/>
      <c r="AR2123" s="771"/>
      <c r="AS2123" s="771"/>
      <c r="AT2123" s="771"/>
      <c r="AU2123" s="771"/>
    </row>
    <row r="2124" spans="1:47" s="1033" customFormat="1" outlineLevel="1" x14ac:dyDescent="0.2">
      <c r="A2124" s="8"/>
      <c r="B2124" s="8"/>
      <c r="C2124" s="1989" t="s">
        <v>3713</v>
      </c>
      <c r="D2124" s="1989" t="s">
        <v>3714</v>
      </c>
      <c r="E2124" s="1989">
        <v>0.96</v>
      </c>
      <c r="F2124" s="38">
        <f t="shared" si="32"/>
        <v>78.068390399999998</v>
      </c>
      <c r="G2124" s="1547"/>
      <c r="H2124" s="8"/>
      <c r="I2124" s="8"/>
      <c r="J2124" s="8"/>
      <c r="K2124" s="8"/>
      <c r="L2124" s="8"/>
      <c r="M2124" s="8"/>
      <c r="N2124" s="8"/>
      <c r="O2124" s="8"/>
      <c r="P2124" s="8"/>
      <c r="Q2124" s="8"/>
      <c r="R2124" s="8"/>
      <c r="S2124" s="8"/>
      <c r="T2124" s="8"/>
      <c r="U2124" s="8"/>
      <c r="V2124" s="8"/>
      <c r="W2124" s="8"/>
      <c r="X2124" s="771"/>
      <c r="Y2124" s="771"/>
      <c r="Z2124" s="771"/>
      <c r="AA2124" s="771"/>
      <c r="AB2124" s="771"/>
      <c r="AC2124" s="771"/>
      <c r="AD2124" s="771"/>
      <c r="AE2124" s="771"/>
      <c r="AF2124" s="771"/>
      <c r="AG2124" s="771"/>
      <c r="AH2124" s="771"/>
      <c r="AI2124" s="771"/>
      <c r="AJ2124" s="771"/>
      <c r="AK2124" s="771"/>
      <c r="AL2124" s="771"/>
      <c r="AM2124" s="771"/>
      <c r="AN2124" s="771"/>
      <c r="AO2124" s="771"/>
      <c r="AP2124" s="771"/>
      <c r="AQ2124" s="771"/>
      <c r="AR2124" s="771"/>
      <c r="AS2124" s="771"/>
      <c r="AT2124" s="771"/>
      <c r="AU2124" s="771"/>
    </row>
    <row r="2125" spans="1:47" s="1066" customFormat="1" outlineLevel="1" x14ac:dyDescent="0.2">
      <c r="A2125" s="8"/>
      <c r="B2125" s="8"/>
      <c r="C2125" s="1989" t="s">
        <v>2360</v>
      </c>
      <c r="D2125" s="1989" t="s">
        <v>7854</v>
      </c>
      <c r="E2125" s="1989">
        <v>0.61</v>
      </c>
      <c r="F2125" s="38">
        <f t="shared" ref="F2125:F2183" si="33">E2125*$G$4*$J$4</f>
        <v>49.605956400000004</v>
      </c>
      <c r="G2125" s="1547"/>
      <c r="H2125" s="8"/>
      <c r="I2125" s="8"/>
      <c r="J2125" s="8"/>
      <c r="K2125" s="8"/>
      <c r="L2125" s="8"/>
      <c r="M2125" s="8"/>
      <c r="N2125" s="8"/>
      <c r="O2125" s="8"/>
      <c r="P2125" s="8"/>
      <c r="Q2125" s="8"/>
      <c r="R2125" s="8"/>
      <c r="S2125" s="8"/>
      <c r="T2125" s="8"/>
      <c r="U2125" s="8"/>
      <c r="V2125" s="8"/>
      <c r="W2125" s="8"/>
      <c r="X2125" s="771"/>
      <c r="Y2125" s="771"/>
      <c r="Z2125" s="771"/>
      <c r="AA2125" s="771"/>
      <c r="AB2125" s="771"/>
      <c r="AC2125" s="771"/>
      <c r="AD2125" s="771"/>
      <c r="AE2125" s="771"/>
      <c r="AF2125" s="771"/>
      <c r="AG2125" s="771"/>
      <c r="AH2125" s="771"/>
      <c r="AI2125" s="771"/>
      <c r="AJ2125" s="771"/>
      <c r="AK2125" s="771"/>
      <c r="AL2125" s="771"/>
      <c r="AM2125" s="771"/>
      <c r="AN2125" s="771"/>
      <c r="AO2125" s="771"/>
      <c r="AP2125" s="771"/>
      <c r="AQ2125" s="771"/>
      <c r="AR2125" s="771"/>
      <c r="AS2125" s="771"/>
      <c r="AT2125" s="771"/>
      <c r="AU2125" s="771"/>
    </row>
    <row r="2126" spans="1:47" s="1066" customFormat="1" outlineLevel="1" x14ac:dyDescent="0.2">
      <c r="A2126" s="8"/>
      <c r="B2126" s="8"/>
      <c r="C2126" s="1989" t="s">
        <v>3715</v>
      </c>
      <c r="D2126" s="1989" t="s">
        <v>6145</v>
      </c>
      <c r="E2126" s="1989">
        <v>3.55</v>
      </c>
      <c r="F2126" s="38">
        <f t="shared" si="33"/>
        <v>288.69040200000001</v>
      </c>
      <c r="G2126" s="1547"/>
      <c r="H2126" s="8"/>
      <c r="I2126" s="8"/>
      <c r="J2126" s="8"/>
      <c r="K2126" s="8"/>
      <c r="L2126" s="8"/>
      <c r="M2126" s="8"/>
      <c r="N2126" s="8"/>
      <c r="O2126" s="8"/>
      <c r="P2126" s="8"/>
      <c r="Q2126" s="8"/>
      <c r="R2126" s="8"/>
      <c r="S2126" s="8"/>
      <c r="T2126" s="8"/>
      <c r="U2126" s="8"/>
      <c r="V2126" s="8"/>
      <c r="W2126" s="8"/>
      <c r="X2126" s="771"/>
      <c r="Y2126" s="771"/>
      <c r="Z2126" s="771"/>
      <c r="AA2126" s="771"/>
      <c r="AB2126" s="771"/>
      <c r="AC2126" s="771"/>
      <c r="AD2126" s="771"/>
      <c r="AE2126" s="771"/>
      <c r="AF2126" s="771"/>
      <c r="AG2126" s="771"/>
      <c r="AH2126" s="771"/>
      <c r="AI2126" s="771"/>
      <c r="AJ2126" s="771"/>
      <c r="AK2126" s="771"/>
      <c r="AL2126" s="771"/>
      <c r="AM2126" s="771"/>
      <c r="AN2126" s="771"/>
      <c r="AO2126" s="771"/>
      <c r="AP2126" s="771"/>
      <c r="AQ2126" s="771"/>
      <c r="AR2126" s="771"/>
      <c r="AS2126" s="771"/>
      <c r="AT2126" s="771"/>
      <c r="AU2126" s="771"/>
    </row>
    <row r="2127" spans="1:47" s="1066" customFormat="1" outlineLevel="1" x14ac:dyDescent="0.2">
      <c r="A2127" s="8"/>
      <c r="B2127" s="8"/>
      <c r="C2127" s="1989" t="s">
        <v>6788</v>
      </c>
      <c r="D2127" s="1989" t="s">
        <v>6146</v>
      </c>
      <c r="E2127" s="1989">
        <v>2.0499999999999998</v>
      </c>
      <c r="F2127" s="38">
        <f t="shared" si="33"/>
        <v>166.70854199999997</v>
      </c>
      <c r="G2127" s="1547"/>
      <c r="H2127" s="8"/>
      <c r="I2127" s="8"/>
      <c r="J2127" s="8"/>
      <c r="K2127" s="8"/>
      <c r="L2127" s="8"/>
      <c r="M2127" s="8"/>
      <c r="N2127" s="8"/>
      <c r="O2127" s="8"/>
      <c r="P2127" s="8"/>
      <c r="Q2127" s="8"/>
      <c r="R2127" s="8"/>
      <c r="S2127" s="8"/>
      <c r="T2127" s="8"/>
      <c r="U2127" s="8"/>
      <c r="V2127" s="8"/>
      <c r="W2127" s="8"/>
      <c r="X2127" s="771"/>
      <c r="Y2127" s="771"/>
      <c r="Z2127" s="771"/>
      <c r="AA2127" s="771"/>
      <c r="AB2127" s="771"/>
      <c r="AC2127" s="771"/>
      <c r="AD2127" s="771"/>
      <c r="AE2127" s="771"/>
      <c r="AF2127" s="771"/>
      <c r="AG2127" s="771"/>
      <c r="AH2127" s="771"/>
      <c r="AI2127" s="771"/>
      <c r="AJ2127" s="771"/>
      <c r="AK2127" s="771"/>
      <c r="AL2127" s="771"/>
      <c r="AM2127" s="771"/>
      <c r="AN2127" s="771"/>
      <c r="AO2127" s="771"/>
      <c r="AP2127" s="771"/>
      <c r="AQ2127" s="771"/>
      <c r="AR2127" s="771"/>
      <c r="AS2127" s="771"/>
      <c r="AT2127" s="771"/>
      <c r="AU2127" s="771"/>
    </row>
    <row r="2128" spans="1:47" s="1066" customFormat="1" outlineLevel="1" x14ac:dyDescent="0.2">
      <c r="A2128" s="8"/>
      <c r="B2128" s="8"/>
      <c r="C2128" s="1989" t="s">
        <v>3716</v>
      </c>
      <c r="D2128" s="1989" t="s">
        <v>6147</v>
      </c>
      <c r="E2128" s="1989">
        <v>2.0499999999999998</v>
      </c>
      <c r="F2128" s="38">
        <f t="shared" si="33"/>
        <v>166.70854199999997</v>
      </c>
      <c r="G2128" s="1547"/>
      <c r="H2128" s="8"/>
      <c r="I2128" s="8"/>
      <c r="J2128" s="8"/>
      <c r="K2128" s="8"/>
      <c r="L2128" s="8"/>
      <c r="M2128" s="8"/>
      <c r="N2128" s="8"/>
      <c r="O2128" s="8"/>
      <c r="P2128" s="8"/>
      <c r="Q2128" s="8"/>
      <c r="R2128" s="8"/>
      <c r="S2128" s="8"/>
      <c r="T2128" s="8"/>
      <c r="U2128" s="8"/>
      <c r="V2128" s="8"/>
      <c r="W2128" s="8"/>
      <c r="X2128" s="771"/>
      <c r="Y2128" s="771"/>
      <c r="Z2128" s="771"/>
      <c r="AA2128" s="771"/>
      <c r="AB2128" s="771"/>
      <c r="AC2128" s="771"/>
      <c r="AD2128" s="771"/>
      <c r="AE2128" s="771"/>
      <c r="AF2128" s="771"/>
      <c r="AG2128" s="771"/>
      <c r="AH2128" s="771"/>
      <c r="AI2128" s="771"/>
      <c r="AJ2128" s="771"/>
      <c r="AK2128" s="771"/>
      <c r="AL2128" s="771"/>
      <c r="AM2128" s="771"/>
      <c r="AN2128" s="771"/>
      <c r="AO2128" s="771"/>
      <c r="AP2128" s="771"/>
      <c r="AQ2128" s="771"/>
      <c r="AR2128" s="771"/>
      <c r="AS2128" s="771"/>
      <c r="AT2128" s="771"/>
      <c r="AU2128" s="771"/>
    </row>
    <row r="2129" spans="1:47" outlineLevel="1" x14ac:dyDescent="0.2">
      <c r="C2129" s="1989" t="s">
        <v>3717</v>
      </c>
      <c r="D2129" s="1989" t="s">
        <v>6148</v>
      </c>
      <c r="E2129" s="1989">
        <v>0.51</v>
      </c>
      <c r="F2129" s="38">
        <f t="shared" si="33"/>
        <v>41.473832399999999</v>
      </c>
      <c r="G2129" s="1547"/>
    </row>
    <row r="2130" spans="1:47" s="1383" customFormat="1" outlineLevel="1" x14ac:dyDescent="0.2">
      <c r="A2130" s="8"/>
      <c r="B2130" s="8"/>
      <c r="C2130" s="1989" t="s">
        <v>4089</v>
      </c>
      <c r="D2130" s="1989" t="s">
        <v>4090</v>
      </c>
      <c r="E2130" s="1989">
        <v>27.45</v>
      </c>
      <c r="F2130" s="38">
        <f t="shared" si="33"/>
        <v>2232.2680380000002</v>
      </c>
      <c r="G2130" s="1547"/>
      <c r="H2130" s="8"/>
      <c r="I2130" s="8"/>
      <c r="J2130" s="8"/>
      <c r="K2130" s="8"/>
      <c r="L2130" s="8"/>
      <c r="M2130" s="8"/>
      <c r="N2130" s="8"/>
      <c r="O2130" s="8"/>
      <c r="P2130" s="8"/>
      <c r="Q2130" s="8"/>
      <c r="R2130" s="8"/>
      <c r="S2130" s="8"/>
      <c r="T2130" s="8"/>
      <c r="U2130" s="8"/>
      <c r="V2130" s="8"/>
      <c r="W2130" s="8"/>
      <c r="X2130" s="771"/>
      <c r="Y2130" s="771"/>
      <c r="Z2130" s="771"/>
      <c r="AA2130" s="771"/>
      <c r="AB2130" s="771"/>
      <c r="AC2130" s="771"/>
      <c r="AD2130" s="771"/>
      <c r="AE2130" s="771"/>
      <c r="AF2130" s="771"/>
      <c r="AG2130" s="771"/>
      <c r="AH2130" s="771"/>
      <c r="AI2130" s="771"/>
      <c r="AJ2130" s="771"/>
      <c r="AK2130" s="771"/>
      <c r="AL2130" s="771"/>
      <c r="AM2130" s="771"/>
      <c r="AN2130" s="771"/>
      <c r="AO2130" s="771"/>
      <c r="AP2130" s="771"/>
      <c r="AQ2130" s="771"/>
      <c r="AR2130" s="771"/>
      <c r="AS2130" s="771"/>
      <c r="AT2130" s="771"/>
      <c r="AU2130" s="771"/>
    </row>
    <row r="2131" spans="1:47" s="1383" customFormat="1" outlineLevel="1" x14ac:dyDescent="0.2">
      <c r="A2131" s="8"/>
      <c r="B2131" s="8"/>
      <c r="C2131" s="1989" t="s">
        <v>4091</v>
      </c>
      <c r="D2131" s="1989" t="s">
        <v>4092</v>
      </c>
      <c r="E2131" s="1989">
        <v>2.4900000000000002</v>
      </c>
      <c r="F2131" s="38">
        <f t="shared" si="33"/>
        <v>202.4898876</v>
      </c>
      <c r="G2131" s="1547"/>
      <c r="H2131" s="8"/>
      <c r="I2131" s="8"/>
      <c r="J2131" s="8"/>
      <c r="K2131" s="8"/>
      <c r="L2131" s="8"/>
      <c r="M2131" s="8"/>
      <c r="N2131" s="8"/>
      <c r="O2131" s="8"/>
      <c r="P2131" s="8"/>
      <c r="Q2131" s="8"/>
      <c r="R2131" s="8"/>
      <c r="S2131" s="8"/>
      <c r="T2131" s="8"/>
      <c r="U2131" s="8"/>
      <c r="V2131" s="8"/>
      <c r="W2131" s="8"/>
      <c r="X2131" s="771"/>
      <c r="Y2131" s="771"/>
      <c r="Z2131" s="771"/>
      <c r="AA2131" s="771"/>
      <c r="AB2131" s="771"/>
      <c r="AC2131" s="771"/>
      <c r="AD2131" s="771"/>
      <c r="AE2131" s="771"/>
      <c r="AF2131" s="771"/>
      <c r="AG2131" s="771"/>
      <c r="AH2131" s="771"/>
      <c r="AI2131" s="771"/>
      <c r="AJ2131" s="771"/>
      <c r="AK2131" s="771"/>
      <c r="AL2131" s="771"/>
      <c r="AM2131" s="771"/>
      <c r="AN2131" s="771"/>
      <c r="AO2131" s="771"/>
      <c r="AP2131" s="771"/>
      <c r="AQ2131" s="771"/>
      <c r="AR2131" s="771"/>
      <c r="AS2131" s="771"/>
      <c r="AT2131" s="771"/>
      <c r="AU2131" s="771"/>
    </row>
    <row r="2132" spans="1:47" s="1383" customFormat="1" outlineLevel="1" x14ac:dyDescent="0.2">
      <c r="A2132" s="8"/>
      <c r="B2132" s="8"/>
      <c r="C2132" s="1989" t="s">
        <v>6789</v>
      </c>
      <c r="D2132" s="1989" t="s">
        <v>6149</v>
      </c>
      <c r="E2132" s="1989">
        <v>3.67</v>
      </c>
      <c r="F2132" s="38">
        <f t="shared" si="33"/>
        <v>298.44895080000003</v>
      </c>
      <c r="G2132" s="1547"/>
      <c r="H2132" s="8"/>
      <c r="I2132" s="8"/>
      <c r="J2132" s="8"/>
      <c r="K2132" s="8"/>
      <c r="L2132" s="8"/>
      <c r="M2132" s="8"/>
      <c r="N2132" s="8"/>
      <c r="O2132" s="8"/>
      <c r="P2132" s="8"/>
      <c r="Q2132" s="8"/>
      <c r="R2132" s="8"/>
      <c r="S2132" s="8"/>
      <c r="T2132" s="8"/>
      <c r="U2132" s="8"/>
      <c r="V2132" s="8"/>
      <c r="W2132" s="8"/>
      <c r="X2132" s="771"/>
      <c r="Y2132" s="771"/>
      <c r="Z2132" s="771"/>
      <c r="AA2132" s="771"/>
      <c r="AB2132" s="771"/>
      <c r="AC2132" s="771"/>
      <c r="AD2132" s="771"/>
      <c r="AE2132" s="771"/>
      <c r="AF2132" s="771"/>
      <c r="AG2132" s="771"/>
      <c r="AH2132" s="771"/>
      <c r="AI2132" s="771"/>
      <c r="AJ2132" s="771"/>
      <c r="AK2132" s="771"/>
      <c r="AL2132" s="771"/>
      <c r="AM2132" s="771"/>
      <c r="AN2132" s="771"/>
      <c r="AO2132" s="771"/>
      <c r="AP2132" s="771"/>
      <c r="AQ2132" s="771"/>
      <c r="AR2132" s="771"/>
      <c r="AS2132" s="771"/>
      <c r="AT2132" s="771"/>
      <c r="AU2132" s="771"/>
    </row>
    <row r="2133" spans="1:47" s="1383" customFormat="1" outlineLevel="1" x14ac:dyDescent="0.2">
      <c r="A2133" s="8"/>
      <c r="B2133" s="8"/>
      <c r="C2133" s="1989" t="s">
        <v>6790</v>
      </c>
      <c r="D2133" s="1989" t="s">
        <v>6150</v>
      </c>
      <c r="E2133" s="1989">
        <v>0.96</v>
      </c>
      <c r="F2133" s="38">
        <f t="shared" si="33"/>
        <v>78.068390399999998</v>
      </c>
      <c r="G2133" s="1547"/>
      <c r="H2133" s="8"/>
      <c r="I2133" s="8"/>
      <c r="J2133" s="8"/>
      <c r="K2133" s="8"/>
      <c r="L2133" s="8"/>
      <c r="M2133" s="8"/>
      <c r="N2133" s="8"/>
      <c r="O2133" s="8"/>
      <c r="P2133" s="8"/>
      <c r="Q2133" s="8"/>
      <c r="R2133" s="8"/>
      <c r="S2133" s="8"/>
      <c r="T2133" s="8"/>
      <c r="U2133" s="8"/>
      <c r="V2133" s="8"/>
      <c r="W2133" s="8"/>
      <c r="X2133" s="771"/>
      <c r="Y2133" s="771"/>
      <c r="Z2133" s="771"/>
      <c r="AA2133" s="771"/>
      <c r="AB2133" s="771"/>
      <c r="AC2133" s="771"/>
      <c r="AD2133" s="771"/>
      <c r="AE2133" s="771"/>
      <c r="AF2133" s="771"/>
      <c r="AG2133" s="771"/>
      <c r="AH2133" s="771"/>
      <c r="AI2133" s="771"/>
      <c r="AJ2133" s="771"/>
      <c r="AK2133" s="771"/>
      <c r="AL2133" s="771"/>
      <c r="AM2133" s="771"/>
      <c r="AN2133" s="771"/>
      <c r="AO2133" s="771"/>
      <c r="AP2133" s="771"/>
      <c r="AQ2133" s="771"/>
      <c r="AR2133" s="771"/>
      <c r="AS2133" s="771"/>
      <c r="AT2133" s="771"/>
      <c r="AU2133" s="771"/>
    </row>
    <row r="2134" spans="1:47" s="1383" customFormat="1" outlineLevel="1" x14ac:dyDescent="0.2">
      <c r="A2134" s="8"/>
      <c r="B2134" s="8"/>
      <c r="C2134" s="1989" t="s">
        <v>3718</v>
      </c>
      <c r="D2134" s="1989" t="s">
        <v>3719</v>
      </c>
      <c r="E2134" s="1989">
        <v>0.51</v>
      </c>
      <c r="F2134" s="38">
        <f t="shared" si="33"/>
        <v>41.473832399999999</v>
      </c>
      <c r="G2134" s="1547"/>
      <c r="H2134" s="8"/>
      <c r="I2134" s="8"/>
      <c r="J2134" s="8"/>
      <c r="K2134" s="8"/>
      <c r="L2134" s="8"/>
      <c r="M2134" s="8"/>
      <c r="N2134" s="8"/>
      <c r="O2134" s="8"/>
      <c r="P2134" s="8"/>
      <c r="Q2134" s="8"/>
      <c r="R2134" s="8"/>
      <c r="S2134" s="8"/>
      <c r="T2134" s="8"/>
      <c r="U2134" s="8"/>
      <c r="V2134" s="8"/>
      <c r="W2134" s="8"/>
      <c r="X2134" s="771"/>
      <c r="Y2134" s="771"/>
      <c r="Z2134" s="771"/>
      <c r="AA2134" s="771"/>
      <c r="AB2134" s="771"/>
      <c r="AC2134" s="771"/>
      <c r="AD2134" s="771"/>
      <c r="AE2134" s="771"/>
      <c r="AF2134" s="771"/>
      <c r="AG2134" s="771"/>
      <c r="AH2134" s="771"/>
      <c r="AI2134" s="771"/>
      <c r="AJ2134" s="771"/>
      <c r="AK2134" s="771"/>
      <c r="AL2134" s="771"/>
      <c r="AM2134" s="771"/>
      <c r="AN2134" s="771"/>
      <c r="AO2134" s="771"/>
      <c r="AP2134" s="771"/>
      <c r="AQ2134" s="771"/>
      <c r="AR2134" s="771"/>
      <c r="AS2134" s="771"/>
      <c r="AT2134" s="771"/>
      <c r="AU2134" s="771"/>
    </row>
    <row r="2135" spans="1:47" s="1383" customFormat="1" outlineLevel="1" x14ac:dyDescent="0.2">
      <c r="A2135" s="8"/>
      <c r="B2135" s="8"/>
      <c r="C2135" s="1989" t="s">
        <v>3630</v>
      </c>
      <c r="D2135" s="1989" t="s">
        <v>3757</v>
      </c>
      <c r="E2135" s="1989">
        <v>17.100000000000001</v>
      </c>
      <c r="F2135" s="38">
        <f t="shared" si="33"/>
        <v>1390.593204</v>
      </c>
      <c r="G2135" s="1547"/>
      <c r="H2135" s="8"/>
      <c r="I2135" s="8"/>
      <c r="J2135" s="8"/>
      <c r="K2135" s="8"/>
      <c r="L2135" s="8"/>
      <c r="M2135" s="8"/>
      <c r="N2135" s="8"/>
      <c r="O2135" s="8"/>
      <c r="P2135" s="8"/>
      <c r="Q2135" s="8"/>
      <c r="R2135" s="8"/>
      <c r="S2135" s="8"/>
      <c r="T2135" s="8"/>
      <c r="U2135" s="8"/>
      <c r="V2135" s="8"/>
      <c r="W2135" s="8"/>
      <c r="X2135" s="771"/>
      <c r="Y2135" s="771"/>
      <c r="Z2135" s="771"/>
      <c r="AA2135" s="771"/>
      <c r="AB2135" s="771"/>
      <c r="AC2135" s="771"/>
      <c r="AD2135" s="771"/>
      <c r="AE2135" s="771"/>
      <c r="AF2135" s="771"/>
      <c r="AG2135" s="771"/>
      <c r="AH2135" s="771"/>
      <c r="AI2135" s="771"/>
      <c r="AJ2135" s="771"/>
      <c r="AK2135" s="771"/>
      <c r="AL2135" s="771"/>
      <c r="AM2135" s="771"/>
      <c r="AN2135" s="771"/>
      <c r="AO2135" s="771"/>
      <c r="AP2135" s="771"/>
      <c r="AQ2135" s="771"/>
      <c r="AR2135" s="771"/>
      <c r="AS2135" s="771"/>
      <c r="AT2135" s="771"/>
      <c r="AU2135" s="771"/>
    </row>
    <row r="2136" spans="1:47" s="1383" customFormat="1" outlineLevel="1" x14ac:dyDescent="0.2">
      <c r="A2136" s="8"/>
      <c r="B2136" s="8"/>
      <c r="C2136" s="1989" t="s">
        <v>4093</v>
      </c>
      <c r="D2136" s="1989" t="s">
        <v>4094</v>
      </c>
      <c r="E2136" s="1989">
        <v>0</v>
      </c>
      <c r="F2136" s="38">
        <f t="shared" si="33"/>
        <v>0</v>
      </c>
      <c r="G2136" s="1547"/>
      <c r="H2136" s="8"/>
      <c r="I2136" s="8"/>
      <c r="J2136" s="8"/>
      <c r="K2136" s="8"/>
      <c r="L2136" s="8"/>
      <c r="M2136" s="8"/>
      <c r="N2136" s="8"/>
      <c r="O2136" s="8"/>
      <c r="P2136" s="8"/>
      <c r="Q2136" s="8"/>
      <c r="R2136" s="8"/>
      <c r="S2136" s="8"/>
      <c r="T2136" s="8"/>
      <c r="U2136" s="8"/>
      <c r="V2136" s="8"/>
      <c r="W2136" s="8"/>
      <c r="X2136" s="771"/>
      <c r="Y2136" s="771"/>
      <c r="Z2136" s="771"/>
      <c r="AA2136" s="771"/>
      <c r="AB2136" s="771"/>
      <c r="AC2136" s="771"/>
      <c r="AD2136" s="771"/>
      <c r="AE2136" s="771"/>
      <c r="AF2136" s="771"/>
      <c r="AG2136" s="771"/>
      <c r="AH2136" s="771"/>
      <c r="AI2136" s="771"/>
      <c r="AJ2136" s="771"/>
      <c r="AK2136" s="771"/>
      <c r="AL2136" s="771"/>
      <c r="AM2136" s="771"/>
      <c r="AN2136" s="771"/>
      <c r="AO2136" s="771"/>
      <c r="AP2136" s="771"/>
      <c r="AQ2136" s="771"/>
      <c r="AR2136" s="771"/>
      <c r="AS2136" s="771"/>
      <c r="AT2136" s="771"/>
      <c r="AU2136" s="771"/>
    </row>
    <row r="2137" spans="1:47" s="1383" customFormat="1" outlineLevel="1" x14ac:dyDescent="0.2">
      <c r="A2137" s="8"/>
      <c r="B2137" s="8"/>
      <c r="C2137" s="1989" t="s">
        <v>4095</v>
      </c>
      <c r="D2137" s="1989" t="s">
        <v>4096</v>
      </c>
      <c r="E2137" s="1989">
        <v>0</v>
      </c>
      <c r="F2137" s="38">
        <f t="shared" si="33"/>
        <v>0</v>
      </c>
      <c r="G2137" s="1547"/>
      <c r="H2137" s="8"/>
      <c r="I2137" s="8"/>
      <c r="J2137" s="8"/>
      <c r="K2137" s="8"/>
      <c r="L2137" s="8"/>
      <c r="M2137" s="8"/>
      <c r="N2137" s="8"/>
      <c r="O2137" s="8"/>
      <c r="P2137" s="8"/>
      <c r="Q2137" s="8"/>
      <c r="R2137" s="8"/>
      <c r="S2137" s="8"/>
      <c r="T2137" s="8"/>
      <c r="U2137" s="8"/>
      <c r="V2137" s="8"/>
      <c r="W2137" s="8"/>
      <c r="X2137" s="771"/>
      <c r="Y2137" s="771"/>
      <c r="Z2137" s="771"/>
      <c r="AA2137" s="771"/>
      <c r="AB2137" s="771"/>
      <c r="AC2137" s="771"/>
      <c r="AD2137" s="771"/>
      <c r="AE2137" s="771"/>
      <c r="AF2137" s="771"/>
      <c r="AG2137" s="771"/>
      <c r="AH2137" s="771"/>
      <c r="AI2137" s="771"/>
      <c r="AJ2137" s="771"/>
      <c r="AK2137" s="771"/>
      <c r="AL2137" s="771"/>
      <c r="AM2137" s="771"/>
      <c r="AN2137" s="771"/>
      <c r="AO2137" s="771"/>
      <c r="AP2137" s="771"/>
      <c r="AQ2137" s="771"/>
      <c r="AR2137" s="771"/>
      <c r="AS2137" s="771"/>
      <c r="AT2137" s="771"/>
      <c r="AU2137" s="771"/>
    </row>
    <row r="2138" spans="1:47" s="1383" customFormat="1" outlineLevel="1" x14ac:dyDescent="0.2">
      <c r="A2138" s="8"/>
      <c r="B2138" s="8"/>
      <c r="C2138" s="1989" t="s">
        <v>3720</v>
      </c>
      <c r="D2138" s="1989" t="s">
        <v>7855</v>
      </c>
      <c r="E2138" s="1989">
        <v>0.33</v>
      </c>
      <c r="F2138" s="38">
        <f t="shared" si="33"/>
        <v>26.836009200000003</v>
      </c>
      <c r="G2138" s="1547"/>
      <c r="H2138" s="8"/>
      <c r="I2138" s="8"/>
      <c r="J2138" s="8"/>
      <c r="K2138" s="8"/>
      <c r="L2138" s="8"/>
      <c r="M2138" s="8"/>
      <c r="N2138" s="8"/>
      <c r="O2138" s="8"/>
      <c r="P2138" s="8"/>
      <c r="Q2138" s="8"/>
      <c r="R2138" s="8"/>
      <c r="S2138" s="8"/>
      <c r="T2138" s="8"/>
      <c r="U2138" s="8"/>
      <c r="V2138" s="8"/>
      <c r="W2138" s="8"/>
      <c r="X2138" s="771"/>
      <c r="Y2138" s="771"/>
      <c r="Z2138" s="771"/>
      <c r="AA2138" s="771"/>
      <c r="AB2138" s="771"/>
      <c r="AC2138" s="771"/>
      <c r="AD2138" s="771"/>
      <c r="AE2138" s="771"/>
      <c r="AF2138" s="771"/>
      <c r="AG2138" s="771"/>
      <c r="AH2138" s="771"/>
      <c r="AI2138" s="771"/>
      <c r="AJ2138" s="771"/>
      <c r="AK2138" s="771"/>
      <c r="AL2138" s="771"/>
      <c r="AM2138" s="771"/>
      <c r="AN2138" s="771"/>
      <c r="AO2138" s="771"/>
      <c r="AP2138" s="771"/>
      <c r="AQ2138" s="771"/>
      <c r="AR2138" s="771"/>
      <c r="AS2138" s="771"/>
      <c r="AT2138" s="771"/>
      <c r="AU2138" s="771"/>
    </row>
    <row r="2139" spans="1:47" s="1383" customFormat="1" outlineLevel="1" x14ac:dyDescent="0.2">
      <c r="A2139" s="8"/>
      <c r="B2139" s="8"/>
      <c r="C2139" s="1989" t="s">
        <v>3721</v>
      </c>
      <c r="D2139" s="1989" t="s">
        <v>3722</v>
      </c>
      <c r="E2139" s="1989">
        <v>3.55</v>
      </c>
      <c r="F2139" s="38">
        <f t="shared" si="33"/>
        <v>288.69040200000001</v>
      </c>
      <c r="G2139" s="1547"/>
      <c r="H2139" s="8"/>
      <c r="I2139" s="8"/>
      <c r="J2139" s="8"/>
      <c r="K2139" s="8"/>
      <c r="L2139" s="8"/>
      <c r="M2139" s="8"/>
      <c r="N2139" s="8"/>
      <c r="O2139" s="8"/>
      <c r="P2139" s="8"/>
      <c r="Q2139" s="8"/>
      <c r="R2139" s="8"/>
      <c r="S2139" s="8"/>
      <c r="T2139" s="8"/>
      <c r="U2139" s="8"/>
      <c r="V2139" s="8"/>
      <c r="W2139" s="8"/>
      <c r="X2139" s="771"/>
      <c r="Y2139" s="771"/>
      <c r="Z2139" s="771"/>
      <c r="AA2139" s="771"/>
      <c r="AB2139" s="771"/>
      <c r="AC2139" s="771"/>
      <c r="AD2139" s="771"/>
      <c r="AE2139" s="771"/>
      <c r="AF2139" s="771"/>
      <c r="AG2139" s="771"/>
      <c r="AH2139" s="771"/>
      <c r="AI2139" s="771"/>
      <c r="AJ2139" s="771"/>
      <c r="AK2139" s="771"/>
      <c r="AL2139" s="771"/>
      <c r="AM2139" s="771"/>
      <c r="AN2139" s="771"/>
      <c r="AO2139" s="771"/>
      <c r="AP2139" s="771"/>
      <c r="AQ2139" s="771"/>
      <c r="AR2139" s="771"/>
      <c r="AS2139" s="771"/>
      <c r="AT2139" s="771"/>
      <c r="AU2139" s="771"/>
    </row>
    <row r="2140" spans="1:47" s="1383" customFormat="1" outlineLevel="1" x14ac:dyDescent="0.2">
      <c r="A2140" s="8"/>
      <c r="B2140" s="8"/>
      <c r="C2140" s="1989" t="s">
        <v>3723</v>
      </c>
      <c r="D2140" s="1989" t="s">
        <v>3724</v>
      </c>
      <c r="E2140" s="1989">
        <v>30.85</v>
      </c>
      <c r="F2140" s="38">
        <f t="shared" si="33"/>
        <v>2508.7602540000003</v>
      </c>
      <c r="G2140" s="1547"/>
      <c r="H2140" s="8"/>
      <c r="I2140" s="8"/>
      <c r="J2140" s="8"/>
      <c r="K2140" s="8"/>
      <c r="L2140" s="8"/>
      <c r="M2140" s="8"/>
      <c r="N2140" s="8"/>
      <c r="O2140" s="8"/>
      <c r="P2140" s="8"/>
      <c r="Q2140" s="8"/>
      <c r="R2140" s="8"/>
      <c r="S2140" s="8"/>
      <c r="T2140" s="8"/>
      <c r="U2140" s="8"/>
      <c r="V2140" s="8"/>
      <c r="W2140" s="8"/>
      <c r="X2140" s="771"/>
      <c r="Y2140" s="771"/>
      <c r="Z2140" s="771"/>
      <c r="AA2140" s="771"/>
      <c r="AB2140" s="771"/>
      <c r="AC2140" s="771"/>
      <c r="AD2140" s="771"/>
      <c r="AE2140" s="771"/>
      <c r="AF2140" s="771"/>
      <c r="AG2140" s="771"/>
      <c r="AH2140" s="771"/>
      <c r="AI2140" s="771"/>
      <c r="AJ2140" s="771"/>
      <c r="AK2140" s="771"/>
      <c r="AL2140" s="771"/>
      <c r="AM2140" s="771"/>
      <c r="AN2140" s="771"/>
      <c r="AO2140" s="771"/>
      <c r="AP2140" s="771"/>
      <c r="AQ2140" s="771"/>
      <c r="AR2140" s="771"/>
      <c r="AS2140" s="771"/>
      <c r="AT2140" s="771"/>
      <c r="AU2140" s="771"/>
    </row>
    <row r="2141" spans="1:47" s="1383" customFormat="1" outlineLevel="1" x14ac:dyDescent="0.2">
      <c r="A2141" s="8"/>
      <c r="B2141" s="8"/>
      <c r="C2141" s="1989" t="s">
        <v>4097</v>
      </c>
      <c r="D2141" s="1989" t="s">
        <v>4098</v>
      </c>
      <c r="E2141" s="1989">
        <v>2.21</v>
      </c>
      <c r="F2141" s="38">
        <f t="shared" si="33"/>
        <v>179.71994039999998</v>
      </c>
      <c r="G2141" s="1547"/>
      <c r="H2141" s="8"/>
      <c r="I2141" s="8"/>
      <c r="J2141" s="8"/>
      <c r="K2141" s="8"/>
      <c r="L2141" s="8"/>
      <c r="M2141" s="8"/>
      <c r="N2141" s="8"/>
      <c r="O2141" s="8"/>
      <c r="P2141" s="8"/>
      <c r="Q2141" s="8"/>
      <c r="R2141" s="8"/>
      <c r="S2141" s="8"/>
      <c r="T2141" s="8"/>
      <c r="U2141" s="8"/>
      <c r="V2141" s="8"/>
      <c r="W2141" s="8"/>
      <c r="X2141" s="771"/>
      <c r="Y2141" s="771"/>
      <c r="Z2141" s="771"/>
      <c r="AA2141" s="771"/>
      <c r="AB2141" s="771"/>
      <c r="AC2141" s="771"/>
      <c r="AD2141" s="771"/>
      <c r="AE2141" s="771"/>
      <c r="AF2141" s="771"/>
      <c r="AG2141" s="771"/>
      <c r="AH2141" s="771"/>
      <c r="AI2141" s="771"/>
      <c r="AJ2141" s="771"/>
      <c r="AK2141" s="771"/>
      <c r="AL2141" s="771"/>
      <c r="AM2141" s="771"/>
      <c r="AN2141" s="771"/>
      <c r="AO2141" s="771"/>
      <c r="AP2141" s="771"/>
      <c r="AQ2141" s="771"/>
      <c r="AR2141" s="771"/>
      <c r="AS2141" s="771"/>
      <c r="AT2141" s="771"/>
      <c r="AU2141" s="771"/>
    </row>
    <row r="2142" spans="1:47" s="1383" customFormat="1" outlineLevel="1" x14ac:dyDescent="0.2">
      <c r="A2142" s="8"/>
      <c r="B2142" s="8"/>
      <c r="C2142" s="1989" t="s">
        <v>4099</v>
      </c>
      <c r="D2142" s="1989" t="s">
        <v>4100</v>
      </c>
      <c r="E2142" s="1989">
        <v>2.4900000000000002</v>
      </c>
      <c r="F2142" s="38">
        <f t="shared" si="33"/>
        <v>202.4898876</v>
      </c>
      <c r="G2142" s="1547"/>
      <c r="H2142" s="8"/>
      <c r="I2142" s="8"/>
      <c r="J2142" s="8"/>
      <c r="K2142" s="8"/>
      <c r="L2142" s="8"/>
      <c r="M2142" s="8"/>
      <c r="N2142" s="8"/>
      <c r="O2142" s="8"/>
      <c r="P2142" s="8"/>
      <c r="Q2142" s="8"/>
      <c r="R2142" s="8"/>
      <c r="S2142" s="8"/>
      <c r="T2142" s="8"/>
      <c r="U2142" s="8"/>
      <c r="V2142" s="8"/>
      <c r="W2142" s="8"/>
      <c r="X2142" s="771"/>
      <c r="Y2142" s="771"/>
      <c r="Z2142" s="771"/>
      <c r="AA2142" s="771"/>
      <c r="AB2142" s="771"/>
      <c r="AC2142" s="771"/>
      <c r="AD2142" s="771"/>
      <c r="AE2142" s="771"/>
      <c r="AF2142" s="771"/>
      <c r="AG2142" s="771"/>
      <c r="AH2142" s="771"/>
      <c r="AI2142" s="771"/>
      <c r="AJ2142" s="771"/>
      <c r="AK2142" s="771"/>
      <c r="AL2142" s="771"/>
      <c r="AM2142" s="771"/>
      <c r="AN2142" s="771"/>
      <c r="AO2142" s="771"/>
      <c r="AP2142" s="771"/>
      <c r="AQ2142" s="771"/>
      <c r="AR2142" s="771"/>
      <c r="AS2142" s="771"/>
      <c r="AT2142" s="771"/>
      <c r="AU2142" s="771"/>
    </row>
    <row r="2143" spans="1:47" s="1383" customFormat="1" outlineLevel="1" x14ac:dyDescent="0.2">
      <c r="A2143" s="8"/>
      <c r="B2143" s="8"/>
      <c r="C2143" s="1989" t="s">
        <v>3725</v>
      </c>
      <c r="D2143" s="1989" t="s">
        <v>6151</v>
      </c>
      <c r="E2143" s="1989">
        <v>0.96</v>
      </c>
      <c r="F2143" s="38">
        <f t="shared" si="33"/>
        <v>78.068390399999998</v>
      </c>
      <c r="G2143" s="1547"/>
      <c r="H2143" s="8"/>
      <c r="I2143" s="8"/>
      <c r="J2143" s="8"/>
      <c r="K2143" s="8"/>
      <c r="L2143" s="8"/>
      <c r="M2143" s="8"/>
      <c r="N2143" s="8"/>
      <c r="O2143" s="8"/>
      <c r="P2143" s="8"/>
      <c r="Q2143" s="8"/>
      <c r="R2143" s="8"/>
      <c r="S2143" s="8"/>
      <c r="T2143" s="8"/>
      <c r="U2143" s="8"/>
      <c r="V2143" s="8"/>
      <c r="W2143" s="8"/>
      <c r="X2143" s="771"/>
      <c r="Y2143" s="771"/>
      <c r="Z2143" s="771"/>
      <c r="AA2143" s="771"/>
      <c r="AB2143" s="771"/>
      <c r="AC2143" s="771"/>
      <c r="AD2143" s="771"/>
      <c r="AE2143" s="771"/>
      <c r="AF2143" s="771"/>
      <c r="AG2143" s="771"/>
      <c r="AH2143" s="771"/>
      <c r="AI2143" s="771"/>
      <c r="AJ2143" s="771"/>
      <c r="AK2143" s="771"/>
      <c r="AL2143" s="771"/>
      <c r="AM2143" s="771"/>
      <c r="AN2143" s="771"/>
      <c r="AO2143" s="771"/>
      <c r="AP2143" s="771"/>
      <c r="AQ2143" s="771"/>
      <c r="AR2143" s="771"/>
      <c r="AS2143" s="771"/>
      <c r="AT2143" s="771"/>
      <c r="AU2143" s="771"/>
    </row>
    <row r="2144" spans="1:47" s="1383" customFormat="1" outlineLevel="1" x14ac:dyDescent="0.2">
      <c r="A2144" s="8"/>
      <c r="B2144" s="8"/>
      <c r="C2144" s="1989" t="s">
        <v>6791</v>
      </c>
      <c r="D2144" s="1989" t="s">
        <v>7856</v>
      </c>
      <c r="E2144" s="1989">
        <v>0.96</v>
      </c>
      <c r="F2144" s="38">
        <f t="shared" si="33"/>
        <v>78.068390399999998</v>
      </c>
      <c r="G2144" s="1547"/>
      <c r="H2144" s="8"/>
      <c r="I2144" s="8"/>
      <c r="J2144" s="8"/>
      <c r="K2144" s="8"/>
      <c r="L2144" s="8"/>
      <c r="M2144" s="8"/>
      <c r="N2144" s="8"/>
      <c r="O2144" s="8"/>
      <c r="P2144" s="8"/>
      <c r="Q2144" s="8"/>
      <c r="R2144" s="8"/>
      <c r="S2144" s="8"/>
      <c r="T2144" s="8"/>
      <c r="U2144" s="8"/>
      <c r="V2144" s="8"/>
      <c r="W2144" s="8"/>
      <c r="X2144" s="771"/>
      <c r="Y2144" s="771"/>
      <c r="Z2144" s="771"/>
      <c r="AA2144" s="771"/>
      <c r="AB2144" s="771"/>
      <c r="AC2144" s="771"/>
      <c r="AD2144" s="771"/>
      <c r="AE2144" s="771"/>
      <c r="AF2144" s="771"/>
      <c r="AG2144" s="771"/>
      <c r="AH2144" s="771"/>
      <c r="AI2144" s="771"/>
      <c r="AJ2144" s="771"/>
      <c r="AK2144" s="771"/>
      <c r="AL2144" s="771"/>
      <c r="AM2144" s="771"/>
      <c r="AN2144" s="771"/>
      <c r="AO2144" s="771"/>
      <c r="AP2144" s="771"/>
      <c r="AQ2144" s="771"/>
      <c r="AR2144" s="771"/>
      <c r="AS2144" s="771"/>
      <c r="AT2144" s="771"/>
      <c r="AU2144" s="771"/>
    </row>
    <row r="2145" spans="1:47" s="1383" customFormat="1" outlineLevel="1" x14ac:dyDescent="0.2">
      <c r="A2145" s="8"/>
      <c r="B2145" s="8"/>
      <c r="C2145" s="1989" t="s">
        <v>3726</v>
      </c>
      <c r="D2145" s="1989" t="s">
        <v>3727</v>
      </c>
      <c r="E2145" s="1989">
        <v>36.97</v>
      </c>
      <c r="F2145" s="38">
        <f t="shared" si="33"/>
        <v>3006.4462428000002</v>
      </c>
      <c r="G2145" s="1547"/>
      <c r="H2145" s="8"/>
      <c r="I2145" s="8"/>
      <c r="J2145" s="8"/>
      <c r="K2145" s="8"/>
      <c r="L2145" s="8"/>
      <c r="M2145" s="8"/>
      <c r="N2145" s="8"/>
      <c r="O2145" s="8"/>
      <c r="P2145" s="8"/>
      <c r="Q2145" s="8"/>
      <c r="R2145" s="8"/>
      <c r="S2145" s="8"/>
      <c r="T2145" s="8"/>
      <c r="U2145" s="8"/>
      <c r="V2145" s="8"/>
      <c r="W2145" s="8"/>
      <c r="X2145" s="771"/>
      <c r="Y2145" s="771"/>
      <c r="Z2145" s="771"/>
      <c r="AA2145" s="771"/>
      <c r="AB2145" s="771"/>
      <c r="AC2145" s="771"/>
      <c r="AD2145" s="771"/>
      <c r="AE2145" s="771"/>
      <c r="AF2145" s="771"/>
      <c r="AG2145" s="771"/>
      <c r="AH2145" s="771"/>
      <c r="AI2145" s="771"/>
      <c r="AJ2145" s="771"/>
      <c r="AK2145" s="771"/>
      <c r="AL2145" s="771"/>
      <c r="AM2145" s="771"/>
      <c r="AN2145" s="771"/>
      <c r="AO2145" s="771"/>
      <c r="AP2145" s="771"/>
      <c r="AQ2145" s="771"/>
      <c r="AR2145" s="771"/>
      <c r="AS2145" s="771"/>
      <c r="AT2145" s="771"/>
      <c r="AU2145" s="771"/>
    </row>
    <row r="2146" spans="1:47" s="1383" customFormat="1" outlineLevel="1" x14ac:dyDescent="0.2">
      <c r="A2146" s="8"/>
      <c r="B2146" s="8"/>
      <c r="C2146" s="1989" t="s">
        <v>3728</v>
      </c>
      <c r="D2146" s="1989" t="s">
        <v>3729</v>
      </c>
      <c r="E2146" s="1989">
        <v>15.25</v>
      </c>
      <c r="F2146" s="38">
        <f t="shared" si="33"/>
        <v>1240.1489100000001</v>
      </c>
      <c r="G2146" s="1547"/>
      <c r="H2146" s="8"/>
      <c r="I2146" s="8"/>
      <c r="J2146" s="8"/>
      <c r="K2146" s="8"/>
      <c r="L2146" s="8"/>
      <c r="M2146" s="8"/>
      <c r="N2146" s="8"/>
      <c r="O2146" s="8"/>
      <c r="P2146" s="8"/>
      <c r="Q2146" s="8"/>
      <c r="R2146" s="8"/>
      <c r="S2146" s="8"/>
      <c r="T2146" s="8"/>
      <c r="U2146" s="8"/>
      <c r="V2146" s="8"/>
      <c r="W2146" s="8"/>
      <c r="X2146" s="771"/>
      <c r="Y2146" s="771"/>
      <c r="Z2146" s="771"/>
      <c r="AA2146" s="771"/>
      <c r="AB2146" s="771"/>
      <c r="AC2146" s="771"/>
      <c r="AD2146" s="771"/>
      <c r="AE2146" s="771"/>
      <c r="AF2146" s="771"/>
      <c r="AG2146" s="771"/>
      <c r="AH2146" s="771"/>
      <c r="AI2146" s="771"/>
      <c r="AJ2146" s="771"/>
      <c r="AK2146" s="771"/>
      <c r="AL2146" s="771"/>
      <c r="AM2146" s="771"/>
      <c r="AN2146" s="771"/>
      <c r="AO2146" s="771"/>
      <c r="AP2146" s="771"/>
      <c r="AQ2146" s="771"/>
      <c r="AR2146" s="771"/>
      <c r="AS2146" s="771"/>
      <c r="AT2146" s="771"/>
      <c r="AU2146" s="771"/>
    </row>
    <row r="2147" spans="1:47" s="1383" customFormat="1" outlineLevel="1" x14ac:dyDescent="0.2">
      <c r="A2147" s="8"/>
      <c r="B2147" s="8"/>
      <c r="C2147" s="1989" t="s">
        <v>3730</v>
      </c>
      <c r="D2147" s="1989" t="s">
        <v>6152</v>
      </c>
      <c r="E2147" s="1989">
        <v>15.25</v>
      </c>
      <c r="F2147" s="38">
        <f t="shared" si="33"/>
        <v>1240.1489100000001</v>
      </c>
      <c r="G2147" s="1547"/>
      <c r="H2147" s="8"/>
      <c r="I2147" s="8"/>
      <c r="J2147" s="8"/>
      <c r="K2147" s="8"/>
      <c r="L2147" s="8"/>
      <c r="M2147" s="8"/>
      <c r="N2147" s="8"/>
      <c r="O2147" s="8"/>
      <c r="P2147" s="8"/>
      <c r="Q2147" s="8"/>
      <c r="R2147" s="8"/>
      <c r="S2147" s="8"/>
      <c r="T2147" s="8"/>
      <c r="U2147" s="8"/>
      <c r="V2147" s="8"/>
      <c r="W2147" s="8"/>
      <c r="X2147" s="771"/>
      <c r="Y2147" s="771"/>
      <c r="Z2147" s="771"/>
      <c r="AA2147" s="771"/>
      <c r="AB2147" s="771"/>
      <c r="AC2147" s="771"/>
      <c r="AD2147" s="771"/>
      <c r="AE2147" s="771"/>
      <c r="AF2147" s="771"/>
      <c r="AG2147" s="771"/>
      <c r="AH2147" s="771"/>
      <c r="AI2147" s="771"/>
      <c r="AJ2147" s="771"/>
      <c r="AK2147" s="771"/>
      <c r="AL2147" s="771"/>
      <c r="AM2147" s="771"/>
      <c r="AN2147" s="771"/>
      <c r="AO2147" s="771"/>
      <c r="AP2147" s="771"/>
      <c r="AQ2147" s="771"/>
      <c r="AR2147" s="771"/>
      <c r="AS2147" s="771"/>
      <c r="AT2147" s="771"/>
      <c r="AU2147" s="771"/>
    </row>
    <row r="2148" spans="1:47" s="1383" customFormat="1" outlineLevel="1" x14ac:dyDescent="0.2">
      <c r="A2148" s="8"/>
      <c r="B2148" s="8"/>
      <c r="C2148" s="1989" t="s">
        <v>3758</v>
      </c>
      <c r="D2148" s="1989" t="s">
        <v>7857</v>
      </c>
      <c r="E2148" s="1989">
        <v>25.68</v>
      </c>
      <c r="F2148" s="38">
        <f t="shared" si="33"/>
        <v>2088.3294432000002</v>
      </c>
      <c r="G2148" s="1547"/>
      <c r="H2148" s="8"/>
      <c r="I2148" s="8"/>
      <c r="J2148" s="8"/>
      <c r="K2148" s="8"/>
      <c r="L2148" s="8"/>
      <c r="M2148" s="8"/>
      <c r="N2148" s="8"/>
      <c r="O2148" s="8"/>
      <c r="P2148" s="8"/>
      <c r="Q2148" s="8"/>
      <c r="R2148" s="8"/>
      <c r="S2148" s="8"/>
      <c r="T2148" s="8"/>
      <c r="U2148" s="8"/>
      <c r="V2148" s="8"/>
      <c r="W2148" s="8"/>
      <c r="X2148" s="771"/>
      <c r="Y2148" s="771"/>
      <c r="Z2148" s="771"/>
      <c r="AA2148" s="771"/>
      <c r="AB2148" s="771"/>
      <c r="AC2148" s="771"/>
      <c r="AD2148" s="771"/>
      <c r="AE2148" s="771"/>
      <c r="AF2148" s="771"/>
      <c r="AG2148" s="771"/>
      <c r="AH2148" s="771"/>
      <c r="AI2148" s="771"/>
      <c r="AJ2148" s="771"/>
      <c r="AK2148" s="771"/>
      <c r="AL2148" s="771"/>
      <c r="AM2148" s="771"/>
      <c r="AN2148" s="771"/>
      <c r="AO2148" s="771"/>
      <c r="AP2148" s="771"/>
      <c r="AQ2148" s="771"/>
      <c r="AR2148" s="771"/>
      <c r="AS2148" s="771"/>
      <c r="AT2148" s="771"/>
      <c r="AU2148" s="771"/>
    </row>
    <row r="2149" spans="1:47" s="1383" customFormat="1" outlineLevel="1" x14ac:dyDescent="0.2">
      <c r="A2149" s="8"/>
      <c r="B2149" s="8"/>
      <c r="C2149" s="1989" t="s">
        <v>3759</v>
      </c>
      <c r="D2149" s="1989" t="s">
        <v>3760</v>
      </c>
      <c r="E2149" s="1989">
        <v>26.33</v>
      </c>
      <c r="F2149" s="38">
        <f t="shared" si="33"/>
        <v>2141.1882492</v>
      </c>
      <c r="G2149" s="1547"/>
      <c r="H2149" s="8"/>
      <c r="I2149" s="8"/>
      <c r="J2149" s="8"/>
      <c r="K2149" s="8"/>
      <c r="L2149" s="8"/>
      <c r="M2149" s="8"/>
      <c r="N2149" s="8"/>
      <c r="O2149" s="8"/>
      <c r="P2149" s="8"/>
      <c r="Q2149" s="8"/>
      <c r="R2149" s="8"/>
      <c r="S2149" s="8"/>
      <c r="T2149" s="8"/>
      <c r="U2149" s="8"/>
      <c r="V2149" s="8"/>
      <c r="W2149" s="8"/>
      <c r="X2149" s="771"/>
      <c r="Y2149" s="771"/>
      <c r="Z2149" s="771"/>
      <c r="AA2149" s="771"/>
      <c r="AB2149" s="771"/>
      <c r="AC2149" s="771"/>
      <c r="AD2149" s="771"/>
      <c r="AE2149" s="771"/>
      <c r="AF2149" s="771"/>
      <c r="AG2149" s="771"/>
      <c r="AH2149" s="771"/>
      <c r="AI2149" s="771"/>
      <c r="AJ2149" s="771"/>
      <c r="AK2149" s="771"/>
      <c r="AL2149" s="771"/>
      <c r="AM2149" s="771"/>
      <c r="AN2149" s="771"/>
      <c r="AO2149" s="771"/>
      <c r="AP2149" s="771"/>
      <c r="AQ2149" s="771"/>
      <c r="AR2149" s="771"/>
      <c r="AS2149" s="771"/>
      <c r="AT2149" s="771"/>
      <c r="AU2149" s="771"/>
    </row>
    <row r="2150" spans="1:47" s="1383" customFormat="1" outlineLevel="1" x14ac:dyDescent="0.2">
      <c r="A2150" s="8"/>
      <c r="B2150" s="8"/>
      <c r="C2150" s="1989" t="s">
        <v>3731</v>
      </c>
      <c r="D2150" s="1989" t="s">
        <v>6153</v>
      </c>
      <c r="E2150" s="1989">
        <v>62.82</v>
      </c>
      <c r="F2150" s="38">
        <f t="shared" si="33"/>
        <v>5108.6002968000003</v>
      </c>
      <c r="G2150" s="1547"/>
      <c r="H2150" s="8"/>
      <c r="I2150" s="8"/>
      <c r="J2150" s="8"/>
      <c r="K2150" s="8"/>
      <c r="L2150" s="8"/>
      <c r="M2150" s="8"/>
      <c r="N2150" s="8"/>
      <c r="O2150" s="8"/>
      <c r="P2150" s="8"/>
      <c r="Q2150" s="8"/>
      <c r="R2150" s="8"/>
      <c r="S2150" s="8"/>
      <c r="T2150" s="8"/>
      <c r="U2150" s="8"/>
      <c r="V2150" s="8"/>
      <c r="W2150" s="8"/>
      <c r="X2150" s="771"/>
      <c r="Y2150" s="771"/>
      <c r="Z2150" s="771"/>
      <c r="AA2150" s="771"/>
      <c r="AB2150" s="771"/>
      <c r="AC2150" s="771"/>
      <c r="AD2150" s="771"/>
      <c r="AE2150" s="771"/>
      <c r="AF2150" s="771"/>
      <c r="AG2150" s="771"/>
      <c r="AH2150" s="771"/>
      <c r="AI2150" s="771"/>
      <c r="AJ2150" s="771"/>
      <c r="AK2150" s="771"/>
      <c r="AL2150" s="771"/>
      <c r="AM2150" s="771"/>
      <c r="AN2150" s="771"/>
      <c r="AO2150" s="771"/>
      <c r="AP2150" s="771"/>
      <c r="AQ2150" s="771"/>
      <c r="AR2150" s="771"/>
      <c r="AS2150" s="771"/>
      <c r="AT2150" s="771"/>
      <c r="AU2150" s="771"/>
    </row>
    <row r="2151" spans="1:47" s="1383" customFormat="1" outlineLevel="1" x14ac:dyDescent="0.2">
      <c r="A2151" s="8"/>
      <c r="B2151" s="8"/>
      <c r="C2151" s="1989" t="s">
        <v>6792</v>
      </c>
      <c r="D2151" s="1989" t="s">
        <v>6154</v>
      </c>
      <c r="E2151" s="1989">
        <v>35.44</v>
      </c>
      <c r="F2151" s="38">
        <f t="shared" si="33"/>
        <v>2882.0247456000002</v>
      </c>
      <c r="G2151" s="1547"/>
      <c r="H2151" s="8"/>
      <c r="I2151" s="8"/>
      <c r="J2151" s="8"/>
      <c r="K2151" s="8"/>
      <c r="L2151" s="8"/>
      <c r="M2151" s="8"/>
      <c r="N2151" s="8"/>
      <c r="O2151" s="8"/>
      <c r="P2151" s="8"/>
      <c r="Q2151" s="8"/>
      <c r="R2151" s="8"/>
      <c r="S2151" s="8"/>
      <c r="T2151" s="8"/>
      <c r="U2151" s="8"/>
      <c r="V2151" s="8"/>
      <c r="W2151" s="8"/>
      <c r="X2151" s="771"/>
      <c r="Y2151" s="771"/>
      <c r="Z2151" s="771"/>
      <c r="AA2151" s="771"/>
      <c r="AB2151" s="771"/>
      <c r="AC2151" s="771"/>
      <c r="AD2151" s="771"/>
      <c r="AE2151" s="771"/>
      <c r="AF2151" s="771"/>
      <c r="AG2151" s="771"/>
      <c r="AH2151" s="771"/>
      <c r="AI2151" s="771"/>
      <c r="AJ2151" s="771"/>
      <c r="AK2151" s="771"/>
      <c r="AL2151" s="771"/>
      <c r="AM2151" s="771"/>
      <c r="AN2151" s="771"/>
      <c r="AO2151" s="771"/>
      <c r="AP2151" s="771"/>
      <c r="AQ2151" s="771"/>
      <c r="AR2151" s="771"/>
      <c r="AS2151" s="771"/>
      <c r="AT2151" s="771"/>
      <c r="AU2151" s="771"/>
    </row>
    <row r="2152" spans="1:47" s="1383" customFormat="1" outlineLevel="1" x14ac:dyDescent="0.2">
      <c r="A2152" s="8"/>
      <c r="B2152" s="8"/>
      <c r="C2152" s="1989" t="s">
        <v>4619</v>
      </c>
      <c r="D2152" s="1989" t="s">
        <v>6155</v>
      </c>
      <c r="E2152" s="1989">
        <v>0</v>
      </c>
      <c r="F2152" s="38">
        <f t="shared" si="33"/>
        <v>0</v>
      </c>
      <c r="G2152" s="1547"/>
      <c r="H2152" s="8"/>
      <c r="I2152" s="8"/>
      <c r="J2152" s="8"/>
      <c r="K2152" s="8"/>
      <c r="L2152" s="8"/>
      <c r="M2152" s="8"/>
      <c r="N2152" s="8"/>
      <c r="O2152" s="8"/>
      <c r="P2152" s="8"/>
      <c r="Q2152" s="8"/>
      <c r="R2152" s="8"/>
      <c r="S2152" s="8"/>
      <c r="T2152" s="8"/>
      <c r="U2152" s="8"/>
      <c r="V2152" s="8"/>
      <c r="W2152" s="8"/>
      <c r="X2152" s="771"/>
      <c r="Y2152" s="771"/>
      <c r="Z2152" s="771"/>
      <c r="AA2152" s="771"/>
      <c r="AB2152" s="771"/>
      <c r="AC2152" s="771"/>
      <c r="AD2152" s="771"/>
      <c r="AE2152" s="771"/>
      <c r="AF2152" s="771"/>
      <c r="AG2152" s="771"/>
      <c r="AH2152" s="771"/>
      <c r="AI2152" s="771"/>
      <c r="AJ2152" s="771"/>
      <c r="AK2152" s="771"/>
      <c r="AL2152" s="771"/>
      <c r="AM2152" s="771"/>
      <c r="AN2152" s="771"/>
      <c r="AO2152" s="771"/>
      <c r="AP2152" s="771"/>
      <c r="AQ2152" s="771"/>
      <c r="AR2152" s="771"/>
      <c r="AS2152" s="771"/>
      <c r="AT2152" s="771"/>
      <c r="AU2152" s="771"/>
    </row>
    <row r="2153" spans="1:47" s="1383" customFormat="1" outlineLevel="1" x14ac:dyDescent="0.2">
      <c r="A2153" s="8"/>
      <c r="B2153" s="8"/>
      <c r="C2153" s="1989" t="s">
        <v>7858</v>
      </c>
      <c r="D2153" s="1989" t="s">
        <v>7859</v>
      </c>
      <c r="E2153" s="1989">
        <v>0</v>
      </c>
      <c r="F2153" s="38">
        <f t="shared" si="33"/>
        <v>0</v>
      </c>
      <c r="G2153" s="1547"/>
      <c r="H2153" s="8"/>
      <c r="I2153" s="8"/>
      <c r="J2153" s="8"/>
      <c r="K2153" s="8"/>
      <c r="L2153" s="8"/>
      <c r="M2153" s="8"/>
      <c r="N2153" s="8"/>
      <c r="O2153" s="8"/>
      <c r="P2153" s="8"/>
      <c r="Q2153" s="8"/>
      <c r="R2153" s="8"/>
      <c r="S2153" s="8"/>
      <c r="T2153" s="8"/>
      <c r="U2153" s="8"/>
      <c r="V2153" s="8"/>
      <c r="W2153" s="8"/>
      <c r="X2153" s="771"/>
      <c r="Y2153" s="771"/>
      <c r="Z2153" s="771"/>
      <c r="AA2153" s="771"/>
      <c r="AB2153" s="771"/>
      <c r="AC2153" s="771"/>
      <c r="AD2153" s="771"/>
      <c r="AE2153" s="771"/>
      <c r="AF2153" s="771"/>
      <c r="AG2153" s="771"/>
      <c r="AH2153" s="771"/>
      <c r="AI2153" s="771"/>
      <c r="AJ2153" s="771"/>
      <c r="AK2153" s="771"/>
      <c r="AL2153" s="771"/>
      <c r="AM2153" s="771"/>
      <c r="AN2153" s="771"/>
      <c r="AO2153" s="771"/>
      <c r="AP2153" s="771"/>
      <c r="AQ2153" s="771"/>
      <c r="AR2153" s="771"/>
      <c r="AS2153" s="771"/>
      <c r="AT2153" s="771"/>
      <c r="AU2153" s="771"/>
    </row>
    <row r="2154" spans="1:47" s="1383" customFormat="1" outlineLevel="1" x14ac:dyDescent="0.2">
      <c r="A2154" s="8"/>
      <c r="B2154" s="8"/>
      <c r="C2154" s="1989" t="s">
        <v>3732</v>
      </c>
      <c r="D2154" s="1989" t="s">
        <v>6156</v>
      </c>
      <c r="E2154" s="1989">
        <v>37.880000000000003</v>
      </c>
      <c r="F2154" s="38">
        <f t="shared" si="33"/>
        <v>3080.4485712000005</v>
      </c>
      <c r="G2154" s="1547"/>
      <c r="H2154" s="8"/>
      <c r="I2154" s="8"/>
      <c r="J2154" s="8"/>
      <c r="K2154" s="8"/>
      <c r="L2154" s="8"/>
      <c r="M2154" s="8"/>
      <c r="N2154" s="8"/>
      <c r="O2154" s="8"/>
      <c r="P2154" s="8"/>
      <c r="Q2154" s="8"/>
      <c r="R2154" s="8"/>
      <c r="S2154" s="8"/>
      <c r="T2154" s="8"/>
      <c r="U2154" s="8"/>
      <c r="V2154" s="8"/>
      <c r="W2154" s="8"/>
      <c r="X2154" s="771"/>
      <c r="Y2154" s="771"/>
      <c r="Z2154" s="771"/>
      <c r="AA2154" s="771"/>
      <c r="AB2154" s="771"/>
      <c r="AC2154" s="771"/>
      <c r="AD2154" s="771"/>
      <c r="AE2154" s="771"/>
      <c r="AF2154" s="771"/>
      <c r="AG2154" s="771"/>
      <c r="AH2154" s="771"/>
      <c r="AI2154" s="771"/>
      <c r="AJ2154" s="771"/>
      <c r="AK2154" s="771"/>
      <c r="AL2154" s="771"/>
      <c r="AM2154" s="771"/>
      <c r="AN2154" s="771"/>
      <c r="AO2154" s="771"/>
      <c r="AP2154" s="771"/>
      <c r="AQ2154" s="771"/>
      <c r="AR2154" s="771"/>
      <c r="AS2154" s="771"/>
      <c r="AT2154" s="771"/>
      <c r="AU2154" s="771"/>
    </row>
    <row r="2155" spans="1:47" s="1383" customFormat="1" outlineLevel="1" x14ac:dyDescent="0.2">
      <c r="A2155" s="8"/>
      <c r="B2155" s="8"/>
      <c r="C2155" s="1989" t="s">
        <v>2846</v>
      </c>
      <c r="D2155" s="1989" t="s">
        <v>2847</v>
      </c>
      <c r="E2155" s="1989">
        <v>0.59</v>
      </c>
      <c r="F2155" s="38">
        <f t="shared" si="33"/>
        <v>47.979531600000001</v>
      </c>
      <c r="G2155" s="1547"/>
      <c r="H2155" s="8"/>
      <c r="I2155" s="8"/>
      <c r="J2155" s="8"/>
      <c r="K2155" s="8"/>
      <c r="L2155" s="8"/>
      <c r="M2155" s="8"/>
      <c r="N2155" s="8"/>
      <c r="O2155" s="8"/>
      <c r="P2155" s="8"/>
      <c r="Q2155" s="8"/>
      <c r="R2155" s="8"/>
      <c r="S2155" s="8"/>
      <c r="T2155" s="8"/>
      <c r="U2155" s="8"/>
      <c r="V2155" s="8"/>
      <c r="W2155" s="8"/>
      <c r="X2155" s="771"/>
      <c r="Y2155" s="771"/>
      <c r="Z2155" s="771"/>
      <c r="AA2155" s="771"/>
      <c r="AB2155" s="771"/>
      <c r="AC2155" s="771"/>
      <c r="AD2155" s="771"/>
      <c r="AE2155" s="771"/>
      <c r="AF2155" s="771"/>
      <c r="AG2155" s="771"/>
      <c r="AH2155" s="771"/>
      <c r="AI2155" s="771"/>
      <c r="AJ2155" s="771"/>
      <c r="AK2155" s="771"/>
      <c r="AL2155" s="771"/>
      <c r="AM2155" s="771"/>
      <c r="AN2155" s="771"/>
      <c r="AO2155" s="771"/>
      <c r="AP2155" s="771"/>
      <c r="AQ2155" s="771"/>
      <c r="AR2155" s="771"/>
      <c r="AS2155" s="771"/>
      <c r="AT2155" s="771"/>
      <c r="AU2155" s="771"/>
    </row>
    <row r="2156" spans="1:47" s="1383" customFormat="1" outlineLevel="1" x14ac:dyDescent="0.2">
      <c r="A2156" s="8"/>
      <c r="B2156" s="8"/>
      <c r="C2156" s="1989" t="s">
        <v>2848</v>
      </c>
      <c r="D2156" s="1989" t="s">
        <v>2849</v>
      </c>
      <c r="E2156" s="1989">
        <v>0.44</v>
      </c>
      <c r="F2156" s="38">
        <f t="shared" si="33"/>
        <v>35.781345600000002</v>
      </c>
      <c r="G2156" s="1547"/>
      <c r="H2156" s="8"/>
      <c r="I2156" s="8"/>
      <c r="J2156" s="8"/>
      <c r="K2156" s="8"/>
      <c r="L2156" s="8"/>
      <c r="M2156" s="8"/>
      <c r="N2156" s="8"/>
      <c r="O2156" s="8"/>
      <c r="P2156" s="8"/>
      <c r="Q2156" s="8"/>
      <c r="R2156" s="8"/>
      <c r="S2156" s="8"/>
      <c r="T2156" s="8"/>
      <c r="U2156" s="8"/>
      <c r="V2156" s="8"/>
      <c r="W2156" s="8"/>
      <c r="X2156" s="771"/>
      <c r="Y2156" s="771"/>
      <c r="Z2156" s="771"/>
      <c r="AA2156" s="771"/>
      <c r="AB2156" s="771"/>
      <c r="AC2156" s="771"/>
      <c r="AD2156" s="771"/>
      <c r="AE2156" s="771"/>
      <c r="AF2156" s="771"/>
      <c r="AG2156" s="771"/>
      <c r="AH2156" s="771"/>
      <c r="AI2156" s="771"/>
      <c r="AJ2156" s="771"/>
      <c r="AK2156" s="771"/>
      <c r="AL2156" s="771"/>
      <c r="AM2156" s="771"/>
      <c r="AN2156" s="771"/>
      <c r="AO2156" s="771"/>
      <c r="AP2156" s="771"/>
      <c r="AQ2156" s="771"/>
      <c r="AR2156" s="771"/>
      <c r="AS2156" s="771"/>
      <c r="AT2156" s="771"/>
      <c r="AU2156" s="771"/>
    </row>
    <row r="2157" spans="1:47" s="1383" customFormat="1" outlineLevel="1" x14ac:dyDescent="0.2">
      <c r="A2157" s="8"/>
      <c r="B2157" s="8"/>
      <c r="C2157" s="1989" t="s">
        <v>3061</v>
      </c>
      <c r="D2157" s="1989" t="s">
        <v>6157</v>
      </c>
      <c r="E2157" s="1989">
        <v>7.2</v>
      </c>
      <c r="F2157" s="38">
        <f t="shared" si="33"/>
        <v>585.5129280000001</v>
      </c>
      <c r="G2157" s="1547"/>
      <c r="H2157" s="8"/>
      <c r="I2157" s="8"/>
      <c r="J2157" s="8"/>
      <c r="K2157" s="8"/>
      <c r="L2157" s="8"/>
      <c r="M2157" s="8"/>
      <c r="N2157" s="8"/>
      <c r="O2157" s="8"/>
      <c r="P2157" s="8"/>
      <c r="Q2157" s="8"/>
      <c r="R2157" s="8"/>
      <c r="S2157" s="8"/>
      <c r="T2157" s="8"/>
      <c r="U2157" s="8"/>
      <c r="V2157" s="8"/>
      <c r="W2157" s="8"/>
      <c r="X2157" s="771"/>
      <c r="Y2157" s="771"/>
      <c r="Z2157" s="771"/>
      <c r="AA2157" s="771"/>
      <c r="AB2157" s="771"/>
      <c r="AC2157" s="771"/>
      <c r="AD2157" s="771"/>
      <c r="AE2157" s="771"/>
      <c r="AF2157" s="771"/>
      <c r="AG2157" s="771"/>
      <c r="AH2157" s="771"/>
      <c r="AI2157" s="771"/>
      <c r="AJ2157" s="771"/>
      <c r="AK2157" s="771"/>
      <c r="AL2157" s="771"/>
      <c r="AM2157" s="771"/>
      <c r="AN2157" s="771"/>
      <c r="AO2157" s="771"/>
      <c r="AP2157" s="771"/>
      <c r="AQ2157" s="771"/>
      <c r="AR2157" s="771"/>
      <c r="AS2157" s="771"/>
      <c r="AT2157" s="771"/>
      <c r="AU2157" s="771"/>
    </row>
    <row r="2158" spans="1:47" s="1383" customFormat="1" outlineLevel="1" x14ac:dyDescent="0.2">
      <c r="A2158" s="8"/>
      <c r="B2158" s="8"/>
      <c r="C2158" s="1989" t="s">
        <v>2850</v>
      </c>
      <c r="D2158" s="1989" t="s">
        <v>7860</v>
      </c>
      <c r="E2158" s="1989">
        <v>0.13</v>
      </c>
      <c r="F2158" s="38">
        <f t="shared" si="33"/>
        <v>10.571761200000001</v>
      </c>
      <c r="G2158" s="1547"/>
      <c r="H2158" s="8"/>
      <c r="I2158" s="8"/>
      <c r="J2158" s="8"/>
      <c r="K2158" s="8"/>
      <c r="L2158" s="8"/>
      <c r="M2158" s="8"/>
      <c r="N2158" s="8"/>
      <c r="O2158" s="8"/>
      <c r="P2158" s="8"/>
      <c r="Q2158" s="8"/>
      <c r="R2158" s="8"/>
      <c r="S2158" s="8"/>
      <c r="T2158" s="8"/>
      <c r="U2158" s="8"/>
      <c r="V2158" s="8"/>
      <c r="W2158" s="8"/>
      <c r="X2158" s="771"/>
      <c r="Y2158" s="771"/>
      <c r="Z2158" s="771"/>
      <c r="AA2158" s="771"/>
      <c r="AB2158" s="771"/>
      <c r="AC2158" s="771"/>
      <c r="AD2158" s="771"/>
      <c r="AE2158" s="771"/>
      <c r="AF2158" s="771"/>
      <c r="AG2158" s="771"/>
      <c r="AH2158" s="771"/>
      <c r="AI2158" s="771"/>
      <c r="AJ2158" s="771"/>
      <c r="AK2158" s="771"/>
      <c r="AL2158" s="771"/>
      <c r="AM2158" s="771"/>
      <c r="AN2158" s="771"/>
      <c r="AO2158" s="771"/>
      <c r="AP2158" s="771"/>
      <c r="AQ2158" s="771"/>
      <c r="AR2158" s="771"/>
      <c r="AS2158" s="771"/>
      <c r="AT2158" s="771"/>
      <c r="AU2158" s="771"/>
    </row>
    <row r="2159" spans="1:47" s="1383" customFormat="1" outlineLevel="1" x14ac:dyDescent="0.2">
      <c r="A2159" s="8"/>
      <c r="B2159" s="8"/>
      <c r="C2159" s="1989" t="s">
        <v>2851</v>
      </c>
      <c r="D2159" s="1989" t="s">
        <v>6158</v>
      </c>
      <c r="E2159" s="1989">
        <v>7.85</v>
      </c>
      <c r="F2159" s="38">
        <f t="shared" si="33"/>
        <v>638.37173400000006</v>
      </c>
      <c r="G2159" s="1547"/>
      <c r="H2159" s="8"/>
      <c r="I2159" s="8"/>
      <c r="J2159" s="8"/>
      <c r="K2159" s="8"/>
      <c r="L2159" s="8"/>
      <c r="M2159" s="8"/>
      <c r="N2159" s="8"/>
      <c r="O2159" s="8"/>
      <c r="P2159" s="8"/>
      <c r="Q2159" s="8"/>
      <c r="R2159" s="8"/>
      <c r="S2159" s="8"/>
      <c r="T2159" s="8"/>
      <c r="U2159" s="8"/>
      <c r="V2159" s="8"/>
      <c r="W2159" s="8"/>
      <c r="X2159" s="771"/>
      <c r="Y2159" s="771"/>
      <c r="Z2159" s="771"/>
      <c r="AA2159" s="771"/>
      <c r="AB2159" s="771"/>
      <c r="AC2159" s="771"/>
      <c r="AD2159" s="771"/>
      <c r="AE2159" s="771"/>
      <c r="AF2159" s="771"/>
      <c r="AG2159" s="771"/>
      <c r="AH2159" s="771"/>
      <c r="AI2159" s="771"/>
      <c r="AJ2159" s="771"/>
      <c r="AK2159" s="771"/>
      <c r="AL2159" s="771"/>
      <c r="AM2159" s="771"/>
      <c r="AN2159" s="771"/>
      <c r="AO2159" s="771"/>
      <c r="AP2159" s="771"/>
      <c r="AQ2159" s="771"/>
      <c r="AR2159" s="771"/>
      <c r="AS2159" s="771"/>
      <c r="AT2159" s="771"/>
      <c r="AU2159" s="771"/>
    </row>
    <row r="2160" spans="1:47" s="1383" customFormat="1" outlineLevel="1" x14ac:dyDescent="0.2">
      <c r="A2160" s="8"/>
      <c r="B2160" s="8"/>
      <c r="C2160" s="1989" t="s">
        <v>3062</v>
      </c>
      <c r="D2160" s="1989" t="s">
        <v>6159</v>
      </c>
      <c r="E2160" s="1989">
        <v>7.2</v>
      </c>
      <c r="F2160" s="38">
        <f t="shared" si="33"/>
        <v>585.5129280000001</v>
      </c>
      <c r="G2160" s="1547"/>
      <c r="H2160" s="8"/>
      <c r="I2160" s="8"/>
      <c r="J2160" s="8"/>
      <c r="K2160" s="8"/>
      <c r="L2160" s="8"/>
      <c r="M2160" s="8"/>
      <c r="N2160" s="8"/>
      <c r="O2160" s="8"/>
      <c r="P2160" s="8"/>
      <c r="Q2160" s="8"/>
      <c r="R2160" s="8"/>
      <c r="S2160" s="8"/>
      <c r="T2160" s="8"/>
      <c r="U2160" s="8"/>
      <c r="V2160" s="8"/>
      <c r="W2160" s="8"/>
      <c r="X2160" s="771"/>
      <c r="Y2160" s="771"/>
      <c r="Z2160" s="771"/>
      <c r="AA2160" s="771"/>
      <c r="AB2160" s="771"/>
      <c r="AC2160" s="771"/>
      <c r="AD2160" s="771"/>
      <c r="AE2160" s="771"/>
      <c r="AF2160" s="771"/>
      <c r="AG2160" s="771"/>
      <c r="AH2160" s="771"/>
      <c r="AI2160" s="771"/>
      <c r="AJ2160" s="771"/>
      <c r="AK2160" s="771"/>
      <c r="AL2160" s="771"/>
      <c r="AM2160" s="771"/>
      <c r="AN2160" s="771"/>
      <c r="AO2160" s="771"/>
      <c r="AP2160" s="771"/>
      <c r="AQ2160" s="771"/>
      <c r="AR2160" s="771"/>
      <c r="AS2160" s="771"/>
      <c r="AT2160" s="771"/>
      <c r="AU2160" s="771"/>
    </row>
    <row r="2161" spans="1:47" s="1383" customFormat="1" outlineLevel="1" x14ac:dyDescent="0.2">
      <c r="A2161" s="8"/>
      <c r="B2161" s="8"/>
      <c r="C2161" s="1989" t="s">
        <v>2852</v>
      </c>
      <c r="D2161" s="1989" t="s">
        <v>7861</v>
      </c>
      <c r="E2161" s="1989">
        <v>0.12</v>
      </c>
      <c r="F2161" s="38">
        <f t="shared" si="33"/>
        <v>9.7585487999999998</v>
      </c>
      <c r="G2161" s="1547"/>
      <c r="H2161" s="8"/>
      <c r="I2161" s="8"/>
      <c r="J2161" s="8"/>
      <c r="K2161" s="8"/>
      <c r="L2161" s="8"/>
      <c r="M2161" s="8"/>
      <c r="N2161" s="8"/>
      <c r="O2161" s="8"/>
      <c r="P2161" s="8"/>
      <c r="Q2161" s="8"/>
      <c r="R2161" s="8"/>
      <c r="S2161" s="8"/>
      <c r="T2161" s="8"/>
      <c r="U2161" s="8"/>
      <c r="V2161" s="8"/>
      <c r="W2161" s="8"/>
      <c r="X2161" s="771"/>
      <c r="Y2161" s="771"/>
      <c r="Z2161" s="771"/>
      <c r="AA2161" s="771"/>
      <c r="AB2161" s="771"/>
      <c r="AC2161" s="771"/>
      <c r="AD2161" s="771"/>
      <c r="AE2161" s="771"/>
      <c r="AF2161" s="771"/>
      <c r="AG2161" s="771"/>
      <c r="AH2161" s="771"/>
      <c r="AI2161" s="771"/>
      <c r="AJ2161" s="771"/>
      <c r="AK2161" s="771"/>
      <c r="AL2161" s="771"/>
      <c r="AM2161" s="771"/>
      <c r="AN2161" s="771"/>
      <c r="AO2161" s="771"/>
      <c r="AP2161" s="771"/>
      <c r="AQ2161" s="771"/>
      <c r="AR2161" s="771"/>
      <c r="AS2161" s="771"/>
      <c r="AT2161" s="771"/>
      <c r="AU2161" s="771"/>
    </row>
    <row r="2162" spans="1:47" s="1383" customFormat="1" outlineLevel="1" x14ac:dyDescent="0.2">
      <c r="A2162" s="8"/>
      <c r="B2162" s="8"/>
      <c r="C2162" s="1989" t="s">
        <v>2853</v>
      </c>
      <c r="D2162" s="1989" t="s">
        <v>6160</v>
      </c>
      <c r="E2162" s="1989">
        <v>1.2</v>
      </c>
      <c r="F2162" s="38">
        <f t="shared" si="33"/>
        <v>97.585487999999998</v>
      </c>
      <c r="G2162" s="1547"/>
      <c r="H2162" s="8"/>
      <c r="I2162" s="8"/>
      <c r="J2162" s="8"/>
      <c r="K2162" s="8"/>
      <c r="L2162" s="8"/>
      <c r="M2162" s="8"/>
      <c r="N2162" s="8"/>
      <c r="O2162" s="8"/>
      <c r="P2162" s="8"/>
      <c r="Q2162" s="8"/>
      <c r="R2162" s="8"/>
      <c r="S2162" s="8"/>
      <c r="T2162" s="8"/>
      <c r="U2162" s="8"/>
      <c r="V2162" s="8"/>
      <c r="W2162" s="8"/>
      <c r="X2162" s="771"/>
      <c r="Y2162" s="771"/>
      <c r="Z2162" s="771"/>
      <c r="AA2162" s="771"/>
      <c r="AB2162" s="771"/>
      <c r="AC2162" s="771"/>
      <c r="AD2162" s="771"/>
      <c r="AE2162" s="771"/>
      <c r="AF2162" s="771"/>
      <c r="AG2162" s="771"/>
      <c r="AH2162" s="771"/>
      <c r="AI2162" s="771"/>
      <c r="AJ2162" s="771"/>
      <c r="AK2162" s="771"/>
      <c r="AL2162" s="771"/>
      <c r="AM2162" s="771"/>
      <c r="AN2162" s="771"/>
      <c r="AO2162" s="771"/>
      <c r="AP2162" s="771"/>
      <c r="AQ2162" s="771"/>
      <c r="AR2162" s="771"/>
      <c r="AS2162" s="771"/>
      <c r="AT2162" s="771"/>
      <c r="AU2162" s="771"/>
    </row>
    <row r="2163" spans="1:47" s="1383" customFormat="1" outlineLevel="1" x14ac:dyDescent="0.2">
      <c r="A2163" s="8"/>
      <c r="B2163" s="8"/>
      <c r="C2163" s="1989" t="s">
        <v>3063</v>
      </c>
      <c r="D2163" s="1989" t="s">
        <v>6161</v>
      </c>
      <c r="E2163" s="1989">
        <v>12.06</v>
      </c>
      <c r="F2163" s="38">
        <f t="shared" si="33"/>
        <v>980.73415440000008</v>
      </c>
      <c r="G2163" s="1547"/>
      <c r="H2163" s="8"/>
      <c r="I2163" s="8"/>
      <c r="J2163" s="8"/>
      <c r="K2163" s="8"/>
      <c r="L2163" s="8"/>
      <c r="M2163" s="8"/>
      <c r="N2163" s="8"/>
      <c r="O2163" s="8"/>
      <c r="P2163" s="8"/>
      <c r="Q2163" s="8"/>
      <c r="R2163" s="8"/>
      <c r="S2163" s="8"/>
      <c r="T2163" s="8"/>
      <c r="U2163" s="8"/>
      <c r="V2163" s="8"/>
      <c r="W2163" s="8"/>
      <c r="X2163" s="771"/>
      <c r="Y2163" s="771"/>
      <c r="Z2163" s="771"/>
      <c r="AA2163" s="771"/>
      <c r="AB2163" s="771"/>
      <c r="AC2163" s="771"/>
      <c r="AD2163" s="771"/>
      <c r="AE2163" s="771"/>
      <c r="AF2163" s="771"/>
      <c r="AG2163" s="771"/>
      <c r="AH2163" s="771"/>
      <c r="AI2163" s="771"/>
      <c r="AJ2163" s="771"/>
      <c r="AK2163" s="771"/>
      <c r="AL2163" s="771"/>
      <c r="AM2163" s="771"/>
      <c r="AN2163" s="771"/>
      <c r="AO2163" s="771"/>
      <c r="AP2163" s="771"/>
      <c r="AQ2163" s="771"/>
      <c r="AR2163" s="771"/>
      <c r="AS2163" s="771"/>
      <c r="AT2163" s="771"/>
      <c r="AU2163" s="771"/>
    </row>
    <row r="2164" spans="1:47" s="1383" customFormat="1" outlineLevel="1" x14ac:dyDescent="0.2">
      <c r="A2164" s="8"/>
      <c r="B2164" s="8"/>
      <c r="C2164" s="1989" t="s">
        <v>3064</v>
      </c>
      <c r="D2164" s="1989" t="s">
        <v>6162</v>
      </c>
      <c r="E2164" s="1989">
        <v>12.06</v>
      </c>
      <c r="F2164" s="38">
        <f t="shared" si="33"/>
        <v>980.73415440000008</v>
      </c>
      <c r="G2164" s="1547"/>
      <c r="H2164" s="8"/>
      <c r="I2164" s="8"/>
      <c r="J2164" s="8"/>
      <c r="K2164" s="8"/>
      <c r="L2164" s="8"/>
      <c r="M2164" s="8"/>
      <c r="N2164" s="8"/>
      <c r="O2164" s="8"/>
      <c r="P2164" s="8"/>
      <c r="Q2164" s="8"/>
      <c r="R2164" s="8"/>
      <c r="S2164" s="8"/>
      <c r="T2164" s="8"/>
      <c r="U2164" s="8"/>
      <c r="V2164" s="8"/>
      <c r="W2164" s="8"/>
      <c r="X2164" s="771"/>
      <c r="Y2164" s="771"/>
      <c r="Z2164" s="771"/>
      <c r="AA2164" s="771"/>
      <c r="AB2164" s="771"/>
      <c r="AC2164" s="771"/>
      <c r="AD2164" s="771"/>
      <c r="AE2164" s="771"/>
      <c r="AF2164" s="771"/>
      <c r="AG2164" s="771"/>
      <c r="AH2164" s="771"/>
      <c r="AI2164" s="771"/>
      <c r="AJ2164" s="771"/>
      <c r="AK2164" s="771"/>
      <c r="AL2164" s="771"/>
      <c r="AM2164" s="771"/>
      <c r="AN2164" s="771"/>
      <c r="AO2164" s="771"/>
      <c r="AP2164" s="771"/>
      <c r="AQ2164" s="771"/>
      <c r="AR2164" s="771"/>
      <c r="AS2164" s="771"/>
      <c r="AT2164" s="771"/>
      <c r="AU2164" s="771"/>
    </row>
    <row r="2165" spans="1:47" s="1383" customFormat="1" outlineLevel="1" x14ac:dyDescent="0.2">
      <c r="A2165" s="8"/>
      <c r="B2165" s="8"/>
      <c r="C2165" s="1989" t="s">
        <v>3065</v>
      </c>
      <c r="D2165" s="1989" t="s">
        <v>6163</v>
      </c>
      <c r="E2165" s="1989">
        <v>7</v>
      </c>
      <c r="F2165" s="38">
        <f t="shared" si="33"/>
        <v>569.24868000000004</v>
      </c>
      <c r="G2165" s="1547"/>
      <c r="H2165" s="8"/>
      <c r="I2165" s="8"/>
      <c r="J2165" s="8"/>
      <c r="K2165" s="8"/>
      <c r="L2165" s="8"/>
      <c r="M2165" s="8"/>
      <c r="N2165" s="8"/>
      <c r="O2165" s="8"/>
      <c r="P2165" s="8"/>
      <c r="Q2165" s="8"/>
      <c r="R2165" s="8"/>
      <c r="S2165" s="8"/>
      <c r="T2165" s="8"/>
      <c r="U2165" s="8"/>
      <c r="V2165" s="8"/>
      <c r="W2165" s="8"/>
      <c r="X2165" s="771"/>
      <c r="Y2165" s="771"/>
      <c r="Z2165" s="771"/>
      <c r="AA2165" s="771"/>
      <c r="AB2165" s="771"/>
      <c r="AC2165" s="771"/>
      <c r="AD2165" s="771"/>
      <c r="AE2165" s="771"/>
      <c r="AF2165" s="771"/>
      <c r="AG2165" s="771"/>
      <c r="AH2165" s="771"/>
      <c r="AI2165" s="771"/>
      <c r="AJ2165" s="771"/>
      <c r="AK2165" s="771"/>
      <c r="AL2165" s="771"/>
      <c r="AM2165" s="771"/>
      <c r="AN2165" s="771"/>
      <c r="AO2165" s="771"/>
      <c r="AP2165" s="771"/>
      <c r="AQ2165" s="771"/>
      <c r="AR2165" s="771"/>
      <c r="AS2165" s="771"/>
      <c r="AT2165" s="771"/>
      <c r="AU2165" s="771"/>
    </row>
    <row r="2166" spans="1:47" s="1383" customFormat="1" outlineLevel="1" x14ac:dyDescent="0.2">
      <c r="A2166" s="8"/>
      <c r="B2166" s="8"/>
      <c r="C2166" s="1989" t="s">
        <v>3066</v>
      </c>
      <c r="D2166" s="1989" t="s">
        <v>6164</v>
      </c>
      <c r="E2166" s="1989">
        <v>1.59</v>
      </c>
      <c r="F2166" s="38">
        <f t="shared" si="33"/>
        <v>129.30077159999999</v>
      </c>
      <c r="G2166" s="1547"/>
      <c r="H2166" s="8"/>
      <c r="I2166" s="8"/>
      <c r="J2166" s="8"/>
      <c r="K2166" s="8"/>
      <c r="L2166" s="8"/>
      <c r="M2166" s="8"/>
      <c r="N2166" s="8"/>
      <c r="O2166" s="8"/>
      <c r="P2166" s="8"/>
      <c r="Q2166" s="8"/>
      <c r="R2166" s="8"/>
      <c r="S2166" s="8"/>
      <c r="T2166" s="8"/>
      <c r="U2166" s="8"/>
      <c r="V2166" s="8"/>
      <c r="W2166" s="8"/>
      <c r="X2166" s="771"/>
      <c r="Y2166" s="771"/>
      <c r="Z2166" s="771"/>
      <c r="AA2166" s="771"/>
      <c r="AB2166" s="771"/>
      <c r="AC2166" s="771"/>
      <c r="AD2166" s="771"/>
      <c r="AE2166" s="771"/>
      <c r="AF2166" s="771"/>
      <c r="AG2166" s="771"/>
      <c r="AH2166" s="771"/>
      <c r="AI2166" s="771"/>
      <c r="AJ2166" s="771"/>
      <c r="AK2166" s="771"/>
      <c r="AL2166" s="771"/>
      <c r="AM2166" s="771"/>
      <c r="AN2166" s="771"/>
      <c r="AO2166" s="771"/>
      <c r="AP2166" s="771"/>
      <c r="AQ2166" s="771"/>
      <c r="AR2166" s="771"/>
      <c r="AS2166" s="771"/>
      <c r="AT2166" s="771"/>
      <c r="AU2166" s="771"/>
    </row>
    <row r="2167" spans="1:47" s="1383" customFormat="1" outlineLevel="1" x14ac:dyDescent="0.2">
      <c r="A2167" s="8"/>
      <c r="B2167" s="8"/>
      <c r="C2167" s="1989" t="s">
        <v>3067</v>
      </c>
      <c r="D2167" s="1989" t="s">
        <v>3068</v>
      </c>
      <c r="E2167" s="1989">
        <v>0.55000000000000004</v>
      </c>
      <c r="F2167" s="38">
        <f t="shared" si="33"/>
        <v>44.726682000000004</v>
      </c>
      <c r="G2167" s="1547"/>
      <c r="H2167" s="8"/>
      <c r="I2167" s="8"/>
      <c r="J2167" s="8"/>
      <c r="K2167" s="8"/>
      <c r="L2167" s="8"/>
      <c r="M2167" s="8"/>
      <c r="N2167" s="8"/>
      <c r="O2167" s="8"/>
      <c r="P2167" s="8"/>
      <c r="Q2167" s="8"/>
      <c r="R2167" s="8"/>
      <c r="S2167" s="8"/>
      <c r="T2167" s="8"/>
      <c r="U2167" s="8"/>
      <c r="V2167" s="8"/>
      <c r="W2167" s="8"/>
      <c r="X2167" s="771"/>
      <c r="Y2167" s="771"/>
      <c r="Z2167" s="771"/>
      <c r="AA2167" s="771"/>
      <c r="AB2167" s="771"/>
      <c r="AC2167" s="771"/>
      <c r="AD2167" s="771"/>
      <c r="AE2167" s="771"/>
      <c r="AF2167" s="771"/>
      <c r="AG2167" s="771"/>
      <c r="AH2167" s="771"/>
      <c r="AI2167" s="771"/>
      <c r="AJ2167" s="771"/>
      <c r="AK2167" s="771"/>
      <c r="AL2167" s="771"/>
      <c r="AM2167" s="771"/>
      <c r="AN2167" s="771"/>
      <c r="AO2167" s="771"/>
      <c r="AP2167" s="771"/>
      <c r="AQ2167" s="771"/>
      <c r="AR2167" s="771"/>
      <c r="AS2167" s="771"/>
      <c r="AT2167" s="771"/>
      <c r="AU2167" s="771"/>
    </row>
    <row r="2168" spans="1:47" s="1383" customFormat="1" outlineLevel="1" x14ac:dyDescent="0.2">
      <c r="A2168" s="8"/>
      <c r="B2168" s="8"/>
      <c r="C2168" s="1989" t="s">
        <v>2854</v>
      </c>
      <c r="D2168" s="1989" t="s">
        <v>2855</v>
      </c>
      <c r="E2168" s="1989">
        <v>0.44</v>
      </c>
      <c r="F2168" s="38">
        <f t="shared" si="33"/>
        <v>35.781345600000002</v>
      </c>
      <c r="G2168" s="1547"/>
      <c r="H2168" s="8"/>
      <c r="I2168" s="8"/>
      <c r="J2168" s="8"/>
      <c r="K2168" s="8"/>
      <c r="L2168" s="8"/>
      <c r="M2168" s="8"/>
      <c r="N2168" s="8"/>
      <c r="O2168" s="8"/>
      <c r="P2168" s="8"/>
      <c r="Q2168" s="8"/>
      <c r="R2168" s="8"/>
      <c r="S2168" s="8"/>
      <c r="T2168" s="8"/>
      <c r="U2168" s="8"/>
      <c r="V2168" s="8"/>
      <c r="W2168" s="8"/>
      <c r="X2168" s="771"/>
      <c r="Y2168" s="771"/>
      <c r="Z2168" s="771"/>
      <c r="AA2168" s="771"/>
      <c r="AB2168" s="771"/>
      <c r="AC2168" s="771"/>
      <c r="AD2168" s="771"/>
      <c r="AE2168" s="771"/>
      <c r="AF2168" s="771"/>
      <c r="AG2168" s="771"/>
      <c r="AH2168" s="771"/>
      <c r="AI2168" s="771"/>
      <c r="AJ2168" s="771"/>
      <c r="AK2168" s="771"/>
      <c r="AL2168" s="771"/>
      <c r="AM2168" s="771"/>
      <c r="AN2168" s="771"/>
      <c r="AO2168" s="771"/>
      <c r="AP2168" s="771"/>
      <c r="AQ2168" s="771"/>
      <c r="AR2168" s="771"/>
      <c r="AS2168" s="771"/>
      <c r="AT2168" s="771"/>
      <c r="AU2168" s="771"/>
    </row>
    <row r="2169" spans="1:47" s="1383" customFormat="1" outlineLevel="1" x14ac:dyDescent="0.2">
      <c r="A2169" s="8"/>
      <c r="B2169" s="8"/>
      <c r="C2169" s="1989" t="s">
        <v>4620</v>
      </c>
      <c r="D2169" s="1989" t="s">
        <v>6165</v>
      </c>
      <c r="E2169" s="1989">
        <v>10.09</v>
      </c>
      <c r="F2169" s="38">
        <f t="shared" si="33"/>
        <v>820.53131159999998</v>
      </c>
      <c r="G2169" s="1547"/>
      <c r="H2169" s="8"/>
      <c r="I2169" s="8"/>
      <c r="J2169" s="8"/>
      <c r="K2169" s="8"/>
      <c r="L2169" s="8"/>
      <c r="M2169" s="8"/>
      <c r="N2169" s="8"/>
      <c r="O2169" s="8"/>
      <c r="P2169" s="8"/>
      <c r="Q2169" s="8"/>
      <c r="R2169" s="8"/>
      <c r="S2169" s="8"/>
      <c r="T2169" s="8"/>
      <c r="U2169" s="8"/>
      <c r="V2169" s="8"/>
      <c r="W2169" s="8"/>
      <c r="X2169" s="771"/>
      <c r="Y2169" s="771"/>
      <c r="Z2169" s="771"/>
      <c r="AA2169" s="771"/>
      <c r="AB2169" s="771"/>
      <c r="AC2169" s="771"/>
      <c r="AD2169" s="771"/>
      <c r="AE2169" s="771"/>
      <c r="AF2169" s="771"/>
      <c r="AG2169" s="771"/>
      <c r="AH2169" s="771"/>
      <c r="AI2169" s="771"/>
      <c r="AJ2169" s="771"/>
      <c r="AK2169" s="771"/>
      <c r="AL2169" s="771"/>
      <c r="AM2169" s="771"/>
      <c r="AN2169" s="771"/>
      <c r="AO2169" s="771"/>
      <c r="AP2169" s="771"/>
      <c r="AQ2169" s="771"/>
      <c r="AR2169" s="771"/>
      <c r="AS2169" s="771"/>
      <c r="AT2169" s="771"/>
      <c r="AU2169" s="771"/>
    </row>
    <row r="2170" spans="1:47" s="1383" customFormat="1" outlineLevel="1" x14ac:dyDescent="0.2">
      <c r="A2170" s="8"/>
      <c r="B2170" s="8"/>
      <c r="C2170" s="1989" t="s">
        <v>4621</v>
      </c>
      <c r="D2170" s="1989" t="s">
        <v>6166</v>
      </c>
      <c r="E2170" s="1989">
        <v>10.09</v>
      </c>
      <c r="F2170" s="38">
        <f t="shared" si="33"/>
        <v>820.53131159999998</v>
      </c>
      <c r="G2170" s="1547"/>
      <c r="H2170" s="8"/>
      <c r="I2170" s="8"/>
      <c r="J2170" s="8"/>
      <c r="K2170" s="8"/>
      <c r="L2170" s="8"/>
      <c r="M2170" s="8"/>
      <c r="N2170" s="8"/>
      <c r="O2170" s="8"/>
      <c r="P2170" s="8"/>
      <c r="Q2170" s="8"/>
      <c r="R2170" s="8"/>
      <c r="S2170" s="8"/>
      <c r="T2170" s="8"/>
      <c r="U2170" s="8"/>
      <c r="V2170" s="8"/>
      <c r="W2170" s="8"/>
      <c r="X2170" s="771"/>
      <c r="Y2170" s="771"/>
      <c r="Z2170" s="771"/>
      <c r="AA2170" s="771"/>
      <c r="AB2170" s="771"/>
      <c r="AC2170" s="771"/>
      <c r="AD2170" s="771"/>
      <c r="AE2170" s="771"/>
      <c r="AF2170" s="771"/>
      <c r="AG2170" s="771"/>
      <c r="AH2170" s="771"/>
      <c r="AI2170" s="771"/>
      <c r="AJ2170" s="771"/>
      <c r="AK2170" s="771"/>
      <c r="AL2170" s="771"/>
      <c r="AM2170" s="771"/>
      <c r="AN2170" s="771"/>
      <c r="AO2170" s="771"/>
      <c r="AP2170" s="771"/>
      <c r="AQ2170" s="771"/>
      <c r="AR2170" s="771"/>
      <c r="AS2170" s="771"/>
      <c r="AT2170" s="771"/>
      <c r="AU2170" s="771"/>
    </row>
    <row r="2171" spans="1:47" s="1383" customFormat="1" outlineLevel="1" x14ac:dyDescent="0.2">
      <c r="A2171" s="8"/>
      <c r="B2171" s="8"/>
      <c r="C2171" s="1989" t="s">
        <v>3323</v>
      </c>
      <c r="D2171" s="1989" t="s">
        <v>6167</v>
      </c>
      <c r="E2171" s="1989">
        <v>6.96</v>
      </c>
      <c r="F2171" s="38">
        <f t="shared" si="33"/>
        <v>565.99583040000005</v>
      </c>
      <c r="G2171" s="1547"/>
      <c r="H2171" s="8"/>
      <c r="I2171" s="8"/>
      <c r="J2171" s="8"/>
      <c r="K2171" s="8"/>
      <c r="L2171" s="8"/>
      <c r="M2171" s="8"/>
      <c r="N2171" s="8"/>
      <c r="O2171" s="8"/>
      <c r="P2171" s="8"/>
      <c r="Q2171" s="8"/>
      <c r="R2171" s="8"/>
      <c r="S2171" s="8"/>
      <c r="T2171" s="8"/>
      <c r="U2171" s="8"/>
      <c r="V2171" s="8"/>
      <c r="W2171" s="8"/>
      <c r="X2171" s="771"/>
      <c r="Y2171" s="771"/>
      <c r="Z2171" s="771"/>
      <c r="AA2171" s="771"/>
      <c r="AB2171" s="771"/>
      <c r="AC2171" s="771"/>
      <c r="AD2171" s="771"/>
      <c r="AE2171" s="771"/>
      <c r="AF2171" s="771"/>
      <c r="AG2171" s="771"/>
      <c r="AH2171" s="771"/>
      <c r="AI2171" s="771"/>
      <c r="AJ2171" s="771"/>
      <c r="AK2171" s="771"/>
      <c r="AL2171" s="771"/>
      <c r="AM2171" s="771"/>
      <c r="AN2171" s="771"/>
      <c r="AO2171" s="771"/>
      <c r="AP2171" s="771"/>
      <c r="AQ2171" s="771"/>
      <c r="AR2171" s="771"/>
      <c r="AS2171" s="771"/>
      <c r="AT2171" s="771"/>
      <c r="AU2171" s="771"/>
    </row>
    <row r="2172" spans="1:47" s="1383" customFormat="1" outlineLevel="1" x14ac:dyDescent="0.2">
      <c r="A2172" s="8"/>
      <c r="B2172" s="8"/>
      <c r="C2172" s="1989" t="s">
        <v>3324</v>
      </c>
      <c r="D2172" s="1989" t="s">
        <v>6168</v>
      </c>
      <c r="E2172" s="1989">
        <v>6.96</v>
      </c>
      <c r="F2172" s="38">
        <f t="shared" si="33"/>
        <v>565.99583040000005</v>
      </c>
      <c r="G2172" s="1547"/>
      <c r="H2172" s="8"/>
      <c r="I2172" s="8"/>
      <c r="J2172" s="8"/>
      <c r="K2172" s="8"/>
      <c r="L2172" s="8"/>
      <c r="M2172" s="8"/>
      <c r="N2172" s="8"/>
      <c r="O2172" s="8"/>
      <c r="P2172" s="8"/>
      <c r="Q2172" s="8"/>
      <c r="R2172" s="8"/>
      <c r="S2172" s="8"/>
      <c r="T2172" s="8"/>
      <c r="U2172" s="8"/>
      <c r="V2172" s="8"/>
      <c r="W2172" s="8"/>
      <c r="X2172" s="771"/>
      <c r="Y2172" s="771"/>
      <c r="Z2172" s="771"/>
      <c r="AA2172" s="771"/>
      <c r="AB2172" s="771"/>
      <c r="AC2172" s="771"/>
      <c r="AD2172" s="771"/>
      <c r="AE2172" s="771"/>
      <c r="AF2172" s="771"/>
      <c r="AG2172" s="771"/>
      <c r="AH2172" s="771"/>
      <c r="AI2172" s="771"/>
      <c r="AJ2172" s="771"/>
      <c r="AK2172" s="771"/>
      <c r="AL2172" s="771"/>
      <c r="AM2172" s="771"/>
      <c r="AN2172" s="771"/>
      <c r="AO2172" s="771"/>
      <c r="AP2172" s="771"/>
      <c r="AQ2172" s="771"/>
      <c r="AR2172" s="771"/>
      <c r="AS2172" s="771"/>
      <c r="AT2172" s="771"/>
      <c r="AU2172" s="771"/>
    </row>
    <row r="2173" spans="1:47" s="1383" customFormat="1" outlineLevel="1" x14ac:dyDescent="0.2">
      <c r="A2173" s="8"/>
      <c r="B2173" s="8"/>
      <c r="C2173" s="1989" t="s">
        <v>2856</v>
      </c>
      <c r="D2173" s="1989" t="s">
        <v>6169</v>
      </c>
      <c r="E2173" s="1989">
        <v>5.89</v>
      </c>
      <c r="F2173" s="38">
        <f t="shared" si="33"/>
        <v>478.98210360000002</v>
      </c>
      <c r="G2173" s="1547"/>
      <c r="H2173" s="8"/>
      <c r="I2173" s="8"/>
      <c r="J2173" s="8"/>
      <c r="K2173" s="8"/>
      <c r="L2173" s="8"/>
      <c r="M2173" s="8"/>
      <c r="N2173" s="8"/>
      <c r="O2173" s="8"/>
      <c r="P2173" s="8"/>
      <c r="Q2173" s="8"/>
      <c r="R2173" s="8"/>
      <c r="S2173" s="8"/>
      <c r="T2173" s="8"/>
      <c r="U2173" s="8"/>
      <c r="V2173" s="8"/>
      <c r="W2173" s="8"/>
      <c r="X2173" s="771"/>
      <c r="Y2173" s="771"/>
      <c r="Z2173" s="771"/>
      <c r="AA2173" s="771"/>
      <c r="AB2173" s="771"/>
      <c r="AC2173" s="771"/>
      <c r="AD2173" s="771"/>
      <c r="AE2173" s="771"/>
      <c r="AF2173" s="771"/>
      <c r="AG2173" s="771"/>
      <c r="AH2173" s="771"/>
      <c r="AI2173" s="771"/>
      <c r="AJ2173" s="771"/>
      <c r="AK2173" s="771"/>
      <c r="AL2173" s="771"/>
      <c r="AM2173" s="771"/>
      <c r="AN2173" s="771"/>
      <c r="AO2173" s="771"/>
      <c r="AP2173" s="771"/>
      <c r="AQ2173" s="771"/>
      <c r="AR2173" s="771"/>
      <c r="AS2173" s="771"/>
      <c r="AT2173" s="771"/>
      <c r="AU2173" s="771"/>
    </row>
    <row r="2174" spans="1:47" s="1383" customFormat="1" outlineLevel="1" x14ac:dyDescent="0.2">
      <c r="A2174" s="8"/>
      <c r="B2174" s="8"/>
      <c r="C2174" s="1989" t="s">
        <v>4622</v>
      </c>
      <c r="D2174" s="1989" t="s">
        <v>6170</v>
      </c>
      <c r="E2174" s="1989">
        <v>5.83</v>
      </c>
      <c r="F2174" s="38">
        <f t="shared" si="33"/>
        <v>474.10282920000003</v>
      </c>
      <c r="G2174" s="1547"/>
      <c r="H2174" s="8"/>
      <c r="I2174" s="8"/>
      <c r="J2174" s="8"/>
      <c r="K2174" s="8"/>
      <c r="L2174" s="8"/>
      <c r="M2174" s="8"/>
      <c r="N2174" s="8"/>
      <c r="O2174" s="8"/>
      <c r="P2174" s="8"/>
      <c r="Q2174" s="8"/>
      <c r="R2174" s="8"/>
      <c r="S2174" s="8"/>
      <c r="T2174" s="8"/>
      <c r="U2174" s="8"/>
      <c r="V2174" s="8"/>
      <c r="W2174" s="8"/>
      <c r="X2174" s="771"/>
      <c r="Y2174" s="771"/>
      <c r="Z2174" s="771"/>
      <c r="AA2174" s="771"/>
      <c r="AB2174" s="771"/>
      <c r="AC2174" s="771"/>
      <c r="AD2174" s="771"/>
      <c r="AE2174" s="771"/>
      <c r="AF2174" s="771"/>
      <c r="AG2174" s="771"/>
      <c r="AH2174" s="771"/>
      <c r="AI2174" s="771"/>
      <c r="AJ2174" s="771"/>
      <c r="AK2174" s="771"/>
      <c r="AL2174" s="771"/>
      <c r="AM2174" s="771"/>
      <c r="AN2174" s="771"/>
      <c r="AO2174" s="771"/>
      <c r="AP2174" s="771"/>
      <c r="AQ2174" s="771"/>
      <c r="AR2174" s="771"/>
      <c r="AS2174" s="771"/>
      <c r="AT2174" s="771"/>
      <c r="AU2174" s="771"/>
    </row>
    <row r="2175" spans="1:47" s="1383" customFormat="1" outlineLevel="1" x14ac:dyDescent="0.2">
      <c r="A2175" s="8"/>
      <c r="B2175" s="8"/>
      <c r="C2175" s="1989" t="s">
        <v>4623</v>
      </c>
      <c r="D2175" s="1989" t="s">
        <v>6171</v>
      </c>
      <c r="E2175" s="1989">
        <v>5.83</v>
      </c>
      <c r="F2175" s="38">
        <f t="shared" si="33"/>
        <v>474.10282920000003</v>
      </c>
      <c r="G2175" s="1547"/>
      <c r="H2175" s="8"/>
      <c r="I2175" s="8"/>
      <c r="J2175" s="8"/>
      <c r="K2175" s="8"/>
      <c r="L2175" s="8"/>
      <c r="M2175" s="8"/>
      <c r="N2175" s="8"/>
      <c r="O2175" s="8"/>
      <c r="P2175" s="8"/>
      <c r="Q2175" s="8"/>
      <c r="R2175" s="8"/>
      <c r="S2175" s="8"/>
      <c r="T2175" s="8"/>
      <c r="U2175" s="8"/>
      <c r="V2175" s="8"/>
      <c r="W2175" s="8"/>
      <c r="X2175" s="771"/>
      <c r="Y2175" s="771"/>
      <c r="Z2175" s="771"/>
      <c r="AA2175" s="771"/>
      <c r="AB2175" s="771"/>
      <c r="AC2175" s="771"/>
      <c r="AD2175" s="771"/>
      <c r="AE2175" s="771"/>
      <c r="AF2175" s="771"/>
      <c r="AG2175" s="771"/>
      <c r="AH2175" s="771"/>
      <c r="AI2175" s="771"/>
      <c r="AJ2175" s="771"/>
      <c r="AK2175" s="771"/>
      <c r="AL2175" s="771"/>
      <c r="AM2175" s="771"/>
      <c r="AN2175" s="771"/>
      <c r="AO2175" s="771"/>
      <c r="AP2175" s="771"/>
      <c r="AQ2175" s="771"/>
      <c r="AR2175" s="771"/>
      <c r="AS2175" s="771"/>
      <c r="AT2175" s="771"/>
      <c r="AU2175" s="771"/>
    </row>
    <row r="2176" spans="1:47" s="1383" customFormat="1" outlineLevel="1" x14ac:dyDescent="0.2">
      <c r="A2176" s="8"/>
      <c r="B2176" s="8"/>
      <c r="C2176" s="1989" t="s">
        <v>3325</v>
      </c>
      <c r="D2176" s="1989" t="s">
        <v>6172</v>
      </c>
      <c r="E2176" s="1989">
        <v>19.07</v>
      </c>
      <c r="F2176" s="38">
        <f t="shared" si="33"/>
        <v>1550.7960468000001</v>
      </c>
      <c r="G2176" s="1547"/>
      <c r="H2176" s="8"/>
      <c r="I2176" s="8"/>
      <c r="J2176" s="8"/>
      <c r="K2176" s="8"/>
      <c r="L2176" s="8"/>
      <c r="M2176" s="8"/>
      <c r="N2176" s="8"/>
      <c r="O2176" s="8"/>
      <c r="P2176" s="8"/>
      <c r="Q2176" s="8"/>
      <c r="R2176" s="8"/>
      <c r="S2176" s="8"/>
      <c r="T2176" s="8"/>
      <c r="U2176" s="8"/>
      <c r="V2176" s="8"/>
      <c r="W2176" s="8"/>
      <c r="X2176" s="771"/>
      <c r="Y2176" s="771"/>
      <c r="Z2176" s="771"/>
      <c r="AA2176" s="771"/>
      <c r="AB2176" s="771"/>
      <c r="AC2176" s="771"/>
      <c r="AD2176" s="771"/>
      <c r="AE2176" s="771"/>
      <c r="AF2176" s="771"/>
      <c r="AG2176" s="771"/>
      <c r="AH2176" s="771"/>
      <c r="AI2176" s="771"/>
      <c r="AJ2176" s="771"/>
      <c r="AK2176" s="771"/>
      <c r="AL2176" s="771"/>
      <c r="AM2176" s="771"/>
      <c r="AN2176" s="771"/>
      <c r="AO2176" s="771"/>
      <c r="AP2176" s="771"/>
      <c r="AQ2176" s="771"/>
      <c r="AR2176" s="771"/>
      <c r="AS2176" s="771"/>
      <c r="AT2176" s="771"/>
      <c r="AU2176" s="771"/>
    </row>
    <row r="2177" spans="1:47" s="1383" customFormat="1" outlineLevel="1" x14ac:dyDescent="0.2">
      <c r="A2177" s="8"/>
      <c r="B2177" s="8"/>
      <c r="C2177" s="1989" t="s">
        <v>2857</v>
      </c>
      <c r="D2177" s="1989" t="s">
        <v>6173</v>
      </c>
      <c r="E2177" s="1989">
        <v>5.89</v>
      </c>
      <c r="F2177" s="38">
        <f t="shared" si="33"/>
        <v>478.98210360000002</v>
      </c>
      <c r="G2177" s="1547"/>
      <c r="H2177" s="8"/>
      <c r="I2177" s="8"/>
      <c r="J2177" s="8"/>
      <c r="K2177" s="8"/>
      <c r="L2177" s="8"/>
      <c r="M2177" s="8"/>
      <c r="N2177" s="8"/>
      <c r="O2177" s="8"/>
      <c r="P2177" s="8"/>
      <c r="Q2177" s="8"/>
      <c r="R2177" s="8"/>
      <c r="S2177" s="8"/>
      <c r="T2177" s="8"/>
      <c r="U2177" s="8"/>
      <c r="V2177" s="8"/>
      <c r="W2177" s="8"/>
      <c r="X2177" s="771"/>
      <c r="Y2177" s="771"/>
      <c r="Z2177" s="771"/>
      <c r="AA2177" s="771"/>
      <c r="AB2177" s="771"/>
      <c r="AC2177" s="771"/>
      <c r="AD2177" s="771"/>
      <c r="AE2177" s="771"/>
      <c r="AF2177" s="771"/>
      <c r="AG2177" s="771"/>
      <c r="AH2177" s="771"/>
      <c r="AI2177" s="771"/>
      <c r="AJ2177" s="771"/>
      <c r="AK2177" s="771"/>
      <c r="AL2177" s="771"/>
      <c r="AM2177" s="771"/>
      <c r="AN2177" s="771"/>
      <c r="AO2177" s="771"/>
      <c r="AP2177" s="771"/>
      <c r="AQ2177" s="771"/>
      <c r="AR2177" s="771"/>
      <c r="AS2177" s="771"/>
      <c r="AT2177" s="771"/>
      <c r="AU2177" s="771"/>
    </row>
    <row r="2178" spans="1:47" s="1383" customFormat="1" outlineLevel="1" x14ac:dyDescent="0.2">
      <c r="A2178" s="8"/>
      <c r="B2178" s="8"/>
      <c r="C2178" s="1989" t="s">
        <v>3069</v>
      </c>
      <c r="D2178" s="1989" t="s">
        <v>6174</v>
      </c>
      <c r="E2178" s="1989">
        <v>1.59</v>
      </c>
      <c r="F2178" s="38">
        <f t="shared" si="33"/>
        <v>129.30077159999999</v>
      </c>
      <c r="G2178" s="1547"/>
      <c r="H2178" s="8"/>
      <c r="I2178" s="8"/>
      <c r="J2178" s="8"/>
      <c r="K2178" s="8"/>
      <c r="L2178" s="8"/>
      <c r="M2178" s="8"/>
      <c r="N2178" s="8"/>
      <c r="O2178" s="8"/>
      <c r="P2178" s="8"/>
      <c r="Q2178" s="8"/>
      <c r="R2178" s="8"/>
      <c r="S2178" s="8"/>
      <c r="T2178" s="8"/>
      <c r="U2178" s="8"/>
      <c r="V2178" s="8"/>
      <c r="W2178" s="8"/>
      <c r="X2178" s="771"/>
      <c r="Y2178" s="771"/>
      <c r="Z2178" s="771"/>
      <c r="AA2178" s="771"/>
      <c r="AB2178" s="771"/>
      <c r="AC2178" s="771"/>
      <c r="AD2178" s="771"/>
      <c r="AE2178" s="771"/>
      <c r="AF2178" s="771"/>
      <c r="AG2178" s="771"/>
      <c r="AH2178" s="771"/>
      <c r="AI2178" s="771"/>
      <c r="AJ2178" s="771"/>
      <c r="AK2178" s="771"/>
      <c r="AL2178" s="771"/>
      <c r="AM2178" s="771"/>
      <c r="AN2178" s="771"/>
      <c r="AO2178" s="771"/>
      <c r="AP2178" s="771"/>
      <c r="AQ2178" s="771"/>
      <c r="AR2178" s="771"/>
      <c r="AS2178" s="771"/>
      <c r="AT2178" s="771"/>
      <c r="AU2178" s="771"/>
    </row>
    <row r="2179" spans="1:47" s="1383" customFormat="1" outlineLevel="1" x14ac:dyDescent="0.2">
      <c r="A2179" s="8"/>
      <c r="B2179" s="8"/>
      <c r="C2179" s="1989" t="s">
        <v>2858</v>
      </c>
      <c r="D2179" s="1989" t="s">
        <v>6175</v>
      </c>
      <c r="E2179" s="1989">
        <v>5.91</v>
      </c>
      <c r="F2179" s="38">
        <f t="shared" si="33"/>
        <v>480.60852840000001</v>
      </c>
      <c r="G2179" s="1547"/>
      <c r="H2179" s="8"/>
      <c r="I2179" s="8"/>
      <c r="J2179" s="8"/>
      <c r="K2179" s="8"/>
      <c r="L2179" s="8"/>
      <c r="M2179" s="8"/>
      <c r="N2179" s="8"/>
      <c r="O2179" s="8"/>
      <c r="P2179" s="8"/>
      <c r="Q2179" s="8"/>
      <c r="R2179" s="8"/>
      <c r="S2179" s="8"/>
      <c r="T2179" s="8"/>
      <c r="U2179" s="8"/>
      <c r="V2179" s="8"/>
      <c r="W2179" s="8"/>
      <c r="X2179" s="771"/>
      <c r="Y2179" s="771"/>
      <c r="Z2179" s="771"/>
      <c r="AA2179" s="771"/>
      <c r="AB2179" s="771"/>
      <c r="AC2179" s="771"/>
      <c r="AD2179" s="771"/>
      <c r="AE2179" s="771"/>
      <c r="AF2179" s="771"/>
      <c r="AG2179" s="771"/>
      <c r="AH2179" s="771"/>
      <c r="AI2179" s="771"/>
      <c r="AJ2179" s="771"/>
      <c r="AK2179" s="771"/>
      <c r="AL2179" s="771"/>
      <c r="AM2179" s="771"/>
      <c r="AN2179" s="771"/>
      <c r="AO2179" s="771"/>
      <c r="AP2179" s="771"/>
      <c r="AQ2179" s="771"/>
      <c r="AR2179" s="771"/>
      <c r="AS2179" s="771"/>
      <c r="AT2179" s="771"/>
      <c r="AU2179" s="771"/>
    </row>
    <row r="2180" spans="1:47" s="1383" customFormat="1" outlineLevel="1" x14ac:dyDescent="0.2">
      <c r="A2180" s="8"/>
      <c r="B2180" s="8"/>
      <c r="C2180" s="1989" t="s">
        <v>3070</v>
      </c>
      <c r="D2180" s="1989" t="s">
        <v>3733</v>
      </c>
      <c r="E2180" s="1989">
        <v>0.53</v>
      </c>
      <c r="F2180" s="38">
        <f t="shared" si="33"/>
        <v>43.100257200000001</v>
      </c>
      <c r="G2180" s="1547"/>
      <c r="H2180" s="8"/>
      <c r="I2180" s="8"/>
      <c r="J2180" s="8"/>
      <c r="K2180" s="8"/>
      <c r="L2180" s="8"/>
      <c r="M2180" s="8"/>
      <c r="N2180" s="8"/>
      <c r="O2180" s="8"/>
      <c r="P2180" s="8"/>
      <c r="Q2180" s="8"/>
      <c r="R2180" s="8"/>
      <c r="S2180" s="8"/>
      <c r="T2180" s="8"/>
      <c r="U2180" s="8"/>
      <c r="V2180" s="8"/>
      <c r="W2180" s="8"/>
      <c r="X2180" s="771"/>
      <c r="Y2180" s="771"/>
      <c r="Z2180" s="771"/>
      <c r="AA2180" s="771"/>
      <c r="AB2180" s="771"/>
      <c r="AC2180" s="771"/>
      <c r="AD2180" s="771"/>
      <c r="AE2180" s="771"/>
      <c r="AF2180" s="771"/>
      <c r="AG2180" s="771"/>
      <c r="AH2180" s="771"/>
      <c r="AI2180" s="771"/>
      <c r="AJ2180" s="771"/>
      <c r="AK2180" s="771"/>
      <c r="AL2180" s="771"/>
      <c r="AM2180" s="771"/>
      <c r="AN2180" s="771"/>
      <c r="AO2180" s="771"/>
      <c r="AP2180" s="771"/>
      <c r="AQ2180" s="771"/>
      <c r="AR2180" s="771"/>
      <c r="AS2180" s="771"/>
      <c r="AT2180" s="771"/>
      <c r="AU2180" s="771"/>
    </row>
    <row r="2181" spans="1:47" s="1383" customFormat="1" outlineLevel="1" x14ac:dyDescent="0.2">
      <c r="A2181" s="8"/>
      <c r="B2181" s="8"/>
      <c r="C2181" s="1989" t="s">
        <v>2859</v>
      </c>
      <c r="D2181" s="1989" t="s">
        <v>6176</v>
      </c>
      <c r="E2181" s="1989">
        <v>5.91</v>
      </c>
      <c r="F2181" s="38">
        <f t="shared" si="33"/>
        <v>480.60852840000001</v>
      </c>
      <c r="G2181" s="1547"/>
      <c r="H2181" s="8"/>
      <c r="I2181" s="8"/>
      <c r="J2181" s="8"/>
      <c r="K2181" s="8"/>
      <c r="L2181" s="8"/>
      <c r="M2181" s="8"/>
      <c r="N2181" s="8"/>
      <c r="O2181" s="8"/>
      <c r="P2181" s="8"/>
      <c r="Q2181" s="8"/>
      <c r="R2181" s="8"/>
      <c r="S2181" s="8"/>
      <c r="T2181" s="8"/>
      <c r="U2181" s="8"/>
      <c r="V2181" s="8"/>
      <c r="W2181" s="8"/>
      <c r="X2181" s="771"/>
      <c r="Y2181" s="771"/>
      <c r="Z2181" s="771"/>
      <c r="AA2181" s="771"/>
      <c r="AB2181" s="771"/>
      <c r="AC2181" s="771"/>
      <c r="AD2181" s="771"/>
      <c r="AE2181" s="771"/>
      <c r="AF2181" s="771"/>
      <c r="AG2181" s="771"/>
      <c r="AH2181" s="771"/>
      <c r="AI2181" s="771"/>
      <c r="AJ2181" s="771"/>
      <c r="AK2181" s="771"/>
      <c r="AL2181" s="771"/>
      <c r="AM2181" s="771"/>
      <c r="AN2181" s="771"/>
      <c r="AO2181" s="771"/>
      <c r="AP2181" s="771"/>
      <c r="AQ2181" s="771"/>
      <c r="AR2181" s="771"/>
      <c r="AS2181" s="771"/>
      <c r="AT2181" s="771"/>
      <c r="AU2181" s="771"/>
    </row>
    <row r="2182" spans="1:47" s="1383" customFormat="1" outlineLevel="1" x14ac:dyDescent="0.2">
      <c r="A2182" s="8"/>
      <c r="B2182" s="8"/>
      <c r="C2182" s="1989" t="s">
        <v>3326</v>
      </c>
      <c r="D2182" s="1989" t="s">
        <v>7862</v>
      </c>
      <c r="E2182" s="1989">
        <v>19.07</v>
      </c>
      <c r="F2182" s="38">
        <f t="shared" si="33"/>
        <v>1550.7960468000001</v>
      </c>
      <c r="G2182" s="1547"/>
      <c r="H2182" s="8"/>
      <c r="I2182" s="8"/>
      <c r="J2182" s="8"/>
      <c r="K2182" s="8"/>
      <c r="L2182" s="8"/>
      <c r="M2182" s="8"/>
      <c r="N2182" s="8"/>
      <c r="O2182" s="8"/>
      <c r="P2182" s="8"/>
      <c r="Q2182" s="8"/>
      <c r="R2182" s="8"/>
      <c r="S2182" s="8"/>
      <c r="T2182" s="8"/>
      <c r="U2182" s="8"/>
      <c r="V2182" s="8"/>
      <c r="W2182" s="8"/>
      <c r="X2182" s="771"/>
      <c r="Y2182" s="771"/>
      <c r="Z2182" s="771"/>
      <c r="AA2182" s="771"/>
      <c r="AB2182" s="771"/>
      <c r="AC2182" s="771"/>
      <c r="AD2182" s="771"/>
      <c r="AE2182" s="771"/>
      <c r="AF2182" s="771"/>
      <c r="AG2182" s="771"/>
      <c r="AH2182" s="771"/>
      <c r="AI2182" s="771"/>
      <c r="AJ2182" s="771"/>
      <c r="AK2182" s="771"/>
      <c r="AL2182" s="771"/>
      <c r="AM2182" s="771"/>
      <c r="AN2182" s="771"/>
      <c r="AO2182" s="771"/>
      <c r="AP2182" s="771"/>
      <c r="AQ2182" s="771"/>
      <c r="AR2182" s="771"/>
      <c r="AS2182" s="771"/>
      <c r="AT2182" s="771"/>
      <c r="AU2182" s="771"/>
    </row>
    <row r="2183" spans="1:47" s="1383" customFormat="1" outlineLevel="1" x14ac:dyDescent="0.2">
      <c r="A2183" s="8"/>
      <c r="B2183" s="8"/>
      <c r="C2183" s="1989" t="s">
        <v>2860</v>
      </c>
      <c r="D2183" s="1989" t="s">
        <v>6177</v>
      </c>
      <c r="E2183" s="1989">
        <v>10.210000000000001</v>
      </c>
      <c r="F2183" s="38">
        <f t="shared" si="33"/>
        <v>830.28986040000007</v>
      </c>
      <c r="G2183" s="1547"/>
      <c r="H2183" s="8"/>
      <c r="I2183" s="8"/>
      <c r="J2183" s="8"/>
      <c r="K2183" s="8"/>
      <c r="L2183" s="8"/>
      <c r="M2183" s="8"/>
      <c r="N2183" s="8"/>
      <c r="O2183" s="8"/>
      <c r="P2183" s="8"/>
      <c r="Q2183" s="8"/>
      <c r="R2183" s="8"/>
      <c r="S2183" s="8"/>
      <c r="T2183" s="8"/>
      <c r="U2183" s="8"/>
      <c r="V2183" s="8"/>
      <c r="W2183" s="8"/>
      <c r="X2183" s="771"/>
      <c r="Y2183" s="771"/>
      <c r="Z2183" s="771"/>
      <c r="AA2183" s="771"/>
      <c r="AB2183" s="771"/>
      <c r="AC2183" s="771"/>
      <c r="AD2183" s="771"/>
      <c r="AE2183" s="771"/>
      <c r="AF2183" s="771"/>
      <c r="AG2183" s="771"/>
      <c r="AH2183" s="771"/>
      <c r="AI2183" s="771"/>
      <c r="AJ2183" s="771"/>
      <c r="AK2183" s="771"/>
      <c r="AL2183" s="771"/>
      <c r="AM2183" s="771"/>
      <c r="AN2183" s="771"/>
      <c r="AO2183" s="771"/>
      <c r="AP2183" s="771"/>
      <c r="AQ2183" s="771"/>
      <c r="AR2183" s="771"/>
      <c r="AS2183" s="771"/>
      <c r="AT2183" s="771"/>
      <c r="AU2183" s="771"/>
    </row>
    <row r="2184" spans="1:47" s="1383" customFormat="1" outlineLevel="1" x14ac:dyDescent="0.2">
      <c r="A2184" s="8"/>
      <c r="B2184" s="8"/>
      <c r="C2184" s="1989" t="s">
        <v>3071</v>
      </c>
      <c r="D2184" s="1989" t="s">
        <v>3072</v>
      </c>
      <c r="E2184" s="1989">
        <v>0.53</v>
      </c>
      <c r="F2184" s="38">
        <f t="shared" ref="F2184:F2247" si="34">E2184*$G$4*$J$4</f>
        <v>43.100257200000001</v>
      </c>
      <c r="G2184" s="1547"/>
      <c r="H2184" s="8"/>
      <c r="I2184" s="8"/>
      <c r="J2184" s="8"/>
      <c r="K2184" s="8"/>
      <c r="L2184" s="8"/>
      <c r="M2184" s="8"/>
      <c r="N2184" s="8"/>
      <c r="O2184" s="8"/>
      <c r="P2184" s="8"/>
      <c r="Q2184" s="8"/>
      <c r="R2184" s="8"/>
      <c r="S2184" s="8"/>
      <c r="T2184" s="8"/>
      <c r="U2184" s="8"/>
      <c r="V2184" s="8"/>
      <c r="W2184" s="8"/>
      <c r="X2184" s="771"/>
      <c r="Y2184" s="771"/>
      <c r="Z2184" s="771"/>
      <c r="AA2184" s="771"/>
      <c r="AB2184" s="771"/>
      <c r="AC2184" s="771"/>
      <c r="AD2184" s="771"/>
      <c r="AE2184" s="771"/>
      <c r="AF2184" s="771"/>
      <c r="AG2184" s="771"/>
      <c r="AH2184" s="771"/>
      <c r="AI2184" s="771"/>
      <c r="AJ2184" s="771"/>
      <c r="AK2184" s="771"/>
      <c r="AL2184" s="771"/>
      <c r="AM2184" s="771"/>
      <c r="AN2184" s="771"/>
      <c r="AO2184" s="771"/>
      <c r="AP2184" s="771"/>
      <c r="AQ2184" s="771"/>
      <c r="AR2184" s="771"/>
      <c r="AS2184" s="771"/>
      <c r="AT2184" s="771"/>
      <c r="AU2184" s="771"/>
    </row>
    <row r="2185" spans="1:47" s="1383" customFormat="1" outlineLevel="1" x14ac:dyDescent="0.2">
      <c r="A2185" s="8"/>
      <c r="B2185" s="8"/>
      <c r="C2185" s="1989" t="s">
        <v>2861</v>
      </c>
      <c r="D2185" s="1989" t="s">
        <v>6178</v>
      </c>
      <c r="E2185" s="1989">
        <v>10.210000000000001</v>
      </c>
      <c r="F2185" s="38">
        <f t="shared" si="34"/>
        <v>830.28986040000007</v>
      </c>
      <c r="G2185" s="1547"/>
      <c r="H2185" s="8"/>
      <c r="I2185" s="8"/>
      <c r="J2185" s="8"/>
      <c r="K2185" s="8"/>
      <c r="L2185" s="8"/>
      <c r="M2185" s="8"/>
      <c r="N2185" s="8"/>
      <c r="O2185" s="8"/>
      <c r="P2185" s="8"/>
      <c r="Q2185" s="8"/>
      <c r="R2185" s="8"/>
      <c r="S2185" s="8"/>
      <c r="T2185" s="8"/>
      <c r="U2185" s="8"/>
      <c r="V2185" s="8"/>
      <c r="W2185" s="8"/>
      <c r="X2185" s="771"/>
      <c r="Y2185" s="771"/>
      <c r="Z2185" s="771"/>
      <c r="AA2185" s="771"/>
      <c r="AB2185" s="771"/>
      <c r="AC2185" s="771"/>
      <c r="AD2185" s="771"/>
      <c r="AE2185" s="771"/>
      <c r="AF2185" s="771"/>
      <c r="AG2185" s="771"/>
      <c r="AH2185" s="771"/>
      <c r="AI2185" s="771"/>
      <c r="AJ2185" s="771"/>
      <c r="AK2185" s="771"/>
      <c r="AL2185" s="771"/>
      <c r="AM2185" s="771"/>
      <c r="AN2185" s="771"/>
      <c r="AO2185" s="771"/>
      <c r="AP2185" s="771"/>
      <c r="AQ2185" s="771"/>
      <c r="AR2185" s="771"/>
      <c r="AS2185" s="771"/>
      <c r="AT2185" s="771"/>
      <c r="AU2185" s="771"/>
    </row>
    <row r="2186" spans="1:47" s="1383" customFormat="1" outlineLevel="1" x14ac:dyDescent="0.2">
      <c r="A2186" s="8"/>
      <c r="B2186" s="8"/>
      <c r="C2186" s="1989" t="s">
        <v>2862</v>
      </c>
      <c r="D2186" s="1989" t="s">
        <v>6179</v>
      </c>
      <c r="E2186" s="1989">
        <v>10.23</v>
      </c>
      <c r="F2186" s="38">
        <f t="shared" si="34"/>
        <v>831.91628520000006</v>
      </c>
      <c r="G2186" s="1547"/>
      <c r="H2186" s="8"/>
      <c r="I2186" s="8"/>
      <c r="J2186" s="8"/>
      <c r="K2186" s="8"/>
      <c r="L2186" s="8"/>
      <c r="M2186" s="8"/>
      <c r="N2186" s="8"/>
      <c r="O2186" s="8"/>
      <c r="P2186" s="8"/>
      <c r="Q2186" s="8"/>
      <c r="R2186" s="8"/>
      <c r="S2186" s="8"/>
      <c r="T2186" s="8"/>
      <c r="U2186" s="8"/>
      <c r="V2186" s="8"/>
      <c r="W2186" s="8"/>
      <c r="X2186" s="771"/>
      <c r="Y2186" s="771"/>
      <c r="Z2186" s="771"/>
      <c r="AA2186" s="771"/>
      <c r="AB2186" s="771"/>
      <c r="AC2186" s="771"/>
      <c r="AD2186" s="771"/>
      <c r="AE2186" s="771"/>
      <c r="AF2186" s="771"/>
      <c r="AG2186" s="771"/>
      <c r="AH2186" s="771"/>
      <c r="AI2186" s="771"/>
      <c r="AJ2186" s="771"/>
      <c r="AK2186" s="771"/>
      <c r="AL2186" s="771"/>
      <c r="AM2186" s="771"/>
      <c r="AN2186" s="771"/>
      <c r="AO2186" s="771"/>
      <c r="AP2186" s="771"/>
      <c r="AQ2186" s="771"/>
      <c r="AR2186" s="771"/>
      <c r="AS2186" s="771"/>
      <c r="AT2186" s="771"/>
      <c r="AU2186" s="771"/>
    </row>
    <row r="2187" spans="1:47" s="1383" customFormat="1" outlineLevel="1" x14ac:dyDescent="0.2">
      <c r="A2187" s="8"/>
      <c r="B2187" s="8"/>
      <c r="C2187" s="1989" t="s">
        <v>2863</v>
      </c>
      <c r="D2187" s="1989" t="s">
        <v>6180</v>
      </c>
      <c r="E2187" s="1989">
        <v>10.23</v>
      </c>
      <c r="F2187" s="38">
        <f t="shared" si="34"/>
        <v>831.91628520000006</v>
      </c>
      <c r="G2187" s="1547"/>
      <c r="H2187" s="8"/>
      <c r="I2187" s="8"/>
      <c r="J2187" s="8"/>
      <c r="K2187" s="8"/>
      <c r="L2187" s="8"/>
      <c r="M2187" s="8"/>
      <c r="N2187" s="8"/>
      <c r="O2187" s="8"/>
      <c r="P2187" s="8"/>
      <c r="Q2187" s="8"/>
      <c r="R2187" s="8"/>
      <c r="S2187" s="8"/>
      <c r="T2187" s="8"/>
      <c r="U2187" s="8"/>
      <c r="V2187" s="8"/>
      <c r="W2187" s="8"/>
      <c r="X2187" s="771"/>
      <c r="Y2187" s="771"/>
      <c r="Z2187" s="771"/>
      <c r="AA2187" s="771"/>
      <c r="AB2187" s="771"/>
      <c r="AC2187" s="771"/>
      <c r="AD2187" s="771"/>
      <c r="AE2187" s="771"/>
      <c r="AF2187" s="771"/>
      <c r="AG2187" s="771"/>
      <c r="AH2187" s="771"/>
      <c r="AI2187" s="771"/>
      <c r="AJ2187" s="771"/>
      <c r="AK2187" s="771"/>
      <c r="AL2187" s="771"/>
      <c r="AM2187" s="771"/>
      <c r="AN2187" s="771"/>
      <c r="AO2187" s="771"/>
      <c r="AP2187" s="771"/>
      <c r="AQ2187" s="771"/>
      <c r="AR2187" s="771"/>
      <c r="AS2187" s="771"/>
      <c r="AT2187" s="771"/>
      <c r="AU2187" s="771"/>
    </row>
    <row r="2188" spans="1:47" s="1383" customFormat="1" outlineLevel="1" x14ac:dyDescent="0.2">
      <c r="A2188" s="8"/>
      <c r="B2188" s="8"/>
      <c r="C2188" s="1989" t="s">
        <v>3073</v>
      </c>
      <c r="D2188" s="1989" t="s">
        <v>3074</v>
      </c>
      <c r="E2188" s="1989">
        <v>0.61</v>
      </c>
      <c r="F2188" s="38">
        <f t="shared" si="34"/>
        <v>49.605956400000004</v>
      </c>
      <c r="G2188" s="1547"/>
      <c r="H2188" s="8"/>
      <c r="I2188" s="8"/>
      <c r="J2188" s="8"/>
      <c r="K2188" s="8"/>
      <c r="L2188" s="8"/>
      <c r="M2188" s="8"/>
      <c r="N2188" s="8"/>
      <c r="O2188" s="8"/>
      <c r="P2188" s="8"/>
      <c r="Q2188" s="8"/>
      <c r="R2188" s="8"/>
      <c r="S2188" s="8"/>
      <c r="T2188" s="8"/>
      <c r="U2188" s="8"/>
      <c r="V2188" s="8"/>
      <c r="W2188" s="8"/>
      <c r="X2188" s="771"/>
      <c r="Y2188" s="771"/>
      <c r="Z2188" s="771"/>
      <c r="AA2188" s="771"/>
      <c r="AB2188" s="771"/>
      <c r="AC2188" s="771"/>
      <c r="AD2188" s="771"/>
      <c r="AE2188" s="771"/>
      <c r="AF2188" s="771"/>
      <c r="AG2188" s="771"/>
      <c r="AH2188" s="771"/>
      <c r="AI2188" s="771"/>
      <c r="AJ2188" s="771"/>
      <c r="AK2188" s="771"/>
      <c r="AL2188" s="771"/>
      <c r="AM2188" s="771"/>
      <c r="AN2188" s="771"/>
      <c r="AO2188" s="771"/>
      <c r="AP2188" s="771"/>
      <c r="AQ2188" s="771"/>
      <c r="AR2188" s="771"/>
      <c r="AS2188" s="771"/>
      <c r="AT2188" s="771"/>
      <c r="AU2188" s="771"/>
    </row>
    <row r="2189" spans="1:47" s="1383" customFormat="1" outlineLevel="1" x14ac:dyDescent="0.2">
      <c r="A2189" s="8"/>
      <c r="B2189" s="8"/>
      <c r="C2189" s="1989" t="s">
        <v>3075</v>
      </c>
      <c r="D2189" s="1989" t="s">
        <v>6181</v>
      </c>
      <c r="E2189" s="1989">
        <v>0.55000000000000004</v>
      </c>
      <c r="F2189" s="38">
        <f t="shared" si="34"/>
        <v>44.726682000000004</v>
      </c>
      <c r="G2189" s="1547"/>
      <c r="H2189" s="8"/>
      <c r="I2189" s="8"/>
      <c r="J2189" s="8"/>
      <c r="K2189" s="8"/>
      <c r="L2189" s="8"/>
      <c r="M2189" s="8"/>
      <c r="N2189" s="8"/>
      <c r="O2189" s="8"/>
      <c r="P2189" s="8"/>
      <c r="Q2189" s="8"/>
      <c r="R2189" s="8"/>
      <c r="S2189" s="8"/>
      <c r="T2189" s="8"/>
      <c r="U2189" s="8"/>
      <c r="V2189" s="8"/>
      <c r="W2189" s="8"/>
      <c r="X2189" s="771"/>
      <c r="Y2189" s="771"/>
      <c r="Z2189" s="771"/>
      <c r="AA2189" s="771"/>
      <c r="AB2189" s="771"/>
      <c r="AC2189" s="771"/>
      <c r="AD2189" s="771"/>
      <c r="AE2189" s="771"/>
      <c r="AF2189" s="771"/>
      <c r="AG2189" s="771"/>
      <c r="AH2189" s="771"/>
      <c r="AI2189" s="771"/>
      <c r="AJ2189" s="771"/>
      <c r="AK2189" s="771"/>
      <c r="AL2189" s="771"/>
      <c r="AM2189" s="771"/>
      <c r="AN2189" s="771"/>
      <c r="AO2189" s="771"/>
      <c r="AP2189" s="771"/>
      <c r="AQ2189" s="771"/>
      <c r="AR2189" s="771"/>
      <c r="AS2189" s="771"/>
      <c r="AT2189" s="771"/>
      <c r="AU2189" s="771"/>
    </row>
    <row r="2190" spans="1:47" s="1383" customFormat="1" outlineLevel="1" x14ac:dyDescent="0.2">
      <c r="A2190" s="8"/>
      <c r="B2190" s="8"/>
      <c r="C2190" s="1989" t="s">
        <v>3076</v>
      </c>
      <c r="D2190" s="1989" t="s">
        <v>6182</v>
      </c>
      <c r="E2190" s="1989">
        <v>16.04</v>
      </c>
      <c r="F2190" s="38">
        <f t="shared" si="34"/>
        <v>1304.3926896</v>
      </c>
      <c r="G2190" s="1547"/>
      <c r="H2190" s="8"/>
      <c r="I2190" s="8"/>
      <c r="J2190" s="8"/>
      <c r="K2190" s="8"/>
      <c r="L2190" s="8"/>
      <c r="M2190" s="8"/>
      <c r="N2190" s="8"/>
      <c r="O2190" s="8"/>
      <c r="P2190" s="8"/>
      <c r="Q2190" s="8"/>
      <c r="R2190" s="8"/>
      <c r="S2190" s="8"/>
      <c r="T2190" s="8"/>
      <c r="U2190" s="8"/>
      <c r="V2190" s="8"/>
      <c r="W2190" s="8"/>
      <c r="X2190" s="771"/>
      <c r="Y2190" s="771"/>
      <c r="Z2190" s="771"/>
      <c r="AA2190" s="771"/>
      <c r="AB2190" s="771"/>
      <c r="AC2190" s="771"/>
      <c r="AD2190" s="771"/>
      <c r="AE2190" s="771"/>
      <c r="AF2190" s="771"/>
      <c r="AG2190" s="771"/>
      <c r="AH2190" s="771"/>
      <c r="AI2190" s="771"/>
      <c r="AJ2190" s="771"/>
      <c r="AK2190" s="771"/>
      <c r="AL2190" s="771"/>
      <c r="AM2190" s="771"/>
      <c r="AN2190" s="771"/>
      <c r="AO2190" s="771"/>
      <c r="AP2190" s="771"/>
      <c r="AQ2190" s="771"/>
      <c r="AR2190" s="771"/>
      <c r="AS2190" s="771"/>
      <c r="AT2190" s="771"/>
      <c r="AU2190" s="771"/>
    </row>
    <row r="2191" spans="1:47" s="1383" customFormat="1" outlineLevel="1" x14ac:dyDescent="0.2">
      <c r="A2191" s="8"/>
      <c r="B2191" s="8"/>
      <c r="C2191" s="1989" t="s">
        <v>3077</v>
      </c>
      <c r="D2191" s="1989" t="s">
        <v>7863</v>
      </c>
      <c r="E2191" s="1989">
        <v>0.13</v>
      </c>
      <c r="F2191" s="38">
        <f t="shared" si="34"/>
        <v>10.571761200000001</v>
      </c>
      <c r="G2191" s="1547"/>
      <c r="H2191" s="8"/>
      <c r="I2191" s="8"/>
      <c r="J2191" s="8"/>
      <c r="K2191" s="8"/>
      <c r="L2191" s="8"/>
      <c r="M2191" s="8"/>
      <c r="N2191" s="8"/>
      <c r="O2191" s="8"/>
      <c r="P2191" s="8"/>
      <c r="Q2191" s="8"/>
      <c r="R2191" s="8"/>
      <c r="S2191" s="8"/>
      <c r="T2191" s="8"/>
      <c r="U2191" s="8"/>
      <c r="V2191" s="8"/>
      <c r="W2191" s="8"/>
      <c r="X2191" s="771"/>
      <c r="Y2191" s="771"/>
      <c r="Z2191" s="771"/>
      <c r="AA2191" s="771"/>
      <c r="AB2191" s="771"/>
      <c r="AC2191" s="771"/>
      <c r="AD2191" s="771"/>
      <c r="AE2191" s="771"/>
      <c r="AF2191" s="771"/>
      <c r="AG2191" s="771"/>
      <c r="AH2191" s="771"/>
      <c r="AI2191" s="771"/>
      <c r="AJ2191" s="771"/>
      <c r="AK2191" s="771"/>
      <c r="AL2191" s="771"/>
      <c r="AM2191" s="771"/>
      <c r="AN2191" s="771"/>
      <c r="AO2191" s="771"/>
      <c r="AP2191" s="771"/>
      <c r="AQ2191" s="771"/>
      <c r="AR2191" s="771"/>
      <c r="AS2191" s="771"/>
      <c r="AT2191" s="771"/>
      <c r="AU2191" s="771"/>
    </row>
    <row r="2192" spans="1:47" s="1383" customFormat="1" outlineLevel="1" x14ac:dyDescent="0.2">
      <c r="A2192" s="8"/>
      <c r="B2192" s="8"/>
      <c r="C2192" s="1989" t="s">
        <v>3078</v>
      </c>
      <c r="D2192" s="1989" t="s">
        <v>3079</v>
      </c>
      <c r="E2192" s="1989">
        <v>0.61</v>
      </c>
      <c r="F2192" s="38">
        <f t="shared" si="34"/>
        <v>49.605956400000004</v>
      </c>
      <c r="G2192" s="1547"/>
      <c r="H2192" s="8"/>
      <c r="I2192" s="8"/>
      <c r="J2192" s="8"/>
      <c r="K2192" s="8"/>
      <c r="L2192" s="8"/>
      <c r="M2192" s="8"/>
      <c r="N2192" s="8"/>
      <c r="O2192" s="8"/>
      <c r="P2192" s="8"/>
      <c r="Q2192" s="8"/>
      <c r="R2192" s="8"/>
      <c r="S2192" s="8"/>
      <c r="T2192" s="8"/>
      <c r="U2192" s="8"/>
      <c r="V2192" s="8"/>
      <c r="W2192" s="8"/>
      <c r="X2192" s="771"/>
      <c r="Y2192" s="771"/>
      <c r="Z2192" s="771"/>
      <c r="AA2192" s="771"/>
      <c r="AB2192" s="771"/>
      <c r="AC2192" s="771"/>
      <c r="AD2192" s="771"/>
      <c r="AE2192" s="771"/>
      <c r="AF2192" s="771"/>
      <c r="AG2192" s="771"/>
      <c r="AH2192" s="771"/>
      <c r="AI2192" s="771"/>
      <c r="AJ2192" s="771"/>
      <c r="AK2192" s="771"/>
      <c r="AL2192" s="771"/>
      <c r="AM2192" s="771"/>
      <c r="AN2192" s="771"/>
      <c r="AO2192" s="771"/>
      <c r="AP2192" s="771"/>
      <c r="AQ2192" s="771"/>
      <c r="AR2192" s="771"/>
      <c r="AS2192" s="771"/>
      <c r="AT2192" s="771"/>
      <c r="AU2192" s="771"/>
    </row>
    <row r="2193" spans="1:47" s="1383" customFormat="1" outlineLevel="1" x14ac:dyDescent="0.2">
      <c r="A2193" s="8"/>
      <c r="B2193" s="8"/>
      <c r="C2193" s="1989" t="s">
        <v>3080</v>
      </c>
      <c r="D2193" s="1989" t="s">
        <v>6183</v>
      </c>
      <c r="E2193" s="1989">
        <v>15.41</v>
      </c>
      <c r="F2193" s="38">
        <f t="shared" si="34"/>
        <v>1253.1603084000001</v>
      </c>
      <c r="G2193" s="1547"/>
      <c r="H2193" s="8"/>
      <c r="I2193" s="8"/>
      <c r="J2193" s="8"/>
      <c r="K2193" s="8"/>
      <c r="L2193" s="8"/>
      <c r="M2193" s="8"/>
      <c r="N2193" s="8"/>
      <c r="O2193" s="8"/>
      <c r="P2193" s="8"/>
      <c r="Q2193" s="8"/>
      <c r="R2193" s="8"/>
      <c r="S2193" s="8"/>
      <c r="T2193" s="8"/>
      <c r="U2193" s="8"/>
      <c r="V2193" s="8"/>
      <c r="W2193" s="8"/>
      <c r="X2193" s="771"/>
      <c r="Y2193" s="771"/>
      <c r="Z2193" s="771"/>
      <c r="AA2193" s="771"/>
      <c r="AB2193" s="771"/>
      <c r="AC2193" s="771"/>
      <c r="AD2193" s="771"/>
      <c r="AE2193" s="771"/>
      <c r="AF2193" s="771"/>
      <c r="AG2193" s="771"/>
      <c r="AH2193" s="771"/>
      <c r="AI2193" s="771"/>
      <c r="AJ2193" s="771"/>
      <c r="AK2193" s="771"/>
      <c r="AL2193" s="771"/>
      <c r="AM2193" s="771"/>
      <c r="AN2193" s="771"/>
      <c r="AO2193" s="771"/>
      <c r="AP2193" s="771"/>
      <c r="AQ2193" s="771"/>
      <c r="AR2193" s="771"/>
      <c r="AS2193" s="771"/>
      <c r="AT2193" s="771"/>
      <c r="AU2193" s="771"/>
    </row>
    <row r="2194" spans="1:47" s="1383" customFormat="1" outlineLevel="1" x14ac:dyDescent="0.2">
      <c r="A2194" s="8"/>
      <c r="B2194" s="8"/>
      <c r="C2194" s="1989" t="s">
        <v>3081</v>
      </c>
      <c r="D2194" s="1989" t="s">
        <v>6184</v>
      </c>
      <c r="E2194" s="1989">
        <v>10.23</v>
      </c>
      <c r="F2194" s="38">
        <f t="shared" si="34"/>
        <v>831.91628520000006</v>
      </c>
      <c r="G2194" s="1547"/>
      <c r="H2194" s="8"/>
      <c r="I2194" s="8"/>
      <c r="J2194" s="8"/>
      <c r="K2194" s="8"/>
      <c r="L2194" s="8"/>
      <c r="M2194" s="8"/>
      <c r="N2194" s="8"/>
      <c r="O2194" s="8"/>
      <c r="P2194" s="8"/>
      <c r="Q2194" s="8"/>
      <c r="R2194" s="8"/>
      <c r="S2194" s="8"/>
      <c r="T2194" s="8"/>
      <c r="U2194" s="8"/>
      <c r="V2194" s="8"/>
      <c r="W2194" s="8"/>
      <c r="X2194" s="771"/>
      <c r="Y2194" s="771"/>
      <c r="Z2194" s="771"/>
      <c r="AA2194" s="771"/>
      <c r="AB2194" s="771"/>
      <c r="AC2194" s="771"/>
      <c r="AD2194" s="771"/>
      <c r="AE2194" s="771"/>
      <c r="AF2194" s="771"/>
      <c r="AG2194" s="771"/>
      <c r="AH2194" s="771"/>
      <c r="AI2194" s="771"/>
      <c r="AJ2194" s="771"/>
      <c r="AK2194" s="771"/>
      <c r="AL2194" s="771"/>
      <c r="AM2194" s="771"/>
      <c r="AN2194" s="771"/>
      <c r="AO2194" s="771"/>
      <c r="AP2194" s="771"/>
      <c r="AQ2194" s="771"/>
      <c r="AR2194" s="771"/>
      <c r="AS2194" s="771"/>
      <c r="AT2194" s="771"/>
      <c r="AU2194" s="771"/>
    </row>
    <row r="2195" spans="1:47" s="1383" customFormat="1" outlineLevel="1" x14ac:dyDescent="0.2">
      <c r="A2195" s="8"/>
      <c r="B2195" s="8"/>
      <c r="C2195" s="1989" t="s">
        <v>3082</v>
      </c>
      <c r="D2195" s="1989" t="s">
        <v>6185</v>
      </c>
      <c r="E2195" s="1989">
        <v>10.23</v>
      </c>
      <c r="F2195" s="38">
        <f t="shared" si="34"/>
        <v>831.91628520000006</v>
      </c>
      <c r="G2195" s="1547"/>
      <c r="H2195" s="8"/>
      <c r="I2195" s="8"/>
      <c r="J2195" s="8"/>
      <c r="K2195" s="8"/>
      <c r="L2195" s="8"/>
      <c r="M2195" s="8"/>
      <c r="N2195" s="8"/>
      <c r="O2195" s="8"/>
      <c r="P2195" s="8"/>
      <c r="Q2195" s="8"/>
      <c r="R2195" s="8"/>
      <c r="S2195" s="8"/>
      <c r="T2195" s="8"/>
      <c r="U2195" s="8"/>
      <c r="V2195" s="8"/>
      <c r="W2195" s="8"/>
      <c r="X2195" s="771"/>
      <c r="Y2195" s="771"/>
      <c r="Z2195" s="771"/>
      <c r="AA2195" s="771"/>
      <c r="AB2195" s="771"/>
      <c r="AC2195" s="771"/>
      <c r="AD2195" s="771"/>
      <c r="AE2195" s="771"/>
      <c r="AF2195" s="771"/>
      <c r="AG2195" s="771"/>
      <c r="AH2195" s="771"/>
      <c r="AI2195" s="771"/>
      <c r="AJ2195" s="771"/>
      <c r="AK2195" s="771"/>
      <c r="AL2195" s="771"/>
      <c r="AM2195" s="771"/>
      <c r="AN2195" s="771"/>
      <c r="AO2195" s="771"/>
      <c r="AP2195" s="771"/>
      <c r="AQ2195" s="771"/>
      <c r="AR2195" s="771"/>
      <c r="AS2195" s="771"/>
      <c r="AT2195" s="771"/>
      <c r="AU2195" s="771"/>
    </row>
    <row r="2196" spans="1:47" s="1383" customFormat="1" outlineLevel="1" x14ac:dyDescent="0.2">
      <c r="A2196" s="8"/>
      <c r="B2196" s="8"/>
      <c r="C2196" s="1989" t="s">
        <v>6793</v>
      </c>
      <c r="D2196" s="1989" t="s">
        <v>6186</v>
      </c>
      <c r="E2196" s="1989">
        <v>6.1</v>
      </c>
      <c r="F2196" s="38">
        <f t="shared" si="34"/>
        <v>496.05956400000002</v>
      </c>
      <c r="G2196" s="1547"/>
      <c r="H2196" s="8"/>
      <c r="I2196" s="8"/>
      <c r="J2196" s="8"/>
      <c r="K2196" s="8"/>
      <c r="L2196" s="8"/>
      <c r="M2196" s="8"/>
      <c r="N2196" s="8"/>
      <c r="O2196" s="8"/>
      <c r="P2196" s="8"/>
      <c r="Q2196" s="8"/>
      <c r="R2196" s="8"/>
      <c r="S2196" s="8"/>
      <c r="T2196" s="8"/>
      <c r="U2196" s="8"/>
      <c r="V2196" s="8"/>
      <c r="W2196" s="8"/>
      <c r="X2196" s="771"/>
      <c r="Y2196" s="771"/>
      <c r="Z2196" s="771"/>
      <c r="AA2196" s="771"/>
      <c r="AB2196" s="771"/>
      <c r="AC2196" s="771"/>
      <c r="AD2196" s="771"/>
      <c r="AE2196" s="771"/>
      <c r="AF2196" s="771"/>
      <c r="AG2196" s="771"/>
      <c r="AH2196" s="771"/>
      <c r="AI2196" s="771"/>
      <c r="AJ2196" s="771"/>
      <c r="AK2196" s="771"/>
      <c r="AL2196" s="771"/>
      <c r="AM2196" s="771"/>
      <c r="AN2196" s="771"/>
      <c r="AO2196" s="771"/>
      <c r="AP2196" s="771"/>
      <c r="AQ2196" s="771"/>
      <c r="AR2196" s="771"/>
      <c r="AS2196" s="771"/>
      <c r="AT2196" s="771"/>
      <c r="AU2196" s="771"/>
    </row>
    <row r="2197" spans="1:47" s="1383" customFormat="1" outlineLevel="1" x14ac:dyDescent="0.2">
      <c r="A2197" s="8"/>
      <c r="B2197" s="8"/>
      <c r="C2197" s="1989" t="s">
        <v>6794</v>
      </c>
      <c r="D2197" s="1989" t="s">
        <v>6187</v>
      </c>
      <c r="E2197" s="1989">
        <v>6.1</v>
      </c>
      <c r="F2197" s="38">
        <f t="shared" si="34"/>
        <v>496.05956400000002</v>
      </c>
      <c r="G2197" s="1547"/>
      <c r="H2197" s="8"/>
      <c r="I2197" s="8"/>
      <c r="J2197" s="8"/>
      <c r="K2197" s="8"/>
      <c r="L2197" s="8"/>
      <c r="M2197" s="8"/>
      <c r="N2197" s="8"/>
      <c r="O2197" s="8"/>
      <c r="P2197" s="8"/>
      <c r="Q2197" s="8"/>
      <c r="R2197" s="8"/>
      <c r="S2197" s="8"/>
      <c r="T2197" s="8"/>
      <c r="U2197" s="8"/>
      <c r="V2197" s="8"/>
      <c r="W2197" s="8"/>
      <c r="X2197" s="771"/>
      <c r="Y2197" s="771"/>
      <c r="Z2197" s="771"/>
      <c r="AA2197" s="771"/>
      <c r="AB2197" s="771"/>
      <c r="AC2197" s="771"/>
      <c r="AD2197" s="771"/>
      <c r="AE2197" s="771"/>
      <c r="AF2197" s="771"/>
      <c r="AG2197" s="771"/>
      <c r="AH2197" s="771"/>
      <c r="AI2197" s="771"/>
      <c r="AJ2197" s="771"/>
      <c r="AK2197" s="771"/>
      <c r="AL2197" s="771"/>
      <c r="AM2197" s="771"/>
      <c r="AN2197" s="771"/>
      <c r="AO2197" s="771"/>
      <c r="AP2197" s="771"/>
      <c r="AQ2197" s="771"/>
      <c r="AR2197" s="771"/>
      <c r="AS2197" s="771"/>
      <c r="AT2197" s="771"/>
      <c r="AU2197" s="771"/>
    </row>
    <row r="2198" spans="1:47" s="1383" customFormat="1" outlineLevel="1" x14ac:dyDescent="0.2">
      <c r="A2198" s="8"/>
      <c r="B2198" s="8"/>
      <c r="C2198" s="1989" t="s">
        <v>3083</v>
      </c>
      <c r="D2198" s="1989" t="s">
        <v>6188</v>
      </c>
      <c r="E2198" s="1989">
        <v>0.45</v>
      </c>
      <c r="F2198" s="38">
        <f t="shared" si="34"/>
        <v>36.594558000000006</v>
      </c>
      <c r="G2198" s="1547"/>
      <c r="H2198" s="8"/>
      <c r="I2198" s="8"/>
      <c r="J2198" s="8"/>
      <c r="K2198" s="8"/>
      <c r="L2198" s="8"/>
      <c r="M2198" s="8"/>
      <c r="N2198" s="8"/>
      <c r="O2198" s="8"/>
      <c r="P2198" s="8"/>
      <c r="Q2198" s="8"/>
      <c r="R2198" s="8"/>
      <c r="S2198" s="8"/>
      <c r="T2198" s="8"/>
      <c r="U2198" s="8"/>
      <c r="V2198" s="8"/>
      <c r="W2198" s="8"/>
      <c r="X2198" s="771"/>
      <c r="Y2198" s="771"/>
      <c r="Z2198" s="771"/>
      <c r="AA2198" s="771"/>
      <c r="AB2198" s="771"/>
      <c r="AC2198" s="771"/>
      <c r="AD2198" s="771"/>
      <c r="AE2198" s="771"/>
      <c r="AF2198" s="771"/>
      <c r="AG2198" s="771"/>
      <c r="AH2198" s="771"/>
      <c r="AI2198" s="771"/>
      <c r="AJ2198" s="771"/>
      <c r="AK2198" s="771"/>
      <c r="AL2198" s="771"/>
      <c r="AM2198" s="771"/>
      <c r="AN2198" s="771"/>
      <c r="AO2198" s="771"/>
      <c r="AP2198" s="771"/>
      <c r="AQ2198" s="771"/>
      <c r="AR2198" s="771"/>
      <c r="AS2198" s="771"/>
      <c r="AT2198" s="771"/>
      <c r="AU2198" s="771"/>
    </row>
    <row r="2199" spans="1:47" s="1383" customFormat="1" outlineLevel="1" x14ac:dyDescent="0.2">
      <c r="A2199" s="8"/>
      <c r="B2199" s="8"/>
      <c r="C2199" s="1989" t="s">
        <v>3084</v>
      </c>
      <c r="D2199" s="1989" t="s">
        <v>3085</v>
      </c>
      <c r="E2199" s="1989">
        <v>1.1599999999999999</v>
      </c>
      <c r="F2199" s="38">
        <f t="shared" si="34"/>
        <v>94.332638399999993</v>
      </c>
      <c r="G2199" s="1547"/>
      <c r="H2199" s="8"/>
      <c r="I2199" s="8"/>
      <c r="J2199" s="8"/>
      <c r="K2199" s="8"/>
      <c r="L2199" s="8"/>
      <c r="M2199" s="8"/>
      <c r="N2199" s="8"/>
      <c r="O2199" s="8"/>
      <c r="P2199" s="8"/>
      <c r="Q2199" s="8"/>
      <c r="R2199" s="8"/>
      <c r="S2199" s="8"/>
      <c r="T2199" s="8"/>
      <c r="U2199" s="8"/>
      <c r="V2199" s="8"/>
      <c r="W2199" s="8"/>
      <c r="X2199" s="771"/>
      <c r="Y2199" s="771"/>
      <c r="Z2199" s="771"/>
      <c r="AA2199" s="771"/>
      <c r="AB2199" s="771"/>
      <c r="AC2199" s="771"/>
      <c r="AD2199" s="771"/>
      <c r="AE2199" s="771"/>
      <c r="AF2199" s="771"/>
      <c r="AG2199" s="771"/>
      <c r="AH2199" s="771"/>
      <c r="AI2199" s="771"/>
      <c r="AJ2199" s="771"/>
      <c r="AK2199" s="771"/>
      <c r="AL2199" s="771"/>
      <c r="AM2199" s="771"/>
      <c r="AN2199" s="771"/>
      <c r="AO2199" s="771"/>
      <c r="AP2199" s="771"/>
      <c r="AQ2199" s="771"/>
      <c r="AR2199" s="771"/>
      <c r="AS2199" s="771"/>
      <c r="AT2199" s="771"/>
      <c r="AU2199" s="771"/>
    </row>
    <row r="2200" spans="1:47" s="1383" customFormat="1" outlineLevel="1" x14ac:dyDescent="0.2">
      <c r="A2200" s="8"/>
      <c r="B2200" s="8"/>
      <c r="C2200" s="1989" t="s">
        <v>3086</v>
      </c>
      <c r="D2200" s="1989" t="s">
        <v>3087</v>
      </c>
      <c r="E2200" s="1989">
        <v>1.1599999999999999</v>
      </c>
      <c r="F2200" s="38">
        <f t="shared" si="34"/>
        <v>94.332638399999993</v>
      </c>
      <c r="G2200" s="1547"/>
      <c r="H2200" s="8"/>
      <c r="I2200" s="8"/>
      <c r="J2200" s="8"/>
      <c r="K2200" s="8"/>
      <c r="L2200" s="8"/>
      <c r="M2200" s="8"/>
      <c r="N2200" s="8"/>
      <c r="O2200" s="8"/>
      <c r="P2200" s="8"/>
      <c r="Q2200" s="8"/>
      <c r="R2200" s="8"/>
      <c r="S2200" s="8"/>
      <c r="T2200" s="8"/>
      <c r="U2200" s="8"/>
      <c r="V2200" s="8"/>
      <c r="W2200" s="8"/>
      <c r="X2200" s="771"/>
      <c r="Y2200" s="771"/>
      <c r="Z2200" s="771"/>
      <c r="AA2200" s="771"/>
      <c r="AB2200" s="771"/>
      <c r="AC2200" s="771"/>
      <c r="AD2200" s="771"/>
      <c r="AE2200" s="771"/>
      <c r="AF2200" s="771"/>
      <c r="AG2200" s="771"/>
      <c r="AH2200" s="771"/>
      <c r="AI2200" s="771"/>
      <c r="AJ2200" s="771"/>
      <c r="AK2200" s="771"/>
      <c r="AL2200" s="771"/>
      <c r="AM2200" s="771"/>
      <c r="AN2200" s="771"/>
      <c r="AO2200" s="771"/>
      <c r="AP2200" s="771"/>
      <c r="AQ2200" s="771"/>
      <c r="AR2200" s="771"/>
      <c r="AS2200" s="771"/>
      <c r="AT2200" s="771"/>
      <c r="AU2200" s="771"/>
    </row>
    <row r="2201" spans="1:47" s="1383" customFormat="1" outlineLevel="1" x14ac:dyDescent="0.2">
      <c r="A2201" s="8"/>
      <c r="B2201" s="8"/>
      <c r="C2201" s="1989" t="s">
        <v>2864</v>
      </c>
      <c r="D2201" s="1989" t="s">
        <v>3734</v>
      </c>
      <c r="E2201" s="1989">
        <v>1.2</v>
      </c>
      <c r="F2201" s="38">
        <f t="shared" si="34"/>
        <v>97.585487999999998</v>
      </c>
      <c r="G2201" s="1547"/>
      <c r="H2201" s="8"/>
      <c r="I2201" s="8"/>
      <c r="J2201" s="8"/>
      <c r="K2201" s="8"/>
      <c r="L2201" s="8"/>
      <c r="M2201" s="8"/>
      <c r="N2201" s="8"/>
      <c r="O2201" s="8"/>
      <c r="P2201" s="8"/>
      <c r="Q2201" s="8"/>
      <c r="R2201" s="8"/>
      <c r="S2201" s="8"/>
      <c r="T2201" s="8"/>
      <c r="U2201" s="8"/>
      <c r="V2201" s="8"/>
      <c r="W2201" s="8"/>
      <c r="X2201" s="771"/>
      <c r="Y2201" s="771"/>
      <c r="Z2201" s="771"/>
      <c r="AA2201" s="771"/>
      <c r="AB2201" s="771"/>
      <c r="AC2201" s="771"/>
      <c r="AD2201" s="771"/>
      <c r="AE2201" s="771"/>
      <c r="AF2201" s="771"/>
      <c r="AG2201" s="771"/>
      <c r="AH2201" s="771"/>
      <c r="AI2201" s="771"/>
      <c r="AJ2201" s="771"/>
      <c r="AK2201" s="771"/>
      <c r="AL2201" s="771"/>
      <c r="AM2201" s="771"/>
      <c r="AN2201" s="771"/>
      <c r="AO2201" s="771"/>
      <c r="AP2201" s="771"/>
      <c r="AQ2201" s="771"/>
      <c r="AR2201" s="771"/>
      <c r="AS2201" s="771"/>
      <c r="AT2201" s="771"/>
      <c r="AU2201" s="771"/>
    </row>
    <row r="2202" spans="1:47" s="1383" customFormat="1" outlineLevel="1" x14ac:dyDescent="0.2">
      <c r="A2202" s="8"/>
      <c r="B2202" s="8"/>
      <c r="C2202" s="1989" t="s">
        <v>2865</v>
      </c>
      <c r="D2202" s="1989" t="s">
        <v>2866</v>
      </c>
      <c r="E2202" s="1989">
        <v>0.59</v>
      </c>
      <c r="F2202" s="38">
        <f t="shared" si="34"/>
        <v>47.979531600000001</v>
      </c>
      <c r="G2202" s="1547"/>
      <c r="H2202" s="8"/>
      <c r="I2202" s="8"/>
      <c r="J2202" s="8"/>
      <c r="K2202" s="8"/>
      <c r="L2202" s="8"/>
      <c r="M2202" s="8"/>
      <c r="N2202" s="8"/>
      <c r="O2202" s="8"/>
      <c r="P2202" s="8"/>
      <c r="Q2202" s="8"/>
      <c r="R2202" s="8"/>
      <c r="S2202" s="8"/>
      <c r="T2202" s="8"/>
      <c r="U2202" s="8"/>
      <c r="V2202" s="8"/>
      <c r="W2202" s="8"/>
      <c r="X2202" s="771"/>
      <c r="Y2202" s="771"/>
      <c r="Z2202" s="771"/>
      <c r="AA2202" s="771"/>
      <c r="AB2202" s="771"/>
      <c r="AC2202" s="771"/>
      <c r="AD2202" s="771"/>
      <c r="AE2202" s="771"/>
      <c r="AF2202" s="771"/>
      <c r="AG2202" s="771"/>
      <c r="AH2202" s="771"/>
      <c r="AI2202" s="771"/>
      <c r="AJ2202" s="771"/>
      <c r="AK2202" s="771"/>
      <c r="AL2202" s="771"/>
      <c r="AM2202" s="771"/>
      <c r="AN2202" s="771"/>
      <c r="AO2202" s="771"/>
      <c r="AP2202" s="771"/>
      <c r="AQ2202" s="771"/>
      <c r="AR2202" s="771"/>
      <c r="AS2202" s="771"/>
      <c r="AT2202" s="771"/>
      <c r="AU2202" s="771"/>
    </row>
    <row r="2203" spans="1:47" s="1383" customFormat="1" outlineLevel="1" x14ac:dyDescent="0.2">
      <c r="A2203" s="8"/>
      <c r="B2203" s="8"/>
      <c r="C2203" s="1989" t="s">
        <v>3088</v>
      </c>
      <c r="D2203" s="1989" t="s">
        <v>6189</v>
      </c>
      <c r="E2203" s="1989">
        <v>1.1100000000000001</v>
      </c>
      <c r="F2203" s="38">
        <f t="shared" si="34"/>
        <v>90.266576400000005</v>
      </c>
      <c r="G2203" s="1547"/>
      <c r="H2203" s="8"/>
      <c r="I2203" s="8"/>
      <c r="J2203" s="8"/>
      <c r="K2203" s="8"/>
      <c r="L2203" s="8"/>
      <c r="M2203" s="8"/>
      <c r="N2203" s="8"/>
      <c r="O2203" s="8"/>
      <c r="P2203" s="8"/>
      <c r="Q2203" s="8"/>
      <c r="R2203" s="8"/>
      <c r="S2203" s="8"/>
      <c r="T2203" s="8"/>
      <c r="U2203" s="8"/>
      <c r="V2203" s="8"/>
      <c r="W2203" s="8"/>
      <c r="X2203" s="771"/>
      <c r="Y2203" s="771"/>
      <c r="Z2203" s="771"/>
      <c r="AA2203" s="771"/>
      <c r="AB2203" s="771"/>
      <c r="AC2203" s="771"/>
      <c r="AD2203" s="771"/>
      <c r="AE2203" s="771"/>
      <c r="AF2203" s="771"/>
      <c r="AG2203" s="771"/>
      <c r="AH2203" s="771"/>
      <c r="AI2203" s="771"/>
      <c r="AJ2203" s="771"/>
      <c r="AK2203" s="771"/>
      <c r="AL2203" s="771"/>
      <c r="AM2203" s="771"/>
      <c r="AN2203" s="771"/>
      <c r="AO2203" s="771"/>
      <c r="AP2203" s="771"/>
      <c r="AQ2203" s="771"/>
      <c r="AR2203" s="771"/>
      <c r="AS2203" s="771"/>
      <c r="AT2203" s="771"/>
      <c r="AU2203" s="771"/>
    </row>
    <row r="2204" spans="1:47" s="1383" customFormat="1" outlineLevel="1" x14ac:dyDescent="0.2">
      <c r="A2204" s="8"/>
      <c r="B2204" s="8"/>
      <c r="C2204" s="1989" t="s">
        <v>3089</v>
      </c>
      <c r="D2204" s="1989" t="s">
        <v>6190</v>
      </c>
      <c r="E2204" s="1989">
        <v>0.45</v>
      </c>
      <c r="F2204" s="38">
        <f t="shared" si="34"/>
        <v>36.594558000000006</v>
      </c>
      <c r="G2204" s="1547"/>
      <c r="H2204" s="8"/>
      <c r="I2204" s="8"/>
      <c r="J2204" s="8"/>
      <c r="K2204" s="8"/>
      <c r="L2204" s="8"/>
      <c r="M2204" s="8"/>
      <c r="N2204" s="8"/>
      <c r="O2204" s="8"/>
      <c r="P2204" s="8"/>
      <c r="Q2204" s="8"/>
      <c r="R2204" s="8"/>
      <c r="S2204" s="8"/>
      <c r="T2204" s="8"/>
      <c r="U2204" s="8"/>
      <c r="V2204" s="8"/>
      <c r="W2204" s="8"/>
      <c r="X2204" s="771"/>
      <c r="Y2204" s="771"/>
      <c r="Z2204" s="771"/>
      <c r="AA2204" s="771"/>
      <c r="AB2204" s="771"/>
      <c r="AC2204" s="771"/>
      <c r="AD2204" s="771"/>
      <c r="AE2204" s="771"/>
      <c r="AF2204" s="771"/>
      <c r="AG2204" s="771"/>
      <c r="AH2204" s="771"/>
      <c r="AI2204" s="771"/>
      <c r="AJ2204" s="771"/>
      <c r="AK2204" s="771"/>
      <c r="AL2204" s="771"/>
      <c r="AM2204" s="771"/>
      <c r="AN2204" s="771"/>
      <c r="AO2204" s="771"/>
      <c r="AP2204" s="771"/>
      <c r="AQ2204" s="771"/>
      <c r="AR2204" s="771"/>
      <c r="AS2204" s="771"/>
      <c r="AT2204" s="771"/>
      <c r="AU2204" s="771"/>
    </row>
    <row r="2205" spans="1:47" s="1383" customFormat="1" outlineLevel="1" x14ac:dyDescent="0.2">
      <c r="A2205" s="8"/>
      <c r="B2205" s="8"/>
      <c r="C2205" s="1989" t="s">
        <v>6795</v>
      </c>
      <c r="D2205" s="1989" t="s">
        <v>6191</v>
      </c>
      <c r="E2205" s="1989">
        <v>10.56</v>
      </c>
      <c r="F2205" s="38">
        <f t="shared" si="34"/>
        <v>858.7522944000001</v>
      </c>
      <c r="G2205" s="1547"/>
      <c r="H2205" s="8"/>
      <c r="I2205" s="8"/>
      <c r="J2205" s="8"/>
      <c r="K2205" s="8"/>
      <c r="L2205" s="8"/>
      <c r="M2205" s="8"/>
      <c r="N2205" s="8"/>
      <c r="O2205" s="8"/>
      <c r="P2205" s="8"/>
      <c r="Q2205" s="8"/>
      <c r="R2205" s="8"/>
      <c r="S2205" s="8"/>
      <c r="T2205" s="8"/>
      <c r="U2205" s="8"/>
      <c r="V2205" s="8"/>
      <c r="W2205" s="8"/>
      <c r="X2205" s="771"/>
      <c r="Y2205" s="771"/>
      <c r="Z2205" s="771"/>
      <c r="AA2205" s="771"/>
      <c r="AB2205" s="771"/>
      <c r="AC2205" s="771"/>
      <c r="AD2205" s="771"/>
      <c r="AE2205" s="771"/>
      <c r="AF2205" s="771"/>
      <c r="AG2205" s="771"/>
      <c r="AH2205" s="771"/>
      <c r="AI2205" s="771"/>
      <c r="AJ2205" s="771"/>
      <c r="AK2205" s="771"/>
      <c r="AL2205" s="771"/>
      <c r="AM2205" s="771"/>
      <c r="AN2205" s="771"/>
      <c r="AO2205" s="771"/>
      <c r="AP2205" s="771"/>
      <c r="AQ2205" s="771"/>
      <c r="AR2205" s="771"/>
      <c r="AS2205" s="771"/>
      <c r="AT2205" s="771"/>
      <c r="AU2205" s="771"/>
    </row>
    <row r="2206" spans="1:47" s="1383" customFormat="1" outlineLevel="1" x14ac:dyDescent="0.2">
      <c r="A2206" s="8"/>
      <c r="B2206" s="8"/>
      <c r="C2206" s="1989" t="s">
        <v>6796</v>
      </c>
      <c r="D2206" s="1989" t="s">
        <v>6192</v>
      </c>
      <c r="E2206" s="1989">
        <v>10.56</v>
      </c>
      <c r="F2206" s="38">
        <f t="shared" si="34"/>
        <v>858.7522944000001</v>
      </c>
      <c r="G2206" s="1547"/>
      <c r="H2206" s="8"/>
      <c r="I2206" s="8"/>
      <c r="J2206" s="8"/>
      <c r="K2206" s="8"/>
      <c r="L2206" s="8"/>
      <c r="M2206" s="8"/>
      <c r="N2206" s="8"/>
      <c r="O2206" s="8"/>
      <c r="P2206" s="8"/>
      <c r="Q2206" s="8"/>
      <c r="R2206" s="8"/>
      <c r="S2206" s="8"/>
      <c r="T2206" s="8"/>
      <c r="U2206" s="8"/>
      <c r="V2206" s="8"/>
      <c r="W2206" s="8"/>
      <c r="X2206" s="771"/>
      <c r="Y2206" s="771"/>
      <c r="Z2206" s="771"/>
      <c r="AA2206" s="771"/>
      <c r="AB2206" s="771"/>
      <c r="AC2206" s="771"/>
      <c r="AD2206" s="771"/>
      <c r="AE2206" s="771"/>
      <c r="AF2206" s="771"/>
      <c r="AG2206" s="771"/>
      <c r="AH2206" s="771"/>
      <c r="AI2206" s="771"/>
      <c r="AJ2206" s="771"/>
      <c r="AK2206" s="771"/>
      <c r="AL2206" s="771"/>
      <c r="AM2206" s="771"/>
      <c r="AN2206" s="771"/>
      <c r="AO2206" s="771"/>
      <c r="AP2206" s="771"/>
      <c r="AQ2206" s="771"/>
      <c r="AR2206" s="771"/>
      <c r="AS2206" s="771"/>
      <c r="AT2206" s="771"/>
      <c r="AU2206" s="771"/>
    </row>
    <row r="2207" spans="1:47" s="1383" customFormat="1" outlineLevel="1" x14ac:dyDescent="0.2">
      <c r="A2207" s="8"/>
      <c r="B2207" s="8"/>
      <c r="C2207" s="1989" t="s">
        <v>3090</v>
      </c>
      <c r="D2207" s="1989" t="s">
        <v>6193</v>
      </c>
      <c r="E2207" s="1989">
        <v>1.1100000000000001</v>
      </c>
      <c r="F2207" s="38">
        <f t="shared" si="34"/>
        <v>90.266576400000005</v>
      </c>
      <c r="G2207" s="1547"/>
      <c r="H2207" s="8"/>
      <c r="I2207" s="8"/>
      <c r="J2207" s="8"/>
      <c r="K2207" s="8"/>
      <c r="L2207" s="8"/>
      <c r="M2207" s="8"/>
      <c r="N2207" s="8"/>
      <c r="O2207" s="8"/>
      <c r="P2207" s="8"/>
      <c r="Q2207" s="8"/>
      <c r="R2207" s="8"/>
      <c r="S2207" s="8"/>
      <c r="T2207" s="8"/>
      <c r="U2207" s="8"/>
      <c r="V2207" s="8"/>
      <c r="W2207" s="8"/>
      <c r="X2207" s="771"/>
      <c r="Y2207" s="771"/>
      <c r="Z2207" s="771"/>
      <c r="AA2207" s="771"/>
      <c r="AB2207" s="771"/>
      <c r="AC2207" s="771"/>
      <c r="AD2207" s="771"/>
      <c r="AE2207" s="771"/>
      <c r="AF2207" s="771"/>
      <c r="AG2207" s="771"/>
      <c r="AH2207" s="771"/>
      <c r="AI2207" s="771"/>
      <c r="AJ2207" s="771"/>
      <c r="AK2207" s="771"/>
      <c r="AL2207" s="771"/>
      <c r="AM2207" s="771"/>
      <c r="AN2207" s="771"/>
      <c r="AO2207" s="771"/>
      <c r="AP2207" s="771"/>
      <c r="AQ2207" s="771"/>
      <c r="AR2207" s="771"/>
      <c r="AS2207" s="771"/>
      <c r="AT2207" s="771"/>
      <c r="AU2207" s="771"/>
    </row>
    <row r="2208" spans="1:47" s="1383" customFormat="1" outlineLevel="1" x14ac:dyDescent="0.2">
      <c r="A2208" s="8"/>
      <c r="B2208" s="8"/>
      <c r="C2208" s="1989" t="s">
        <v>3091</v>
      </c>
      <c r="D2208" s="1989" t="s">
        <v>3735</v>
      </c>
      <c r="E2208" s="1989">
        <v>0.53</v>
      </c>
      <c r="F2208" s="38">
        <f t="shared" si="34"/>
        <v>43.100257200000001</v>
      </c>
      <c r="G2208" s="1547"/>
      <c r="H2208" s="8"/>
      <c r="I2208" s="8"/>
      <c r="J2208" s="8"/>
      <c r="K2208" s="8"/>
      <c r="L2208" s="8"/>
      <c r="M2208" s="8"/>
      <c r="N2208" s="8"/>
      <c r="O2208" s="8"/>
      <c r="P2208" s="8"/>
      <c r="Q2208" s="8"/>
      <c r="R2208" s="8"/>
      <c r="S2208" s="8"/>
      <c r="T2208" s="8"/>
      <c r="U2208" s="8"/>
      <c r="V2208" s="8"/>
      <c r="W2208" s="8"/>
      <c r="X2208" s="771"/>
      <c r="Y2208" s="771"/>
      <c r="Z2208" s="771"/>
      <c r="AA2208" s="771"/>
      <c r="AB2208" s="771"/>
      <c r="AC2208" s="771"/>
      <c r="AD2208" s="771"/>
      <c r="AE2208" s="771"/>
      <c r="AF2208" s="771"/>
      <c r="AG2208" s="771"/>
      <c r="AH2208" s="771"/>
      <c r="AI2208" s="771"/>
      <c r="AJ2208" s="771"/>
      <c r="AK2208" s="771"/>
      <c r="AL2208" s="771"/>
      <c r="AM2208" s="771"/>
      <c r="AN2208" s="771"/>
      <c r="AO2208" s="771"/>
      <c r="AP2208" s="771"/>
      <c r="AQ2208" s="771"/>
      <c r="AR2208" s="771"/>
      <c r="AS2208" s="771"/>
      <c r="AT2208" s="771"/>
      <c r="AU2208" s="771"/>
    </row>
    <row r="2209" spans="1:47" s="1383" customFormat="1" outlineLevel="1" x14ac:dyDescent="0.2">
      <c r="A2209" s="8"/>
      <c r="B2209" s="8"/>
      <c r="C2209" s="1989" t="s">
        <v>3092</v>
      </c>
      <c r="D2209" s="1989" t="s">
        <v>3093</v>
      </c>
      <c r="E2209" s="1989">
        <v>0.53</v>
      </c>
      <c r="F2209" s="38">
        <f t="shared" si="34"/>
        <v>43.100257200000001</v>
      </c>
      <c r="G2209" s="1547"/>
      <c r="H2209" s="8"/>
      <c r="I2209" s="8"/>
      <c r="J2209" s="8"/>
      <c r="K2209" s="8"/>
      <c r="L2209" s="8"/>
      <c r="M2209" s="8"/>
      <c r="N2209" s="8"/>
      <c r="O2209" s="8"/>
      <c r="P2209" s="8"/>
      <c r="Q2209" s="8"/>
      <c r="R2209" s="8"/>
      <c r="S2209" s="8"/>
      <c r="T2209" s="8"/>
      <c r="U2209" s="8"/>
      <c r="V2209" s="8"/>
      <c r="W2209" s="8"/>
      <c r="X2209" s="771"/>
      <c r="Y2209" s="771"/>
      <c r="Z2209" s="771"/>
      <c r="AA2209" s="771"/>
      <c r="AB2209" s="771"/>
      <c r="AC2209" s="771"/>
      <c r="AD2209" s="771"/>
      <c r="AE2209" s="771"/>
      <c r="AF2209" s="771"/>
      <c r="AG2209" s="771"/>
      <c r="AH2209" s="771"/>
      <c r="AI2209" s="771"/>
      <c r="AJ2209" s="771"/>
      <c r="AK2209" s="771"/>
      <c r="AL2209" s="771"/>
      <c r="AM2209" s="771"/>
      <c r="AN2209" s="771"/>
      <c r="AO2209" s="771"/>
      <c r="AP2209" s="771"/>
      <c r="AQ2209" s="771"/>
      <c r="AR2209" s="771"/>
      <c r="AS2209" s="771"/>
      <c r="AT2209" s="771"/>
      <c r="AU2209" s="771"/>
    </row>
    <row r="2210" spans="1:47" s="1383" customFormat="1" outlineLevel="1" x14ac:dyDescent="0.2">
      <c r="A2210" s="8"/>
      <c r="B2210" s="8"/>
      <c r="C2210" s="1989" t="s">
        <v>3094</v>
      </c>
      <c r="D2210" s="1989" t="s">
        <v>7864</v>
      </c>
      <c r="E2210" s="1989">
        <v>1.01</v>
      </c>
      <c r="F2210" s="38">
        <f t="shared" si="34"/>
        <v>82.134452400000001</v>
      </c>
      <c r="G2210" s="1547"/>
      <c r="H2210" s="8"/>
      <c r="I2210" s="8"/>
      <c r="J2210" s="8"/>
      <c r="K2210" s="8"/>
      <c r="L2210" s="8"/>
      <c r="M2210" s="8"/>
      <c r="N2210" s="8"/>
      <c r="O2210" s="8"/>
      <c r="P2210" s="8"/>
      <c r="Q2210" s="8"/>
      <c r="R2210" s="8"/>
      <c r="S2210" s="8"/>
      <c r="T2210" s="8"/>
      <c r="U2210" s="8"/>
      <c r="V2210" s="8"/>
      <c r="W2210" s="8"/>
      <c r="X2210" s="771"/>
      <c r="Y2210" s="771"/>
      <c r="Z2210" s="771"/>
      <c r="AA2210" s="771"/>
      <c r="AB2210" s="771"/>
      <c r="AC2210" s="771"/>
      <c r="AD2210" s="771"/>
      <c r="AE2210" s="771"/>
      <c r="AF2210" s="771"/>
      <c r="AG2210" s="771"/>
      <c r="AH2210" s="771"/>
      <c r="AI2210" s="771"/>
      <c r="AJ2210" s="771"/>
      <c r="AK2210" s="771"/>
      <c r="AL2210" s="771"/>
      <c r="AM2210" s="771"/>
      <c r="AN2210" s="771"/>
      <c r="AO2210" s="771"/>
      <c r="AP2210" s="771"/>
      <c r="AQ2210" s="771"/>
      <c r="AR2210" s="771"/>
      <c r="AS2210" s="771"/>
      <c r="AT2210" s="771"/>
      <c r="AU2210" s="771"/>
    </row>
    <row r="2211" spans="1:47" s="1383" customFormat="1" outlineLevel="1" x14ac:dyDescent="0.2">
      <c r="A2211" s="8"/>
      <c r="B2211" s="8"/>
      <c r="C2211" s="1989" t="s">
        <v>3327</v>
      </c>
      <c r="D2211" s="1989" t="s">
        <v>3736</v>
      </c>
      <c r="E2211" s="1989">
        <v>1.37</v>
      </c>
      <c r="F2211" s="38">
        <f t="shared" si="34"/>
        <v>111.41009880000001</v>
      </c>
      <c r="G2211" s="1547"/>
      <c r="H2211" s="8"/>
      <c r="I2211" s="8"/>
      <c r="J2211" s="8"/>
      <c r="K2211" s="8"/>
      <c r="L2211" s="8"/>
      <c r="M2211" s="8"/>
      <c r="N2211" s="8"/>
      <c r="O2211" s="8"/>
      <c r="P2211" s="8"/>
      <c r="Q2211" s="8"/>
      <c r="R2211" s="8"/>
      <c r="S2211" s="8"/>
      <c r="T2211" s="8"/>
      <c r="U2211" s="8"/>
      <c r="V2211" s="8"/>
      <c r="W2211" s="8"/>
      <c r="X2211" s="771"/>
      <c r="Y2211" s="771"/>
      <c r="Z2211" s="771"/>
      <c r="AA2211" s="771"/>
      <c r="AB2211" s="771"/>
      <c r="AC2211" s="771"/>
      <c r="AD2211" s="771"/>
      <c r="AE2211" s="771"/>
      <c r="AF2211" s="771"/>
      <c r="AG2211" s="771"/>
      <c r="AH2211" s="771"/>
      <c r="AI2211" s="771"/>
      <c r="AJ2211" s="771"/>
      <c r="AK2211" s="771"/>
      <c r="AL2211" s="771"/>
      <c r="AM2211" s="771"/>
      <c r="AN2211" s="771"/>
      <c r="AO2211" s="771"/>
      <c r="AP2211" s="771"/>
      <c r="AQ2211" s="771"/>
      <c r="AR2211" s="771"/>
      <c r="AS2211" s="771"/>
      <c r="AT2211" s="771"/>
      <c r="AU2211" s="771"/>
    </row>
    <row r="2212" spans="1:47" s="1383" customFormat="1" outlineLevel="1" x14ac:dyDescent="0.2">
      <c r="A2212" s="8"/>
      <c r="B2212" s="8"/>
      <c r="C2212" s="1989" t="s">
        <v>3329</v>
      </c>
      <c r="D2212" s="1989" t="s">
        <v>3328</v>
      </c>
      <c r="E2212" s="1989">
        <v>1.37</v>
      </c>
      <c r="F2212" s="38">
        <f t="shared" si="34"/>
        <v>111.41009880000001</v>
      </c>
      <c r="G2212" s="1547"/>
      <c r="H2212" s="8"/>
      <c r="I2212" s="8"/>
      <c r="J2212" s="8"/>
      <c r="K2212" s="8"/>
      <c r="L2212" s="8"/>
      <c r="M2212" s="8"/>
      <c r="N2212" s="8"/>
      <c r="O2212" s="8"/>
      <c r="P2212" s="8"/>
      <c r="Q2212" s="8"/>
      <c r="R2212" s="8"/>
      <c r="S2212" s="8"/>
      <c r="T2212" s="8"/>
      <c r="U2212" s="8"/>
      <c r="V2212" s="8"/>
      <c r="W2212" s="8"/>
      <c r="X2212" s="771"/>
      <c r="Y2212" s="771"/>
      <c r="Z2212" s="771"/>
      <c r="AA2212" s="771"/>
      <c r="AB2212" s="771"/>
      <c r="AC2212" s="771"/>
      <c r="AD2212" s="771"/>
      <c r="AE2212" s="771"/>
      <c r="AF2212" s="771"/>
      <c r="AG2212" s="771"/>
      <c r="AH2212" s="771"/>
      <c r="AI2212" s="771"/>
      <c r="AJ2212" s="771"/>
      <c r="AK2212" s="771"/>
      <c r="AL2212" s="771"/>
      <c r="AM2212" s="771"/>
      <c r="AN2212" s="771"/>
      <c r="AO2212" s="771"/>
      <c r="AP2212" s="771"/>
      <c r="AQ2212" s="771"/>
      <c r="AR2212" s="771"/>
      <c r="AS2212" s="771"/>
      <c r="AT2212" s="771"/>
      <c r="AU2212" s="771"/>
    </row>
    <row r="2213" spans="1:47" s="1383" customFormat="1" outlineLevel="1" x14ac:dyDescent="0.2">
      <c r="A2213" s="8"/>
      <c r="B2213" s="8"/>
      <c r="C2213" s="1989" t="s">
        <v>4624</v>
      </c>
      <c r="D2213" s="1989" t="s">
        <v>4625</v>
      </c>
      <c r="E2213" s="1989">
        <v>2.82</v>
      </c>
      <c r="F2213" s="38">
        <f t="shared" si="34"/>
        <v>229.32589680000001</v>
      </c>
      <c r="G2213" s="1547"/>
      <c r="H2213" s="8"/>
      <c r="I2213" s="8"/>
      <c r="J2213" s="8"/>
      <c r="K2213" s="8"/>
      <c r="L2213" s="8"/>
      <c r="M2213" s="8"/>
      <c r="N2213" s="8"/>
      <c r="O2213" s="8"/>
      <c r="P2213" s="8"/>
      <c r="Q2213" s="8"/>
      <c r="R2213" s="8"/>
      <c r="S2213" s="8"/>
      <c r="T2213" s="8"/>
      <c r="U2213" s="8"/>
      <c r="V2213" s="8"/>
      <c r="W2213" s="8"/>
      <c r="X2213" s="771"/>
      <c r="Y2213" s="771"/>
      <c r="Z2213" s="771"/>
      <c r="AA2213" s="771"/>
      <c r="AB2213" s="771"/>
      <c r="AC2213" s="771"/>
      <c r="AD2213" s="771"/>
      <c r="AE2213" s="771"/>
      <c r="AF2213" s="771"/>
      <c r="AG2213" s="771"/>
      <c r="AH2213" s="771"/>
      <c r="AI2213" s="771"/>
      <c r="AJ2213" s="771"/>
      <c r="AK2213" s="771"/>
      <c r="AL2213" s="771"/>
      <c r="AM2213" s="771"/>
      <c r="AN2213" s="771"/>
      <c r="AO2213" s="771"/>
      <c r="AP2213" s="771"/>
      <c r="AQ2213" s="771"/>
      <c r="AR2213" s="771"/>
      <c r="AS2213" s="771"/>
      <c r="AT2213" s="771"/>
      <c r="AU2213" s="771"/>
    </row>
    <row r="2214" spans="1:47" s="1383" customFormat="1" outlineLevel="1" x14ac:dyDescent="0.2">
      <c r="A2214" s="8"/>
      <c r="B2214" s="8"/>
      <c r="C2214" s="1989" t="s">
        <v>2405</v>
      </c>
      <c r="D2214" s="1989" t="s">
        <v>7865</v>
      </c>
      <c r="E2214" s="1989">
        <v>5</v>
      </c>
      <c r="F2214" s="38">
        <f t="shared" si="34"/>
        <v>406.60620000000006</v>
      </c>
      <c r="G2214" s="1547"/>
      <c r="H2214" s="8"/>
      <c r="I2214" s="8"/>
      <c r="J2214" s="8"/>
      <c r="K2214" s="8"/>
      <c r="L2214" s="8"/>
      <c r="M2214" s="8"/>
      <c r="N2214" s="8"/>
      <c r="O2214" s="8"/>
      <c r="P2214" s="8"/>
      <c r="Q2214" s="8"/>
      <c r="R2214" s="8"/>
      <c r="S2214" s="8"/>
      <c r="T2214" s="8"/>
      <c r="U2214" s="8"/>
      <c r="V2214" s="8"/>
      <c r="W2214" s="8"/>
      <c r="X2214" s="771"/>
      <c r="Y2214" s="771"/>
      <c r="Z2214" s="771"/>
      <c r="AA2214" s="771"/>
      <c r="AB2214" s="771"/>
      <c r="AC2214" s="771"/>
      <c r="AD2214" s="771"/>
      <c r="AE2214" s="771"/>
      <c r="AF2214" s="771"/>
      <c r="AG2214" s="771"/>
      <c r="AH2214" s="771"/>
      <c r="AI2214" s="771"/>
      <c r="AJ2214" s="771"/>
      <c r="AK2214" s="771"/>
      <c r="AL2214" s="771"/>
      <c r="AM2214" s="771"/>
      <c r="AN2214" s="771"/>
      <c r="AO2214" s="771"/>
      <c r="AP2214" s="771"/>
      <c r="AQ2214" s="771"/>
      <c r="AR2214" s="771"/>
      <c r="AS2214" s="771"/>
      <c r="AT2214" s="771"/>
      <c r="AU2214" s="771"/>
    </row>
    <row r="2215" spans="1:47" s="1383" customFormat="1" outlineLevel="1" x14ac:dyDescent="0.2">
      <c r="A2215" s="8"/>
      <c r="B2215" s="8"/>
      <c r="C2215" s="1989" t="s">
        <v>2407</v>
      </c>
      <c r="D2215" s="1989" t="s">
        <v>6194</v>
      </c>
      <c r="E2215" s="1989">
        <v>32.590000000000003</v>
      </c>
      <c r="F2215" s="38">
        <f t="shared" si="34"/>
        <v>2650.2592116000005</v>
      </c>
      <c r="G2215" s="1547"/>
      <c r="H2215" s="8"/>
      <c r="I2215" s="8"/>
      <c r="J2215" s="8"/>
      <c r="K2215" s="8"/>
      <c r="L2215" s="8"/>
      <c r="M2215" s="8"/>
      <c r="N2215" s="8"/>
      <c r="O2215" s="8"/>
      <c r="P2215" s="8"/>
      <c r="Q2215" s="8"/>
      <c r="R2215" s="8"/>
      <c r="S2215" s="8"/>
      <c r="T2215" s="8"/>
      <c r="U2215" s="8"/>
      <c r="V2215" s="8"/>
      <c r="W2215" s="8"/>
      <c r="X2215" s="771"/>
      <c r="Y2215" s="771"/>
      <c r="Z2215" s="771"/>
      <c r="AA2215" s="771"/>
      <c r="AB2215" s="771"/>
      <c r="AC2215" s="771"/>
      <c r="AD2215" s="771"/>
      <c r="AE2215" s="771"/>
      <c r="AF2215" s="771"/>
      <c r="AG2215" s="771"/>
      <c r="AH2215" s="771"/>
      <c r="AI2215" s="771"/>
      <c r="AJ2215" s="771"/>
      <c r="AK2215" s="771"/>
      <c r="AL2215" s="771"/>
      <c r="AM2215" s="771"/>
      <c r="AN2215" s="771"/>
      <c r="AO2215" s="771"/>
      <c r="AP2215" s="771"/>
      <c r="AQ2215" s="771"/>
      <c r="AR2215" s="771"/>
      <c r="AS2215" s="771"/>
      <c r="AT2215" s="771"/>
      <c r="AU2215" s="771"/>
    </row>
    <row r="2216" spans="1:47" s="1383" customFormat="1" outlineLevel="1" x14ac:dyDescent="0.2">
      <c r="A2216" s="8"/>
      <c r="B2216" s="8"/>
      <c r="C2216" s="1989" t="s">
        <v>2409</v>
      </c>
      <c r="D2216" s="1989" t="s">
        <v>6195</v>
      </c>
      <c r="E2216" s="1989">
        <v>54.55</v>
      </c>
      <c r="F2216" s="38">
        <f t="shared" si="34"/>
        <v>4436.0736420000003</v>
      </c>
      <c r="G2216" s="1547"/>
      <c r="H2216" s="8"/>
      <c r="I2216" s="8"/>
      <c r="J2216" s="8"/>
      <c r="K2216" s="8"/>
      <c r="L2216" s="8"/>
      <c r="M2216" s="8"/>
      <c r="N2216" s="8"/>
      <c r="O2216" s="8"/>
      <c r="P2216" s="8"/>
      <c r="Q2216" s="8"/>
      <c r="R2216" s="8"/>
      <c r="S2216" s="8"/>
      <c r="T2216" s="8"/>
      <c r="U2216" s="8"/>
      <c r="V2216" s="8"/>
      <c r="W2216" s="8"/>
      <c r="X2216" s="771"/>
      <c r="Y2216" s="771"/>
      <c r="Z2216" s="771"/>
      <c r="AA2216" s="771"/>
      <c r="AB2216" s="771"/>
      <c r="AC2216" s="771"/>
      <c r="AD2216" s="771"/>
      <c r="AE2216" s="771"/>
      <c r="AF2216" s="771"/>
      <c r="AG2216" s="771"/>
      <c r="AH2216" s="771"/>
      <c r="AI2216" s="771"/>
      <c r="AJ2216" s="771"/>
      <c r="AK2216" s="771"/>
      <c r="AL2216" s="771"/>
      <c r="AM2216" s="771"/>
      <c r="AN2216" s="771"/>
      <c r="AO2216" s="771"/>
      <c r="AP2216" s="771"/>
      <c r="AQ2216" s="771"/>
      <c r="AR2216" s="771"/>
      <c r="AS2216" s="771"/>
      <c r="AT2216" s="771"/>
      <c r="AU2216" s="771"/>
    </row>
    <row r="2217" spans="1:47" s="1383" customFormat="1" outlineLevel="1" x14ac:dyDescent="0.2">
      <c r="A2217" s="8"/>
      <c r="B2217" s="8"/>
      <c r="C2217" s="1989" t="s">
        <v>6797</v>
      </c>
      <c r="D2217" s="1989" t="s">
        <v>7866</v>
      </c>
      <c r="E2217" s="1989">
        <v>4.84</v>
      </c>
      <c r="F2217" s="38">
        <f t="shared" si="34"/>
        <v>393.59480160000004</v>
      </c>
      <c r="G2217" s="1547"/>
      <c r="H2217" s="8"/>
      <c r="I2217" s="8"/>
      <c r="J2217" s="8"/>
      <c r="K2217" s="8"/>
      <c r="L2217" s="8"/>
      <c r="M2217" s="8"/>
      <c r="N2217" s="8"/>
      <c r="O2217" s="8"/>
      <c r="P2217" s="8"/>
      <c r="Q2217" s="8"/>
      <c r="R2217" s="8"/>
      <c r="S2217" s="8"/>
      <c r="T2217" s="8"/>
      <c r="U2217" s="8"/>
      <c r="V2217" s="8"/>
      <c r="W2217" s="8"/>
      <c r="X2217" s="771"/>
      <c r="Y2217" s="771"/>
      <c r="Z2217" s="771"/>
      <c r="AA2217" s="771"/>
      <c r="AB2217" s="771"/>
      <c r="AC2217" s="771"/>
      <c r="AD2217" s="771"/>
      <c r="AE2217" s="771"/>
      <c r="AF2217" s="771"/>
      <c r="AG2217" s="771"/>
      <c r="AH2217" s="771"/>
      <c r="AI2217" s="771"/>
      <c r="AJ2217" s="771"/>
      <c r="AK2217" s="771"/>
      <c r="AL2217" s="771"/>
      <c r="AM2217" s="771"/>
      <c r="AN2217" s="771"/>
      <c r="AO2217" s="771"/>
      <c r="AP2217" s="771"/>
      <c r="AQ2217" s="771"/>
      <c r="AR2217" s="771"/>
      <c r="AS2217" s="771"/>
      <c r="AT2217" s="771"/>
      <c r="AU2217" s="771"/>
    </row>
    <row r="2218" spans="1:47" s="1383" customFormat="1" outlineLevel="1" x14ac:dyDescent="0.2">
      <c r="A2218" s="8"/>
      <c r="B2218" s="8"/>
      <c r="C2218" s="1989" t="s">
        <v>6798</v>
      </c>
      <c r="D2218" s="1989" t="s">
        <v>7867</v>
      </c>
      <c r="E2218" s="1989">
        <v>3.42</v>
      </c>
      <c r="F2218" s="38">
        <f t="shared" si="34"/>
        <v>278.11864080000004</v>
      </c>
      <c r="G2218" s="1547"/>
      <c r="H2218" s="8"/>
      <c r="I2218" s="8"/>
      <c r="J2218" s="8"/>
      <c r="K2218" s="8"/>
      <c r="L2218" s="8"/>
      <c r="M2218" s="8"/>
      <c r="N2218" s="8"/>
      <c r="O2218" s="8"/>
      <c r="P2218" s="8"/>
      <c r="Q2218" s="8"/>
      <c r="R2218" s="8"/>
      <c r="S2218" s="8"/>
      <c r="T2218" s="8"/>
      <c r="U2218" s="8"/>
      <c r="V2218" s="8"/>
      <c r="W2218" s="8"/>
      <c r="X2218" s="771"/>
      <c r="Y2218" s="771"/>
      <c r="Z2218" s="771"/>
      <c r="AA2218" s="771"/>
      <c r="AB2218" s="771"/>
      <c r="AC2218" s="771"/>
      <c r="AD2218" s="771"/>
      <c r="AE2218" s="771"/>
      <c r="AF2218" s="771"/>
      <c r="AG2218" s="771"/>
      <c r="AH2218" s="771"/>
      <c r="AI2218" s="771"/>
      <c r="AJ2218" s="771"/>
      <c r="AK2218" s="771"/>
      <c r="AL2218" s="771"/>
      <c r="AM2218" s="771"/>
      <c r="AN2218" s="771"/>
      <c r="AO2218" s="771"/>
      <c r="AP2218" s="771"/>
      <c r="AQ2218" s="771"/>
      <c r="AR2218" s="771"/>
      <c r="AS2218" s="771"/>
      <c r="AT2218" s="771"/>
      <c r="AU2218" s="771"/>
    </row>
    <row r="2219" spans="1:47" s="1383" customFormat="1" outlineLevel="1" x14ac:dyDescent="0.2">
      <c r="A2219" s="8"/>
      <c r="B2219" s="8"/>
      <c r="C2219" s="1989" t="s">
        <v>2411</v>
      </c>
      <c r="D2219" s="1989" t="s">
        <v>6196</v>
      </c>
      <c r="E2219" s="1989">
        <v>35.58</v>
      </c>
      <c r="F2219" s="38">
        <f t="shared" si="34"/>
        <v>2893.4097191999999</v>
      </c>
      <c r="G2219" s="1547"/>
      <c r="H2219" s="8"/>
      <c r="I2219" s="8"/>
      <c r="J2219" s="8"/>
      <c r="K2219" s="8"/>
      <c r="L2219" s="8"/>
      <c r="M2219" s="8"/>
      <c r="N2219" s="8"/>
      <c r="O2219" s="8"/>
      <c r="P2219" s="8"/>
      <c r="Q2219" s="8"/>
      <c r="R2219" s="8"/>
      <c r="S2219" s="8"/>
      <c r="T2219" s="8"/>
      <c r="U2219" s="8"/>
      <c r="V2219" s="8"/>
      <c r="W2219" s="8"/>
      <c r="X2219" s="771"/>
      <c r="Y2219" s="771"/>
      <c r="Z2219" s="771"/>
      <c r="AA2219" s="771"/>
      <c r="AB2219" s="771"/>
      <c r="AC2219" s="771"/>
      <c r="AD2219" s="771"/>
      <c r="AE2219" s="771"/>
      <c r="AF2219" s="771"/>
      <c r="AG2219" s="771"/>
      <c r="AH2219" s="771"/>
      <c r="AI2219" s="771"/>
      <c r="AJ2219" s="771"/>
      <c r="AK2219" s="771"/>
      <c r="AL2219" s="771"/>
      <c r="AM2219" s="771"/>
      <c r="AN2219" s="771"/>
      <c r="AO2219" s="771"/>
      <c r="AP2219" s="771"/>
      <c r="AQ2219" s="771"/>
      <c r="AR2219" s="771"/>
      <c r="AS2219" s="771"/>
      <c r="AT2219" s="771"/>
      <c r="AU2219" s="771"/>
    </row>
    <row r="2220" spans="1:47" s="1383" customFormat="1" outlineLevel="1" x14ac:dyDescent="0.2">
      <c r="A2220" s="8"/>
      <c r="B2220" s="8"/>
      <c r="C2220" s="1989" t="s">
        <v>3761</v>
      </c>
      <c r="D2220" s="1989" t="s">
        <v>7868</v>
      </c>
      <c r="E2220" s="1989">
        <v>74.489999999999995</v>
      </c>
      <c r="F2220" s="38">
        <f t="shared" si="34"/>
        <v>6057.6191675999999</v>
      </c>
      <c r="G2220" s="1547"/>
      <c r="H2220" s="8"/>
      <c r="I2220" s="8"/>
      <c r="J2220" s="8"/>
      <c r="K2220" s="8"/>
      <c r="L2220" s="8"/>
      <c r="M2220" s="8"/>
      <c r="N2220" s="8"/>
      <c r="O2220" s="8"/>
      <c r="P2220" s="8"/>
      <c r="Q2220" s="8"/>
      <c r="R2220" s="8"/>
      <c r="S2220" s="8"/>
      <c r="T2220" s="8"/>
      <c r="U2220" s="8"/>
      <c r="V2220" s="8"/>
      <c r="W2220" s="8"/>
      <c r="X2220" s="771"/>
      <c r="Y2220" s="771"/>
      <c r="Z2220" s="771"/>
      <c r="AA2220" s="771"/>
      <c r="AB2220" s="771"/>
      <c r="AC2220" s="771"/>
      <c r="AD2220" s="771"/>
      <c r="AE2220" s="771"/>
      <c r="AF2220" s="771"/>
      <c r="AG2220" s="771"/>
      <c r="AH2220" s="771"/>
      <c r="AI2220" s="771"/>
      <c r="AJ2220" s="771"/>
      <c r="AK2220" s="771"/>
      <c r="AL2220" s="771"/>
      <c r="AM2220" s="771"/>
      <c r="AN2220" s="771"/>
      <c r="AO2220" s="771"/>
      <c r="AP2220" s="771"/>
      <c r="AQ2220" s="771"/>
      <c r="AR2220" s="771"/>
      <c r="AS2220" s="771"/>
      <c r="AT2220" s="771"/>
      <c r="AU2220" s="771"/>
    </row>
    <row r="2221" spans="1:47" s="1383" customFormat="1" outlineLevel="1" x14ac:dyDescent="0.2">
      <c r="A2221" s="8"/>
      <c r="B2221" s="8"/>
      <c r="C2221" s="1989" t="s">
        <v>2412</v>
      </c>
      <c r="D2221" s="1989" t="s">
        <v>7869</v>
      </c>
      <c r="E2221" s="1989">
        <v>20.95</v>
      </c>
      <c r="F2221" s="38">
        <f t="shared" si="34"/>
        <v>1703.6799779999999</v>
      </c>
      <c r="G2221" s="1547"/>
      <c r="H2221" s="8"/>
      <c r="I2221" s="8"/>
      <c r="J2221" s="8"/>
      <c r="K2221" s="8"/>
      <c r="L2221" s="8"/>
      <c r="M2221" s="8"/>
      <c r="N2221" s="8"/>
      <c r="O2221" s="8"/>
      <c r="P2221" s="8"/>
      <c r="Q2221" s="8"/>
      <c r="R2221" s="8"/>
      <c r="S2221" s="8"/>
      <c r="T2221" s="8"/>
      <c r="U2221" s="8"/>
      <c r="V2221" s="8"/>
      <c r="W2221" s="8"/>
      <c r="X2221" s="771"/>
      <c r="Y2221" s="771"/>
      <c r="Z2221" s="771"/>
      <c r="AA2221" s="771"/>
      <c r="AB2221" s="771"/>
      <c r="AC2221" s="771"/>
      <c r="AD2221" s="771"/>
      <c r="AE2221" s="771"/>
      <c r="AF2221" s="771"/>
      <c r="AG2221" s="771"/>
      <c r="AH2221" s="771"/>
      <c r="AI2221" s="771"/>
      <c r="AJ2221" s="771"/>
      <c r="AK2221" s="771"/>
      <c r="AL2221" s="771"/>
      <c r="AM2221" s="771"/>
      <c r="AN2221" s="771"/>
      <c r="AO2221" s="771"/>
      <c r="AP2221" s="771"/>
      <c r="AQ2221" s="771"/>
      <c r="AR2221" s="771"/>
      <c r="AS2221" s="771"/>
      <c r="AT2221" s="771"/>
      <c r="AU2221" s="771"/>
    </row>
    <row r="2222" spans="1:47" s="1383" customFormat="1" outlineLevel="1" x14ac:dyDescent="0.2">
      <c r="A2222" s="8"/>
      <c r="B2222" s="8"/>
      <c r="C2222" s="1989" t="s">
        <v>4626</v>
      </c>
      <c r="D2222" s="1989" t="s">
        <v>4627</v>
      </c>
      <c r="E2222" s="1989">
        <v>2.82</v>
      </c>
      <c r="F2222" s="38">
        <f t="shared" si="34"/>
        <v>229.32589680000001</v>
      </c>
      <c r="G2222" s="1547"/>
      <c r="H2222" s="8"/>
      <c r="I2222" s="8"/>
      <c r="J2222" s="8"/>
      <c r="K2222" s="8"/>
      <c r="L2222" s="8"/>
      <c r="M2222" s="8"/>
      <c r="N2222" s="8"/>
      <c r="O2222" s="8"/>
      <c r="P2222" s="8"/>
      <c r="Q2222" s="8"/>
      <c r="R2222" s="8"/>
      <c r="S2222" s="8"/>
      <c r="T2222" s="8"/>
      <c r="U2222" s="8"/>
      <c r="V2222" s="8"/>
      <c r="W2222" s="8"/>
      <c r="X2222" s="771"/>
      <c r="Y2222" s="771"/>
      <c r="Z2222" s="771"/>
      <c r="AA2222" s="771"/>
      <c r="AB2222" s="771"/>
      <c r="AC2222" s="771"/>
      <c r="AD2222" s="771"/>
      <c r="AE2222" s="771"/>
      <c r="AF2222" s="771"/>
      <c r="AG2222" s="771"/>
      <c r="AH2222" s="771"/>
      <c r="AI2222" s="771"/>
      <c r="AJ2222" s="771"/>
      <c r="AK2222" s="771"/>
      <c r="AL2222" s="771"/>
      <c r="AM2222" s="771"/>
      <c r="AN2222" s="771"/>
      <c r="AO2222" s="771"/>
      <c r="AP2222" s="771"/>
      <c r="AQ2222" s="771"/>
      <c r="AR2222" s="771"/>
      <c r="AS2222" s="771"/>
      <c r="AT2222" s="771"/>
      <c r="AU2222" s="771"/>
    </row>
    <row r="2223" spans="1:47" s="1383" customFormat="1" outlineLevel="1" x14ac:dyDescent="0.2">
      <c r="A2223" s="8"/>
      <c r="B2223" s="8"/>
      <c r="C2223" s="1989" t="s">
        <v>6799</v>
      </c>
      <c r="D2223" s="1989" t="s">
        <v>6197</v>
      </c>
      <c r="E2223" s="1989">
        <v>3.42</v>
      </c>
      <c r="F2223" s="38">
        <f t="shared" si="34"/>
        <v>278.11864080000004</v>
      </c>
      <c r="G2223" s="1547"/>
      <c r="H2223" s="8"/>
      <c r="I2223" s="8"/>
      <c r="J2223" s="8"/>
      <c r="K2223" s="8"/>
      <c r="L2223" s="8"/>
      <c r="M2223" s="8"/>
      <c r="N2223" s="8"/>
      <c r="O2223" s="8"/>
      <c r="P2223" s="8"/>
      <c r="Q2223" s="8"/>
      <c r="R2223" s="8"/>
      <c r="S2223" s="8"/>
      <c r="T2223" s="8"/>
      <c r="U2223" s="8"/>
      <c r="V2223" s="8"/>
      <c r="W2223" s="8"/>
      <c r="X2223" s="771"/>
      <c r="Y2223" s="771"/>
      <c r="Z2223" s="771"/>
      <c r="AA2223" s="771"/>
      <c r="AB2223" s="771"/>
      <c r="AC2223" s="771"/>
      <c r="AD2223" s="771"/>
      <c r="AE2223" s="771"/>
      <c r="AF2223" s="771"/>
      <c r="AG2223" s="771"/>
      <c r="AH2223" s="771"/>
      <c r="AI2223" s="771"/>
      <c r="AJ2223" s="771"/>
      <c r="AK2223" s="771"/>
      <c r="AL2223" s="771"/>
      <c r="AM2223" s="771"/>
      <c r="AN2223" s="771"/>
      <c r="AO2223" s="771"/>
      <c r="AP2223" s="771"/>
      <c r="AQ2223" s="771"/>
      <c r="AR2223" s="771"/>
      <c r="AS2223" s="771"/>
      <c r="AT2223" s="771"/>
      <c r="AU2223" s="771"/>
    </row>
    <row r="2224" spans="1:47" s="1383" customFormat="1" outlineLevel="1" x14ac:dyDescent="0.2">
      <c r="A2224" s="8"/>
      <c r="B2224" s="8"/>
      <c r="C2224" s="1989" t="s">
        <v>6800</v>
      </c>
      <c r="D2224" s="1989" t="s">
        <v>6198</v>
      </c>
      <c r="E2224" s="1989">
        <v>3.42</v>
      </c>
      <c r="F2224" s="38">
        <f t="shared" si="34"/>
        <v>278.11864080000004</v>
      </c>
      <c r="G2224" s="1547"/>
      <c r="H2224" s="8"/>
      <c r="I2224" s="8"/>
      <c r="J2224" s="8"/>
      <c r="K2224" s="8"/>
      <c r="L2224" s="8"/>
      <c r="M2224" s="8"/>
      <c r="N2224" s="8"/>
      <c r="O2224" s="8"/>
      <c r="P2224" s="8"/>
      <c r="Q2224" s="8"/>
      <c r="R2224" s="8"/>
      <c r="S2224" s="8"/>
      <c r="T2224" s="8"/>
      <c r="U2224" s="8"/>
      <c r="V2224" s="8"/>
      <c r="W2224" s="8"/>
      <c r="X2224" s="771"/>
      <c r="Y2224" s="771"/>
      <c r="Z2224" s="771"/>
      <c r="AA2224" s="771"/>
      <c r="AB2224" s="771"/>
      <c r="AC2224" s="771"/>
      <c r="AD2224" s="771"/>
      <c r="AE2224" s="771"/>
      <c r="AF2224" s="771"/>
      <c r="AG2224" s="771"/>
      <c r="AH2224" s="771"/>
      <c r="AI2224" s="771"/>
      <c r="AJ2224" s="771"/>
      <c r="AK2224" s="771"/>
      <c r="AL2224" s="771"/>
      <c r="AM2224" s="771"/>
      <c r="AN2224" s="771"/>
      <c r="AO2224" s="771"/>
      <c r="AP2224" s="771"/>
      <c r="AQ2224" s="771"/>
      <c r="AR2224" s="771"/>
      <c r="AS2224" s="771"/>
      <c r="AT2224" s="771"/>
      <c r="AU2224" s="771"/>
    </row>
    <row r="2225" spans="1:47" s="1383" customFormat="1" outlineLevel="1" x14ac:dyDescent="0.2">
      <c r="A2225" s="8"/>
      <c r="B2225" s="8"/>
      <c r="C2225" s="1989" t="s">
        <v>3762</v>
      </c>
      <c r="D2225" s="1989" t="s">
        <v>3763</v>
      </c>
      <c r="E2225" s="1989">
        <v>48.29</v>
      </c>
      <c r="F2225" s="38">
        <f t="shared" si="34"/>
        <v>3927.0026795999997</v>
      </c>
      <c r="G2225" s="1547"/>
      <c r="H2225" s="8"/>
      <c r="I2225" s="8"/>
      <c r="J2225" s="8"/>
      <c r="K2225" s="8"/>
      <c r="L2225" s="8"/>
      <c r="M2225" s="8"/>
      <c r="N2225" s="8"/>
      <c r="O2225" s="8"/>
      <c r="P2225" s="8"/>
      <c r="Q2225" s="8"/>
      <c r="R2225" s="8"/>
      <c r="S2225" s="8"/>
      <c r="T2225" s="8"/>
      <c r="U2225" s="8"/>
      <c r="V2225" s="8"/>
      <c r="W2225" s="8"/>
      <c r="X2225" s="771"/>
      <c r="Y2225" s="771"/>
      <c r="Z2225" s="771"/>
      <c r="AA2225" s="771"/>
      <c r="AB2225" s="771"/>
      <c r="AC2225" s="771"/>
      <c r="AD2225" s="771"/>
      <c r="AE2225" s="771"/>
      <c r="AF2225" s="771"/>
      <c r="AG2225" s="771"/>
      <c r="AH2225" s="771"/>
      <c r="AI2225" s="771"/>
      <c r="AJ2225" s="771"/>
      <c r="AK2225" s="771"/>
      <c r="AL2225" s="771"/>
      <c r="AM2225" s="771"/>
      <c r="AN2225" s="771"/>
      <c r="AO2225" s="771"/>
      <c r="AP2225" s="771"/>
      <c r="AQ2225" s="771"/>
      <c r="AR2225" s="771"/>
      <c r="AS2225" s="771"/>
      <c r="AT2225" s="771"/>
      <c r="AU2225" s="771"/>
    </row>
    <row r="2226" spans="1:47" s="1383" customFormat="1" outlineLevel="1" x14ac:dyDescent="0.2">
      <c r="A2226" s="8"/>
      <c r="B2226" s="8"/>
      <c r="C2226" s="1989" t="s">
        <v>2420</v>
      </c>
      <c r="D2226" s="1989" t="s">
        <v>6199</v>
      </c>
      <c r="E2226" s="1989">
        <v>44.23</v>
      </c>
      <c r="F2226" s="38">
        <f t="shared" si="34"/>
        <v>3596.8384452</v>
      </c>
      <c r="G2226" s="1547"/>
      <c r="H2226" s="8"/>
      <c r="I2226" s="8"/>
      <c r="J2226" s="8"/>
      <c r="K2226" s="8"/>
      <c r="L2226" s="8"/>
      <c r="M2226" s="8"/>
      <c r="N2226" s="8"/>
      <c r="O2226" s="8"/>
      <c r="P2226" s="8"/>
      <c r="Q2226" s="8"/>
      <c r="R2226" s="8"/>
      <c r="S2226" s="8"/>
      <c r="T2226" s="8"/>
      <c r="U2226" s="8"/>
      <c r="V2226" s="8"/>
      <c r="W2226" s="8"/>
      <c r="X2226" s="771"/>
      <c r="Y2226" s="771"/>
      <c r="Z2226" s="771"/>
      <c r="AA2226" s="771"/>
      <c r="AB2226" s="771"/>
      <c r="AC2226" s="771"/>
      <c r="AD2226" s="771"/>
      <c r="AE2226" s="771"/>
      <c r="AF2226" s="771"/>
      <c r="AG2226" s="771"/>
      <c r="AH2226" s="771"/>
      <c r="AI2226" s="771"/>
      <c r="AJ2226" s="771"/>
      <c r="AK2226" s="771"/>
      <c r="AL2226" s="771"/>
      <c r="AM2226" s="771"/>
      <c r="AN2226" s="771"/>
      <c r="AO2226" s="771"/>
      <c r="AP2226" s="771"/>
      <c r="AQ2226" s="771"/>
      <c r="AR2226" s="771"/>
      <c r="AS2226" s="771"/>
      <c r="AT2226" s="771"/>
      <c r="AU2226" s="771"/>
    </row>
    <row r="2227" spans="1:47" s="1383" customFormat="1" outlineLevel="1" x14ac:dyDescent="0.2">
      <c r="A2227" s="8"/>
      <c r="B2227" s="8"/>
      <c r="C2227" s="1989" t="s">
        <v>2424</v>
      </c>
      <c r="D2227" s="1989" t="s">
        <v>7870</v>
      </c>
      <c r="E2227" s="1989">
        <v>5</v>
      </c>
      <c r="F2227" s="38">
        <f t="shared" si="34"/>
        <v>406.60620000000006</v>
      </c>
      <c r="G2227" s="1547"/>
      <c r="H2227" s="8"/>
      <c r="I2227" s="8"/>
      <c r="J2227" s="8"/>
      <c r="K2227" s="8"/>
      <c r="L2227" s="8"/>
      <c r="M2227" s="8"/>
      <c r="N2227" s="8"/>
      <c r="O2227" s="8"/>
      <c r="P2227" s="8"/>
      <c r="Q2227" s="8"/>
      <c r="R2227" s="8"/>
      <c r="S2227" s="8"/>
      <c r="T2227" s="8"/>
      <c r="U2227" s="8"/>
      <c r="V2227" s="8"/>
      <c r="W2227" s="8"/>
      <c r="X2227" s="771"/>
      <c r="Y2227" s="771"/>
      <c r="Z2227" s="771"/>
      <c r="AA2227" s="771"/>
      <c r="AB2227" s="771"/>
      <c r="AC2227" s="771"/>
      <c r="AD2227" s="771"/>
      <c r="AE2227" s="771"/>
      <c r="AF2227" s="771"/>
      <c r="AG2227" s="771"/>
      <c r="AH2227" s="771"/>
      <c r="AI2227" s="771"/>
      <c r="AJ2227" s="771"/>
      <c r="AK2227" s="771"/>
      <c r="AL2227" s="771"/>
      <c r="AM2227" s="771"/>
      <c r="AN2227" s="771"/>
      <c r="AO2227" s="771"/>
      <c r="AP2227" s="771"/>
      <c r="AQ2227" s="771"/>
      <c r="AR2227" s="771"/>
      <c r="AS2227" s="771"/>
      <c r="AT2227" s="771"/>
      <c r="AU2227" s="771"/>
    </row>
    <row r="2228" spans="1:47" s="1383" customFormat="1" outlineLevel="1" x14ac:dyDescent="0.2">
      <c r="A2228" s="8"/>
      <c r="B2228" s="8"/>
      <c r="C2228" s="1989" t="s">
        <v>6801</v>
      </c>
      <c r="D2228" s="1989" t="s">
        <v>7871</v>
      </c>
      <c r="E2228" s="1989">
        <v>3.42</v>
      </c>
      <c r="F2228" s="38">
        <f t="shared" si="34"/>
        <v>278.11864080000004</v>
      </c>
      <c r="G2228" s="1547"/>
      <c r="H2228" s="8"/>
      <c r="I2228" s="8"/>
      <c r="J2228" s="8"/>
      <c r="K2228" s="8"/>
      <c r="L2228" s="8"/>
      <c r="M2228" s="8"/>
      <c r="N2228" s="8"/>
      <c r="O2228" s="8"/>
      <c r="P2228" s="8"/>
      <c r="Q2228" s="8"/>
      <c r="R2228" s="8"/>
      <c r="S2228" s="8"/>
      <c r="T2228" s="8"/>
      <c r="U2228" s="8"/>
      <c r="V2228" s="8"/>
      <c r="W2228" s="8"/>
      <c r="X2228" s="771"/>
      <c r="Y2228" s="771"/>
      <c r="Z2228" s="771"/>
      <c r="AA2228" s="771"/>
      <c r="AB2228" s="771"/>
      <c r="AC2228" s="771"/>
      <c r="AD2228" s="771"/>
      <c r="AE2228" s="771"/>
      <c r="AF2228" s="771"/>
      <c r="AG2228" s="771"/>
      <c r="AH2228" s="771"/>
      <c r="AI2228" s="771"/>
      <c r="AJ2228" s="771"/>
      <c r="AK2228" s="771"/>
      <c r="AL2228" s="771"/>
      <c r="AM2228" s="771"/>
      <c r="AN2228" s="771"/>
      <c r="AO2228" s="771"/>
      <c r="AP2228" s="771"/>
      <c r="AQ2228" s="771"/>
      <c r="AR2228" s="771"/>
      <c r="AS2228" s="771"/>
      <c r="AT2228" s="771"/>
      <c r="AU2228" s="771"/>
    </row>
    <row r="2229" spans="1:47" s="1383" customFormat="1" outlineLevel="1" x14ac:dyDescent="0.2">
      <c r="A2229" s="8"/>
      <c r="B2229" s="8"/>
      <c r="C2229" s="1989" t="s">
        <v>4628</v>
      </c>
      <c r="D2229" s="1989" t="s">
        <v>4629</v>
      </c>
      <c r="E2229" s="1989">
        <v>6.17</v>
      </c>
      <c r="F2229" s="38">
        <f t="shared" si="34"/>
        <v>501.75205080000001</v>
      </c>
      <c r="G2229" s="1547"/>
      <c r="H2229" s="8"/>
      <c r="I2229" s="8"/>
      <c r="J2229" s="8"/>
      <c r="K2229" s="8"/>
      <c r="L2229" s="8"/>
      <c r="M2229" s="8"/>
      <c r="N2229" s="8"/>
      <c r="O2229" s="8"/>
      <c r="P2229" s="8"/>
      <c r="Q2229" s="8"/>
      <c r="R2229" s="8"/>
      <c r="S2229" s="8"/>
      <c r="T2229" s="8"/>
      <c r="U2229" s="8"/>
      <c r="V2229" s="8"/>
      <c r="W2229" s="8"/>
      <c r="X2229" s="771"/>
      <c r="Y2229" s="771"/>
      <c r="Z2229" s="771"/>
      <c r="AA2229" s="771"/>
      <c r="AB2229" s="771"/>
      <c r="AC2229" s="771"/>
      <c r="AD2229" s="771"/>
      <c r="AE2229" s="771"/>
      <c r="AF2229" s="771"/>
      <c r="AG2229" s="771"/>
      <c r="AH2229" s="771"/>
      <c r="AI2229" s="771"/>
      <c r="AJ2229" s="771"/>
      <c r="AK2229" s="771"/>
      <c r="AL2229" s="771"/>
      <c r="AM2229" s="771"/>
      <c r="AN2229" s="771"/>
      <c r="AO2229" s="771"/>
      <c r="AP2229" s="771"/>
      <c r="AQ2229" s="771"/>
      <c r="AR2229" s="771"/>
      <c r="AS2229" s="771"/>
      <c r="AT2229" s="771"/>
      <c r="AU2229" s="771"/>
    </row>
    <row r="2230" spans="1:47" s="1383" customFormat="1" outlineLevel="1" x14ac:dyDescent="0.2">
      <c r="A2230" s="8"/>
      <c r="B2230" s="8"/>
      <c r="C2230" s="1989" t="s">
        <v>2434</v>
      </c>
      <c r="D2230" s="1989" t="s">
        <v>6200</v>
      </c>
      <c r="E2230" s="1989">
        <v>54.55</v>
      </c>
      <c r="F2230" s="38">
        <f t="shared" si="34"/>
        <v>4436.0736420000003</v>
      </c>
      <c r="G2230" s="1547"/>
      <c r="H2230" s="8"/>
      <c r="I2230" s="8"/>
      <c r="J2230" s="8"/>
      <c r="K2230" s="8"/>
      <c r="L2230" s="8"/>
      <c r="M2230" s="8"/>
      <c r="N2230" s="8"/>
      <c r="O2230" s="8"/>
      <c r="P2230" s="8"/>
      <c r="Q2230" s="8"/>
      <c r="R2230" s="8"/>
      <c r="S2230" s="8"/>
      <c r="T2230" s="8"/>
      <c r="U2230" s="8"/>
      <c r="V2230" s="8"/>
      <c r="W2230" s="8"/>
      <c r="X2230" s="771"/>
      <c r="Y2230" s="771"/>
      <c r="Z2230" s="771"/>
      <c r="AA2230" s="771"/>
      <c r="AB2230" s="771"/>
      <c r="AC2230" s="771"/>
      <c r="AD2230" s="771"/>
      <c r="AE2230" s="771"/>
      <c r="AF2230" s="771"/>
      <c r="AG2230" s="771"/>
      <c r="AH2230" s="771"/>
      <c r="AI2230" s="771"/>
      <c r="AJ2230" s="771"/>
      <c r="AK2230" s="771"/>
      <c r="AL2230" s="771"/>
      <c r="AM2230" s="771"/>
      <c r="AN2230" s="771"/>
      <c r="AO2230" s="771"/>
      <c r="AP2230" s="771"/>
      <c r="AQ2230" s="771"/>
      <c r="AR2230" s="771"/>
      <c r="AS2230" s="771"/>
      <c r="AT2230" s="771"/>
      <c r="AU2230" s="771"/>
    </row>
    <row r="2231" spans="1:47" s="1383" customFormat="1" outlineLevel="1" x14ac:dyDescent="0.2">
      <c r="A2231" s="8"/>
      <c r="B2231" s="8"/>
      <c r="C2231" s="1989" t="s">
        <v>3764</v>
      </c>
      <c r="D2231" s="1989" t="s">
        <v>3765</v>
      </c>
      <c r="E2231" s="1989">
        <v>24.83</v>
      </c>
      <c r="F2231" s="38">
        <f t="shared" si="34"/>
        <v>2019.2063891999999</v>
      </c>
      <c r="G2231" s="1547"/>
      <c r="H2231" s="8"/>
      <c r="I2231" s="8"/>
      <c r="J2231" s="8"/>
      <c r="K2231" s="8"/>
      <c r="L2231" s="8"/>
      <c r="M2231" s="8"/>
      <c r="N2231" s="8"/>
      <c r="O2231" s="8"/>
      <c r="P2231" s="8"/>
      <c r="Q2231" s="8"/>
      <c r="R2231" s="8"/>
      <c r="S2231" s="8"/>
      <c r="T2231" s="8"/>
      <c r="U2231" s="8"/>
      <c r="V2231" s="8"/>
      <c r="W2231" s="8"/>
      <c r="X2231" s="771"/>
      <c r="Y2231" s="771"/>
      <c r="Z2231" s="771"/>
      <c r="AA2231" s="771"/>
      <c r="AB2231" s="771"/>
      <c r="AC2231" s="771"/>
      <c r="AD2231" s="771"/>
      <c r="AE2231" s="771"/>
      <c r="AF2231" s="771"/>
      <c r="AG2231" s="771"/>
      <c r="AH2231" s="771"/>
      <c r="AI2231" s="771"/>
      <c r="AJ2231" s="771"/>
      <c r="AK2231" s="771"/>
      <c r="AL2231" s="771"/>
      <c r="AM2231" s="771"/>
      <c r="AN2231" s="771"/>
      <c r="AO2231" s="771"/>
      <c r="AP2231" s="771"/>
      <c r="AQ2231" s="771"/>
      <c r="AR2231" s="771"/>
      <c r="AS2231" s="771"/>
      <c r="AT2231" s="771"/>
      <c r="AU2231" s="771"/>
    </row>
    <row r="2232" spans="1:47" s="1383" customFormat="1" outlineLevel="1" x14ac:dyDescent="0.2">
      <c r="A2232" s="8"/>
      <c r="B2232" s="8"/>
      <c r="C2232" s="1989" t="s">
        <v>4101</v>
      </c>
      <c r="D2232" s="1989" t="s">
        <v>7872</v>
      </c>
      <c r="E2232" s="1989">
        <v>25.3</v>
      </c>
      <c r="F2232" s="38">
        <f t="shared" si="34"/>
        <v>2057.4273720000001</v>
      </c>
      <c r="G2232" s="1547"/>
      <c r="H2232" s="8"/>
      <c r="I2232" s="8"/>
      <c r="J2232" s="8"/>
      <c r="K2232" s="8"/>
      <c r="L2232" s="8"/>
      <c r="M2232" s="8"/>
      <c r="N2232" s="8"/>
      <c r="O2232" s="8"/>
      <c r="P2232" s="8"/>
      <c r="Q2232" s="8"/>
      <c r="R2232" s="8"/>
      <c r="S2232" s="8"/>
      <c r="T2232" s="8"/>
      <c r="U2232" s="8"/>
      <c r="V2232" s="8"/>
      <c r="W2232" s="8"/>
      <c r="X2232" s="771"/>
      <c r="Y2232" s="771"/>
      <c r="Z2232" s="771"/>
      <c r="AA2232" s="771"/>
      <c r="AB2232" s="771"/>
      <c r="AC2232" s="771"/>
      <c r="AD2232" s="771"/>
      <c r="AE2232" s="771"/>
      <c r="AF2232" s="771"/>
      <c r="AG2232" s="771"/>
      <c r="AH2232" s="771"/>
      <c r="AI2232" s="771"/>
      <c r="AJ2232" s="771"/>
      <c r="AK2232" s="771"/>
      <c r="AL2232" s="771"/>
      <c r="AM2232" s="771"/>
      <c r="AN2232" s="771"/>
      <c r="AO2232" s="771"/>
      <c r="AP2232" s="771"/>
      <c r="AQ2232" s="771"/>
      <c r="AR2232" s="771"/>
      <c r="AS2232" s="771"/>
      <c r="AT2232" s="771"/>
      <c r="AU2232" s="771"/>
    </row>
    <row r="2233" spans="1:47" s="1383" customFormat="1" outlineLevel="1" x14ac:dyDescent="0.2">
      <c r="A2233" s="8"/>
      <c r="B2233" s="8"/>
      <c r="C2233" s="1989" t="s">
        <v>2435</v>
      </c>
      <c r="D2233" s="1989" t="s">
        <v>7873</v>
      </c>
      <c r="E2233" s="1989">
        <v>25.61</v>
      </c>
      <c r="F2233" s="38">
        <f t="shared" si="34"/>
        <v>2082.6369564000001</v>
      </c>
      <c r="G2233" s="1547"/>
      <c r="H2233" s="8"/>
      <c r="I2233" s="8"/>
      <c r="J2233" s="8"/>
      <c r="K2233" s="8"/>
      <c r="L2233" s="8"/>
      <c r="M2233" s="8"/>
      <c r="N2233" s="8"/>
      <c r="O2233" s="8"/>
      <c r="P2233" s="8"/>
      <c r="Q2233" s="8"/>
      <c r="R2233" s="8"/>
      <c r="S2233" s="8"/>
      <c r="T2233" s="8"/>
      <c r="U2233" s="8"/>
      <c r="V2233" s="8"/>
      <c r="W2233" s="8"/>
      <c r="X2233" s="771"/>
      <c r="Y2233" s="771"/>
      <c r="Z2233" s="771"/>
      <c r="AA2233" s="771"/>
      <c r="AB2233" s="771"/>
      <c r="AC2233" s="771"/>
      <c r="AD2233" s="771"/>
      <c r="AE2233" s="771"/>
      <c r="AF2233" s="771"/>
      <c r="AG2233" s="771"/>
      <c r="AH2233" s="771"/>
      <c r="AI2233" s="771"/>
      <c r="AJ2233" s="771"/>
      <c r="AK2233" s="771"/>
      <c r="AL2233" s="771"/>
      <c r="AM2233" s="771"/>
      <c r="AN2233" s="771"/>
      <c r="AO2233" s="771"/>
      <c r="AP2233" s="771"/>
      <c r="AQ2233" s="771"/>
      <c r="AR2233" s="771"/>
      <c r="AS2233" s="771"/>
      <c r="AT2233" s="771"/>
      <c r="AU2233" s="771"/>
    </row>
    <row r="2234" spans="1:47" s="1383" customFormat="1" outlineLevel="1" x14ac:dyDescent="0.2">
      <c r="A2234" s="8"/>
      <c r="B2234" s="8"/>
      <c r="C2234" s="1989" t="s">
        <v>2439</v>
      </c>
      <c r="D2234" s="1989" t="s">
        <v>6201</v>
      </c>
      <c r="E2234" s="1989">
        <v>40.32</v>
      </c>
      <c r="F2234" s="38">
        <f t="shared" si="34"/>
        <v>3278.8723968000004</v>
      </c>
      <c r="G2234" s="1547"/>
      <c r="H2234" s="8"/>
      <c r="I2234" s="8"/>
      <c r="J2234" s="8"/>
      <c r="K2234" s="8"/>
      <c r="L2234" s="8"/>
      <c r="M2234" s="8"/>
      <c r="N2234" s="8"/>
      <c r="O2234" s="8"/>
      <c r="P2234" s="8"/>
      <c r="Q2234" s="8"/>
      <c r="R2234" s="8"/>
      <c r="S2234" s="8"/>
      <c r="T2234" s="8"/>
      <c r="U2234" s="8"/>
      <c r="V2234" s="8"/>
      <c r="W2234" s="8"/>
      <c r="X2234" s="771"/>
      <c r="Y2234" s="771"/>
      <c r="Z2234" s="771"/>
      <c r="AA2234" s="771"/>
      <c r="AB2234" s="771"/>
      <c r="AC2234" s="771"/>
      <c r="AD2234" s="771"/>
      <c r="AE2234" s="771"/>
      <c r="AF2234" s="771"/>
      <c r="AG2234" s="771"/>
      <c r="AH2234" s="771"/>
      <c r="AI2234" s="771"/>
      <c r="AJ2234" s="771"/>
      <c r="AK2234" s="771"/>
      <c r="AL2234" s="771"/>
      <c r="AM2234" s="771"/>
      <c r="AN2234" s="771"/>
      <c r="AO2234" s="771"/>
      <c r="AP2234" s="771"/>
      <c r="AQ2234" s="771"/>
      <c r="AR2234" s="771"/>
      <c r="AS2234" s="771"/>
      <c r="AT2234" s="771"/>
      <c r="AU2234" s="771"/>
    </row>
    <row r="2235" spans="1:47" s="1383" customFormat="1" outlineLevel="1" x14ac:dyDescent="0.2">
      <c r="A2235" s="8"/>
      <c r="B2235" s="8"/>
      <c r="C2235" s="1989" t="s">
        <v>2440</v>
      </c>
      <c r="D2235" s="1989" t="s">
        <v>7874</v>
      </c>
      <c r="E2235" s="1989">
        <v>45.06</v>
      </c>
      <c r="F2235" s="38">
        <f t="shared" si="34"/>
        <v>3664.3350744000004</v>
      </c>
      <c r="G2235" s="1547"/>
      <c r="H2235" s="8"/>
      <c r="I2235" s="8"/>
      <c r="J2235" s="8"/>
      <c r="K2235" s="8"/>
      <c r="L2235" s="8"/>
      <c r="M2235" s="8"/>
      <c r="N2235" s="8"/>
      <c r="O2235" s="8"/>
      <c r="P2235" s="8"/>
      <c r="Q2235" s="8"/>
      <c r="R2235" s="8"/>
      <c r="S2235" s="8"/>
      <c r="T2235" s="8"/>
      <c r="U2235" s="8"/>
      <c r="V2235" s="8"/>
      <c r="W2235" s="8"/>
      <c r="X2235" s="771"/>
      <c r="Y2235" s="771"/>
      <c r="Z2235" s="771"/>
      <c r="AA2235" s="771"/>
      <c r="AB2235" s="771"/>
      <c r="AC2235" s="771"/>
      <c r="AD2235" s="771"/>
      <c r="AE2235" s="771"/>
      <c r="AF2235" s="771"/>
      <c r="AG2235" s="771"/>
      <c r="AH2235" s="771"/>
      <c r="AI2235" s="771"/>
      <c r="AJ2235" s="771"/>
      <c r="AK2235" s="771"/>
      <c r="AL2235" s="771"/>
      <c r="AM2235" s="771"/>
      <c r="AN2235" s="771"/>
      <c r="AO2235" s="771"/>
      <c r="AP2235" s="771"/>
      <c r="AQ2235" s="771"/>
      <c r="AR2235" s="771"/>
      <c r="AS2235" s="771"/>
      <c r="AT2235" s="771"/>
      <c r="AU2235" s="771"/>
    </row>
    <row r="2236" spans="1:47" s="1383" customFormat="1" outlineLevel="1" x14ac:dyDescent="0.2">
      <c r="A2236" s="8"/>
      <c r="B2236" s="8"/>
      <c r="C2236" s="1989" t="s">
        <v>2445</v>
      </c>
      <c r="D2236" s="1989" t="s">
        <v>6202</v>
      </c>
      <c r="E2236" s="1989">
        <v>40.32</v>
      </c>
      <c r="F2236" s="38">
        <f t="shared" si="34"/>
        <v>3278.8723968000004</v>
      </c>
      <c r="G2236" s="1547"/>
      <c r="H2236" s="8"/>
      <c r="I2236" s="8"/>
      <c r="J2236" s="8"/>
      <c r="K2236" s="8"/>
      <c r="L2236" s="8"/>
      <c r="M2236" s="8"/>
      <c r="N2236" s="8"/>
      <c r="O2236" s="8"/>
      <c r="P2236" s="8"/>
      <c r="Q2236" s="8"/>
      <c r="R2236" s="8"/>
      <c r="S2236" s="8"/>
      <c r="T2236" s="8"/>
      <c r="U2236" s="8"/>
      <c r="V2236" s="8"/>
      <c r="W2236" s="8"/>
      <c r="X2236" s="771"/>
      <c r="Y2236" s="771"/>
      <c r="Z2236" s="771"/>
      <c r="AA2236" s="771"/>
      <c r="AB2236" s="771"/>
      <c r="AC2236" s="771"/>
      <c r="AD2236" s="771"/>
      <c r="AE2236" s="771"/>
      <c r="AF2236" s="771"/>
      <c r="AG2236" s="771"/>
      <c r="AH2236" s="771"/>
      <c r="AI2236" s="771"/>
      <c r="AJ2236" s="771"/>
      <c r="AK2236" s="771"/>
      <c r="AL2236" s="771"/>
      <c r="AM2236" s="771"/>
      <c r="AN2236" s="771"/>
      <c r="AO2236" s="771"/>
      <c r="AP2236" s="771"/>
      <c r="AQ2236" s="771"/>
      <c r="AR2236" s="771"/>
      <c r="AS2236" s="771"/>
      <c r="AT2236" s="771"/>
      <c r="AU2236" s="771"/>
    </row>
    <row r="2237" spans="1:47" s="1383" customFormat="1" outlineLevel="1" x14ac:dyDescent="0.2">
      <c r="A2237" s="8"/>
      <c r="B2237" s="8"/>
      <c r="C2237" s="1989" t="s">
        <v>2446</v>
      </c>
      <c r="D2237" s="1989" t="s">
        <v>7875</v>
      </c>
      <c r="E2237" s="1989">
        <v>4.1900000000000004</v>
      </c>
      <c r="F2237" s="38">
        <f t="shared" si="34"/>
        <v>340.73599560000008</v>
      </c>
      <c r="G2237" s="1547"/>
      <c r="H2237" s="8"/>
      <c r="I2237" s="8"/>
      <c r="J2237" s="8"/>
      <c r="K2237" s="8"/>
      <c r="L2237" s="8"/>
      <c r="M2237" s="8"/>
      <c r="N2237" s="8"/>
      <c r="O2237" s="8"/>
      <c r="P2237" s="8"/>
      <c r="Q2237" s="8"/>
      <c r="R2237" s="8"/>
      <c r="S2237" s="8"/>
      <c r="T2237" s="8"/>
      <c r="U2237" s="8"/>
      <c r="V2237" s="8"/>
      <c r="W2237" s="8"/>
      <c r="X2237" s="771"/>
      <c r="Y2237" s="771"/>
      <c r="Z2237" s="771"/>
      <c r="AA2237" s="771"/>
      <c r="AB2237" s="771"/>
      <c r="AC2237" s="771"/>
      <c r="AD2237" s="771"/>
      <c r="AE2237" s="771"/>
      <c r="AF2237" s="771"/>
      <c r="AG2237" s="771"/>
      <c r="AH2237" s="771"/>
      <c r="AI2237" s="771"/>
      <c r="AJ2237" s="771"/>
      <c r="AK2237" s="771"/>
      <c r="AL2237" s="771"/>
      <c r="AM2237" s="771"/>
      <c r="AN2237" s="771"/>
      <c r="AO2237" s="771"/>
      <c r="AP2237" s="771"/>
      <c r="AQ2237" s="771"/>
      <c r="AR2237" s="771"/>
      <c r="AS2237" s="771"/>
      <c r="AT2237" s="771"/>
      <c r="AU2237" s="771"/>
    </row>
    <row r="2238" spans="1:47" s="1383" customFormat="1" outlineLevel="1" x14ac:dyDescent="0.2">
      <c r="A2238" s="8"/>
      <c r="B2238" s="8"/>
      <c r="C2238" s="1989" t="s">
        <v>2447</v>
      </c>
      <c r="D2238" s="1989" t="s">
        <v>7876</v>
      </c>
      <c r="E2238" s="1989">
        <v>47.44</v>
      </c>
      <c r="F2238" s="38">
        <f t="shared" si="34"/>
        <v>3857.8796256000001</v>
      </c>
      <c r="G2238" s="1547"/>
      <c r="H2238" s="8"/>
      <c r="I2238" s="8"/>
      <c r="J2238" s="8"/>
      <c r="K2238" s="8"/>
      <c r="L2238" s="8"/>
      <c r="M2238" s="8"/>
      <c r="N2238" s="8"/>
      <c r="O2238" s="8"/>
      <c r="P2238" s="8"/>
      <c r="Q2238" s="8"/>
      <c r="R2238" s="8"/>
      <c r="S2238" s="8"/>
      <c r="T2238" s="8"/>
      <c r="U2238" s="8"/>
      <c r="V2238" s="8"/>
      <c r="W2238" s="8"/>
      <c r="X2238" s="771"/>
      <c r="Y2238" s="771"/>
      <c r="Z2238" s="771"/>
      <c r="AA2238" s="771"/>
      <c r="AB2238" s="771"/>
      <c r="AC2238" s="771"/>
      <c r="AD2238" s="771"/>
      <c r="AE2238" s="771"/>
      <c r="AF2238" s="771"/>
      <c r="AG2238" s="771"/>
      <c r="AH2238" s="771"/>
      <c r="AI2238" s="771"/>
      <c r="AJ2238" s="771"/>
      <c r="AK2238" s="771"/>
      <c r="AL2238" s="771"/>
      <c r="AM2238" s="771"/>
      <c r="AN2238" s="771"/>
      <c r="AO2238" s="771"/>
      <c r="AP2238" s="771"/>
      <c r="AQ2238" s="771"/>
      <c r="AR2238" s="771"/>
      <c r="AS2238" s="771"/>
      <c r="AT2238" s="771"/>
      <c r="AU2238" s="771"/>
    </row>
    <row r="2239" spans="1:47" s="1383" customFormat="1" outlineLevel="1" x14ac:dyDescent="0.2">
      <c r="A2239" s="8"/>
      <c r="B2239" s="8"/>
      <c r="C2239" s="1989" t="s">
        <v>4102</v>
      </c>
      <c r="D2239" s="1989" t="s">
        <v>7877</v>
      </c>
      <c r="E2239" s="1989">
        <v>20.65</v>
      </c>
      <c r="F2239" s="38">
        <f t="shared" si="34"/>
        <v>1679.283606</v>
      </c>
      <c r="G2239" s="1547"/>
      <c r="H2239" s="8"/>
      <c r="I2239" s="8"/>
      <c r="J2239" s="8"/>
      <c r="K2239" s="8"/>
      <c r="L2239" s="8"/>
      <c r="M2239" s="8"/>
      <c r="N2239" s="8"/>
      <c r="O2239" s="8"/>
      <c r="P2239" s="8"/>
      <c r="Q2239" s="8"/>
      <c r="R2239" s="8"/>
      <c r="S2239" s="8"/>
      <c r="T2239" s="8"/>
      <c r="U2239" s="8"/>
      <c r="V2239" s="8"/>
      <c r="W2239" s="8"/>
      <c r="X2239" s="771"/>
      <c r="Y2239" s="771"/>
      <c r="Z2239" s="771"/>
      <c r="AA2239" s="771"/>
      <c r="AB2239" s="771"/>
      <c r="AC2239" s="771"/>
      <c r="AD2239" s="771"/>
      <c r="AE2239" s="771"/>
      <c r="AF2239" s="771"/>
      <c r="AG2239" s="771"/>
      <c r="AH2239" s="771"/>
      <c r="AI2239" s="771"/>
      <c r="AJ2239" s="771"/>
      <c r="AK2239" s="771"/>
      <c r="AL2239" s="771"/>
      <c r="AM2239" s="771"/>
      <c r="AN2239" s="771"/>
      <c r="AO2239" s="771"/>
      <c r="AP2239" s="771"/>
      <c r="AQ2239" s="771"/>
      <c r="AR2239" s="771"/>
      <c r="AS2239" s="771"/>
      <c r="AT2239" s="771"/>
      <c r="AU2239" s="771"/>
    </row>
    <row r="2240" spans="1:47" s="1383" customFormat="1" outlineLevel="1" x14ac:dyDescent="0.2">
      <c r="A2240" s="8"/>
      <c r="B2240" s="8"/>
      <c r="C2240" s="1989" t="s">
        <v>2449</v>
      </c>
      <c r="D2240" s="1989" t="s">
        <v>7878</v>
      </c>
      <c r="E2240" s="1989">
        <v>47.44</v>
      </c>
      <c r="F2240" s="38">
        <f t="shared" si="34"/>
        <v>3857.8796256000001</v>
      </c>
      <c r="G2240" s="1547"/>
      <c r="H2240" s="8"/>
      <c r="I2240" s="8"/>
      <c r="J2240" s="8"/>
      <c r="K2240" s="8"/>
      <c r="L2240" s="8"/>
      <c r="M2240" s="8"/>
      <c r="N2240" s="8"/>
      <c r="O2240" s="8"/>
      <c r="P2240" s="8"/>
      <c r="Q2240" s="8"/>
      <c r="R2240" s="8"/>
      <c r="S2240" s="8"/>
      <c r="T2240" s="8"/>
      <c r="U2240" s="8"/>
      <c r="V2240" s="8"/>
      <c r="W2240" s="8"/>
      <c r="X2240" s="771"/>
      <c r="Y2240" s="771"/>
      <c r="Z2240" s="771"/>
      <c r="AA2240" s="771"/>
      <c r="AB2240" s="771"/>
      <c r="AC2240" s="771"/>
      <c r="AD2240" s="771"/>
      <c r="AE2240" s="771"/>
      <c r="AF2240" s="771"/>
      <c r="AG2240" s="771"/>
      <c r="AH2240" s="771"/>
      <c r="AI2240" s="771"/>
      <c r="AJ2240" s="771"/>
      <c r="AK2240" s="771"/>
      <c r="AL2240" s="771"/>
      <c r="AM2240" s="771"/>
      <c r="AN2240" s="771"/>
      <c r="AO2240" s="771"/>
      <c r="AP2240" s="771"/>
      <c r="AQ2240" s="771"/>
      <c r="AR2240" s="771"/>
      <c r="AS2240" s="771"/>
      <c r="AT2240" s="771"/>
      <c r="AU2240" s="771"/>
    </row>
    <row r="2241" spans="1:47" s="1383" customFormat="1" outlineLevel="1" x14ac:dyDescent="0.2">
      <c r="A2241" s="8"/>
      <c r="B2241" s="8"/>
      <c r="C2241" s="1989" t="s">
        <v>4630</v>
      </c>
      <c r="D2241" s="1989" t="s">
        <v>4631</v>
      </c>
      <c r="E2241" s="1989">
        <v>2.82</v>
      </c>
      <c r="F2241" s="38">
        <f t="shared" si="34"/>
        <v>229.32589680000001</v>
      </c>
      <c r="G2241" s="1547"/>
      <c r="H2241" s="8"/>
      <c r="I2241" s="8"/>
      <c r="J2241" s="8"/>
      <c r="K2241" s="8"/>
      <c r="L2241" s="8"/>
      <c r="M2241" s="8"/>
      <c r="N2241" s="8"/>
      <c r="O2241" s="8"/>
      <c r="P2241" s="8"/>
      <c r="Q2241" s="8"/>
      <c r="R2241" s="8"/>
      <c r="S2241" s="8"/>
      <c r="T2241" s="8"/>
      <c r="U2241" s="8"/>
      <c r="V2241" s="8"/>
      <c r="W2241" s="8"/>
      <c r="X2241" s="771"/>
      <c r="Y2241" s="771"/>
      <c r="Z2241" s="771"/>
      <c r="AA2241" s="771"/>
      <c r="AB2241" s="771"/>
      <c r="AC2241" s="771"/>
      <c r="AD2241" s="771"/>
      <c r="AE2241" s="771"/>
      <c r="AF2241" s="771"/>
      <c r="AG2241" s="771"/>
      <c r="AH2241" s="771"/>
      <c r="AI2241" s="771"/>
      <c r="AJ2241" s="771"/>
      <c r="AK2241" s="771"/>
      <c r="AL2241" s="771"/>
      <c r="AM2241" s="771"/>
      <c r="AN2241" s="771"/>
      <c r="AO2241" s="771"/>
      <c r="AP2241" s="771"/>
      <c r="AQ2241" s="771"/>
      <c r="AR2241" s="771"/>
      <c r="AS2241" s="771"/>
      <c r="AT2241" s="771"/>
      <c r="AU2241" s="771"/>
    </row>
    <row r="2242" spans="1:47" s="1383" customFormat="1" outlineLevel="1" x14ac:dyDescent="0.2">
      <c r="A2242" s="8"/>
      <c r="B2242" s="8"/>
      <c r="C2242" s="1989" t="s">
        <v>3766</v>
      </c>
      <c r="D2242" s="1989" t="s">
        <v>7879</v>
      </c>
      <c r="E2242" s="1989">
        <v>25.3</v>
      </c>
      <c r="F2242" s="38">
        <f t="shared" si="34"/>
        <v>2057.4273720000001</v>
      </c>
      <c r="G2242" s="1547"/>
      <c r="H2242" s="8"/>
      <c r="I2242" s="8"/>
      <c r="J2242" s="8"/>
      <c r="K2242" s="8"/>
      <c r="L2242" s="8"/>
      <c r="M2242" s="8"/>
      <c r="N2242" s="8"/>
      <c r="O2242" s="8"/>
      <c r="P2242" s="8"/>
      <c r="Q2242" s="8"/>
      <c r="R2242" s="8"/>
      <c r="S2242" s="8"/>
      <c r="T2242" s="8"/>
      <c r="U2242" s="8"/>
      <c r="V2242" s="8"/>
      <c r="W2242" s="8"/>
      <c r="X2242" s="771"/>
      <c r="Y2242" s="771"/>
      <c r="Z2242" s="771"/>
      <c r="AA2242" s="771"/>
      <c r="AB2242" s="771"/>
      <c r="AC2242" s="771"/>
      <c r="AD2242" s="771"/>
      <c r="AE2242" s="771"/>
      <c r="AF2242" s="771"/>
      <c r="AG2242" s="771"/>
      <c r="AH2242" s="771"/>
      <c r="AI2242" s="771"/>
      <c r="AJ2242" s="771"/>
      <c r="AK2242" s="771"/>
      <c r="AL2242" s="771"/>
      <c r="AM2242" s="771"/>
      <c r="AN2242" s="771"/>
      <c r="AO2242" s="771"/>
      <c r="AP2242" s="771"/>
      <c r="AQ2242" s="771"/>
      <c r="AR2242" s="771"/>
      <c r="AS2242" s="771"/>
      <c r="AT2242" s="771"/>
      <c r="AU2242" s="771"/>
    </row>
    <row r="2243" spans="1:47" s="1383" customFormat="1" outlineLevel="1" x14ac:dyDescent="0.2">
      <c r="A2243" s="8"/>
      <c r="B2243" s="8"/>
      <c r="C2243" s="1989" t="s">
        <v>4632</v>
      </c>
      <c r="D2243" s="1989" t="s">
        <v>6203</v>
      </c>
      <c r="E2243" s="1989">
        <v>0.89</v>
      </c>
      <c r="F2243" s="38">
        <f t="shared" si="34"/>
        <v>72.375903600000015</v>
      </c>
      <c r="G2243" s="1547"/>
      <c r="H2243" s="8"/>
      <c r="I2243" s="8"/>
      <c r="J2243" s="8"/>
      <c r="K2243" s="8"/>
      <c r="L2243" s="8"/>
      <c r="M2243" s="8"/>
      <c r="N2243" s="8"/>
      <c r="O2243" s="8"/>
      <c r="P2243" s="8"/>
      <c r="Q2243" s="8"/>
      <c r="R2243" s="8"/>
      <c r="S2243" s="8"/>
      <c r="T2243" s="8"/>
      <c r="U2243" s="8"/>
      <c r="V2243" s="8"/>
      <c r="W2243" s="8"/>
      <c r="X2243" s="771"/>
      <c r="Y2243" s="771"/>
      <c r="Z2243" s="771"/>
      <c r="AA2243" s="771"/>
      <c r="AB2243" s="771"/>
      <c r="AC2243" s="771"/>
      <c r="AD2243" s="771"/>
      <c r="AE2243" s="771"/>
      <c r="AF2243" s="771"/>
      <c r="AG2243" s="771"/>
      <c r="AH2243" s="771"/>
      <c r="AI2243" s="771"/>
      <c r="AJ2243" s="771"/>
      <c r="AK2243" s="771"/>
      <c r="AL2243" s="771"/>
      <c r="AM2243" s="771"/>
      <c r="AN2243" s="771"/>
      <c r="AO2243" s="771"/>
      <c r="AP2243" s="771"/>
      <c r="AQ2243" s="771"/>
      <c r="AR2243" s="771"/>
      <c r="AS2243" s="771"/>
      <c r="AT2243" s="771"/>
      <c r="AU2243" s="771"/>
    </row>
    <row r="2244" spans="1:47" s="1383" customFormat="1" outlineLevel="1" x14ac:dyDescent="0.2">
      <c r="A2244" s="8"/>
      <c r="B2244" s="8"/>
      <c r="C2244" s="1989" t="s">
        <v>3767</v>
      </c>
      <c r="D2244" s="1989" t="s">
        <v>3768</v>
      </c>
      <c r="E2244" s="1989">
        <v>24.83</v>
      </c>
      <c r="F2244" s="38">
        <f t="shared" si="34"/>
        <v>2019.2063891999999</v>
      </c>
      <c r="G2244" s="1547"/>
      <c r="H2244" s="8"/>
      <c r="I2244" s="8"/>
      <c r="J2244" s="8"/>
      <c r="K2244" s="8"/>
      <c r="L2244" s="8"/>
      <c r="M2244" s="8"/>
      <c r="N2244" s="8"/>
      <c r="O2244" s="8"/>
      <c r="P2244" s="8"/>
      <c r="Q2244" s="8"/>
      <c r="R2244" s="8"/>
      <c r="S2244" s="8"/>
      <c r="T2244" s="8"/>
      <c r="U2244" s="8"/>
      <c r="V2244" s="8"/>
      <c r="W2244" s="8"/>
      <c r="X2244" s="771"/>
      <c r="Y2244" s="771"/>
      <c r="Z2244" s="771"/>
      <c r="AA2244" s="771"/>
      <c r="AB2244" s="771"/>
      <c r="AC2244" s="771"/>
      <c r="AD2244" s="771"/>
      <c r="AE2244" s="771"/>
      <c r="AF2244" s="771"/>
      <c r="AG2244" s="771"/>
      <c r="AH2244" s="771"/>
      <c r="AI2244" s="771"/>
      <c r="AJ2244" s="771"/>
      <c r="AK2244" s="771"/>
      <c r="AL2244" s="771"/>
      <c r="AM2244" s="771"/>
      <c r="AN2244" s="771"/>
      <c r="AO2244" s="771"/>
      <c r="AP2244" s="771"/>
      <c r="AQ2244" s="771"/>
      <c r="AR2244" s="771"/>
      <c r="AS2244" s="771"/>
      <c r="AT2244" s="771"/>
      <c r="AU2244" s="771"/>
    </row>
    <row r="2245" spans="1:47" s="1383" customFormat="1" outlineLevel="1" x14ac:dyDescent="0.2">
      <c r="A2245" s="8"/>
      <c r="B2245" s="8"/>
      <c r="C2245" s="1989" t="s">
        <v>4633</v>
      </c>
      <c r="D2245" s="1989" t="s">
        <v>6204</v>
      </c>
      <c r="E2245" s="1989">
        <v>24.07</v>
      </c>
      <c r="F2245" s="38">
        <f t="shared" si="34"/>
        <v>1957.4022468000001</v>
      </c>
      <c r="G2245" s="1547"/>
      <c r="H2245" s="8"/>
      <c r="I2245" s="8"/>
      <c r="J2245" s="8"/>
      <c r="K2245" s="8"/>
      <c r="L2245" s="8"/>
      <c r="M2245" s="8"/>
      <c r="N2245" s="8"/>
      <c r="O2245" s="8"/>
      <c r="P2245" s="8"/>
      <c r="Q2245" s="8"/>
      <c r="R2245" s="8"/>
      <c r="S2245" s="8"/>
      <c r="T2245" s="8"/>
      <c r="U2245" s="8"/>
      <c r="V2245" s="8"/>
      <c r="W2245" s="8"/>
      <c r="X2245" s="771"/>
      <c r="Y2245" s="771"/>
      <c r="Z2245" s="771"/>
      <c r="AA2245" s="771"/>
      <c r="AB2245" s="771"/>
      <c r="AC2245" s="771"/>
      <c r="AD2245" s="771"/>
      <c r="AE2245" s="771"/>
      <c r="AF2245" s="771"/>
      <c r="AG2245" s="771"/>
      <c r="AH2245" s="771"/>
      <c r="AI2245" s="771"/>
      <c r="AJ2245" s="771"/>
      <c r="AK2245" s="771"/>
      <c r="AL2245" s="771"/>
      <c r="AM2245" s="771"/>
      <c r="AN2245" s="771"/>
      <c r="AO2245" s="771"/>
      <c r="AP2245" s="771"/>
      <c r="AQ2245" s="771"/>
      <c r="AR2245" s="771"/>
      <c r="AS2245" s="771"/>
      <c r="AT2245" s="771"/>
      <c r="AU2245" s="771"/>
    </row>
    <row r="2246" spans="1:47" s="1383" customFormat="1" outlineLevel="1" x14ac:dyDescent="0.2">
      <c r="A2246" s="8"/>
      <c r="B2246" s="8"/>
      <c r="C2246" s="1989" t="s">
        <v>2458</v>
      </c>
      <c r="D2246" s="1989" t="s">
        <v>7880</v>
      </c>
      <c r="E2246" s="1989">
        <v>5</v>
      </c>
      <c r="F2246" s="38">
        <f t="shared" si="34"/>
        <v>406.60620000000006</v>
      </c>
      <c r="G2246" s="1547"/>
      <c r="H2246" s="8"/>
      <c r="I2246" s="8"/>
      <c r="J2246" s="8"/>
      <c r="K2246" s="8"/>
      <c r="L2246" s="8"/>
      <c r="M2246" s="8"/>
      <c r="N2246" s="8"/>
      <c r="O2246" s="8"/>
      <c r="P2246" s="8"/>
      <c r="Q2246" s="8"/>
      <c r="R2246" s="8"/>
      <c r="S2246" s="8"/>
      <c r="T2246" s="8"/>
      <c r="U2246" s="8"/>
      <c r="V2246" s="8"/>
      <c r="W2246" s="8"/>
      <c r="X2246" s="771"/>
      <c r="Y2246" s="771"/>
      <c r="Z2246" s="771"/>
      <c r="AA2246" s="771"/>
      <c r="AB2246" s="771"/>
      <c r="AC2246" s="771"/>
      <c r="AD2246" s="771"/>
      <c r="AE2246" s="771"/>
      <c r="AF2246" s="771"/>
      <c r="AG2246" s="771"/>
      <c r="AH2246" s="771"/>
      <c r="AI2246" s="771"/>
      <c r="AJ2246" s="771"/>
      <c r="AK2246" s="771"/>
      <c r="AL2246" s="771"/>
      <c r="AM2246" s="771"/>
      <c r="AN2246" s="771"/>
      <c r="AO2246" s="771"/>
      <c r="AP2246" s="771"/>
      <c r="AQ2246" s="771"/>
      <c r="AR2246" s="771"/>
      <c r="AS2246" s="771"/>
      <c r="AT2246" s="771"/>
      <c r="AU2246" s="771"/>
    </row>
    <row r="2247" spans="1:47" s="1383" customFormat="1" outlineLevel="1" x14ac:dyDescent="0.2">
      <c r="A2247" s="8"/>
      <c r="B2247" s="8"/>
      <c r="C2247" s="1989" t="s">
        <v>2461</v>
      </c>
      <c r="D2247" s="1989" t="s">
        <v>7881</v>
      </c>
      <c r="E2247" s="1989">
        <v>20.95</v>
      </c>
      <c r="F2247" s="38">
        <f t="shared" si="34"/>
        <v>1703.6799779999999</v>
      </c>
      <c r="G2247" s="1547"/>
      <c r="H2247" s="8"/>
      <c r="I2247" s="8"/>
      <c r="J2247" s="8"/>
      <c r="K2247" s="8"/>
      <c r="L2247" s="8"/>
      <c r="M2247" s="8"/>
      <c r="N2247" s="8"/>
      <c r="O2247" s="8"/>
      <c r="P2247" s="8"/>
      <c r="Q2247" s="8"/>
      <c r="R2247" s="8"/>
      <c r="S2247" s="8"/>
      <c r="T2247" s="8"/>
      <c r="U2247" s="8"/>
      <c r="V2247" s="8"/>
      <c r="W2247" s="8"/>
      <c r="X2247" s="771"/>
      <c r="Y2247" s="771"/>
      <c r="Z2247" s="771"/>
      <c r="AA2247" s="771"/>
      <c r="AB2247" s="771"/>
      <c r="AC2247" s="771"/>
      <c r="AD2247" s="771"/>
      <c r="AE2247" s="771"/>
      <c r="AF2247" s="771"/>
      <c r="AG2247" s="771"/>
      <c r="AH2247" s="771"/>
      <c r="AI2247" s="771"/>
      <c r="AJ2247" s="771"/>
      <c r="AK2247" s="771"/>
      <c r="AL2247" s="771"/>
      <c r="AM2247" s="771"/>
      <c r="AN2247" s="771"/>
      <c r="AO2247" s="771"/>
      <c r="AP2247" s="771"/>
      <c r="AQ2247" s="771"/>
      <c r="AR2247" s="771"/>
      <c r="AS2247" s="771"/>
      <c r="AT2247" s="771"/>
      <c r="AU2247" s="771"/>
    </row>
    <row r="2248" spans="1:47" s="1383" customFormat="1" outlineLevel="1" x14ac:dyDescent="0.2">
      <c r="A2248" s="8"/>
      <c r="B2248" s="8"/>
      <c r="C2248" s="1989" t="s">
        <v>6802</v>
      </c>
      <c r="D2248" s="1989" t="s">
        <v>6205</v>
      </c>
      <c r="E2248" s="1989">
        <v>3.42</v>
      </c>
      <c r="F2248" s="38">
        <f t="shared" ref="F2248:F2311" si="35">E2248*$G$4*$J$4</f>
        <v>278.11864080000004</v>
      </c>
      <c r="G2248" s="1547"/>
      <c r="H2248" s="8"/>
      <c r="I2248" s="8"/>
      <c r="J2248" s="8"/>
      <c r="K2248" s="8"/>
      <c r="L2248" s="8"/>
      <c r="M2248" s="8"/>
      <c r="N2248" s="8"/>
      <c r="O2248" s="8"/>
      <c r="P2248" s="8"/>
      <c r="Q2248" s="8"/>
      <c r="R2248" s="8"/>
      <c r="S2248" s="8"/>
      <c r="T2248" s="8"/>
      <c r="U2248" s="8"/>
      <c r="V2248" s="8"/>
      <c r="W2248" s="8"/>
      <c r="X2248" s="771"/>
      <c r="Y2248" s="771"/>
      <c r="Z2248" s="771"/>
      <c r="AA2248" s="771"/>
      <c r="AB2248" s="771"/>
      <c r="AC2248" s="771"/>
      <c r="AD2248" s="771"/>
      <c r="AE2248" s="771"/>
      <c r="AF2248" s="771"/>
      <c r="AG2248" s="771"/>
      <c r="AH2248" s="771"/>
      <c r="AI2248" s="771"/>
      <c r="AJ2248" s="771"/>
      <c r="AK2248" s="771"/>
      <c r="AL2248" s="771"/>
      <c r="AM2248" s="771"/>
      <c r="AN2248" s="771"/>
      <c r="AO2248" s="771"/>
      <c r="AP2248" s="771"/>
      <c r="AQ2248" s="771"/>
      <c r="AR2248" s="771"/>
      <c r="AS2248" s="771"/>
      <c r="AT2248" s="771"/>
      <c r="AU2248" s="771"/>
    </row>
    <row r="2249" spans="1:47" s="1383" customFormat="1" outlineLevel="1" x14ac:dyDescent="0.2">
      <c r="A2249" s="8"/>
      <c r="B2249" s="8"/>
      <c r="C2249" s="1989" t="s">
        <v>4634</v>
      </c>
      <c r="D2249" s="1989" t="s">
        <v>6206</v>
      </c>
      <c r="E2249" s="1989">
        <v>24.07</v>
      </c>
      <c r="F2249" s="38">
        <f t="shared" si="35"/>
        <v>1957.4022468000001</v>
      </c>
      <c r="G2249" s="1547"/>
      <c r="H2249" s="8"/>
      <c r="I2249" s="8"/>
      <c r="J2249" s="8"/>
      <c r="K2249" s="8"/>
      <c r="L2249" s="8"/>
      <c r="M2249" s="8"/>
      <c r="N2249" s="8"/>
      <c r="O2249" s="8"/>
      <c r="P2249" s="8"/>
      <c r="Q2249" s="8"/>
      <c r="R2249" s="8"/>
      <c r="S2249" s="8"/>
      <c r="T2249" s="8"/>
      <c r="U2249" s="8"/>
      <c r="V2249" s="8"/>
      <c r="W2249" s="8"/>
      <c r="X2249" s="771"/>
      <c r="Y2249" s="771"/>
      <c r="Z2249" s="771"/>
      <c r="AA2249" s="771"/>
      <c r="AB2249" s="771"/>
      <c r="AC2249" s="771"/>
      <c r="AD2249" s="771"/>
      <c r="AE2249" s="771"/>
      <c r="AF2249" s="771"/>
      <c r="AG2249" s="771"/>
      <c r="AH2249" s="771"/>
      <c r="AI2249" s="771"/>
      <c r="AJ2249" s="771"/>
      <c r="AK2249" s="771"/>
      <c r="AL2249" s="771"/>
      <c r="AM2249" s="771"/>
      <c r="AN2249" s="771"/>
      <c r="AO2249" s="771"/>
      <c r="AP2249" s="771"/>
      <c r="AQ2249" s="771"/>
      <c r="AR2249" s="771"/>
      <c r="AS2249" s="771"/>
      <c r="AT2249" s="771"/>
      <c r="AU2249" s="771"/>
    </row>
    <row r="2250" spans="1:47" s="1383" customFormat="1" outlineLevel="1" x14ac:dyDescent="0.2">
      <c r="A2250" s="8"/>
      <c r="B2250" s="8"/>
      <c r="C2250" s="1989" t="s">
        <v>2464</v>
      </c>
      <c r="D2250" s="1989" t="s">
        <v>7882</v>
      </c>
      <c r="E2250" s="1989">
        <v>67.66</v>
      </c>
      <c r="F2250" s="38">
        <f t="shared" si="35"/>
        <v>5502.1950983999996</v>
      </c>
      <c r="G2250" s="1547"/>
      <c r="H2250" s="8"/>
      <c r="I2250" s="8"/>
      <c r="J2250" s="8"/>
      <c r="K2250" s="8"/>
      <c r="L2250" s="8"/>
      <c r="M2250" s="8"/>
      <c r="N2250" s="8"/>
      <c r="O2250" s="8"/>
      <c r="P2250" s="8"/>
      <c r="Q2250" s="8"/>
      <c r="R2250" s="8"/>
      <c r="S2250" s="8"/>
      <c r="T2250" s="8"/>
      <c r="U2250" s="8"/>
      <c r="V2250" s="8"/>
      <c r="W2250" s="8"/>
      <c r="X2250" s="771"/>
      <c r="Y2250" s="771"/>
      <c r="Z2250" s="771"/>
      <c r="AA2250" s="771"/>
      <c r="AB2250" s="771"/>
      <c r="AC2250" s="771"/>
      <c r="AD2250" s="771"/>
      <c r="AE2250" s="771"/>
      <c r="AF2250" s="771"/>
      <c r="AG2250" s="771"/>
      <c r="AH2250" s="771"/>
      <c r="AI2250" s="771"/>
      <c r="AJ2250" s="771"/>
      <c r="AK2250" s="771"/>
      <c r="AL2250" s="771"/>
      <c r="AM2250" s="771"/>
      <c r="AN2250" s="771"/>
      <c r="AO2250" s="771"/>
      <c r="AP2250" s="771"/>
      <c r="AQ2250" s="771"/>
      <c r="AR2250" s="771"/>
      <c r="AS2250" s="771"/>
      <c r="AT2250" s="771"/>
      <c r="AU2250" s="771"/>
    </row>
    <row r="2251" spans="1:47" s="1383" customFormat="1" outlineLevel="1" x14ac:dyDescent="0.2">
      <c r="A2251" s="8"/>
      <c r="B2251" s="8"/>
      <c r="C2251" s="1989" t="s">
        <v>2465</v>
      </c>
      <c r="D2251" s="1989" t="s">
        <v>6207</v>
      </c>
      <c r="E2251" s="1989">
        <v>35.58</v>
      </c>
      <c r="F2251" s="38">
        <f t="shared" si="35"/>
        <v>2893.4097191999999</v>
      </c>
      <c r="G2251" s="1547"/>
      <c r="H2251" s="8"/>
      <c r="I2251" s="8"/>
      <c r="J2251" s="8"/>
      <c r="K2251" s="8"/>
      <c r="L2251" s="8"/>
      <c r="M2251" s="8"/>
      <c r="N2251" s="8"/>
      <c r="O2251" s="8"/>
      <c r="P2251" s="8"/>
      <c r="Q2251" s="8"/>
      <c r="R2251" s="8"/>
      <c r="S2251" s="8"/>
      <c r="T2251" s="8"/>
      <c r="U2251" s="8"/>
      <c r="V2251" s="8"/>
      <c r="W2251" s="8"/>
      <c r="X2251" s="771"/>
      <c r="Y2251" s="771"/>
      <c r="Z2251" s="771"/>
      <c r="AA2251" s="771"/>
      <c r="AB2251" s="771"/>
      <c r="AC2251" s="771"/>
      <c r="AD2251" s="771"/>
      <c r="AE2251" s="771"/>
      <c r="AF2251" s="771"/>
      <c r="AG2251" s="771"/>
      <c r="AH2251" s="771"/>
      <c r="AI2251" s="771"/>
      <c r="AJ2251" s="771"/>
      <c r="AK2251" s="771"/>
      <c r="AL2251" s="771"/>
      <c r="AM2251" s="771"/>
      <c r="AN2251" s="771"/>
      <c r="AO2251" s="771"/>
      <c r="AP2251" s="771"/>
      <c r="AQ2251" s="771"/>
      <c r="AR2251" s="771"/>
      <c r="AS2251" s="771"/>
      <c r="AT2251" s="771"/>
      <c r="AU2251" s="771"/>
    </row>
    <row r="2252" spans="1:47" s="1383" customFormat="1" outlineLevel="1" x14ac:dyDescent="0.2">
      <c r="A2252" s="8"/>
      <c r="B2252" s="8"/>
      <c r="C2252" s="1989" t="s">
        <v>2466</v>
      </c>
      <c r="D2252" s="1989" t="s">
        <v>7883</v>
      </c>
      <c r="E2252" s="1989">
        <v>25.61</v>
      </c>
      <c r="F2252" s="38">
        <f t="shared" si="35"/>
        <v>2082.6369564000001</v>
      </c>
      <c r="G2252" s="1547"/>
      <c r="H2252" s="8"/>
      <c r="I2252" s="8"/>
      <c r="J2252" s="8"/>
      <c r="K2252" s="8"/>
      <c r="L2252" s="8"/>
      <c r="M2252" s="8"/>
      <c r="N2252" s="8"/>
      <c r="O2252" s="8"/>
      <c r="P2252" s="8"/>
      <c r="Q2252" s="8"/>
      <c r="R2252" s="8"/>
      <c r="S2252" s="8"/>
      <c r="T2252" s="8"/>
      <c r="U2252" s="8"/>
      <c r="V2252" s="8"/>
      <c r="W2252" s="8"/>
      <c r="X2252" s="771"/>
      <c r="Y2252" s="771"/>
      <c r="Z2252" s="771"/>
      <c r="AA2252" s="771"/>
      <c r="AB2252" s="771"/>
      <c r="AC2252" s="771"/>
      <c r="AD2252" s="771"/>
      <c r="AE2252" s="771"/>
      <c r="AF2252" s="771"/>
      <c r="AG2252" s="771"/>
      <c r="AH2252" s="771"/>
      <c r="AI2252" s="771"/>
      <c r="AJ2252" s="771"/>
      <c r="AK2252" s="771"/>
      <c r="AL2252" s="771"/>
      <c r="AM2252" s="771"/>
      <c r="AN2252" s="771"/>
      <c r="AO2252" s="771"/>
      <c r="AP2252" s="771"/>
      <c r="AQ2252" s="771"/>
      <c r="AR2252" s="771"/>
      <c r="AS2252" s="771"/>
      <c r="AT2252" s="771"/>
      <c r="AU2252" s="771"/>
    </row>
    <row r="2253" spans="1:47" s="1383" customFormat="1" outlineLevel="1" x14ac:dyDescent="0.2">
      <c r="A2253" s="8"/>
      <c r="B2253" s="8"/>
      <c r="C2253" s="1989" t="s">
        <v>4635</v>
      </c>
      <c r="D2253" s="1989" t="s">
        <v>6208</v>
      </c>
      <c r="E2253" s="1989">
        <v>0.89</v>
      </c>
      <c r="F2253" s="38">
        <f t="shared" si="35"/>
        <v>72.375903600000015</v>
      </c>
      <c r="G2253" s="1547"/>
      <c r="H2253" s="8"/>
      <c r="I2253" s="8"/>
      <c r="J2253" s="8"/>
      <c r="K2253" s="8"/>
      <c r="L2253" s="8"/>
      <c r="M2253" s="8"/>
      <c r="N2253" s="8"/>
      <c r="O2253" s="8"/>
      <c r="P2253" s="8"/>
      <c r="Q2253" s="8"/>
      <c r="R2253" s="8"/>
      <c r="S2253" s="8"/>
      <c r="T2253" s="8"/>
      <c r="U2253" s="8"/>
      <c r="V2253" s="8"/>
      <c r="W2253" s="8"/>
      <c r="X2253" s="771"/>
      <c r="Y2253" s="771"/>
      <c r="Z2253" s="771"/>
      <c r="AA2253" s="771"/>
      <c r="AB2253" s="771"/>
      <c r="AC2253" s="771"/>
      <c r="AD2253" s="771"/>
      <c r="AE2253" s="771"/>
      <c r="AF2253" s="771"/>
      <c r="AG2253" s="771"/>
      <c r="AH2253" s="771"/>
      <c r="AI2253" s="771"/>
      <c r="AJ2253" s="771"/>
      <c r="AK2253" s="771"/>
      <c r="AL2253" s="771"/>
      <c r="AM2253" s="771"/>
      <c r="AN2253" s="771"/>
      <c r="AO2253" s="771"/>
      <c r="AP2253" s="771"/>
      <c r="AQ2253" s="771"/>
      <c r="AR2253" s="771"/>
      <c r="AS2253" s="771"/>
      <c r="AT2253" s="771"/>
      <c r="AU2253" s="771"/>
    </row>
    <row r="2254" spans="1:47" s="1383" customFormat="1" outlineLevel="1" x14ac:dyDescent="0.2">
      <c r="A2254" s="8"/>
      <c r="B2254" s="8"/>
      <c r="C2254" s="1989" t="s">
        <v>2479</v>
      </c>
      <c r="D2254" s="1989" t="s">
        <v>6209</v>
      </c>
      <c r="E2254" s="1989">
        <v>32.590000000000003</v>
      </c>
      <c r="F2254" s="38">
        <f t="shared" si="35"/>
        <v>2650.2592116000005</v>
      </c>
      <c r="G2254" s="1547"/>
      <c r="H2254" s="8"/>
      <c r="I2254" s="8"/>
      <c r="J2254" s="8"/>
      <c r="K2254" s="8"/>
      <c r="L2254" s="8"/>
      <c r="M2254" s="8"/>
      <c r="N2254" s="8"/>
      <c r="O2254" s="8"/>
      <c r="P2254" s="8"/>
      <c r="Q2254" s="8"/>
      <c r="R2254" s="8"/>
      <c r="S2254" s="8"/>
      <c r="T2254" s="8"/>
      <c r="U2254" s="8"/>
      <c r="V2254" s="8"/>
      <c r="W2254" s="8"/>
      <c r="X2254" s="771"/>
      <c r="Y2254" s="771"/>
      <c r="Z2254" s="771"/>
      <c r="AA2254" s="771"/>
      <c r="AB2254" s="771"/>
      <c r="AC2254" s="771"/>
      <c r="AD2254" s="771"/>
      <c r="AE2254" s="771"/>
      <c r="AF2254" s="771"/>
      <c r="AG2254" s="771"/>
      <c r="AH2254" s="771"/>
      <c r="AI2254" s="771"/>
      <c r="AJ2254" s="771"/>
      <c r="AK2254" s="771"/>
      <c r="AL2254" s="771"/>
      <c r="AM2254" s="771"/>
      <c r="AN2254" s="771"/>
      <c r="AO2254" s="771"/>
      <c r="AP2254" s="771"/>
      <c r="AQ2254" s="771"/>
      <c r="AR2254" s="771"/>
      <c r="AS2254" s="771"/>
      <c r="AT2254" s="771"/>
      <c r="AU2254" s="771"/>
    </row>
    <row r="2255" spans="1:47" s="1383" customFormat="1" outlineLevel="1" x14ac:dyDescent="0.2">
      <c r="A2255" s="8"/>
      <c r="B2255" s="8"/>
      <c r="C2255" s="1989" t="s">
        <v>6803</v>
      </c>
      <c r="D2255" s="1989" t="s">
        <v>7884</v>
      </c>
      <c r="E2255" s="1989">
        <v>3.42</v>
      </c>
      <c r="F2255" s="38">
        <f t="shared" si="35"/>
        <v>278.11864080000004</v>
      </c>
      <c r="G2255" s="1547"/>
      <c r="H2255" s="8"/>
      <c r="I2255" s="8"/>
      <c r="J2255" s="8"/>
      <c r="K2255" s="8"/>
      <c r="L2255" s="8"/>
      <c r="M2255" s="8"/>
      <c r="N2255" s="8"/>
      <c r="O2255" s="8"/>
      <c r="P2255" s="8"/>
      <c r="Q2255" s="8"/>
      <c r="R2255" s="8"/>
      <c r="S2255" s="8"/>
      <c r="T2255" s="8"/>
      <c r="U2255" s="8"/>
      <c r="V2255" s="8"/>
      <c r="W2255" s="8"/>
      <c r="X2255" s="771"/>
      <c r="Y2255" s="771"/>
      <c r="Z2255" s="771"/>
      <c r="AA2255" s="771"/>
      <c r="AB2255" s="771"/>
      <c r="AC2255" s="771"/>
      <c r="AD2255" s="771"/>
      <c r="AE2255" s="771"/>
      <c r="AF2255" s="771"/>
      <c r="AG2255" s="771"/>
      <c r="AH2255" s="771"/>
      <c r="AI2255" s="771"/>
      <c r="AJ2255" s="771"/>
      <c r="AK2255" s="771"/>
      <c r="AL2255" s="771"/>
      <c r="AM2255" s="771"/>
      <c r="AN2255" s="771"/>
      <c r="AO2255" s="771"/>
      <c r="AP2255" s="771"/>
      <c r="AQ2255" s="771"/>
      <c r="AR2255" s="771"/>
      <c r="AS2255" s="771"/>
      <c r="AT2255" s="771"/>
      <c r="AU2255" s="771"/>
    </row>
    <row r="2256" spans="1:47" s="1383" customFormat="1" outlineLevel="1" x14ac:dyDescent="0.2">
      <c r="A2256" s="8"/>
      <c r="B2256" s="8"/>
      <c r="C2256" s="1989" t="s">
        <v>2481</v>
      </c>
      <c r="D2256" s="1989" t="s">
        <v>7885</v>
      </c>
      <c r="E2256" s="1989">
        <v>4.1900000000000004</v>
      </c>
      <c r="F2256" s="38">
        <f t="shared" si="35"/>
        <v>340.73599560000008</v>
      </c>
      <c r="G2256" s="1547"/>
      <c r="H2256" s="8"/>
      <c r="I2256" s="8"/>
      <c r="J2256" s="8"/>
      <c r="K2256" s="8"/>
      <c r="L2256" s="8"/>
      <c r="M2256" s="8"/>
      <c r="N2256" s="8"/>
      <c r="O2256" s="8"/>
      <c r="P2256" s="8"/>
      <c r="Q2256" s="8"/>
      <c r="R2256" s="8"/>
      <c r="S2256" s="8"/>
      <c r="T2256" s="8"/>
      <c r="U2256" s="8"/>
      <c r="V2256" s="8"/>
      <c r="W2256" s="8"/>
      <c r="X2256" s="771"/>
      <c r="Y2256" s="771"/>
      <c r="Z2256" s="771"/>
      <c r="AA2256" s="771"/>
      <c r="AB2256" s="771"/>
      <c r="AC2256" s="771"/>
      <c r="AD2256" s="771"/>
      <c r="AE2256" s="771"/>
      <c r="AF2256" s="771"/>
      <c r="AG2256" s="771"/>
      <c r="AH2256" s="771"/>
      <c r="AI2256" s="771"/>
      <c r="AJ2256" s="771"/>
      <c r="AK2256" s="771"/>
      <c r="AL2256" s="771"/>
      <c r="AM2256" s="771"/>
      <c r="AN2256" s="771"/>
      <c r="AO2256" s="771"/>
      <c r="AP2256" s="771"/>
      <c r="AQ2256" s="771"/>
      <c r="AR2256" s="771"/>
      <c r="AS2256" s="771"/>
      <c r="AT2256" s="771"/>
      <c r="AU2256" s="771"/>
    </row>
    <row r="2257" spans="1:47" s="1383" customFormat="1" outlineLevel="1" x14ac:dyDescent="0.2">
      <c r="A2257" s="8"/>
      <c r="B2257" s="8"/>
      <c r="C2257" s="1989" t="s">
        <v>3769</v>
      </c>
      <c r="D2257" s="1989" t="s">
        <v>3770</v>
      </c>
      <c r="E2257" s="1989">
        <v>49.81</v>
      </c>
      <c r="F2257" s="38">
        <f t="shared" si="35"/>
        <v>4050.6109644000003</v>
      </c>
      <c r="G2257" s="1547"/>
      <c r="H2257" s="8"/>
      <c r="I2257" s="8"/>
      <c r="J2257" s="8"/>
      <c r="K2257" s="8"/>
      <c r="L2257" s="8"/>
      <c r="M2257" s="8"/>
      <c r="N2257" s="8"/>
      <c r="O2257" s="8"/>
      <c r="P2257" s="8"/>
      <c r="Q2257" s="8"/>
      <c r="R2257" s="8"/>
      <c r="S2257" s="8"/>
      <c r="T2257" s="8"/>
      <c r="U2257" s="8"/>
      <c r="V2257" s="8"/>
      <c r="W2257" s="8"/>
      <c r="X2257" s="771"/>
      <c r="Y2257" s="771"/>
      <c r="Z2257" s="771"/>
      <c r="AA2257" s="771"/>
      <c r="AB2257" s="771"/>
      <c r="AC2257" s="771"/>
      <c r="AD2257" s="771"/>
      <c r="AE2257" s="771"/>
      <c r="AF2257" s="771"/>
      <c r="AG2257" s="771"/>
      <c r="AH2257" s="771"/>
      <c r="AI2257" s="771"/>
      <c r="AJ2257" s="771"/>
      <c r="AK2257" s="771"/>
      <c r="AL2257" s="771"/>
      <c r="AM2257" s="771"/>
      <c r="AN2257" s="771"/>
      <c r="AO2257" s="771"/>
      <c r="AP2257" s="771"/>
      <c r="AQ2257" s="771"/>
      <c r="AR2257" s="771"/>
      <c r="AS2257" s="771"/>
      <c r="AT2257" s="771"/>
      <c r="AU2257" s="771"/>
    </row>
    <row r="2258" spans="1:47" s="1383" customFormat="1" outlineLevel="1" x14ac:dyDescent="0.2">
      <c r="A2258" s="8"/>
      <c r="B2258" s="8"/>
      <c r="C2258" s="1989" t="s">
        <v>3771</v>
      </c>
      <c r="D2258" s="1989" t="s">
        <v>7886</v>
      </c>
      <c r="E2258" s="1989">
        <v>74.489999999999995</v>
      </c>
      <c r="F2258" s="38">
        <f t="shared" si="35"/>
        <v>6057.6191675999999</v>
      </c>
      <c r="G2258" s="1547"/>
      <c r="H2258" s="8"/>
      <c r="I2258" s="8"/>
      <c r="J2258" s="8"/>
      <c r="K2258" s="8"/>
      <c r="L2258" s="8"/>
      <c r="M2258" s="8"/>
      <c r="N2258" s="8"/>
      <c r="O2258" s="8"/>
      <c r="P2258" s="8"/>
      <c r="Q2258" s="8"/>
      <c r="R2258" s="8"/>
      <c r="S2258" s="8"/>
      <c r="T2258" s="8"/>
      <c r="U2258" s="8"/>
      <c r="V2258" s="8"/>
      <c r="W2258" s="8"/>
      <c r="X2258" s="771"/>
      <c r="Y2258" s="771"/>
      <c r="Z2258" s="771"/>
      <c r="AA2258" s="771"/>
      <c r="AB2258" s="771"/>
      <c r="AC2258" s="771"/>
      <c r="AD2258" s="771"/>
      <c r="AE2258" s="771"/>
      <c r="AF2258" s="771"/>
      <c r="AG2258" s="771"/>
      <c r="AH2258" s="771"/>
      <c r="AI2258" s="771"/>
      <c r="AJ2258" s="771"/>
      <c r="AK2258" s="771"/>
      <c r="AL2258" s="771"/>
      <c r="AM2258" s="771"/>
      <c r="AN2258" s="771"/>
      <c r="AO2258" s="771"/>
      <c r="AP2258" s="771"/>
      <c r="AQ2258" s="771"/>
      <c r="AR2258" s="771"/>
      <c r="AS2258" s="771"/>
      <c r="AT2258" s="771"/>
      <c r="AU2258" s="771"/>
    </row>
    <row r="2259" spans="1:47" s="1383" customFormat="1" outlineLevel="1" x14ac:dyDescent="0.2">
      <c r="A2259" s="8"/>
      <c r="B2259" s="8"/>
      <c r="C2259" s="1989" t="s">
        <v>3330</v>
      </c>
      <c r="D2259" s="1989" t="s">
        <v>6210</v>
      </c>
      <c r="E2259" s="1989">
        <v>65.88</v>
      </c>
      <c r="F2259" s="38">
        <f t="shared" si="35"/>
        <v>5357.4432912000002</v>
      </c>
      <c r="G2259" s="1547"/>
      <c r="H2259" s="8"/>
      <c r="I2259" s="8"/>
      <c r="J2259" s="8"/>
      <c r="K2259" s="8"/>
      <c r="L2259" s="8"/>
      <c r="M2259" s="8"/>
      <c r="N2259" s="8"/>
      <c r="O2259" s="8"/>
      <c r="P2259" s="8"/>
      <c r="Q2259" s="8"/>
      <c r="R2259" s="8"/>
      <c r="S2259" s="8"/>
      <c r="T2259" s="8"/>
      <c r="U2259" s="8"/>
      <c r="V2259" s="8"/>
      <c r="W2259" s="8"/>
      <c r="X2259" s="771"/>
      <c r="Y2259" s="771"/>
      <c r="Z2259" s="771"/>
      <c r="AA2259" s="771"/>
      <c r="AB2259" s="771"/>
      <c r="AC2259" s="771"/>
      <c r="AD2259" s="771"/>
      <c r="AE2259" s="771"/>
      <c r="AF2259" s="771"/>
      <c r="AG2259" s="771"/>
      <c r="AH2259" s="771"/>
      <c r="AI2259" s="771"/>
      <c r="AJ2259" s="771"/>
      <c r="AK2259" s="771"/>
      <c r="AL2259" s="771"/>
      <c r="AM2259" s="771"/>
      <c r="AN2259" s="771"/>
      <c r="AO2259" s="771"/>
      <c r="AP2259" s="771"/>
      <c r="AQ2259" s="771"/>
      <c r="AR2259" s="771"/>
      <c r="AS2259" s="771"/>
      <c r="AT2259" s="771"/>
      <c r="AU2259" s="771"/>
    </row>
    <row r="2260" spans="1:47" s="1383" customFormat="1" outlineLevel="1" x14ac:dyDescent="0.2">
      <c r="A2260" s="8"/>
      <c r="B2260" s="8"/>
      <c r="C2260" s="1989" t="s">
        <v>2488</v>
      </c>
      <c r="D2260" s="1989" t="s">
        <v>7887</v>
      </c>
      <c r="E2260" s="1989">
        <v>67.66</v>
      </c>
      <c r="F2260" s="38">
        <f t="shared" si="35"/>
        <v>5502.1950983999996</v>
      </c>
      <c r="G2260" s="1547"/>
      <c r="H2260" s="8"/>
      <c r="I2260" s="8"/>
      <c r="J2260" s="8"/>
      <c r="K2260" s="8"/>
      <c r="L2260" s="8"/>
      <c r="M2260" s="8"/>
      <c r="N2260" s="8"/>
      <c r="O2260" s="8"/>
      <c r="P2260" s="8"/>
      <c r="Q2260" s="8"/>
      <c r="R2260" s="8"/>
      <c r="S2260" s="8"/>
      <c r="T2260" s="8"/>
      <c r="U2260" s="8"/>
      <c r="V2260" s="8"/>
      <c r="W2260" s="8"/>
      <c r="X2260" s="771"/>
      <c r="Y2260" s="771"/>
      <c r="Z2260" s="771"/>
      <c r="AA2260" s="771"/>
      <c r="AB2260" s="771"/>
      <c r="AC2260" s="771"/>
      <c r="AD2260" s="771"/>
      <c r="AE2260" s="771"/>
      <c r="AF2260" s="771"/>
      <c r="AG2260" s="771"/>
      <c r="AH2260" s="771"/>
      <c r="AI2260" s="771"/>
      <c r="AJ2260" s="771"/>
      <c r="AK2260" s="771"/>
      <c r="AL2260" s="771"/>
      <c r="AM2260" s="771"/>
      <c r="AN2260" s="771"/>
      <c r="AO2260" s="771"/>
      <c r="AP2260" s="771"/>
      <c r="AQ2260" s="771"/>
      <c r="AR2260" s="771"/>
      <c r="AS2260" s="771"/>
      <c r="AT2260" s="771"/>
      <c r="AU2260" s="771"/>
    </row>
    <row r="2261" spans="1:47" s="1383" customFormat="1" outlineLevel="1" x14ac:dyDescent="0.2">
      <c r="A2261" s="8"/>
      <c r="B2261" s="8"/>
      <c r="C2261" s="1989" t="s">
        <v>2490</v>
      </c>
      <c r="D2261" s="1989" t="s">
        <v>6211</v>
      </c>
      <c r="E2261" s="1989">
        <v>41.9</v>
      </c>
      <c r="F2261" s="38">
        <f t="shared" si="35"/>
        <v>3407.3599559999998</v>
      </c>
      <c r="G2261" s="1547"/>
      <c r="H2261" s="8"/>
      <c r="I2261" s="8"/>
      <c r="J2261" s="8"/>
      <c r="K2261" s="8"/>
      <c r="L2261" s="8"/>
      <c r="M2261" s="8"/>
      <c r="N2261" s="8"/>
      <c r="O2261" s="8"/>
      <c r="P2261" s="8"/>
      <c r="Q2261" s="8"/>
      <c r="R2261" s="8"/>
      <c r="S2261" s="8"/>
      <c r="T2261" s="8"/>
      <c r="U2261" s="8"/>
      <c r="V2261" s="8"/>
      <c r="W2261" s="8"/>
      <c r="X2261" s="771"/>
      <c r="Y2261" s="771"/>
      <c r="Z2261" s="771"/>
      <c r="AA2261" s="771"/>
      <c r="AB2261" s="771"/>
      <c r="AC2261" s="771"/>
      <c r="AD2261" s="771"/>
      <c r="AE2261" s="771"/>
      <c r="AF2261" s="771"/>
      <c r="AG2261" s="771"/>
      <c r="AH2261" s="771"/>
      <c r="AI2261" s="771"/>
      <c r="AJ2261" s="771"/>
      <c r="AK2261" s="771"/>
      <c r="AL2261" s="771"/>
      <c r="AM2261" s="771"/>
      <c r="AN2261" s="771"/>
      <c r="AO2261" s="771"/>
      <c r="AP2261" s="771"/>
      <c r="AQ2261" s="771"/>
      <c r="AR2261" s="771"/>
      <c r="AS2261" s="771"/>
      <c r="AT2261" s="771"/>
      <c r="AU2261" s="771"/>
    </row>
    <row r="2262" spans="1:47" s="1383" customFormat="1" outlineLevel="1" x14ac:dyDescent="0.2">
      <c r="A2262" s="8"/>
      <c r="B2262" s="8"/>
      <c r="C2262" s="1989" t="s">
        <v>4636</v>
      </c>
      <c r="D2262" s="1989" t="s">
        <v>6212</v>
      </c>
      <c r="E2262" s="1989">
        <v>0.89</v>
      </c>
      <c r="F2262" s="38">
        <f t="shared" si="35"/>
        <v>72.375903600000015</v>
      </c>
      <c r="G2262" s="1547"/>
      <c r="H2262" s="8"/>
      <c r="I2262" s="8"/>
      <c r="J2262" s="8"/>
      <c r="K2262" s="8"/>
      <c r="L2262" s="8"/>
      <c r="M2262" s="8"/>
      <c r="N2262" s="8"/>
      <c r="O2262" s="8"/>
      <c r="P2262" s="8"/>
      <c r="Q2262" s="8"/>
      <c r="R2262" s="8"/>
      <c r="S2262" s="8"/>
      <c r="T2262" s="8"/>
      <c r="U2262" s="8"/>
      <c r="V2262" s="8"/>
      <c r="W2262" s="8"/>
      <c r="X2262" s="771"/>
      <c r="Y2262" s="771"/>
      <c r="Z2262" s="771"/>
      <c r="AA2262" s="771"/>
      <c r="AB2262" s="771"/>
      <c r="AC2262" s="771"/>
      <c r="AD2262" s="771"/>
      <c r="AE2262" s="771"/>
      <c r="AF2262" s="771"/>
      <c r="AG2262" s="771"/>
      <c r="AH2262" s="771"/>
      <c r="AI2262" s="771"/>
      <c r="AJ2262" s="771"/>
      <c r="AK2262" s="771"/>
      <c r="AL2262" s="771"/>
      <c r="AM2262" s="771"/>
      <c r="AN2262" s="771"/>
      <c r="AO2262" s="771"/>
      <c r="AP2262" s="771"/>
      <c r="AQ2262" s="771"/>
      <c r="AR2262" s="771"/>
      <c r="AS2262" s="771"/>
      <c r="AT2262" s="771"/>
      <c r="AU2262" s="771"/>
    </row>
    <row r="2263" spans="1:47" s="1383" customFormat="1" outlineLevel="1" x14ac:dyDescent="0.2">
      <c r="A2263" s="8"/>
      <c r="B2263" s="8"/>
      <c r="C2263" s="1989" t="s">
        <v>2495</v>
      </c>
      <c r="D2263" s="1989" t="s">
        <v>6213</v>
      </c>
      <c r="E2263" s="1989">
        <v>41.9</v>
      </c>
      <c r="F2263" s="38">
        <f t="shared" si="35"/>
        <v>3407.3599559999998</v>
      </c>
      <c r="G2263" s="1547"/>
      <c r="H2263" s="8"/>
      <c r="I2263" s="8"/>
      <c r="J2263" s="8"/>
      <c r="K2263" s="8"/>
      <c r="L2263" s="8"/>
      <c r="M2263" s="8"/>
      <c r="N2263" s="8"/>
      <c r="O2263" s="8"/>
      <c r="P2263" s="8"/>
      <c r="Q2263" s="8"/>
      <c r="R2263" s="8"/>
      <c r="S2263" s="8"/>
      <c r="T2263" s="8"/>
      <c r="U2263" s="8"/>
      <c r="V2263" s="8"/>
      <c r="W2263" s="8"/>
      <c r="X2263" s="771"/>
      <c r="Y2263" s="771"/>
      <c r="Z2263" s="771"/>
      <c r="AA2263" s="771"/>
      <c r="AB2263" s="771"/>
      <c r="AC2263" s="771"/>
      <c r="AD2263" s="771"/>
      <c r="AE2263" s="771"/>
      <c r="AF2263" s="771"/>
      <c r="AG2263" s="771"/>
      <c r="AH2263" s="771"/>
      <c r="AI2263" s="771"/>
      <c r="AJ2263" s="771"/>
      <c r="AK2263" s="771"/>
      <c r="AL2263" s="771"/>
      <c r="AM2263" s="771"/>
      <c r="AN2263" s="771"/>
      <c r="AO2263" s="771"/>
      <c r="AP2263" s="771"/>
      <c r="AQ2263" s="771"/>
      <c r="AR2263" s="771"/>
      <c r="AS2263" s="771"/>
      <c r="AT2263" s="771"/>
      <c r="AU2263" s="771"/>
    </row>
    <row r="2264" spans="1:47" s="1383" customFormat="1" outlineLevel="1" x14ac:dyDescent="0.2">
      <c r="A2264" s="8"/>
      <c r="B2264" s="8"/>
      <c r="C2264" s="1989" t="s">
        <v>3331</v>
      </c>
      <c r="D2264" s="1989" t="s">
        <v>7888</v>
      </c>
      <c r="E2264" s="1989">
        <v>6.17</v>
      </c>
      <c r="F2264" s="38">
        <f t="shared" si="35"/>
        <v>501.75205080000001</v>
      </c>
      <c r="G2264" s="1547"/>
      <c r="H2264" s="8"/>
      <c r="I2264" s="8"/>
      <c r="J2264" s="8"/>
      <c r="K2264" s="8"/>
      <c r="L2264" s="8"/>
      <c r="M2264" s="8"/>
      <c r="N2264" s="8"/>
      <c r="O2264" s="8"/>
      <c r="P2264" s="8"/>
      <c r="Q2264" s="8"/>
      <c r="R2264" s="8"/>
      <c r="S2264" s="8"/>
      <c r="T2264" s="8"/>
      <c r="U2264" s="8"/>
      <c r="V2264" s="8"/>
      <c r="W2264" s="8"/>
      <c r="X2264" s="771"/>
      <c r="Y2264" s="771"/>
      <c r="Z2264" s="771"/>
      <c r="AA2264" s="771"/>
      <c r="AB2264" s="771"/>
      <c r="AC2264" s="771"/>
      <c r="AD2264" s="771"/>
      <c r="AE2264" s="771"/>
      <c r="AF2264" s="771"/>
      <c r="AG2264" s="771"/>
      <c r="AH2264" s="771"/>
      <c r="AI2264" s="771"/>
      <c r="AJ2264" s="771"/>
      <c r="AK2264" s="771"/>
      <c r="AL2264" s="771"/>
      <c r="AM2264" s="771"/>
      <c r="AN2264" s="771"/>
      <c r="AO2264" s="771"/>
      <c r="AP2264" s="771"/>
      <c r="AQ2264" s="771"/>
      <c r="AR2264" s="771"/>
      <c r="AS2264" s="771"/>
      <c r="AT2264" s="771"/>
      <c r="AU2264" s="771"/>
    </row>
    <row r="2265" spans="1:47" s="1383" customFormat="1" outlineLevel="1" x14ac:dyDescent="0.2">
      <c r="A2265" s="8"/>
      <c r="B2265" s="8"/>
      <c r="C2265" s="1989" t="s">
        <v>2497</v>
      </c>
      <c r="D2265" s="1989" t="s">
        <v>7889</v>
      </c>
      <c r="E2265" s="1989">
        <v>4.1900000000000004</v>
      </c>
      <c r="F2265" s="38">
        <f t="shared" si="35"/>
        <v>340.73599560000008</v>
      </c>
      <c r="G2265" s="1547"/>
      <c r="H2265" s="8"/>
      <c r="I2265" s="8"/>
      <c r="J2265" s="8"/>
      <c r="K2265" s="8"/>
      <c r="L2265" s="8"/>
      <c r="M2265" s="8"/>
      <c r="N2265" s="8"/>
      <c r="O2265" s="8"/>
      <c r="P2265" s="8"/>
      <c r="Q2265" s="8"/>
      <c r="R2265" s="8"/>
      <c r="S2265" s="8"/>
      <c r="T2265" s="8"/>
      <c r="U2265" s="8"/>
      <c r="V2265" s="8"/>
      <c r="W2265" s="8"/>
      <c r="X2265" s="771"/>
      <c r="Y2265" s="771"/>
      <c r="Z2265" s="771"/>
      <c r="AA2265" s="771"/>
      <c r="AB2265" s="771"/>
      <c r="AC2265" s="771"/>
      <c r="AD2265" s="771"/>
      <c r="AE2265" s="771"/>
      <c r="AF2265" s="771"/>
      <c r="AG2265" s="771"/>
      <c r="AH2265" s="771"/>
      <c r="AI2265" s="771"/>
      <c r="AJ2265" s="771"/>
      <c r="AK2265" s="771"/>
      <c r="AL2265" s="771"/>
      <c r="AM2265" s="771"/>
      <c r="AN2265" s="771"/>
      <c r="AO2265" s="771"/>
      <c r="AP2265" s="771"/>
      <c r="AQ2265" s="771"/>
      <c r="AR2265" s="771"/>
      <c r="AS2265" s="771"/>
      <c r="AT2265" s="771"/>
      <c r="AU2265" s="771"/>
    </row>
    <row r="2266" spans="1:47" s="1383" customFormat="1" outlineLevel="1" x14ac:dyDescent="0.2">
      <c r="A2266" s="8"/>
      <c r="B2266" s="8"/>
      <c r="C2266" s="1989" t="s">
        <v>2499</v>
      </c>
      <c r="D2266" s="1989" t="s">
        <v>6214</v>
      </c>
      <c r="E2266" s="1989">
        <v>54.55</v>
      </c>
      <c r="F2266" s="38">
        <f t="shared" si="35"/>
        <v>4436.0736420000003</v>
      </c>
      <c r="G2266" s="1547"/>
      <c r="H2266" s="8"/>
      <c r="I2266" s="8"/>
      <c r="J2266" s="8"/>
      <c r="K2266" s="8"/>
      <c r="L2266" s="8"/>
      <c r="M2266" s="8"/>
      <c r="N2266" s="8"/>
      <c r="O2266" s="8"/>
      <c r="P2266" s="8"/>
      <c r="Q2266" s="8"/>
      <c r="R2266" s="8"/>
      <c r="S2266" s="8"/>
      <c r="T2266" s="8"/>
      <c r="U2266" s="8"/>
      <c r="V2266" s="8"/>
      <c r="W2266" s="8"/>
      <c r="X2266" s="771"/>
      <c r="Y2266" s="771"/>
      <c r="Z2266" s="771"/>
      <c r="AA2266" s="771"/>
      <c r="AB2266" s="771"/>
      <c r="AC2266" s="771"/>
      <c r="AD2266" s="771"/>
      <c r="AE2266" s="771"/>
      <c r="AF2266" s="771"/>
      <c r="AG2266" s="771"/>
      <c r="AH2266" s="771"/>
      <c r="AI2266" s="771"/>
      <c r="AJ2266" s="771"/>
      <c r="AK2266" s="771"/>
      <c r="AL2266" s="771"/>
      <c r="AM2266" s="771"/>
      <c r="AN2266" s="771"/>
      <c r="AO2266" s="771"/>
      <c r="AP2266" s="771"/>
      <c r="AQ2266" s="771"/>
      <c r="AR2266" s="771"/>
      <c r="AS2266" s="771"/>
      <c r="AT2266" s="771"/>
      <c r="AU2266" s="771"/>
    </row>
    <row r="2267" spans="1:47" s="1383" customFormat="1" outlineLevel="1" x14ac:dyDescent="0.2">
      <c r="A2267" s="8"/>
      <c r="B2267" s="8"/>
      <c r="C2267" s="1989" t="s">
        <v>4637</v>
      </c>
      <c r="D2267" s="1989" t="s">
        <v>4638</v>
      </c>
      <c r="E2267" s="1989">
        <v>1.88</v>
      </c>
      <c r="F2267" s="38">
        <f t="shared" si="35"/>
        <v>152.88393120000001</v>
      </c>
      <c r="G2267" s="1547"/>
      <c r="H2267" s="8"/>
      <c r="I2267" s="8"/>
      <c r="J2267" s="8"/>
      <c r="K2267" s="8"/>
      <c r="L2267" s="8"/>
      <c r="M2267" s="8"/>
      <c r="N2267" s="8"/>
      <c r="O2267" s="8"/>
      <c r="P2267" s="8"/>
      <c r="Q2267" s="8"/>
      <c r="R2267" s="8"/>
      <c r="S2267" s="8"/>
      <c r="T2267" s="8"/>
      <c r="U2267" s="8"/>
      <c r="V2267" s="8"/>
      <c r="W2267" s="8"/>
      <c r="X2267" s="771"/>
      <c r="Y2267" s="771"/>
      <c r="Z2267" s="771"/>
      <c r="AA2267" s="771"/>
      <c r="AB2267" s="771"/>
      <c r="AC2267" s="771"/>
      <c r="AD2267" s="771"/>
      <c r="AE2267" s="771"/>
      <c r="AF2267" s="771"/>
      <c r="AG2267" s="771"/>
      <c r="AH2267" s="771"/>
      <c r="AI2267" s="771"/>
      <c r="AJ2267" s="771"/>
      <c r="AK2267" s="771"/>
      <c r="AL2267" s="771"/>
      <c r="AM2267" s="771"/>
      <c r="AN2267" s="771"/>
      <c r="AO2267" s="771"/>
      <c r="AP2267" s="771"/>
      <c r="AQ2267" s="771"/>
      <c r="AR2267" s="771"/>
      <c r="AS2267" s="771"/>
      <c r="AT2267" s="771"/>
      <c r="AU2267" s="771"/>
    </row>
    <row r="2268" spans="1:47" s="1383" customFormat="1" outlineLevel="1" x14ac:dyDescent="0.2">
      <c r="A2268" s="8"/>
      <c r="B2268" s="8"/>
      <c r="C2268" s="1989" t="s">
        <v>4639</v>
      </c>
      <c r="D2268" s="1989" t="s">
        <v>4640</v>
      </c>
      <c r="E2268" s="1989">
        <v>1.88</v>
      </c>
      <c r="F2268" s="38">
        <f t="shared" si="35"/>
        <v>152.88393120000001</v>
      </c>
      <c r="G2268" s="1547"/>
      <c r="H2268" s="8"/>
      <c r="I2268" s="8"/>
      <c r="J2268" s="8"/>
      <c r="K2268" s="8"/>
      <c r="L2268" s="8"/>
      <c r="M2268" s="8"/>
      <c r="N2268" s="8"/>
      <c r="O2268" s="8"/>
      <c r="P2268" s="8"/>
      <c r="Q2268" s="8"/>
      <c r="R2268" s="8"/>
      <c r="S2268" s="8"/>
      <c r="T2268" s="8"/>
      <c r="U2268" s="8"/>
      <c r="V2268" s="8"/>
      <c r="W2268" s="8"/>
      <c r="X2268" s="771"/>
      <c r="Y2268" s="771"/>
      <c r="Z2268" s="771"/>
      <c r="AA2268" s="771"/>
      <c r="AB2268" s="771"/>
      <c r="AC2268" s="771"/>
      <c r="AD2268" s="771"/>
      <c r="AE2268" s="771"/>
      <c r="AF2268" s="771"/>
      <c r="AG2268" s="771"/>
      <c r="AH2268" s="771"/>
      <c r="AI2268" s="771"/>
      <c r="AJ2268" s="771"/>
      <c r="AK2268" s="771"/>
      <c r="AL2268" s="771"/>
      <c r="AM2268" s="771"/>
      <c r="AN2268" s="771"/>
      <c r="AO2268" s="771"/>
      <c r="AP2268" s="771"/>
      <c r="AQ2268" s="771"/>
      <c r="AR2268" s="771"/>
      <c r="AS2268" s="771"/>
      <c r="AT2268" s="771"/>
      <c r="AU2268" s="771"/>
    </row>
    <row r="2269" spans="1:47" s="1383" customFormat="1" outlineLevel="1" x14ac:dyDescent="0.2">
      <c r="A2269" s="8"/>
      <c r="B2269" s="8"/>
      <c r="C2269" s="1989" t="s">
        <v>2502</v>
      </c>
      <c r="D2269" s="1989" t="s">
        <v>6215</v>
      </c>
      <c r="E2269" s="1989">
        <v>32.590000000000003</v>
      </c>
      <c r="F2269" s="38">
        <f t="shared" si="35"/>
        <v>2650.2592116000005</v>
      </c>
      <c r="G2269" s="1547"/>
      <c r="H2269" s="8"/>
      <c r="I2269" s="8"/>
      <c r="J2269" s="8"/>
      <c r="K2269" s="8"/>
      <c r="L2269" s="8"/>
      <c r="M2269" s="8"/>
      <c r="N2269" s="8"/>
      <c r="O2269" s="8"/>
      <c r="P2269" s="8"/>
      <c r="Q2269" s="8"/>
      <c r="R2269" s="8"/>
      <c r="S2269" s="8"/>
      <c r="T2269" s="8"/>
      <c r="U2269" s="8"/>
      <c r="V2269" s="8"/>
      <c r="W2269" s="8"/>
      <c r="X2269" s="771"/>
      <c r="Y2269" s="771"/>
      <c r="Z2269" s="771"/>
      <c r="AA2269" s="771"/>
      <c r="AB2269" s="771"/>
      <c r="AC2269" s="771"/>
      <c r="AD2269" s="771"/>
      <c r="AE2269" s="771"/>
      <c r="AF2269" s="771"/>
      <c r="AG2269" s="771"/>
      <c r="AH2269" s="771"/>
      <c r="AI2269" s="771"/>
      <c r="AJ2269" s="771"/>
      <c r="AK2269" s="771"/>
      <c r="AL2269" s="771"/>
      <c r="AM2269" s="771"/>
      <c r="AN2269" s="771"/>
      <c r="AO2269" s="771"/>
      <c r="AP2269" s="771"/>
      <c r="AQ2269" s="771"/>
      <c r="AR2269" s="771"/>
      <c r="AS2269" s="771"/>
      <c r="AT2269" s="771"/>
      <c r="AU2269" s="771"/>
    </row>
    <row r="2270" spans="1:47" s="1383" customFormat="1" outlineLevel="1" x14ac:dyDescent="0.2">
      <c r="A2270" s="8"/>
      <c r="B2270" s="8"/>
      <c r="C2270" s="1989" t="s">
        <v>2503</v>
      </c>
      <c r="D2270" s="1989" t="s">
        <v>7890</v>
      </c>
      <c r="E2270" s="1989">
        <v>5</v>
      </c>
      <c r="F2270" s="38">
        <f t="shared" si="35"/>
        <v>406.60620000000006</v>
      </c>
      <c r="G2270" s="1547"/>
      <c r="H2270" s="8"/>
      <c r="I2270" s="8"/>
      <c r="J2270" s="8"/>
      <c r="K2270" s="8"/>
      <c r="L2270" s="8"/>
      <c r="M2270" s="8"/>
      <c r="N2270" s="8"/>
      <c r="O2270" s="8"/>
      <c r="P2270" s="8"/>
      <c r="Q2270" s="8"/>
      <c r="R2270" s="8"/>
      <c r="S2270" s="8"/>
      <c r="T2270" s="8"/>
      <c r="U2270" s="8"/>
      <c r="V2270" s="8"/>
      <c r="W2270" s="8"/>
      <c r="X2270" s="771"/>
      <c r="Y2270" s="771"/>
      <c r="Z2270" s="771"/>
      <c r="AA2270" s="771"/>
      <c r="AB2270" s="771"/>
      <c r="AC2270" s="771"/>
      <c r="AD2270" s="771"/>
      <c r="AE2270" s="771"/>
      <c r="AF2270" s="771"/>
      <c r="AG2270" s="771"/>
      <c r="AH2270" s="771"/>
      <c r="AI2270" s="771"/>
      <c r="AJ2270" s="771"/>
      <c r="AK2270" s="771"/>
      <c r="AL2270" s="771"/>
      <c r="AM2270" s="771"/>
      <c r="AN2270" s="771"/>
      <c r="AO2270" s="771"/>
      <c r="AP2270" s="771"/>
      <c r="AQ2270" s="771"/>
      <c r="AR2270" s="771"/>
      <c r="AS2270" s="771"/>
      <c r="AT2270" s="771"/>
      <c r="AU2270" s="771"/>
    </row>
    <row r="2271" spans="1:47" s="1383" customFormat="1" outlineLevel="1" x14ac:dyDescent="0.2">
      <c r="A2271" s="8"/>
      <c r="B2271" s="8"/>
      <c r="C2271" s="1989" t="s">
        <v>4641</v>
      </c>
      <c r="D2271" s="1989" t="s">
        <v>7891</v>
      </c>
      <c r="E2271" s="1989">
        <v>4.84</v>
      </c>
      <c r="F2271" s="38">
        <f t="shared" si="35"/>
        <v>393.59480160000004</v>
      </c>
      <c r="G2271" s="1547"/>
      <c r="H2271" s="8"/>
      <c r="I2271" s="8"/>
      <c r="J2271" s="8"/>
      <c r="K2271" s="8"/>
      <c r="L2271" s="8"/>
      <c r="M2271" s="8"/>
      <c r="N2271" s="8"/>
      <c r="O2271" s="8"/>
      <c r="P2271" s="8"/>
      <c r="Q2271" s="8"/>
      <c r="R2271" s="8"/>
      <c r="S2271" s="8"/>
      <c r="T2271" s="8"/>
      <c r="U2271" s="8"/>
      <c r="V2271" s="8"/>
      <c r="W2271" s="8"/>
      <c r="X2271" s="771"/>
      <c r="Y2271" s="771"/>
      <c r="Z2271" s="771"/>
      <c r="AA2271" s="771"/>
      <c r="AB2271" s="771"/>
      <c r="AC2271" s="771"/>
      <c r="AD2271" s="771"/>
      <c r="AE2271" s="771"/>
      <c r="AF2271" s="771"/>
      <c r="AG2271" s="771"/>
      <c r="AH2271" s="771"/>
      <c r="AI2271" s="771"/>
      <c r="AJ2271" s="771"/>
      <c r="AK2271" s="771"/>
      <c r="AL2271" s="771"/>
      <c r="AM2271" s="771"/>
      <c r="AN2271" s="771"/>
      <c r="AO2271" s="771"/>
      <c r="AP2271" s="771"/>
      <c r="AQ2271" s="771"/>
      <c r="AR2271" s="771"/>
      <c r="AS2271" s="771"/>
      <c r="AT2271" s="771"/>
      <c r="AU2271" s="771"/>
    </row>
    <row r="2272" spans="1:47" s="1383" customFormat="1" outlineLevel="1" x14ac:dyDescent="0.2">
      <c r="A2272" s="8"/>
      <c r="B2272" s="8"/>
      <c r="C2272" s="1989" t="s">
        <v>2507</v>
      </c>
      <c r="D2272" s="1989" t="s">
        <v>7892</v>
      </c>
      <c r="E2272" s="1989">
        <v>45.06</v>
      </c>
      <c r="F2272" s="38">
        <f t="shared" si="35"/>
        <v>3664.3350744000004</v>
      </c>
      <c r="G2272" s="1547"/>
      <c r="H2272" s="8"/>
      <c r="I2272" s="8"/>
      <c r="J2272" s="8"/>
      <c r="K2272" s="8"/>
      <c r="L2272" s="8"/>
      <c r="M2272" s="8"/>
      <c r="N2272" s="8"/>
      <c r="O2272" s="8"/>
      <c r="P2272" s="8"/>
      <c r="Q2272" s="8"/>
      <c r="R2272" s="8"/>
      <c r="S2272" s="8"/>
      <c r="T2272" s="8"/>
      <c r="U2272" s="8"/>
      <c r="V2272" s="8"/>
      <c r="W2272" s="8"/>
      <c r="X2272" s="771"/>
      <c r="Y2272" s="771"/>
      <c r="Z2272" s="771"/>
      <c r="AA2272" s="771"/>
      <c r="AB2272" s="771"/>
      <c r="AC2272" s="771"/>
      <c r="AD2272" s="771"/>
      <c r="AE2272" s="771"/>
      <c r="AF2272" s="771"/>
      <c r="AG2272" s="771"/>
      <c r="AH2272" s="771"/>
      <c r="AI2272" s="771"/>
      <c r="AJ2272" s="771"/>
      <c r="AK2272" s="771"/>
      <c r="AL2272" s="771"/>
      <c r="AM2272" s="771"/>
      <c r="AN2272" s="771"/>
      <c r="AO2272" s="771"/>
      <c r="AP2272" s="771"/>
      <c r="AQ2272" s="771"/>
      <c r="AR2272" s="771"/>
      <c r="AS2272" s="771"/>
      <c r="AT2272" s="771"/>
      <c r="AU2272" s="771"/>
    </row>
    <row r="2273" spans="1:47" s="1383" customFormat="1" outlineLevel="1" x14ac:dyDescent="0.2">
      <c r="A2273" s="8"/>
      <c r="B2273" s="8"/>
      <c r="C2273" s="1989" t="s">
        <v>2511</v>
      </c>
      <c r="D2273" s="1989" t="s">
        <v>7893</v>
      </c>
      <c r="E2273" s="1989">
        <v>47.44</v>
      </c>
      <c r="F2273" s="38">
        <f t="shared" si="35"/>
        <v>3857.8796256000001</v>
      </c>
      <c r="G2273" s="1547"/>
      <c r="H2273" s="8"/>
      <c r="I2273" s="8"/>
      <c r="J2273" s="8"/>
      <c r="K2273" s="8"/>
      <c r="L2273" s="8"/>
      <c r="M2273" s="8"/>
      <c r="N2273" s="8"/>
      <c r="O2273" s="8"/>
      <c r="P2273" s="8"/>
      <c r="Q2273" s="8"/>
      <c r="R2273" s="8"/>
      <c r="S2273" s="8"/>
      <c r="T2273" s="8"/>
      <c r="U2273" s="8"/>
      <c r="V2273" s="8"/>
      <c r="W2273" s="8"/>
      <c r="X2273" s="771"/>
      <c r="Y2273" s="771"/>
      <c r="Z2273" s="771"/>
      <c r="AA2273" s="771"/>
      <c r="AB2273" s="771"/>
      <c r="AC2273" s="771"/>
      <c r="AD2273" s="771"/>
      <c r="AE2273" s="771"/>
      <c r="AF2273" s="771"/>
      <c r="AG2273" s="771"/>
      <c r="AH2273" s="771"/>
      <c r="AI2273" s="771"/>
      <c r="AJ2273" s="771"/>
      <c r="AK2273" s="771"/>
      <c r="AL2273" s="771"/>
      <c r="AM2273" s="771"/>
      <c r="AN2273" s="771"/>
      <c r="AO2273" s="771"/>
      <c r="AP2273" s="771"/>
      <c r="AQ2273" s="771"/>
      <c r="AR2273" s="771"/>
      <c r="AS2273" s="771"/>
      <c r="AT2273" s="771"/>
      <c r="AU2273" s="771"/>
    </row>
    <row r="2274" spans="1:47" s="1383" customFormat="1" outlineLevel="1" x14ac:dyDescent="0.2">
      <c r="A2274" s="8"/>
      <c r="B2274" s="8"/>
      <c r="C2274" s="1989" t="s">
        <v>6804</v>
      </c>
      <c r="D2274" s="1989" t="s">
        <v>6216</v>
      </c>
      <c r="E2274" s="1989">
        <v>7.82</v>
      </c>
      <c r="F2274" s="38">
        <f t="shared" si="35"/>
        <v>635.93209680000007</v>
      </c>
      <c r="G2274" s="1547"/>
      <c r="H2274" s="8"/>
      <c r="I2274" s="8"/>
      <c r="J2274" s="8"/>
      <c r="K2274" s="8"/>
      <c r="L2274" s="8"/>
      <c r="M2274" s="8"/>
      <c r="N2274" s="8"/>
      <c r="O2274" s="8"/>
      <c r="P2274" s="8"/>
      <c r="Q2274" s="8"/>
      <c r="R2274" s="8"/>
      <c r="S2274" s="8"/>
      <c r="T2274" s="8"/>
      <c r="U2274" s="8"/>
      <c r="V2274" s="8"/>
      <c r="W2274" s="8"/>
      <c r="X2274" s="771"/>
      <c r="Y2274" s="771"/>
      <c r="Z2274" s="771"/>
      <c r="AA2274" s="771"/>
      <c r="AB2274" s="771"/>
      <c r="AC2274" s="771"/>
      <c r="AD2274" s="771"/>
      <c r="AE2274" s="771"/>
      <c r="AF2274" s="771"/>
      <c r="AG2274" s="771"/>
      <c r="AH2274" s="771"/>
      <c r="AI2274" s="771"/>
      <c r="AJ2274" s="771"/>
      <c r="AK2274" s="771"/>
      <c r="AL2274" s="771"/>
      <c r="AM2274" s="771"/>
      <c r="AN2274" s="771"/>
      <c r="AO2274" s="771"/>
      <c r="AP2274" s="771"/>
      <c r="AQ2274" s="771"/>
      <c r="AR2274" s="771"/>
      <c r="AS2274" s="771"/>
      <c r="AT2274" s="771"/>
      <c r="AU2274" s="771"/>
    </row>
    <row r="2275" spans="1:47" s="1383" customFormat="1" outlineLevel="1" x14ac:dyDescent="0.2">
      <c r="A2275" s="8"/>
      <c r="B2275" s="8"/>
      <c r="C2275" s="1989" t="s">
        <v>2512</v>
      </c>
      <c r="D2275" s="1989" t="s">
        <v>6217</v>
      </c>
      <c r="E2275" s="1989">
        <v>40.32</v>
      </c>
      <c r="F2275" s="38">
        <f t="shared" si="35"/>
        <v>3278.8723968000004</v>
      </c>
      <c r="G2275" s="1547"/>
      <c r="H2275" s="8"/>
      <c r="I2275" s="8"/>
      <c r="J2275" s="8"/>
      <c r="K2275" s="8"/>
      <c r="L2275" s="8"/>
      <c r="M2275" s="8"/>
      <c r="N2275" s="8"/>
      <c r="O2275" s="8"/>
      <c r="P2275" s="8"/>
      <c r="Q2275" s="8"/>
      <c r="R2275" s="8"/>
      <c r="S2275" s="8"/>
      <c r="T2275" s="8"/>
      <c r="U2275" s="8"/>
      <c r="V2275" s="8"/>
      <c r="W2275" s="8"/>
      <c r="X2275" s="771"/>
      <c r="Y2275" s="771"/>
      <c r="Z2275" s="771"/>
      <c r="AA2275" s="771"/>
      <c r="AB2275" s="771"/>
      <c r="AC2275" s="771"/>
      <c r="AD2275" s="771"/>
      <c r="AE2275" s="771"/>
      <c r="AF2275" s="771"/>
      <c r="AG2275" s="771"/>
      <c r="AH2275" s="771"/>
      <c r="AI2275" s="771"/>
      <c r="AJ2275" s="771"/>
      <c r="AK2275" s="771"/>
      <c r="AL2275" s="771"/>
      <c r="AM2275" s="771"/>
      <c r="AN2275" s="771"/>
      <c r="AO2275" s="771"/>
      <c r="AP2275" s="771"/>
      <c r="AQ2275" s="771"/>
      <c r="AR2275" s="771"/>
      <c r="AS2275" s="771"/>
      <c r="AT2275" s="771"/>
      <c r="AU2275" s="771"/>
    </row>
    <row r="2276" spans="1:47" s="1383" customFormat="1" outlineLevel="1" x14ac:dyDescent="0.2">
      <c r="A2276" s="8"/>
      <c r="B2276" s="8"/>
      <c r="C2276" s="1989" t="s">
        <v>3772</v>
      </c>
      <c r="D2276" s="1989" t="s">
        <v>7894</v>
      </c>
      <c r="E2276" s="1989">
        <v>20.65</v>
      </c>
      <c r="F2276" s="38">
        <f t="shared" si="35"/>
        <v>1679.283606</v>
      </c>
      <c r="G2276" s="1547"/>
      <c r="H2276" s="8"/>
      <c r="I2276" s="8"/>
      <c r="J2276" s="8"/>
      <c r="K2276" s="8"/>
      <c r="L2276" s="8"/>
      <c r="M2276" s="8"/>
      <c r="N2276" s="8"/>
      <c r="O2276" s="8"/>
      <c r="P2276" s="8"/>
      <c r="Q2276" s="8"/>
      <c r="R2276" s="8"/>
      <c r="S2276" s="8"/>
      <c r="T2276" s="8"/>
      <c r="U2276" s="8"/>
      <c r="V2276" s="8"/>
      <c r="W2276" s="8"/>
      <c r="X2276" s="771"/>
      <c r="Y2276" s="771"/>
      <c r="Z2276" s="771"/>
      <c r="AA2276" s="771"/>
      <c r="AB2276" s="771"/>
      <c r="AC2276" s="771"/>
      <c r="AD2276" s="771"/>
      <c r="AE2276" s="771"/>
      <c r="AF2276" s="771"/>
      <c r="AG2276" s="771"/>
      <c r="AH2276" s="771"/>
      <c r="AI2276" s="771"/>
      <c r="AJ2276" s="771"/>
      <c r="AK2276" s="771"/>
      <c r="AL2276" s="771"/>
      <c r="AM2276" s="771"/>
      <c r="AN2276" s="771"/>
      <c r="AO2276" s="771"/>
      <c r="AP2276" s="771"/>
      <c r="AQ2276" s="771"/>
      <c r="AR2276" s="771"/>
      <c r="AS2276" s="771"/>
      <c r="AT2276" s="771"/>
      <c r="AU2276" s="771"/>
    </row>
    <row r="2277" spans="1:47" s="1383" customFormat="1" outlineLevel="1" x14ac:dyDescent="0.2">
      <c r="A2277" s="8"/>
      <c r="B2277" s="8"/>
      <c r="C2277" s="1989" t="s">
        <v>3773</v>
      </c>
      <c r="D2277" s="1989" t="s">
        <v>3774</v>
      </c>
      <c r="E2277" s="1989">
        <v>48.29</v>
      </c>
      <c r="F2277" s="38">
        <f t="shared" si="35"/>
        <v>3927.0026795999997</v>
      </c>
      <c r="G2277" s="1547"/>
      <c r="H2277" s="8"/>
      <c r="I2277" s="8"/>
      <c r="J2277" s="8"/>
      <c r="K2277" s="8"/>
      <c r="L2277" s="8"/>
      <c r="M2277" s="8"/>
      <c r="N2277" s="8"/>
      <c r="O2277" s="8"/>
      <c r="P2277" s="8"/>
      <c r="Q2277" s="8"/>
      <c r="R2277" s="8"/>
      <c r="S2277" s="8"/>
      <c r="T2277" s="8"/>
      <c r="U2277" s="8"/>
      <c r="V2277" s="8"/>
      <c r="W2277" s="8"/>
      <c r="X2277" s="771"/>
      <c r="Y2277" s="771"/>
      <c r="Z2277" s="771"/>
      <c r="AA2277" s="771"/>
      <c r="AB2277" s="771"/>
      <c r="AC2277" s="771"/>
      <c r="AD2277" s="771"/>
      <c r="AE2277" s="771"/>
      <c r="AF2277" s="771"/>
      <c r="AG2277" s="771"/>
      <c r="AH2277" s="771"/>
      <c r="AI2277" s="771"/>
      <c r="AJ2277" s="771"/>
      <c r="AK2277" s="771"/>
      <c r="AL2277" s="771"/>
      <c r="AM2277" s="771"/>
      <c r="AN2277" s="771"/>
      <c r="AO2277" s="771"/>
      <c r="AP2277" s="771"/>
      <c r="AQ2277" s="771"/>
      <c r="AR2277" s="771"/>
      <c r="AS2277" s="771"/>
      <c r="AT2277" s="771"/>
      <c r="AU2277" s="771"/>
    </row>
    <row r="2278" spans="1:47" s="1383" customFormat="1" outlineLevel="1" x14ac:dyDescent="0.2">
      <c r="A2278" s="8"/>
      <c r="B2278" s="8"/>
      <c r="C2278" s="1989" t="s">
        <v>2516</v>
      </c>
      <c r="D2278" s="1989" t="s">
        <v>6218</v>
      </c>
      <c r="E2278" s="1989">
        <v>44.23</v>
      </c>
      <c r="F2278" s="38">
        <f t="shared" si="35"/>
        <v>3596.8384452</v>
      </c>
      <c r="G2278" s="1547"/>
      <c r="H2278" s="8"/>
      <c r="I2278" s="8"/>
      <c r="J2278" s="8"/>
      <c r="K2278" s="8"/>
      <c r="L2278" s="8"/>
      <c r="M2278" s="8"/>
      <c r="N2278" s="8"/>
      <c r="O2278" s="8"/>
      <c r="P2278" s="8"/>
      <c r="Q2278" s="8"/>
      <c r="R2278" s="8"/>
      <c r="S2278" s="8"/>
      <c r="T2278" s="8"/>
      <c r="U2278" s="8"/>
      <c r="V2278" s="8"/>
      <c r="W2278" s="8"/>
      <c r="X2278" s="771"/>
      <c r="Y2278" s="771"/>
      <c r="Z2278" s="771"/>
      <c r="AA2278" s="771"/>
      <c r="AB2278" s="771"/>
      <c r="AC2278" s="771"/>
      <c r="AD2278" s="771"/>
      <c r="AE2278" s="771"/>
      <c r="AF2278" s="771"/>
      <c r="AG2278" s="771"/>
      <c r="AH2278" s="771"/>
      <c r="AI2278" s="771"/>
      <c r="AJ2278" s="771"/>
      <c r="AK2278" s="771"/>
      <c r="AL2278" s="771"/>
      <c r="AM2278" s="771"/>
      <c r="AN2278" s="771"/>
      <c r="AO2278" s="771"/>
      <c r="AP2278" s="771"/>
      <c r="AQ2278" s="771"/>
      <c r="AR2278" s="771"/>
      <c r="AS2278" s="771"/>
      <c r="AT2278" s="771"/>
      <c r="AU2278" s="771"/>
    </row>
    <row r="2279" spans="1:47" s="1383" customFormat="1" outlineLevel="1" x14ac:dyDescent="0.2">
      <c r="A2279" s="8"/>
      <c r="B2279" s="8"/>
      <c r="C2279" s="1989" t="s">
        <v>4642</v>
      </c>
      <c r="D2279" s="1989" t="s">
        <v>4643</v>
      </c>
      <c r="E2279" s="1989">
        <v>24.07</v>
      </c>
      <c r="F2279" s="38">
        <f t="shared" si="35"/>
        <v>1957.4022468000001</v>
      </c>
      <c r="G2279" s="1547"/>
      <c r="H2279" s="8"/>
      <c r="I2279" s="8"/>
      <c r="J2279" s="8"/>
      <c r="K2279" s="8"/>
      <c r="L2279" s="8"/>
      <c r="M2279" s="8"/>
      <c r="N2279" s="8"/>
      <c r="O2279" s="8"/>
      <c r="P2279" s="8"/>
      <c r="Q2279" s="8"/>
      <c r="R2279" s="8"/>
      <c r="S2279" s="8"/>
      <c r="T2279" s="8"/>
      <c r="U2279" s="8"/>
      <c r="V2279" s="8"/>
      <c r="W2279" s="8"/>
      <c r="X2279" s="771"/>
      <c r="Y2279" s="771"/>
      <c r="Z2279" s="771"/>
      <c r="AA2279" s="771"/>
      <c r="AB2279" s="771"/>
      <c r="AC2279" s="771"/>
      <c r="AD2279" s="771"/>
      <c r="AE2279" s="771"/>
      <c r="AF2279" s="771"/>
      <c r="AG2279" s="771"/>
      <c r="AH2279" s="771"/>
      <c r="AI2279" s="771"/>
      <c r="AJ2279" s="771"/>
      <c r="AK2279" s="771"/>
      <c r="AL2279" s="771"/>
      <c r="AM2279" s="771"/>
      <c r="AN2279" s="771"/>
      <c r="AO2279" s="771"/>
      <c r="AP2279" s="771"/>
      <c r="AQ2279" s="771"/>
      <c r="AR2279" s="771"/>
      <c r="AS2279" s="771"/>
      <c r="AT2279" s="771"/>
      <c r="AU2279" s="771"/>
    </row>
    <row r="2280" spans="1:47" s="1383" customFormat="1" outlineLevel="1" x14ac:dyDescent="0.2">
      <c r="A2280" s="8"/>
      <c r="B2280" s="8"/>
      <c r="C2280" s="1989" t="s">
        <v>2522</v>
      </c>
      <c r="D2280" s="1989" t="s">
        <v>7895</v>
      </c>
      <c r="E2280" s="1989">
        <v>47.44</v>
      </c>
      <c r="F2280" s="38">
        <f t="shared" si="35"/>
        <v>3857.8796256000001</v>
      </c>
      <c r="G2280" s="1547"/>
      <c r="H2280" s="8"/>
      <c r="I2280" s="8"/>
      <c r="J2280" s="8"/>
      <c r="K2280" s="8"/>
      <c r="L2280" s="8"/>
      <c r="M2280" s="8"/>
      <c r="N2280" s="8"/>
      <c r="O2280" s="8"/>
      <c r="P2280" s="8"/>
      <c r="Q2280" s="8"/>
      <c r="R2280" s="8"/>
      <c r="S2280" s="8"/>
      <c r="T2280" s="8"/>
      <c r="U2280" s="8"/>
      <c r="V2280" s="8"/>
      <c r="W2280" s="8"/>
      <c r="X2280" s="771"/>
      <c r="Y2280" s="771"/>
      <c r="Z2280" s="771"/>
      <c r="AA2280" s="771"/>
      <c r="AB2280" s="771"/>
      <c r="AC2280" s="771"/>
      <c r="AD2280" s="771"/>
      <c r="AE2280" s="771"/>
      <c r="AF2280" s="771"/>
      <c r="AG2280" s="771"/>
      <c r="AH2280" s="771"/>
      <c r="AI2280" s="771"/>
      <c r="AJ2280" s="771"/>
      <c r="AK2280" s="771"/>
      <c r="AL2280" s="771"/>
      <c r="AM2280" s="771"/>
      <c r="AN2280" s="771"/>
      <c r="AO2280" s="771"/>
      <c r="AP2280" s="771"/>
      <c r="AQ2280" s="771"/>
      <c r="AR2280" s="771"/>
      <c r="AS2280" s="771"/>
      <c r="AT2280" s="771"/>
      <c r="AU2280" s="771"/>
    </row>
    <row r="2281" spans="1:47" s="1383" customFormat="1" outlineLevel="1" x14ac:dyDescent="0.2">
      <c r="A2281" s="8"/>
      <c r="B2281" s="8"/>
      <c r="C2281" s="1989" t="s">
        <v>2523</v>
      </c>
      <c r="D2281" s="1989" t="s">
        <v>6219</v>
      </c>
      <c r="E2281" s="1989">
        <v>41.9</v>
      </c>
      <c r="F2281" s="38">
        <f t="shared" si="35"/>
        <v>3407.3599559999998</v>
      </c>
      <c r="G2281" s="1547"/>
      <c r="H2281" s="8"/>
      <c r="I2281" s="8"/>
      <c r="J2281" s="8"/>
      <c r="K2281" s="8"/>
      <c r="L2281" s="8"/>
      <c r="M2281" s="8"/>
      <c r="N2281" s="8"/>
      <c r="O2281" s="8"/>
      <c r="P2281" s="8"/>
      <c r="Q2281" s="8"/>
      <c r="R2281" s="8"/>
      <c r="S2281" s="8"/>
      <c r="T2281" s="8"/>
      <c r="U2281" s="8"/>
      <c r="V2281" s="8"/>
      <c r="W2281" s="8"/>
      <c r="X2281" s="771"/>
      <c r="Y2281" s="771"/>
      <c r="Z2281" s="771"/>
      <c r="AA2281" s="771"/>
      <c r="AB2281" s="771"/>
      <c r="AC2281" s="771"/>
      <c r="AD2281" s="771"/>
      <c r="AE2281" s="771"/>
      <c r="AF2281" s="771"/>
      <c r="AG2281" s="771"/>
      <c r="AH2281" s="771"/>
      <c r="AI2281" s="771"/>
      <c r="AJ2281" s="771"/>
      <c r="AK2281" s="771"/>
      <c r="AL2281" s="771"/>
      <c r="AM2281" s="771"/>
      <c r="AN2281" s="771"/>
      <c r="AO2281" s="771"/>
      <c r="AP2281" s="771"/>
      <c r="AQ2281" s="771"/>
      <c r="AR2281" s="771"/>
      <c r="AS2281" s="771"/>
      <c r="AT2281" s="771"/>
      <c r="AU2281" s="771"/>
    </row>
    <row r="2282" spans="1:47" s="1383" customFormat="1" outlineLevel="1" x14ac:dyDescent="0.2">
      <c r="A2282" s="8"/>
      <c r="B2282" s="8"/>
      <c r="C2282" s="1989" t="s">
        <v>2524</v>
      </c>
      <c r="D2282" s="1989" t="s">
        <v>7896</v>
      </c>
      <c r="E2282" s="1989">
        <v>47.44</v>
      </c>
      <c r="F2282" s="38">
        <f t="shared" si="35"/>
        <v>3857.8796256000001</v>
      </c>
      <c r="G2282" s="1547"/>
      <c r="H2282" s="8"/>
      <c r="I2282" s="8"/>
      <c r="J2282" s="8"/>
      <c r="K2282" s="8"/>
      <c r="L2282" s="8"/>
      <c r="M2282" s="8"/>
      <c r="N2282" s="8"/>
      <c r="O2282" s="8"/>
      <c r="P2282" s="8"/>
      <c r="Q2282" s="8"/>
      <c r="R2282" s="8"/>
      <c r="S2282" s="8"/>
      <c r="T2282" s="8"/>
      <c r="U2282" s="8"/>
      <c r="V2282" s="8"/>
      <c r="W2282" s="8"/>
      <c r="X2282" s="771"/>
      <c r="Y2282" s="771"/>
      <c r="Z2282" s="771"/>
      <c r="AA2282" s="771"/>
      <c r="AB2282" s="771"/>
      <c r="AC2282" s="771"/>
      <c r="AD2282" s="771"/>
      <c r="AE2282" s="771"/>
      <c r="AF2282" s="771"/>
      <c r="AG2282" s="771"/>
      <c r="AH2282" s="771"/>
      <c r="AI2282" s="771"/>
      <c r="AJ2282" s="771"/>
      <c r="AK2282" s="771"/>
      <c r="AL2282" s="771"/>
      <c r="AM2282" s="771"/>
      <c r="AN2282" s="771"/>
      <c r="AO2282" s="771"/>
      <c r="AP2282" s="771"/>
      <c r="AQ2282" s="771"/>
      <c r="AR2282" s="771"/>
      <c r="AS2282" s="771"/>
      <c r="AT2282" s="771"/>
      <c r="AU2282" s="771"/>
    </row>
    <row r="2283" spans="1:47" s="1383" customFormat="1" outlineLevel="1" x14ac:dyDescent="0.2">
      <c r="A2283" s="8"/>
      <c r="B2283" s="8"/>
      <c r="C2283" s="1989" t="s">
        <v>3332</v>
      </c>
      <c r="D2283" s="1989" t="s">
        <v>7897</v>
      </c>
      <c r="E2283" s="1989">
        <v>40.39</v>
      </c>
      <c r="F2283" s="38">
        <f t="shared" si="35"/>
        <v>3284.5648836</v>
      </c>
      <c r="G2283" s="1547"/>
      <c r="H2283" s="8"/>
      <c r="I2283" s="8"/>
      <c r="J2283" s="8"/>
      <c r="K2283" s="8"/>
      <c r="L2283" s="8"/>
      <c r="M2283" s="8"/>
      <c r="N2283" s="8"/>
      <c r="O2283" s="8"/>
      <c r="P2283" s="8"/>
      <c r="Q2283" s="8"/>
      <c r="R2283" s="8"/>
      <c r="S2283" s="8"/>
      <c r="T2283" s="8"/>
      <c r="U2283" s="8"/>
      <c r="V2283" s="8"/>
      <c r="W2283" s="8"/>
      <c r="X2283" s="771"/>
      <c r="Y2283" s="771"/>
      <c r="Z2283" s="771"/>
      <c r="AA2283" s="771"/>
      <c r="AB2283" s="771"/>
      <c r="AC2283" s="771"/>
      <c r="AD2283" s="771"/>
      <c r="AE2283" s="771"/>
      <c r="AF2283" s="771"/>
      <c r="AG2283" s="771"/>
      <c r="AH2283" s="771"/>
      <c r="AI2283" s="771"/>
      <c r="AJ2283" s="771"/>
      <c r="AK2283" s="771"/>
      <c r="AL2283" s="771"/>
      <c r="AM2283" s="771"/>
      <c r="AN2283" s="771"/>
      <c r="AO2283" s="771"/>
      <c r="AP2283" s="771"/>
      <c r="AQ2283" s="771"/>
      <c r="AR2283" s="771"/>
      <c r="AS2283" s="771"/>
      <c r="AT2283" s="771"/>
      <c r="AU2283" s="771"/>
    </row>
    <row r="2284" spans="1:47" s="1383" customFormat="1" outlineLevel="1" x14ac:dyDescent="0.2">
      <c r="A2284" s="8"/>
      <c r="B2284" s="8"/>
      <c r="C2284" s="1989" t="s">
        <v>4644</v>
      </c>
      <c r="D2284" s="1989" t="s">
        <v>6220</v>
      </c>
      <c r="E2284" s="1989">
        <v>4.84</v>
      </c>
      <c r="F2284" s="38">
        <f t="shared" si="35"/>
        <v>393.59480160000004</v>
      </c>
      <c r="G2284" s="1547"/>
      <c r="H2284" s="8"/>
      <c r="I2284" s="8"/>
      <c r="J2284" s="8"/>
      <c r="K2284" s="8"/>
      <c r="L2284" s="8"/>
      <c r="M2284" s="8"/>
      <c r="N2284" s="8"/>
      <c r="O2284" s="8"/>
      <c r="P2284" s="8"/>
      <c r="Q2284" s="8"/>
      <c r="R2284" s="8"/>
      <c r="S2284" s="8"/>
      <c r="T2284" s="8"/>
      <c r="U2284" s="8"/>
      <c r="V2284" s="8"/>
      <c r="W2284" s="8"/>
      <c r="X2284" s="771"/>
      <c r="Y2284" s="771"/>
      <c r="Z2284" s="771"/>
      <c r="AA2284" s="771"/>
      <c r="AB2284" s="771"/>
      <c r="AC2284" s="771"/>
      <c r="AD2284" s="771"/>
      <c r="AE2284" s="771"/>
      <c r="AF2284" s="771"/>
      <c r="AG2284" s="771"/>
      <c r="AH2284" s="771"/>
      <c r="AI2284" s="771"/>
      <c r="AJ2284" s="771"/>
      <c r="AK2284" s="771"/>
      <c r="AL2284" s="771"/>
      <c r="AM2284" s="771"/>
      <c r="AN2284" s="771"/>
      <c r="AO2284" s="771"/>
      <c r="AP2284" s="771"/>
      <c r="AQ2284" s="771"/>
      <c r="AR2284" s="771"/>
      <c r="AS2284" s="771"/>
      <c r="AT2284" s="771"/>
      <c r="AU2284" s="771"/>
    </row>
    <row r="2285" spans="1:47" s="1383" customFormat="1" outlineLevel="1" x14ac:dyDescent="0.2">
      <c r="A2285" s="8"/>
      <c r="B2285" s="8"/>
      <c r="C2285" s="1989" t="s">
        <v>2540</v>
      </c>
      <c r="D2285" s="1989" t="s">
        <v>7898</v>
      </c>
      <c r="E2285" s="1989">
        <v>5</v>
      </c>
      <c r="F2285" s="38">
        <f t="shared" si="35"/>
        <v>406.60620000000006</v>
      </c>
      <c r="G2285" s="1547"/>
      <c r="H2285" s="8"/>
      <c r="I2285" s="8"/>
      <c r="J2285" s="8"/>
      <c r="K2285" s="8"/>
      <c r="L2285" s="8"/>
      <c r="M2285" s="8"/>
      <c r="N2285" s="8"/>
      <c r="O2285" s="8"/>
      <c r="P2285" s="8"/>
      <c r="Q2285" s="8"/>
      <c r="R2285" s="8"/>
      <c r="S2285" s="8"/>
      <c r="T2285" s="8"/>
      <c r="U2285" s="8"/>
      <c r="V2285" s="8"/>
      <c r="W2285" s="8"/>
      <c r="X2285" s="771"/>
      <c r="Y2285" s="771"/>
      <c r="Z2285" s="771"/>
      <c r="AA2285" s="771"/>
      <c r="AB2285" s="771"/>
      <c r="AC2285" s="771"/>
      <c r="AD2285" s="771"/>
      <c r="AE2285" s="771"/>
      <c r="AF2285" s="771"/>
      <c r="AG2285" s="771"/>
      <c r="AH2285" s="771"/>
      <c r="AI2285" s="771"/>
      <c r="AJ2285" s="771"/>
      <c r="AK2285" s="771"/>
      <c r="AL2285" s="771"/>
      <c r="AM2285" s="771"/>
      <c r="AN2285" s="771"/>
      <c r="AO2285" s="771"/>
      <c r="AP2285" s="771"/>
      <c r="AQ2285" s="771"/>
      <c r="AR2285" s="771"/>
      <c r="AS2285" s="771"/>
      <c r="AT2285" s="771"/>
      <c r="AU2285" s="771"/>
    </row>
    <row r="2286" spans="1:47" s="1383" customFormat="1" outlineLevel="1" x14ac:dyDescent="0.2">
      <c r="A2286" s="8"/>
      <c r="B2286" s="8"/>
      <c r="C2286" s="1989" t="s">
        <v>3775</v>
      </c>
      <c r="D2286" s="1989" t="s">
        <v>7899</v>
      </c>
      <c r="E2286" s="1989">
        <v>20.65</v>
      </c>
      <c r="F2286" s="38">
        <f t="shared" si="35"/>
        <v>1679.283606</v>
      </c>
      <c r="G2286" s="1547"/>
      <c r="H2286" s="8"/>
      <c r="I2286" s="8"/>
      <c r="J2286" s="8"/>
      <c r="K2286" s="8"/>
      <c r="L2286" s="8"/>
      <c r="M2286" s="8"/>
      <c r="N2286" s="8"/>
      <c r="O2286" s="8"/>
      <c r="P2286" s="8"/>
      <c r="Q2286" s="8"/>
      <c r="R2286" s="8"/>
      <c r="S2286" s="8"/>
      <c r="T2286" s="8"/>
      <c r="U2286" s="8"/>
      <c r="V2286" s="8"/>
      <c r="W2286" s="8"/>
      <c r="X2286" s="771"/>
      <c r="Y2286" s="771"/>
      <c r="Z2286" s="771"/>
      <c r="AA2286" s="771"/>
      <c r="AB2286" s="771"/>
      <c r="AC2286" s="771"/>
      <c r="AD2286" s="771"/>
      <c r="AE2286" s="771"/>
      <c r="AF2286" s="771"/>
      <c r="AG2286" s="771"/>
      <c r="AH2286" s="771"/>
      <c r="AI2286" s="771"/>
      <c r="AJ2286" s="771"/>
      <c r="AK2286" s="771"/>
      <c r="AL2286" s="771"/>
      <c r="AM2286" s="771"/>
      <c r="AN2286" s="771"/>
      <c r="AO2286" s="771"/>
      <c r="AP2286" s="771"/>
      <c r="AQ2286" s="771"/>
      <c r="AR2286" s="771"/>
      <c r="AS2286" s="771"/>
      <c r="AT2286" s="771"/>
      <c r="AU2286" s="771"/>
    </row>
    <row r="2287" spans="1:47" s="1383" customFormat="1" outlineLevel="1" x14ac:dyDescent="0.2">
      <c r="A2287" s="8"/>
      <c r="B2287" s="8"/>
      <c r="C2287" s="1989" t="s">
        <v>2558</v>
      </c>
      <c r="D2287" s="1989" t="s">
        <v>7900</v>
      </c>
      <c r="E2287" s="1989">
        <v>25.61</v>
      </c>
      <c r="F2287" s="38">
        <f t="shared" si="35"/>
        <v>2082.6369564000001</v>
      </c>
      <c r="G2287" s="1547"/>
      <c r="H2287" s="8"/>
      <c r="I2287" s="8"/>
      <c r="J2287" s="8"/>
      <c r="K2287" s="8"/>
      <c r="L2287" s="8"/>
      <c r="M2287" s="8"/>
      <c r="N2287" s="8"/>
      <c r="O2287" s="8"/>
      <c r="P2287" s="8"/>
      <c r="Q2287" s="8"/>
      <c r="R2287" s="8"/>
      <c r="S2287" s="8"/>
      <c r="T2287" s="8"/>
      <c r="U2287" s="8"/>
      <c r="V2287" s="8"/>
      <c r="W2287" s="8"/>
      <c r="X2287" s="771"/>
      <c r="Y2287" s="771"/>
      <c r="Z2287" s="771"/>
      <c r="AA2287" s="771"/>
      <c r="AB2287" s="771"/>
      <c r="AC2287" s="771"/>
      <c r="AD2287" s="771"/>
      <c r="AE2287" s="771"/>
      <c r="AF2287" s="771"/>
      <c r="AG2287" s="771"/>
      <c r="AH2287" s="771"/>
      <c r="AI2287" s="771"/>
      <c r="AJ2287" s="771"/>
      <c r="AK2287" s="771"/>
      <c r="AL2287" s="771"/>
      <c r="AM2287" s="771"/>
      <c r="AN2287" s="771"/>
      <c r="AO2287" s="771"/>
      <c r="AP2287" s="771"/>
      <c r="AQ2287" s="771"/>
      <c r="AR2287" s="771"/>
      <c r="AS2287" s="771"/>
      <c r="AT2287" s="771"/>
      <c r="AU2287" s="771"/>
    </row>
    <row r="2288" spans="1:47" s="1383" customFormat="1" outlineLevel="1" x14ac:dyDescent="0.2">
      <c r="A2288" s="8"/>
      <c r="B2288" s="8"/>
      <c r="C2288" s="1989" t="s">
        <v>2574</v>
      </c>
      <c r="D2288" s="1989" t="s">
        <v>7901</v>
      </c>
      <c r="E2288" s="1989">
        <v>20.95</v>
      </c>
      <c r="F2288" s="38">
        <f t="shared" si="35"/>
        <v>1703.6799779999999</v>
      </c>
      <c r="G2288" s="1547"/>
      <c r="H2288" s="8"/>
      <c r="I2288" s="8"/>
      <c r="J2288" s="8"/>
      <c r="K2288" s="8"/>
      <c r="L2288" s="8"/>
      <c r="M2288" s="8"/>
      <c r="N2288" s="8"/>
      <c r="O2288" s="8"/>
      <c r="P2288" s="8"/>
      <c r="Q2288" s="8"/>
      <c r="R2288" s="8"/>
      <c r="S2288" s="8"/>
      <c r="T2288" s="8"/>
      <c r="U2288" s="8"/>
      <c r="V2288" s="8"/>
      <c r="W2288" s="8"/>
      <c r="X2288" s="771"/>
      <c r="Y2288" s="771"/>
      <c r="Z2288" s="771"/>
      <c r="AA2288" s="771"/>
      <c r="AB2288" s="771"/>
      <c r="AC2288" s="771"/>
      <c r="AD2288" s="771"/>
      <c r="AE2288" s="771"/>
      <c r="AF2288" s="771"/>
      <c r="AG2288" s="771"/>
      <c r="AH2288" s="771"/>
      <c r="AI2288" s="771"/>
      <c r="AJ2288" s="771"/>
      <c r="AK2288" s="771"/>
      <c r="AL2288" s="771"/>
      <c r="AM2288" s="771"/>
      <c r="AN2288" s="771"/>
      <c r="AO2288" s="771"/>
      <c r="AP2288" s="771"/>
      <c r="AQ2288" s="771"/>
      <c r="AR2288" s="771"/>
      <c r="AS2288" s="771"/>
      <c r="AT2288" s="771"/>
      <c r="AU2288" s="771"/>
    </row>
    <row r="2289" spans="1:47" s="1383" customFormat="1" outlineLevel="1" x14ac:dyDescent="0.2">
      <c r="A2289" s="8"/>
      <c r="B2289" s="8"/>
      <c r="C2289" s="1989" t="s">
        <v>3776</v>
      </c>
      <c r="D2289" s="1989" t="s">
        <v>3777</v>
      </c>
      <c r="E2289" s="1989">
        <v>24.83</v>
      </c>
      <c r="F2289" s="38">
        <f t="shared" si="35"/>
        <v>2019.2063891999999</v>
      </c>
      <c r="G2289" s="1547"/>
      <c r="H2289" s="8"/>
      <c r="I2289" s="8"/>
      <c r="J2289" s="8"/>
      <c r="K2289" s="8"/>
      <c r="L2289" s="8"/>
      <c r="M2289" s="8"/>
      <c r="N2289" s="8"/>
      <c r="O2289" s="8"/>
      <c r="P2289" s="8"/>
      <c r="Q2289" s="8"/>
      <c r="R2289" s="8"/>
      <c r="S2289" s="8"/>
      <c r="T2289" s="8"/>
      <c r="U2289" s="8"/>
      <c r="V2289" s="8"/>
      <c r="W2289" s="8"/>
      <c r="X2289" s="771"/>
      <c r="Y2289" s="771"/>
      <c r="Z2289" s="771"/>
      <c r="AA2289" s="771"/>
      <c r="AB2289" s="771"/>
      <c r="AC2289" s="771"/>
      <c r="AD2289" s="771"/>
      <c r="AE2289" s="771"/>
      <c r="AF2289" s="771"/>
      <c r="AG2289" s="771"/>
      <c r="AH2289" s="771"/>
      <c r="AI2289" s="771"/>
      <c r="AJ2289" s="771"/>
      <c r="AK2289" s="771"/>
      <c r="AL2289" s="771"/>
      <c r="AM2289" s="771"/>
      <c r="AN2289" s="771"/>
      <c r="AO2289" s="771"/>
      <c r="AP2289" s="771"/>
      <c r="AQ2289" s="771"/>
      <c r="AR2289" s="771"/>
      <c r="AS2289" s="771"/>
      <c r="AT2289" s="771"/>
      <c r="AU2289" s="771"/>
    </row>
    <row r="2290" spans="1:47" s="1383" customFormat="1" outlineLevel="1" x14ac:dyDescent="0.2">
      <c r="A2290" s="8"/>
      <c r="B2290" s="8"/>
      <c r="C2290" s="1989" t="s">
        <v>2591</v>
      </c>
      <c r="D2290" s="1989" t="s">
        <v>7902</v>
      </c>
      <c r="E2290" s="1989">
        <v>67.66</v>
      </c>
      <c r="F2290" s="38">
        <f t="shared" si="35"/>
        <v>5502.1950983999996</v>
      </c>
      <c r="G2290" s="1547"/>
      <c r="H2290" s="8"/>
      <c r="I2290" s="8"/>
      <c r="J2290" s="8"/>
      <c r="K2290" s="8"/>
      <c r="L2290" s="8"/>
      <c r="M2290" s="8"/>
      <c r="N2290" s="8"/>
      <c r="O2290" s="8"/>
      <c r="P2290" s="8"/>
      <c r="Q2290" s="8"/>
      <c r="R2290" s="8"/>
      <c r="S2290" s="8"/>
      <c r="T2290" s="8"/>
      <c r="U2290" s="8"/>
      <c r="V2290" s="8"/>
      <c r="W2290" s="8"/>
      <c r="X2290" s="771"/>
      <c r="Y2290" s="771"/>
      <c r="Z2290" s="771"/>
      <c r="AA2290" s="771"/>
      <c r="AB2290" s="771"/>
      <c r="AC2290" s="771"/>
      <c r="AD2290" s="771"/>
      <c r="AE2290" s="771"/>
      <c r="AF2290" s="771"/>
      <c r="AG2290" s="771"/>
      <c r="AH2290" s="771"/>
      <c r="AI2290" s="771"/>
      <c r="AJ2290" s="771"/>
      <c r="AK2290" s="771"/>
      <c r="AL2290" s="771"/>
      <c r="AM2290" s="771"/>
      <c r="AN2290" s="771"/>
      <c r="AO2290" s="771"/>
      <c r="AP2290" s="771"/>
      <c r="AQ2290" s="771"/>
      <c r="AR2290" s="771"/>
      <c r="AS2290" s="771"/>
      <c r="AT2290" s="771"/>
      <c r="AU2290" s="771"/>
    </row>
    <row r="2291" spans="1:47" s="1383" customFormat="1" outlineLevel="1" x14ac:dyDescent="0.2">
      <c r="A2291" s="8"/>
      <c r="B2291" s="8"/>
      <c r="C2291" s="1989" t="s">
        <v>4103</v>
      </c>
      <c r="D2291" s="1989" t="s">
        <v>7903</v>
      </c>
      <c r="E2291" s="1989">
        <v>25.3</v>
      </c>
      <c r="F2291" s="38">
        <f t="shared" si="35"/>
        <v>2057.4273720000001</v>
      </c>
      <c r="G2291" s="1547"/>
      <c r="H2291" s="8"/>
      <c r="I2291" s="8"/>
      <c r="J2291" s="8"/>
      <c r="K2291" s="8"/>
      <c r="L2291" s="8"/>
      <c r="M2291" s="8"/>
      <c r="N2291" s="8"/>
      <c r="O2291" s="8"/>
      <c r="P2291" s="8"/>
      <c r="Q2291" s="8"/>
      <c r="R2291" s="8"/>
      <c r="S2291" s="8"/>
      <c r="T2291" s="8"/>
      <c r="U2291" s="8"/>
      <c r="V2291" s="8"/>
      <c r="W2291" s="8"/>
      <c r="X2291" s="771"/>
      <c r="Y2291" s="771"/>
      <c r="Z2291" s="771"/>
      <c r="AA2291" s="771"/>
      <c r="AB2291" s="771"/>
      <c r="AC2291" s="771"/>
      <c r="AD2291" s="771"/>
      <c r="AE2291" s="771"/>
      <c r="AF2291" s="771"/>
      <c r="AG2291" s="771"/>
      <c r="AH2291" s="771"/>
      <c r="AI2291" s="771"/>
      <c r="AJ2291" s="771"/>
      <c r="AK2291" s="771"/>
      <c r="AL2291" s="771"/>
      <c r="AM2291" s="771"/>
      <c r="AN2291" s="771"/>
      <c r="AO2291" s="771"/>
      <c r="AP2291" s="771"/>
      <c r="AQ2291" s="771"/>
      <c r="AR2291" s="771"/>
      <c r="AS2291" s="771"/>
      <c r="AT2291" s="771"/>
      <c r="AU2291" s="771"/>
    </row>
    <row r="2292" spans="1:47" s="1383" customFormat="1" outlineLevel="1" x14ac:dyDescent="0.2">
      <c r="A2292" s="8"/>
      <c r="B2292" s="8"/>
      <c r="C2292" s="1989" t="s">
        <v>2592</v>
      </c>
      <c r="D2292" s="1989" t="s">
        <v>7904</v>
      </c>
      <c r="E2292" s="1989">
        <v>5</v>
      </c>
      <c r="F2292" s="38">
        <f t="shared" si="35"/>
        <v>406.60620000000006</v>
      </c>
      <c r="G2292" s="1547"/>
      <c r="H2292" s="8"/>
      <c r="I2292" s="8"/>
      <c r="J2292" s="8"/>
      <c r="K2292" s="8"/>
      <c r="L2292" s="8"/>
      <c r="M2292" s="8"/>
      <c r="N2292" s="8"/>
      <c r="O2292" s="8"/>
      <c r="P2292" s="8"/>
      <c r="Q2292" s="8"/>
      <c r="R2292" s="8"/>
      <c r="S2292" s="8"/>
      <c r="T2292" s="8"/>
      <c r="U2292" s="8"/>
      <c r="V2292" s="8"/>
      <c r="W2292" s="8"/>
      <c r="X2292" s="771"/>
      <c r="Y2292" s="771"/>
      <c r="Z2292" s="771"/>
      <c r="AA2292" s="771"/>
      <c r="AB2292" s="771"/>
      <c r="AC2292" s="771"/>
      <c r="AD2292" s="771"/>
      <c r="AE2292" s="771"/>
      <c r="AF2292" s="771"/>
      <c r="AG2292" s="771"/>
      <c r="AH2292" s="771"/>
      <c r="AI2292" s="771"/>
      <c r="AJ2292" s="771"/>
      <c r="AK2292" s="771"/>
      <c r="AL2292" s="771"/>
      <c r="AM2292" s="771"/>
      <c r="AN2292" s="771"/>
      <c r="AO2292" s="771"/>
      <c r="AP2292" s="771"/>
      <c r="AQ2292" s="771"/>
      <c r="AR2292" s="771"/>
      <c r="AS2292" s="771"/>
      <c r="AT2292" s="771"/>
      <c r="AU2292" s="771"/>
    </row>
    <row r="2293" spans="1:47" s="1383" customFormat="1" outlineLevel="1" x14ac:dyDescent="0.2">
      <c r="A2293" s="8"/>
      <c r="B2293" s="8"/>
      <c r="C2293" s="1989" t="s">
        <v>3333</v>
      </c>
      <c r="D2293" s="1989" t="s">
        <v>7905</v>
      </c>
      <c r="E2293" s="1989">
        <v>6.17</v>
      </c>
      <c r="F2293" s="38">
        <f t="shared" si="35"/>
        <v>501.75205080000001</v>
      </c>
      <c r="G2293" s="1547"/>
      <c r="H2293" s="8"/>
      <c r="I2293" s="8"/>
      <c r="J2293" s="8"/>
      <c r="K2293" s="8"/>
      <c r="L2293" s="8"/>
      <c r="M2293" s="8"/>
      <c r="N2293" s="8"/>
      <c r="O2293" s="8"/>
      <c r="P2293" s="8"/>
      <c r="Q2293" s="8"/>
      <c r="R2293" s="8"/>
      <c r="S2293" s="8"/>
      <c r="T2293" s="8"/>
      <c r="U2293" s="8"/>
      <c r="V2293" s="8"/>
      <c r="W2293" s="8"/>
      <c r="X2293" s="771"/>
      <c r="Y2293" s="771"/>
      <c r="Z2293" s="771"/>
      <c r="AA2293" s="771"/>
      <c r="AB2293" s="771"/>
      <c r="AC2293" s="771"/>
      <c r="AD2293" s="771"/>
      <c r="AE2293" s="771"/>
      <c r="AF2293" s="771"/>
      <c r="AG2293" s="771"/>
      <c r="AH2293" s="771"/>
      <c r="AI2293" s="771"/>
      <c r="AJ2293" s="771"/>
      <c r="AK2293" s="771"/>
      <c r="AL2293" s="771"/>
      <c r="AM2293" s="771"/>
      <c r="AN2293" s="771"/>
      <c r="AO2293" s="771"/>
      <c r="AP2293" s="771"/>
      <c r="AQ2293" s="771"/>
      <c r="AR2293" s="771"/>
      <c r="AS2293" s="771"/>
      <c r="AT2293" s="771"/>
      <c r="AU2293" s="771"/>
    </row>
    <row r="2294" spans="1:47" s="1383" customFormat="1" outlineLevel="1" x14ac:dyDescent="0.2">
      <c r="A2294" s="8"/>
      <c r="B2294" s="8"/>
      <c r="C2294" s="1989" t="s">
        <v>2597</v>
      </c>
      <c r="D2294" s="1989" t="s">
        <v>7906</v>
      </c>
      <c r="E2294" s="1989">
        <v>45.06</v>
      </c>
      <c r="F2294" s="38">
        <f t="shared" si="35"/>
        <v>3664.3350744000004</v>
      </c>
      <c r="G2294" s="1547"/>
      <c r="H2294" s="8"/>
      <c r="I2294" s="8"/>
      <c r="J2294" s="8"/>
      <c r="K2294" s="8"/>
      <c r="L2294" s="8"/>
      <c r="M2294" s="8"/>
      <c r="N2294" s="8"/>
      <c r="O2294" s="8"/>
      <c r="P2294" s="8"/>
      <c r="Q2294" s="8"/>
      <c r="R2294" s="8"/>
      <c r="S2294" s="8"/>
      <c r="T2294" s="8"/>
      <c r="U2294" s="8"/>
      <c r="V2294" s="8"/>
      <c r="W2294" s="8"/>
      <c r="X2294" s="771"/>
      <c r="Y2294" s="771"/>
      <c r="Z2294" s="771"/>
      <c r="AA2294" s="771"/>
      <c r="AB2294" s="771"/>
      <c r="AC2294" s="771"/>
      <c r="AD2294" s="771"/>
      <c r="AE2294" s="771"/>
      <c r="AF2294" s="771"/>
      <c r="AG2294" s="771"/>
      <c r="AH2294" s="771"/>
      <c r="AI2294" s="771"/>
      <c r="AJ2294" s="771"/>
      <c r="AK2294" s="771"/>
      <c r="AL2294" s="771"/>
      <c r="AM2294" s="771"/>
      <c r="AN2294" s="771"/>
      <c r="AO2294" s="771"/>
      <c r="AP2294" s="771"/>
      <c r="AQ2294" s="771"/>
      <c r="AR2294" s="771"/>
      <c r="AS2294" s="771"/>
      <c r="AT2294" s="771"/>
      <c r="AU2294" s="771"/>
    </row>
    <row r="2295" spans="1:47" s="1383" customFormat="1" outlineLevel="1" x14ac:dyDescent="0.2">
      <c r="A2295" s="8"/>
      <c r="B2295" s="8"/>
      <c r="C2295" s="1989" t="s">
        <v>2600</v>
      </c>
      <c r="D2295" s="1989" t="s">
        <v>7907</v>
      </c>
      <c r="E2295" s="1989">
        <v>44.23</v>
      </c>
      <c r="F2295" s="38">
        <f t="shared" si="35"/>
        <v>3596.8384452</v>
      </c>
      <c r="G2295" s="1547"/>
      <c r="H2295" s="8"/>
      <c r="I2295" s="8"/>
      <c r="J2295" s="8"/>
      <c r="K2295" s="8"/>
      <c r="L2295" s="8"/>
      <c r="M2295" s="8"/>
      <c r="N2295" s="8"/>
      <c r="O2295" s="8"/>
      <c r="P2295" s="8"/>
      <c r="Q2295" s="8"/>
      <c r="R2295" s="8"/>
      <c r="S2295" s="8"/>
      <c r="T2295" s="8"/>
      <c r="U2295" s="8"/>
      <c r="V2295" s="8"/>
      <c r="W2295" s="8"/>
      <c r="X2295" s="771"/>
      <c r="Y2295" s="771"/>
      <c r="Z2295" s="771"/>
      <c r="AA2295" s="771"/>
      <c r="AB2295" s="771"/>
      <c r="AC2295" s="771"/>
      <c r="AD2295" s="771"/>
      <c r="AE2295" s="771"/>
      <c r="AF2295" s="771"/>
      <c r="AG2295" s="771"/>
      <c r="AH2295" s="771"/>
      <c r="AI2295" s="771"/>
      <c r="AJ2295" s="771"/>
      <c r="AK2295" s="771"/>
      <c r="AL2295" s="771"/>
      <c r="AM2295" s="771"/>
      <c r="AN2295" s="771"/>
      <c r="AO2295" s="771"/>
      <c r="AP2295" s="771"/>
      <c r="AQ2295" s="771"/>
      <c r="AR2295" s="771"/>
      <c r="AS2295" s="771"/>
      <c r="AT2295" s="771"/>
      <c r="AU2295" s="771"/>
    </row>
    <row r="2296" spans="1:47" s="1383" customFormat="1" outlineLevel="1" x14ac:dyDescent="0.2">
      <c r="A2296" s="8"/>
      <c r="B2296" s="8"/>
      <c r="C2296" s="1989" t="s">
        <v>2601</v>
      </c>
      <c r="D2296" s="1989" t="s">
        <v>6221</v>
      </c>
      <c r="E2296" s="1989">
        <v>35.58</v>
      </c>
      <c r="F2296" s="38">
        <f t="shared" si="35"/>
        <v>2893.4097191999999</v>
      </c>
      <c r="G2296" s="1547"/>
      <c r="H2296" s="8"/>
      <c r="I2296" s="8"/>
      <c r="J2296" s="8"/>
      <c r="K2296" s="8"/>
      <c r="L2296" s="8"/>
      <c r="M2296" s="8"/>
      <c r="N2296" s="8"/>
      <c r="O2296" s="8"/>
      <c r="P2296" s="8"/>
      <c r="Q2296" s="8"/>
      <c r="R2296" s="8"/>
      <c r="S2296" s="8"/>
      <c r="T2296" s="8"/>
      <c r="U2296" s="8"/>
      <c r="V2296" s="8"/>
      <c r="W2296" s="8"/>
      <c r="X2296" s="771"/>
      <c r="Y2296" s="771"/>
      <c r="Z2296" s="771"/>
      <c r="AA2296" s="771"/>
      <c r="AB2296" s="771"/>
      <c r="AC2296" s="771"/>
      <c r="AD2296" s="771"/>
      <c r="AE2296" s="771"/>
      <c r="AF2296" s="771"/>
      <c r="AG2296" s="771"/>
      <c r="AH2296" s="771"/>
      <c r="AI2296" s="771"/>
      <c r="AJ2296" s="771"/>
      <c r="AK2296" s="771"/>
      <c r="AL2296" s="771"/>
      <c r="AM2296" s="771"/>
      <c r="AN2296" s="771"/>
      <c r="AO2296" s="771"/>
      <c r="AP2296" s="771"/>
      <c r="AQ2296" s="771"/>
      <c r="AR2296" s="771"/>
      <c r="AS2296" s="771"/>
      <c r="AT2296" s="771"/>
      <c r="AU2296" s="771"/>
    </row>
    <row r="2297" spans="1:47" s="1383" customFormat="1" outlineLevel="1" x14ac:dyDescent="0.2">
      <c r="A2297" s="8"/>
      <c r="B2297" s="8"/>
      <c r="C2297" s="1989" t="s">
        <v>4104</v>
      </c>
      <c r="D2297" s="1989" t="s">
        <v>6222</v>
      </c>
      <c r="E2297" s="1989">
        <v>0</v>
      </c>
      <c r="F2297" s="38">
        <f t="shared" si="35"/>
        <v>0</v>
      </c>
      <c r="G2297" s="1547"/>
      <c r="H2297" s="8"/>
      <c r="I2297" s="8"/>
      <c r="J2297" s="8"/>
      <c r="K2297" s="8"/>
      <c r="L2297" s="8"/>
      <c r="M2297" s="8"/>
      <c r="N2297" s="8"/>
      <c r="O2297" s="8"/>
      <c r="P2297" s="8"/>
      <c r="Q2297" s="8"/>
      <c r="R2297" s="8"/>
      <c r="S2297" s="8"/>
      <c r="T2297" s="8"/>
      <c r="U2297" s="8"/>
      <c r="V2297" s="8"/>
      <c r="W2297" s="8"/>
      <c r="X2297" s="771"/>
      <c r="Y2297" s="771"/>
      <c r="Z2297" s="771"/>
      <c r="AA2297" s="771"/>
      <c r="AB2297" s="771"/>
      <c r="AC2297" s="771"/>
      <c r="AD2297" s="771"/>
      <c r="AE2297" s="771"/>
      <c r="AF2297" s="771"/>
      <c r="AG2297" s="771"/>
      <c r="AH2297" s="771"/>
      <c r="AI2297" s="771"/>
      <c r="AJ2297" s="771"/>
      <c r="AK2297" s="771"/>
      <c r="AL2297" s="771"/>
      <c r="AM2297" s="771"/>
      <c r="AN2297" s="771"/>
      <c r="AO2297" s="771"/>
      <c r="AP2297" s="771"/>
      <c r="AQ2297" s="771"/>
      <c r="AR2297" s="771"/>
      <c r="AS2297" s="771"/>
      <c r="AT2297" s="771"/>
      <c r="AU2297" s="771"/>
    </row>
    <row r="2298" spans="1:47" s="1383" customFormat="1" outlineLevel="1" x14ac:dyDescent="0.2">
      <c r="A2298" s="8"/>
      <c r="B2298" s="8"/>
      <c r="C2298" s="1989" t="s">
        <v>3334</v>
      </c>
      <c r="D2298" s="1989" t="s">
        <v>7908</v>
      </c>
      <c r="E2298" s="1989">
        <v>6.17</v>
      </c>
      <c r="F2298" s="38">
        <f t="shared" si="35"/>
        <v>501.75205080000001</v>
      </c>
      <c r="G2298" s="1547"/>
      <c r="H2298" s="8"/>
      <c r="I2298" s="8"/>
      <c r="J2298" s="8"/>
      <c r="K2298" s="8"/>
      <c r="L2298" s="8"/>
      <c r="M2298" s="8"/>
      <c r="N2298" s="8"/>
      <c r="O2298" s="8"/>
      <c r="P2298" s="8"/>
      <c r="Q2298" s="8"/>
      <c r="R2298" s="8"/>
      <c r="S2298" s="8"/>
      <c r="T2298" s="8"/>
      <c r="U2298" s="8"/>
      <c r="V2298" s="8"/>
      <c r="W2298" s="8"/>
      <c r="X2298" s="771"/>
      <c r="Y2298" s="771"/>
      <c r="Z2298" s="771"/>
      <c r="AA2298" s="771"/>
      <c r="AB2298" s="771"/>
      <c r="AC2298" s="771"/>
      <c r="AD2298" s="771"/>
      <c r="AE2298" s="771"/>
      <c r="AF2298" s="771"/>
      <c r="AG2298" s="771"/>
      <c r="AH2298" s="771"/>
      <c r="AI2298" s="771"/>
      <c r="AJ2298" s="771"/>
      <c r="AK2298" s="771"/>
      <c r="AL2298" s="771"/>
      <c r="AM2298" s="771"/>
      <c r="AN2298" s="771"/>
      <c r="AO2298" s="771"/>
      <c r="AP2298" s="771"/>
      <c r="AQ2298" s="771"/>
      <c r="AR2298" s="771"/>
      <c r="AS2298" s="771"/>
      <c r="AT2298" s="771"/>
      <c r="AU2298" s="771"/>
    </row>
    <row r="2299" spans="1:47" s="1383" customFormat="1" outlineLevel="1" x14ac:dyDescent="0.2">
      <c r="A2299" s="8"/>
      <c r="B2299" s="8"/>
      <c r="C2299" s="1989" t="s">
        <v>2606</v>
      </c>
      <c r="D2299" s="1989" t="s">
        <v>7909</v>
      </c>
      <c r="E2299" s="1989">
        <v>47.44</v>
      </c>
      <c r="F2299" s="38">
        <f t="shared" si="35"/>
        <v>3857.8796256000001</v>
      </c>
      <c r="G2299" s="1547"/>
      <c r="H2299" s="8"/>
      <c r="I2299" s="8"/>
      <c r="J2299" s="8"/>
      <c r="K2299" s="8"/>
      <c r="L2299" s="8"/>
      <c r="M2299" s="8"/>
      <c r="N2299" s="8"/>
      <c r="O2299" s="8"/>
      <c r="P2299" s="8"/>
      <c r="Q2299" s="8"/>
      <c r="R2299" s="8"/>
      <c r="S2299" s="8"/>
      <c r="T2299" s="8"/>
      <c r="U2299" s="8"/>
      <c r="V2299" s="8"/>
      <c r="W2299" s="8"/>
      <c r="X2299" s="771"/>
      <c r="Y2299" s="771"/>
      <c r="Z2299" s="771"/>
      <c r="AA2299" s="771"/>
      <c r="AB2299" s="771"/>
      <c r="AC2299" s="771"/>
      <c r="AD2299" s="771"/>
      <c r="AE2299" s="771"/>
      <c r="AF2299" s="771"/>
      <c r="AG2299" s="771"/>
      <c r="AH2299" s="771"/>
      <c r="AI2299" s="771"/>
      <c r="AJ2299" s="771"/>
      <c r="AK2299" s="771"/>
      <c r="AL2299" s="771"/>
      <c r="AM2299" s="771"/>
      <c r="AN2299" s="771"/>
      <c r="AO2299" s="771"/>
      <c r="AP2299" s="771"/>
      <c r="AQ2299" s="771"/>
      <c r="AR2299" s="771"/>
      <c r="AS2299" s="771"/>
      <c r="AT2299" s="771"/>
      <c r="AU2299" s="771"/>
    </row>
    <row r="2300" spans="1:47" s="1383" customFormat="1" outlineLevel="1" x14ac:dyDescent="0.2">
      <c r="A2300" s="8"/>
      <c r="B2300" s="8"/>
      <c r="C2300" s="1989" t="s">
        <v>3335</v>
      </c>
      <c r="D2300" s="1989" t="s">
        <v>7910</v>
      </c>
      <c r="E2300" s="1989">
        <v>26.14</v>
      </c>
      <c r="F2300" s="38">
        <f t="shared" si="35"/>
        <v>2125.7372135999999</v>
      </c>
      <c r="G2300" s="1547"/>
      <c r="H2300" s="8"/>
      <c r="I2300" s="8"/>
      <c r="J2300" s="8"/>
      <c r="K2300" s="8"/>
      <c r="L2300" s="8"/>
      <c r="M2300" s="8"/>
      <c r="N2300" s="8"/>
      <c r="O2300" s="8"/>
      <c r="P2300" s="8"/>
      <c r="Q2300" s="8"/>
      <c r="R2300" s="8"/>
      <c r="S2300" s="8"/>
      <c r="T2300" s="8"/>
      <c r="U2300" s="8"/>
      <c r="V2300" s="8"/>
      <c r="W2300" s="8"/>
      <c r="X2300" s="771"/>
      <c r="Y2300" s="771"/>
      <c r="Z2300" s="771"/>
      <c r="AA2300" s="771"/>
      <c r="AB2300" s="771"/>
      <c r="AC2300" s="771"/>
      <c r="AD2300" s="771"/>
      <c r="AE2300" s="771"/>
      <c r="AF2300" s="771"/>
      <c r="AG2300" s="771"/>
      <c r="AH2300" s="771"/>
      <c r="AI2300" s="771"/>
      <c r="AJ2300" s="771"/>
      <c r="AK2300" s="771"/>
      <c r="AL2300" s="771"/>
      <c r="AM2300" s="771"/>
      <c r="AN2300" s="771"/>
      <c r="AO2300" s="771"/>
      <c r="AP2300" s="771"/>
      <c r="AQ2300" s="771"/>
      <c r="AR2300" s="771"/>
      <c r="AS2300" s="771"/>
      <c r="AT2300" s="771"/>
      <c r="AU2300" s="771"/>
    </row>
    <row r="2301" spans="1:47" s="1383" customFormat="1" outlineLevel="1" x14ac:dyDescent="0.2">
      <c r="A2301" s="8"/>
      <c r="B2301" s="8"/>
      <c r="C2301" s="1989" t="s">
        <v>4105</v>
      </c>
      <c r="D2301" s="1989" t="s">
        <v>7911</v>
      </c>
      <c r="E2301" s="1989">
        <v>74.489999999999995</v>
      </c>
      <c r="F2301" s="38">
        <f t="shared" si="35"/>
        <v>6057.6191675999999</v>
      </c>
      <c r="G2301" s="1547"/>
      <c r="H2301" s="8"/>
      <c r="I2301" s="8"/>
      <c r="J2301" s="8"/>
      <c r="K2301" s="8"/>
      <c r="L2301" s="8"/>
      <c r="M2301" s="8"/>
      <c r="N2301" s="8"/>
      <c r="O2301" s="8"/>
      <c r="P2301" s="8"/>
      <c r="Q2301" s="8"/>
      <c r="R2301" s="8"/>
      <c r="S2301" s="8"/>
      <c r="T2301" s="8"/>
      <c r="U2301" s="8"/>
      <c r="V2301" s="8"/>
      <c r="W2301" s="8"/>
      <c r="X2301" s="771"/>
      <c r="Y2301" s="771"/>
      <c r="Z2301" s="771"/>
      <c r="AA2301" s="771"/>
      <c r="AB2301" s="771"/>
      <c r="AC2301" s="771"/>
      <c r="AD2301" s="771"/>
      <c r="AE2301" s="771"/>
      <c r="AF2301" s="771"/>
      <c r="AG2301" s="771"/>
      <c r="AH2301" s="771"/>
      <c r="AI2301" s="771"/>
      <c r="AJ2301" s="771"/>
      <c r="AK2301" s="771"/>
      <c r="AL2301" s="771"/>
      <c r="AM2301" s="771"/>
      <c r="AN2301" s="771"/>
      <c r="AO2301" s="771"/>
      <c r="AP2301" s="771"/>
      <c r="AQ2301" s="771"/>
      <c r="AR2301" s="771"/>
      <c r="AS2301" s="771"/>
      <c r="AT2301" s="771"/>
      <c r="AU2301" s="771"/>
    </row>
    <row r="2302" spans="1:47" s="1383" customFormat="1" outlineLevel="1" x14ac:dyDescent="0.2">
      <c r="A2302" s="8"/>
      <c r="B2302" s="8"/>
      <c r="C2302" s="1989" t="s">
        <v>4645</v>
      </c>
      <c r="D2302" s="1989" t="s">
        <v>6223</v>
      </c>
      <c r="E2302" s="1989">
        <v>35.130000000000003</v>
      </c>
      <c r="F2302" s="38">
        <f t="shared" si="35"/>
        <v>2856.8151612000001</v>
      </c>
      <c r="G2302" s="1547"/>
      <c r="H2302" s="8"/>
      <c r="I2302" s="8"/>
      <c r="J2302" s="8"/>
      <c r="K2302" s="8"/>
      <c r="L2302" s="8"/>
      <c r="M2302" s="8"/>
      <c r="N2302" s="8"/>
      <c r="O2302" s="8"/>
      <c r="P2302" s="8"/>
      <c r="Q2302" s="8"/>
      <c r="R2302" s="8"/>
      <c r="S2302" s="8"/>
      <c r="T2302" s="8"/>
      <c r="U2302" s="8"/>
      <c r="V2302" s="8"/>
      <c r="W2302" s="8"/>
      <c r="X2302" s="771"/>
      <c r="Y2302" s="771"/>
      <c r="Z2302" s="771"/>
      <c r="AA2302" s="771"/>
      <c r="AB2302" s="771"/>
      <c r="AC2302" s="771"/>
      <c r="AD2302" s="771"/>
      <c r="AE2302" s="771"/>
      <c r="AF2302" s="771"/>
      <c r="AG2302" s="771"/>
      <c r="AH2302" s="771"/>
      <c r="AI2302" s="771"/>
      <c r="AJ2302" s="771"/>
      <c r="AK2302" s="771"/>
      <c r="AL2302" s="771"/>
      <c r="AM2302" s="771"/>
      <c r="AN2302" s="771"/>
      <c r="AO2302" s="771"/>
      <c r="AP2302" s="771"/>
      <c r="AQ2302" s="771"/>
      <c r="AR2302" s="771"/>
      <c r="AS2302" s="771"/>
      <c r="AT2302" s="771"/>
      <c r="AU2302" s="771"/>
    </row>
    <row r="2303" spans="1:47" s="1383" customFormat="1" outlineLevel="1" x14ac:dyDescent="0.2">
      <c r="A2303" s="8"/>
      <c r="B2303" s="8"/>
      <c r="C2303" s="1989" t="s">
        <v>4646</v>
      </c>
      <c r="D2303" s="1989" t="s">
        <v>4647</v>
      </c>
      <c r="E2303" s="1989">
        <v>1.88</v>
      </c>
      <c r="F2303" s="38">
        <f t="shared" si="35"/>
        <v>152.88393120000001</v>
      </c>
      <c r="G2303" s="1547"/>
      <c r="H2303" s="8"/>
      <c r="I2303" s="8"/>
      <c r="J2303" s="8"/>
      <c r="K2303" s="8"/>
      <c r="L2303" s="8"/>
      <c r="M2303" s="8"/>
      <c r="N2303" s="8"/>
      <c r="O2303" s="8"/>
      <c r="P2303" s="8"/>
      <c r="Q2303" s="8"/>
      <c r="R2303" s="8"/>
      <c r="S2303" s="8"/>
      <c r="T2303" s="8"/>
      <c r="U2303" s="8"/>
      <c r="V2303" s="8"/>
      <c r="W2303" s="8"/>
      <c r="X2303" s="771"/>
      <c r="Y2303" s="771"/>
      <c r="Z2303" s="771"/>
      <c r="AA2303" s="771"/>
      <c r="AB2303" s="771"/>
      <c r="AC2303" s="771"/>
      <c r="AD2303" s="771"/>
      <c r="AE2303" s="771"/>
      <c r="AF2303" s="771"/>
      <c r="AG2303" s="771"/>
      <c r="AH2303" s="771"/>
      <c r="AI2303" s="771"/>
      <c r="AJ2303" s="771"/>
      <c r="AK2303" s="771"/>
      <c r="AL2303" s="771"/>
      <c r="AM2303" s="771"/>
      <c r="AN2303" s="771"/>
      <c r="AO2303" s="771"/>
      <c r="AP2303" s="771"/>
      <c r="AQ2303" s="771"/>
      <c r="AR2303" s="771"/>
      <c r="AS2303" s="771"/>
      <c r="AT2303" s="771"/>
      <c r="AU2303" s="771"/>
    </row>
    <row r="2304" spans="1:47" s="1383" customFormat="1" outlineLevel="1" x14ac:dyDescent="0.2">
      <c r="A2304" s="8"/>
      <c r="B2304" s="8"/>
      <c r="C2304" s="1989" t="s">
        <v>3778</v>
      </c>
      <c r="D2304" s="1989" t="s">
        <v>7912</v>
      </c>
      <c r="E2304" s="1989">
        <v>26.8</v>
      </c>
      <c r="F2304" s="38">
        <f t="shared" si="35"/>
        <v>2179.409232</v>
      </c>
      <c r="G2304" s="1547"/>
      <c r="H2304" s="8"/>
      <c r="I2304" s="8"/>
      <c r="J2304" s="8"/>
      <c r="K2304" s="8"/>
      <c r="L2304" s="8"/>
      <c r="M2304" s="8"/>
      <c r="N2304" s="8"/>
      <c r="O2304" s="8"/>
      <c r="P2304" s="8"/>
      <c r="Q2304" s="8"/>
      <c r="R2304" s="8"/>
      <c r="S2304" s="8"/>
      <c r="T2304" s="8"/>
      <c r="U2304" s="8"/>
      <c r="V2304" s="8"/>
      <c r="W2304" s="8"/>
      <c r="X2304" s="771"/>
      <c r="Y2304" s="771"/>
      <c r="Z2304" s="771"/>
      <c r="AA2304" s="771"/>
      <c r="AB2304" s="771"/>
      <c r="AC2304" s="771"/>
      <c r="AD2304" s="771"/>
      <c r="AE2304" s="771"/>
      <c r="AF2304" s="771"/>
      <c r="AG2304" s="771"/>
      <c r="AH2304" s="771"/>
      <c r="AI2304" s="771"/>
      <c r="AJ2304" s="771"/>
      <c r="AK2304" s="771"/>
      <c r="AL2304" s="771"/>
      <c r="AM2304" s="771"/>
      <c r="AN2304" s="771"/>
      <c r="AO2304" s="771"/>
      <c r="AP2304" s="771"/>
      <c r="AQ2304" s="771"/>
      <c r="AR2304" s="771"/>
      <c r="AS2304" s="771"/>
      <c r="AT2304" s="771"/>
      <c r="AU2304" s="771"/>
    </row>
    <row r="2305" spans="1:47" s="1383" customFormat="1" outlineLevel="1" x14ac:dyDescent="0.2">
      <c r="A2305" s="8"/>
      <c r="B2305" s="8"/>
      <c r="C2305" s="1989" t="s">
        <v>4106</v>
      </c>
      <c r="D2305" s="1989" t="s">
        <v>7913</v>
      </c>
      <c r="E2305" s="1989">
        <v>0</v>
      </c>
      <c r="F2305" s="38">
        <f t="shared" si="35"/>
        <v>0</v>
      </c>
      <c r="G2305" s="1547"/>
      <c r="H2305" s="8"/>
      <c r="I2305" s="8"/>
      <c r="J2305" s="8"/>
      <c r="K2305" s="8"/>
      <c r="L2305" s="8"/>
      <c r="M2305" s="8"/>
      <c r="N2305" s="8"/>
      <c r="O2305" s="8"/>
      <c r="P2305" s="8"/>
      <c r="Q2305" s="8"/>
      <c r="R2305" s="8"/>
      <c r="S2305" s="8"/>
      <c r="T2305" s="8"/>
      <c r="U2305" s="8"/>
      <c r="V2305" s="8"/>
      <c r="W2305" s="8"/>
      <c r="X2305" s="771"/>
      <c r="Y2305" s="771"/>
      <c r="Z2305" s="771"/>
      <c r="AA2305" s="771"/>
      <c r="AB2305" s="771"/>
      <c r="AC2305" s="771"/>
      <c r="AD2305" s="771"/>
      <c r="AE2305" s="771"/>
      <c r="AF2305" s="771"/>
      <c r="AG2305" s="771"/>
      <c r="AH2305" s="771"/>
      <c r="AI2305" s="771"/>
      <c r="AJ2305" s="771"/>
      <c r="AK2305" s="771"/>
      <c r="AL2305" s="771"/>
      <c r="AM2305" s="771"/>
      <c r="AN2305" s="771"/>
      <c r="AO2305" s="771"/>
      <c r="AP2305" s="771"/>
      <c r="AQ2305" s="771"/>
      <c r="AR2305" s="771"/>
      <c r="AS2305" s="771"/>
      <c r="AT2305" s="771"/>
      <c r="AU2305" s="771"/>
    </row>
    <row r="2306" spans="1:47" outlineLevel="1" x14ac:dyDescent="0.2">
      <c r="C2306" s="1989" t="s">
        <v>6805</v>
      </c>
      <c r="D2306" s="1989" t="s">
        <v>7914</v>
      </c>
      <c r="E2306" s="1989">
        <v>0</v>
      </c>
      <c r="F2306" s="38">
        <f t="shared" si="35"/>
        <v>0</v>
      </c>
      <c r="G2306" s="1547"/>
    </row>
    <row r="2307" spans="1:47" outlineLevel="1" x14ac:dyDescent="0.2">
      <c r="C2307" s="1989" t="s">
        <v>4107</v>
      </c>
      <c r="D2307" s="1989" t="s">
        <v>7915</v>
      </c>
      <c r="E2307" s="1989">
        <v>0</v>
      </c>
      <c r="F2307" s="38">
        <f t="shared" si="35"/>
        <v>0</v>
      </c>
      <c r="G2307" s="1547"/>
    </row>
    <row r="2308" spans="1:47" outlineLevel="1" x14ac:dyDescent="0.2">
      <c r="C2308" s="1989" t="s">
        <v>6806</v>
      </c>
      <c r="D2308" s="1989" t="s">
        <v>7916</v>
      </c>
      <c r="E2308" s="1989">
        <v>0</v>
      </c>
      <c r="F2308" s="38">
        <f t="shared" si="35"/>
        <v>0</v>
      </c>
      <c r="G2308" s="1547"/>
    </row>
    <row r="2309" spans="1:47" outlineLevel="1" x14ac:dyDescent="0.2">
      <c r="C2309" s="1989" t="s">
        <v>4108</v>
      </c>
      <c r="D2309" s="1989" t="s">
        <v>7917</v>
      </c>
      <c r="E2309" s="1989">
        <v>0</v>
      </c>
      <c r="F2309" s="38">
        <f t="shared" si="35"/>
        <v>0</v>
      </c>
      <c r="G2309" s="1547"/>
    </row>
    <row r="2310" spans="1:47" outlineLevel="1" x14ac:dyDescent="0.2">
      <c r="C2310" s="1989" t="s">
        <v>6807</v>
      </c>
      <c r="D2310" s="1989" t="s">
        <v>7918</v>
      </c>
      <c r="E2310" s="1989">
        <v>0</v>
      </c>
      <c r="F2310" s="38">
        <f t="shared" si="35"/>
        <v>0</v>
      </c>
      <c r="G2310" s="1547"/>
    </row>
    <row r="2311" spans="1:47" s="1384" customFormat="1" outlineLevel="1" x14ac:dyDescent="0.2">
      <c r="A2311" s="8"/>
      <c r="B2311" s="8"/>
      <c r="C2311" s="1989" t="s">
        <v>4109</v>
      </c>
      <c r="D2311" s="1989" t="s">
        <v>7919</v>
      </c>
      <c r="E2311" s="1989">
        <v>0</v>
      </c>
      <c r="F2311" s="38">
        <f t="shared" si="35"/>
        <v>0</v>
      </c>
      <c r="G2311" s="1547"/>
      <c r="H2311" s="8"/>
      <c r="I2311" s="8"/>
      <c r="J2311" s="8"/>
      <c r="K2311" s="8"/>
      <c r="L2311" s="8"/>
      <c r="M2311" s="8"/>
      <c r="N2311" s="8"/>
      <c r="O2311" s="8"/>
      <c r="P2311" s="8"/>
      <c r="Q2311" s="8"/>
      <c r="R2311" s="8"/>
      <c r="S2311" s="8"/>
      <c r="T2311" s="8"/>
      <c r="U2311" s="8"/>
      <c r="V2311" s="8"/>
      <c r="W2311" s="8"/>
      <c r="X2311" s="771"/>
      <c r="Y2311" s="771"/>
      <c r="Z2311" s="771"/>
      <c r="AA2311" s="771"/>
      <c r="AB2311" s="771"/>
      <c r="AC2311" s="771"/>
      <c r="AD2311" s="771"/>
      <c r="AE2311" s="771"/>
      <c r="AF2311" s="771"/>
      <c r="AG2311" s="771"/>
      <c r="AH2311" s="771"/>
      <c r="AI2311" s="771"/>
      <c r="AJ2311" s="771"/>
      <c r="AK2311" s="771"/>
      <c r="AL2311" s="771"/>
      <c r="AM2311" s="771"/>
      <c r="AN2311" s="771"/>
      <c r="AO2311" s="771"/>
      <c r="AP2311" s="771"/>
      <c r="AQ2311" s="771"/>
      <c r="AR2311" s="771"/>
      <c r="AS2311" s="771"/>
      <c r="AT2311" s="771"/>
      <c r="AU2311" s="771"/>
    </row>
    <row r="2312" spans="1:47" s="1384" customFormat="1" outlineLevel="1" x14ac:dyDescent="0.2">
      <c r="A2312" s="8"/>
      <c r="B2312" s="8"/>
      <c r="C2312" s="1989" t="s">
        <v>6808</v>
      </c>
      <c r="D2312" s="1989" t="s">
        <v>7920</v>
      </c>
      <c r="E2312" s="1989">
        <v>0</v>
      </c>
      <c r="F2312" s="38">
        <f t="shared" ref="F2312:F2375" si="36">E2312*$G$4*$J$4</f>
        <v>0</v>
      </c>
      <c r="G2312" s="1547"/>
      <c r="H2312" s="8"/>
      <c r="I2312" s="8"/>
      <c r="J2312" s="8"/>
      <c r="K2312" s="8"/>
      <c r="L2312" s="8"/>
      <c r="M2312" s="8"/>
      <c r="N2312" s="8"/>
      <c r="O2312" s="8"/>
      <c r="P2312" s="8"/>
      <c r="Q2312" s="8"/>
      <c r="R2312" s="8"/>
      <c r="S2312" s="8"/>
      <c r="T2312" s="8"/>
      <c r="U2312" s="8"/>
      <c r="V2312" s="8"/>
      <c r="W2312" s="8"/>
      <c r="X2312" s="771"/>
      <c r="Y2312" s="771"/>
      <c r="Z2312" s="771"/>
      <c r="AA2312" s="771"/>
      <c r="AB2312" s="771"/>
      <c r="AC2312" s="771"/>
      <c r="AD2312" s="771"/>
      <c r="AE2312" s="771"/>
      <c r="AF2312" s="771"/>
      <c r="AG2312" s="771"/>
      <c r="AH2312" s="771"/>
      <c r="AI2312" s="771"/>
      <c r="AJ2312" s="771"/>
      <c r="AK2312" s="771"/>
      <c r="AL2312" s="771"/>
      <c r="AM2312" s="771"/>
      <c r="AN2312" s="771"/>
      <c r="AO2312" s="771"/>
      <c r="AP2312" s="771"/>
      <c r="AQ2312" s="771"/>
      <c r="AR2312" s="771"/>
      <c r="AS2312" s="771"/>
      <c r="AT2312" s="771"/>
      <c r="AU2312" s="771"/>
    </row>
    <row r="2313" spans="1:47" s="1384" customFormat="1" outlineLevel="1" x14ac:dyDescent="0.2">
      <c r="A2313" s="8"/>
      <c r="B2313" s="8"/>
      <c r="C2313" s="1989" t="s">
        <v>4110</v>
      </c>
      <c r="D2313" s="1989" t="s">
        <v>6224</v>
      </c>
      <c r="E2313" s="1989">
        <v>0</v>
      </c>
      <c r="F2313" s="38">
        <f t="shared" si="36"/>
        <v>0</v>
      </c>
      <c r="G2313" s="1547"/>
      <c r="H2313" s="8"/>
      <c r="I2313" s="8"/>
      <c r="J2313" s="8"/>
      <c r="K2313" s="8"/>
      <c r="L2313" s="8"/>
      <c r="M2313" s="8"/>
      <c r="N2313" s="8"/>
      <c r="O2313" s="8"/>
      <c r="P2313" s="8"/>
      <c r="Q2313" s="8"/>
      <c r="R2313" s="8"/>
      <c r="S2313" s="8"/>
      <c r="T2313" s="8"/>
      <c r="U2313" s="8"/>
      <c r="V2313" s="8"/>
      <c r="W2313" s="8"/>
      <c r="X2313" s="771"/>
      <c r="Y2313" s="771"/>
      <c r="Z2313" s="771"/>
      <c r="AA2313" s="771"/>
      <c r="AB2313" s="771"/>
      <c r="AC2313" s="771"/>
      <c r="AD2313" s="771"/>
      <c r="AE2313" s="771"/>
      <c r="AF2313" s="771"/>
      <c r="AG2313" s="771"/>
      <c r="AH2313" s="771"/>
      <c r="AI2313" s="771"/>
      <c r="AJ2313" s="771"/>
      <c r="AK2313" s="771"/>
      <c r="AL2313" s="771"/>
      <c r="AM2313" s="771"/>
      <c r="AN2313" s="771"/>
      <c r="AO2313" s="771"/>
      <c r="AP2313" s="771"/>
      <c r="AQ2313" s="771"/>
      <c r="AR2313" s="771"/>
      <c r="AS2313" s="771"/>
      <c r="AT2313" s="771"/>
      <c r="AU2313" s="771"/>
    </row>
    <row r="2314" spans="1:47" s="1384" customFormat="1" outlineLevel="1" x14ac:dyDescent="0.2">
      <c r="A2314" s="8"/>
      <c r="B2314" s="8"/>
      <c r="C2314" s="1989" t="s">
        <v>4111</v>
      </c>
      <c r="D2314" s="1989" t="s">
        <v>6225</v>
      </c>
      <c r="E2314" s="1989">
        <v>0</v>
      </c>
      <c r="F2314" s="38">
        <f t="shared" si="36"/>
        <v>0</v>
      </c>
      <c r="G2314" s="1547"/>
      <c r="H2314" s="8"/>
      <c r="I2314" s="8"/>
      <c r="J2314" s="8"/>
      <c r="K2314" s="8"/>
      <c r="L2314" s="8"/>
      <c r="M2314" s="8"/>
      <c r="N2314" s="8"/>
      <c r="O2314" s="8"/>
      <c r="P2314" s="8"/>
      <c r="Q2314" s="8"/>
      <c r="R2314" s="8"/>
      <c r="S2314" s="8"/>
      <c r="T2314" s="8"/>
      <c r="U2314" s="8"/>
      <c r="V2314" s="8"/>
      <c r="W2314" s="8"/>
      <c r="X2314" s="771"/>
      <c r="Y2314" s="771"/>
      <c r="Z2314" s="771"/>
      <c r="AA2314" s="771"/>
      <c r="AB2314" s="771"/>
      <c r="AC2314" s="771"/>
      <c r="AD2314" s="771"/>
      <c r="AE2314" s="771"/>
      <c r="AF2314" s="771"/>
      <c r="AG2314" s="771"/>
      <c r="AH2314" s="771"/>
      <c r="AI2314" s="771"/>
      <c r="AJ2314" s="771"/>
      <c r="AK2314" s="771"/>
      <c r="AL2314" s="771"/>
      <c r="AM2314" s="771"/>
      <c r="AN2314" s="771"/>
      <c r="AO2314" s="771"/>
      <c r="AP2314" s="771"/>
      <c r="AQ2314" s="771"/>
      <c r="AR2314" s="771"/>
      <c r="AS2314" s="771"/>
      <c r="AT2314" s="771"/>
      <c r="AU2314" s="771"/>
    </row>
    <row r="2315" spans="1:47" s="1384" customFormat="1" outlineLevel="1" x14ac:dyDescent="0.2">
      <c r="A2315" s="8"/>
      <c r="B2315" s="8"/>
      <c r="C2315" s="1989" t="s">
        <v>4112</v>
      </c>
      <c r="D2315" s="1989" t="s">
        <v>6226</v>
      </c>
      <c r="E2315" s="1989">
        <v>0</v>
      </c>
      <c r="F2315" s="38">
        <f t="shared" si="36"/>
        <v>0</v>
      </c>
      <c r="G2315" s="1547"/>
      <c r="H2315" s="8"/>
      <c r="I2315" s="8"/>
      <c r="J2315" s="8"/>
      <c r="K2315" s="8"/>
      <c r="L2315" s="8"/>
      <c r="M2315" s="8"/>
      <c r="N2315" s="8"/>
      <c r="O2315" s="8"/>
      <c r="P2315" s="8"/>
      <c r="Q2315" s="8"/>
      <c r="R2315" s="8"/>
      <c r="S2315" s="8"/>
      <c r="T2315" s="8"/>
      <c r="U2315" s="8"/>
      <c r="V2315" s="8"/>
      <c r="W2315" s="8"/>
      <c r="X2315" s="771"/>
      <c r="Y2315" s="771"/>
      <c r="Z2315" s="771"/>
      <c r="AA2315" s="771"/>
      <c r="AB2315" s="771"/>
      <c r="AC2315" s="771"/>
      <c r="AD2315" s="771"/>
      <c r="AE2315" s="771"/>
      <c r="AF2315" s="771"/>
      <c r="AG2315" s="771"/>
      <c r="AH2315" s="771"/>
      <c r="AI2315" s="771"/>
      <c r="AJ2315" s="771"/>
      <c r="AK2315" s="771"/>
      <c r="AL2315" s="771"/>
      <c r="AM2315" s="771"/>
      <c r="AN2315" s="771"/>
      <c r="AO2315" s="771"/>
      <c r="AP2315" s="771"/>
      <c r="AQ2315" s="771"/>
      <c r="AR2315" s="771"/>
      <c r="AS2315" s="771"/>
      <c r="AT2315" s="771"/>
      <c r="AU2315" s="771"/>
    </row>
    <row r="2316" spans="1:47" s="1384" customFormat="1" outlineLevel="1" x14ac:dyDescent="0.2">
      <c r="A2316" s="8"/>
      <c r="B2316" s="8"/>
      <c r="C2316" s="1989" t="s">
        <v>4113</v>
      </c>
      <c r="D2316" s="1989" t="s">
        <v>6227</v>
      </c>
      <c r="E2316" s="1989">
        <v>0</v>
      </c>
      <c r="F2316" s="38">
        <f t="shared" si="36"/>
        <v>0</v>
      </c>
      <c r="G2316" s="1547"/>
      <c r="H2316" s="8"/>
      <c r="I2316" s="8"/>
      <c r="J2316" s="8"/>
      <c r="K2316" s="8"/>
      <c r="L2316" s="8"/>
      <c r="M2316" s="8"/>
      <c r="N2316" s="8"/>
      <c r="O2316" s="8"/>
      <c r="P2316" s="8"/>
      <c r="Q2316" s="8"/>
      <c r="R2316" s="8"/>
      <c r="S2316" s="8"/>
      <c r="T2316" s="8"/>
      <c r="U2316" s="8"/>
      <c r="V2316" s="8"/>
      <c r="W2316" s="8"/>
      <c r="X2316" s="771"/>
      <c r="Y2316" s="771"/>
      <c r="Z2316" s="771"/>
      <c r="AA2316" s="771"/>
      <c r="AB2316" s="771"/>
      <c r="AC2316" s="771"/>
      <c r="AD2316" s="771"/>
      <c r="AE2316" s="771"/>
      <c r="AF2316" s="771"/>
      <c r="AG2316" s="771"/>
      <c r="AH2316" s="771"/>
      <c r="AI2316" s="771"/>
      <c r="AJ2316" s="771"/>
      <c r="AK2316" s="771"/>
      <c r="AL2316" s="771"/>
      <c r="AM2316" s="771"/>
      <c r="AN2316" s="771"/>
      <c r="AO2316" s="771"/>
      <c r="AP2316" s="771"/>
      <c r="AQ2316" s="771"/>
      <c r="AR2316" s="771"/>
      <c r="AS2316" s="771"/>
      <c r="AT2316" s="771"/>
      <c r="AU2316" s="771"/>
    </row>
    <row r="2317" spans="1:47" s="1384" customFormat="1" outlineLevel="1" x14ac:dyDescent="0.2">
      <c r="A2317" s="8"/>
      <c r="B2317" s="8"/>
      <c r="C2317" s="1989" t="s">
        <v>4114</v>
      </c>
      <c r="D2317" s="1989" t="s">
        <v>7921</v>
      </c>
      <c r="E2317" s="1989">
        <v>0</v>
      </c>
      <c r="F2317" s="38">
        <f t="shared" si="36"/>
        <v>0</v>
      </c>
      <c r="G2317" s="1547"/>
      <c r="H2317" s="8"/>
      <c r="I2317" s="8"/>
      <c r="J2317" s="8"/>
      <c r="K2317" s="8"/>
      <c r="L2317" s="8"/>
      <c r="M2317" s="8"/>
      <c r="N2317" s="8"/>
      <c r="O2317" s="8"/>
      <c r="P2317" s="8"/>
      <c r="Q2317" s="8"/>
      <c r="R2317" s="8"/>
      <c r="S2317" s="8"/>
      <c r="T2317" s="8"/>
      <c r="U2317" s="8"/>
      <c r="V2317" s="8"/>
      <c r="W2317" s="8"/>
      <c r="X2317" s="771"/>
      <c r="Y2317" s="771"/>
      <c r="Z2317" s="771"/>
      <c r="AA2317" s="771"/>
      <c r="AB2317" s="771"/>
      <c r="AC2317" s="771"/>
      <c r="AD2317" s="771"/>
      <c r="AE2317" s="771"/>
      <c r="AF2317" s="771"/>
      <c r="AG2317" s="771"/>
      <c r="AH2317" s="771"/>
      <c r="AI2317" s="771"/>
      <c r="AJ2317" s="771"/>
      <c r="AK2317" s="771"/>
      <c r="AL2317" s="771"/>
      <c r="AM2317" s="771"/>
      <c r="AN2317" s="771"/>
      <c r="AO2317" s="771"/>
      <c r="AP2317" s="771"/>
      <c r="AQ2317" s="771"/>
      <c r="AR2317" s="771"/>
      <c r="AS2317" s="771"/>
      <c r="AT2317" s="771"/>
      <c r="AU2317" s="771"/>
    </row>
    <row r="2318" spans="1:47" s="1384" customFormat="1" outlineLevel="1" x14ac:dyDescent="0.2">
      <c r="A2318" s="8"/>
      <c r="B2318" s="8"/>
      <c r="C2318" s="1989" t="s">
        <v>6809</v>
      </c>
      <c r="D2318" s="1989" t="s">
        <v>7922</v>
      </c>
      <c r="E2318" s="1989">
        <v>0</v>
      </c>
      <c r="F2318" s="38">
        <f t="shared" si="36"/>
        <v>0</v>
      </c>
      <c r="G2318" s="1547"/>
      <c r="H2318" s="8"/>
      <c r="I2318" s="8"/>
      <c r="J2318" s="8"/>
      <c r="K2318" s="8"/>
      <c r="L2318" s="8"/>
      <c r="M2318" s="8"/>
      <c r="N2318" s="8"/>
      <c r="O2318" s="8"/>
      <c r="P2318" s="8"/>
      <c r="Q2318" s="8"/>
      <c r="R2318" s="8"/>
      <c r="S2318" s="8"/>
      <c r="T2318" s="8"/>
      <c r="U2318" s="8"/>
      <c r="V2318" s="8"/>
      <c r="W2318" s="8"/>
      <c r="X2318" s="771"/>
      <c r="Y2318" s="771"/>
      <c r="Z2318" s="771"/>
      <c r="AA2318" s="771"/>
      <c r="AB2318" s="771"/>
      <c r="AC2318" s="771"/>
      <c r="AD2318" s="771"/>
      <c r="AE2318" s="771"/>
      <c r="AF2318" s="771"/>
      <c r="AG2318" s="771"/>
      <c r="AH2318" s="771"/>
      <c r="AI2318" s="771"/>
      <c r="AJ2318" s="771"/>
      <c r="AK2318" s="771"/>
      <c r="AL2318" s="771"/>
      <c r="AM2318" s="771"/>
      <c r="AN2318" s="771"/>
      <c r="AO2318" s="771"/>
      <c r="AP2318" s="771"/>
      <c r="AQ2318" s="771"/>
      <c r="AR2318" s="771"/>
      <c r="AS2318" s="771"/>
      <c r="AT2318" s="771"/>
      <c r="AU2318" s="771"/>
    </row>
    <row r="2319" spans="1:47" s="1384" customFormat="1" outlineLevel="1" x14ac:dyDescent="0.2">
      <c r="A2319" s="8"/>
      <c r="B2319" s="8"/>
      <c r="C2319" s="1989" t="s">
        <v>4115</v>
      </c>
      <c r="D2319" s="1989" t="s">
        <v>7923</v>
      </c>
      <c r="E2319" s="1989">
        <v>0</v>
      </c>
      <c r="F2319" s="38">
        <f t="shared" si="36"/>
        <v>0</v>
      </c>
      <c r="G2319" s="1547"/>
      <c r="H2319" s="8"/>
      <c r="I2319" s="8"/>
      <c r="J2319" s="8"/>
      <c r="K2319" s="8"/>
      <c r="L2319" s="8"/>
      <c r="M2319" s="8"/>
      <c r="N2319" s="8"/>
      <c r="O2319" s="8"/>
      <c r="P2319" s="8"/>
      <c r="Q2319" s="8"/>
      <c r="R2319" s="8"/>
      <c r="S2319" s="8"/>
      <c r="T2319" s="8"/>
      <c r="U2319" s="8"/>
      <c r="V2319" s="8"/>
      <c r="W2319" s="8"/>
      <c r="X2319" s="771"/>
      <c r="Y2319" s="771"/>
      <c r="Z2319" s="771"/>
      <c r="AA2319" s="771"/>
      <c r="AB2319" s="771"/>
      <c r="AC2319" s="771"/>
      <c r="AD2319" s="771"/>
      <c r="AE2319" s="771"/>
      <c r="AF2319" s="771"/>
      <c r="AG2319" s="771"/>
      <c r="AH2319" s="771"/>
      <c r="AI2319" s="771"/>
      <c r="AJ2319" s="771"/>
      <c r="AK2319" s="771"/>
      <c r="AL2319" s="771"/>
      <c r="AM2319" s="771"/>
      <c r="AN2319" s="771"/>
      <c r="AO2319" s="771"/>
      <c r="AP2319" s="771"/>
      <c r="AQ2319" s="771"/>
      <c r="AR2319" s="771"/>
      <c r="AS2319" s="771"/>
      <c r="AT2319" s="771"/>
      <c r="AU2319" s="771"/>
    </row>
    <row r="2320" spans="1:47" s="1384" customFormat="1" outlineLevel="1" x14ac:dyDescent="0.2">
      <c r="A2320" s="8"/>
      <c r="B2320" s="8"/>
      <c r="C2320" s="1989" t="s">
        <v>6810</v>
      </c>
      <c r="D2320" s="1989" t="s">
        <v>7924</v>
      </c>
      <c r="E2320" s="1989">
        <v>0</v>
      </c>
      <c r="F2320" s="38">
        <f t="shared" si="36"/>
        <v>0</v>
      </c>
      <c r="G2320" s="1547"/>
      <c r="H2320" s="8"/>
      <c r="I2320" s="8"/>
      <c r="J2320" s="8"/>
      <c r="K2320" s="8"/>
      <c r="L2320" s="8"/>
      <c r="M2320" s="8"/>
      <c r="N2320" s="8"/>
      <c r="O2320" s="8"/>
      <c r="P2320" s="8"/>
      <c r="Q2320" s="8"/>
      <c r="R2320" s="8"/>
      <c r="S2320" s="8"/>
      <c r="T2320" s="8"/>
      <c r="U2320" s="8"/>
      <c r="V2320" s="8"/>
      <c r="W2320" s="8"/>
      <c r="X2320" s="771"/>
      <c r="Y2320" s="771"/>
      <c r="Z2320" s="771"/>
      <c r="AA2320" s="771"/>
      <c r="AB2320" s="771"/>
      <c r="AC2320" s="771"/>
      <c r="AD2320" s="771"/>
      <c r="AE2320" s="771"/>
      <c r="AF2320" s="771"/>
      <c r="AG2320" s="771"/>
      <c r="AH2320" s="771"/>
      <c r="AI2320" s="771"/>
      <c r="AJ2320" s="771"/>
      <c r="AK2320" s="771"/>
      <c r="AL2320" s="771"/>
      <c r="AM2320" s="771"/>
      <c r="AN2320" s="771"/>
      <c r="AO2320" s="771"/>
      <c r="AP2320" s="771"/>
      <c r="AQ2320" s="771"/>
      <c r="AR2320" s="771"/>
      <c r="AS2320" s="771"/>
      <c r="AT2320" s="771"/>
      <c r="AU2320" s="771"/>
    </row>
    <row r="2321" spans="1:47" s="1384" customFormat="1" outlineLevel="1" x14ac:dyDescent="0.2">
      <c r="A2321" s="8"/>
      <c r="B2321" s="8"/>
      <c r="C2321" s="1989" t="s">
        <v>4116</v>
      </c>
      <c r="D2321" s="1989" t="s">
        <v>7925</v>
      </c>
      <c r="E2321" s="1989">
        <v>0</v>
      </c>
      <c r="F2321" s="38">
        <f t="shared" si="36"/>
        <v>0</v>
      </c>
      <c r="G2321" s="1547"/>
      <c r="H2321" s="8"/>
      <c r="I2321" s="8"/>
      <c r="J2321" s="8"/>
      <c r="K2321" s="8"/>
      <c r="L2321" s="8"/>
      <c r="M2321" s="8"/>
      <c r="N2321" s="8"/>
      <c r="O2321" s="8"/>
      <c r="P2321" s="8"/>
      <c r="Q2321" s="8"/>
      <c r="R2321" s="8"/>
      <c r="S2321" s="8"/>
      <c r="T2321" s="8"/>
      <c r="U2321" s="8"/>
      <c r="V2321" s="8"/>
      <c r="W2321" s="8"/>
      <c r="X2321" s="771"/>
      <c r="Y2321" s="771"/>
      <c r="Z2321" s="771"/>
      <c r="AA2321" s="771"/>
      <c r="AB2321" s="771"/>
      <c r="AC2321" s="771"/>
      <c r="AD2321" s="771"/>
      <c r="AE2321" s="771"/>
      <c r="AF2321" s="771"/>
      <c r="AG2321" s="771"/>
      <c r="AH2321" s="771"/>
      <c r="AI2321" s="771"/>
      <c r="AJ2321" s="771"/>
      <c r="AK2321" s="771"/>
      <c r="AL2321" s="771"/>
      <c r="AM2321" s="771"/>
      <c r="AN2321" s="771"/>
      <c r="AO2321" s="771"/>
      <c r="AP2321" s="771"/>
      <c r="AQ2321" s="771"/>
      <c r="AR2321" s="771"/>
      <c r="AS2321" s="771"/>
      <c r="AT2321" s="771"/>
      <c r="AU2321" s="771"/>
    </row>
    <row r="2322" spans="1:47" s="1384" customFormat="1" outlineLevel="1" x14ac:dyDescent="0.2">
      <c r="A2322" s="8"/>
      <c r="B2322" s="8"/>
      <c r="C2322" s="1989" t="s">
        <v>6811</v>
      </c>
      <c r="D2322" s="1989" t="s">
        <v>7926</v>
      </c>
      <c r="E2322" s="1989">
        <v>0</v>
      </c>
      <c r="F2322" s="38">
        <f t="shared" si="36"/>
        <v>0</v>
      </c>
      <c r="G2322" s="1547"/>
      <c r="H2322" s="8"/>
      <c r="I2322" s="8"/>
      <c r="J2322" s="8"/>
      <c r="K2322" s="8"/>
      <c r="L2322" s="8"/>
      <c r="M2322" s="8"/>
      <c r="N2322" s="8"/>
      <c r="O2322" s="8"/>
      <c r="P2322" s="8"/>
      <c r="Q2322" s="8"/>
      <c r="R2322" s="8"/>
      <c r="S2322" s="8"/>
      <c r="T2322" s="8"/>
      <c r="U2322" s="8"/>
      <c r="V2322" s="8"/>
      <c r="W2322" s="8"/>
      <c r="X2322" s="771"/>
      <c r="Y2322" s="771"/>
      <c r="Z2322" s="771"/>
      <c r="AA2322" s="771"/>
      <c r="AB2322" s="771"/>
      <c r="AC2322" s="771"/>
      <c r="AD2322" s="771"/>
      <c r="AE2322" s="771"/>
      <c r="AF2322" s="771"/>
      <c r="AG2322" s="771"/>
      <c r="AH2322" s="771"/>
      <c r="AI2322" s="771"/>
      <c r="AJ2322" s="771"/>
      <c r="AK2322" s="771"/>
      <c r="AL2322" s="771"/>
      <c r="AM2322" s="771"/>
      <c r="AN2322" s="771"/>
      <c r="AO2322" s="771"/>
      <c r="AP2322" s="771"/>
      <c r="AQ2322" s="771"/>
      <c r="AR2322" s="771"/>
      <c r="AS2322" s="771"/>
      <c r="AT2322" s="771"/>
      <c r="AU2322" s="771"/>
    </row>
    <row r="2323" spans="1:47" s="1384" customFormat="1" outlineLevel="1" x14ac:dyDescent="0.2">
      <c r="A2323" s="8"/>
      <c r="B2323" s="8"/>
      <c r="C2323" s="1989" t="s">
        <v>4117</v>
      </c>
      <c r="D2323" s="1989" t="s">
        <v>7927</v>
      </c>
      <c r="E2323" s="1989">
        <v>0</v>
      </c>
      <c r="F2323" s="38">
        <f t="shared" si="36"/>
        <v>0</v>
      </c>
      <c r="G2323" s="1547"/>
      <c r="H2323" s="8"/>
      <c r="I2323" s="8"/>
      <c r="J2323" s="8"/>
      <c r="K2323" s="8"/>
      <c r="L2323" s="8"/>
      <c r="M2323" s="8"/>
      <c r="N2323" s="8"/>
      <c r="O2323" s="8"/>
      <c r="P2323" s="8"/>
      <c r="Q2323" s="8"/>
      <c r="R2323" s="8"/>
      <c r="S2323" s="8"/>
      <c r="T2323" s="8"/>
      <c r="U2323" s="8"/>
      <c r="V2323" s="8"/>
      <c r="W2323" s="8"/>
      <c r="X2323" s="771"/>
      <c r="Y2323" s="771"/>
      <c r="Z2323" s="771"/>
      <c r="AA2323" s="771"/>
      <c r="AB2323" s="771"/>
      <c r="AC2323" s="771"/>
      <c r="AD2323" s="771"/>
      <c r="AE2323" s="771"/>
      <c r="AF2323" s="771"/>
      <c r="AG2323" s="771"/>
      <c r="AH2323" s="771"/>
      <c r="AI2323" s="771"/>
      <c r="AJ2323" s="771"/>
      <c r="AK2323" s="771"/>
      <c r="AL2323" s="771"/>
      <c r="AM2323" s="771"/>
      <c r="AN2323" s="771"/>
      <c r="AO2323" s="771"/>
      <c r="AP2323" s="771"/>
      <c r="AQ2323" s="771"/>
      <c r="AR2323" s="771"/>
      <c r="AS2323" s="771"/>
      <c r="AT2323" s="771"/>
      <c r="AU2323" s="771"/>
    </row>
    <row r="2324" spans="1:47" s="1384" customFormat="1" outlineLevel="1" x14ac:dyDescent="0.2">
      <c r="A2324" s="8"/>
      <c r="B2324" s="8"/>
      <c r="C2324" s="1989" t="s">
        <v>6812</v>
      </c>
      <c r="D2324" s="1989" t="s">
        <v>7928</v>
      </c>
      <c r="E2324" s="1989">
        <v>0</v>
      </c>
      <c r="F2324" s="38">
        <f t="shared" si="36"/>
        <v>0</v>
      </c>
      <c r="G2324" s="1547"/>
      <c r="H2324" s="8"/>
      <c r="I2324" s="8"/>
      <c r="J2324" s="8"/>
      <c r="K2324" s="8"/>
      <c r="L2324" s="8"/>
      <c r="M2324" s="8"/>
      <c r="N2324" s="8"/>
      <c r="O2324" s="8"/>
      <c r="P2324" s="8"/>
      <c r="Q2324" s="8"/>
      <c r="R2324" s="8"/>
      <c r="S2324" s="8"/>
      <c r="T2324" s="8"/>
      <c r="U2324" s="8"/>
      <c r="V2324" s="8"/>
      <c r="W2324" s="8"/>
      <c r="X2324" s="771"/>
      <c r="Y2324" s="771"/>
      <c r="Z2324" s="771"/>
      <c r="AA2324" s="771"/>
      <c r="AB2324" s="771"/>
      <c r="AC2324" s="771"/>
      <c r="AD2324" s="771"/>
      <c r="AE2324" s="771"/>
      <c r="AF2324" s="771"/>
      <c r="AG2324" s="771"/>
      <c r="AH2324" s="771"/>
      <c r="AI2324" s="771"/>
      <c r="AJ2324" s="771"/>
      <c r="AK2324" s="771"/>
      <c r="AL2324" s="771"/>
      <c r="AM2324" s="771"/>
      <c r="AN2324" s="771"/>
      <c r="AO2324" s="771"/>
      <c r="AP2324" s="771"/>
      <c r="AQ2324" s="771"/>
      <c r="AR2324" s="771"/>
      <c r="AS2324" s="771"/>
      <c r="AT2324" s="771"/>
      <c r="AU2324" s="771"/>
    </row>
    <row r="2325" spans="1:47" s="1384" customFormat="1" outlineLevel="1" x14ac:dyDescent="0.2">
      <c r="A2325" s="8"/>
      <c r="B2325" s="8"/>
      <c r="C2325" s="1989" t="s">
        <v>4118</v>
      </c>
      <c r="D2325" s="1989" t="s">
        <v>7929</v>
      </c>
      <c r="E2325" s="1989">
        <v>0</v>
      </c>
      <c r="F2325" s="38">
        <f t="shared" si="36"/>
        <v>0</v>
      </c>
      <c r="G2325" s="1547"/>
      <c r="H2325" s="8"/>
      <c r="I2325" s="8"/>
      <c r="J2325" s="8"/>
      <c r="K2325" s="8"/>
      <c r="L2325" s="8"/>
      <c r="M2325" s="8"/>
      <c r="N2325" s="8"/>
      <c r="O2325" s="8"/>
      <c r="P2325" s="8"/>
      <c r="Q2325" s="8"/>
      <c r="R2325" s="8"/>
      <c r="S2325" s="8"/>
      <c r="T2325" s="8"/>
      <c r="U2325" s="8"/>
      <c r="V2325" s="8"/>
      <c r="W2325" s="8"/>
      <c r="X2325" s="771"/>
      <c r="Y2325" s="771"/>
      <c r="Z2325" s="771"/>
      <c r="AA2325" s="771"/>
      <c r="AB2325" s="771"/>
      <c r="AC2325" s="771"/>
      <c r="AD2325" s="771"/>
      <c r="AE2325" s="771"/>
      <c r="AF2325" s="771"/>
      <c r="AG2325" s="771"/>
      <c r="AH2325" s="771"/>
      <c r="AI2325" s="771"/>
      <c r="AJ2325" s="771"/>
      <c r="AK2325" s="771"/>
      <c r="AL2325" s="771"/>
      <c r="AM2325" s="771"/>
      <c r="AN2325" s="771"/>
      <c r="AO2325" s="771"/>
      <c r="AP2325" s="771"/>
      <c r="AQ2325" s="771"/>
      <c r="AR2325" s="771"/>
      <c r="AS2325" s="771"/>
      <c r="AT2325" s="771"/>
      <c r="AU2325" s="771"/>
    </row>
    <row r="2326" spans="1:47" s="1384" customFormat="1" outlineLevel="1" x14ac:dyDescent="0.2">
      <c r="A2326" s="8"/>
      <c r="B2326" s="8"/>
      <c r="C2326" s="1989" t="s">
        <v>6813</v>
      </c>
      <c r="D2326" s="1989" t="s">
        <v>7930</v>
      </c>
      <c r="E2326" s="1989">
        <v>0</v>
      </c>
      <c r="F2326" s="38">
        <f t="shared" si="36"/>
        <v>0</v>
      </c>
      <c r="G2326" s="1547"/>
      <c r="H2326" s="8"/>
      <c r="I2326" s="8"/>
      <c r="J2326" s="8"/>
      <c r="K2326" s="8"/>
      <c r="L2326" s="8"/>
      <c r="M2326" s="8"/>
      <c r="N2326" s="8"/>
      <c r="O2326" s="8"/>
      <c r="P2326" s="8"/>
      <c r="Q2326" s="8"/>
      <c r="R2326" s="8"/>
      <c r="S2326" s="8"/>
      <c r="T2326" s="8"/>
      <c r="U2326" s="8"/>
      <c r="V2326" s="8"/>
      <c r="W2326" s="8"/>
      <c r="X2326" s="771"/>
      <c r="Y2326" s="771"/>
      <c r="Z2326" s="771"/>
      <c r="AA2326" s="771"/>
      <c r="AB2326" s="771"/>
      <c r="AC2326" s="771"/>
      <c r="AD2326" s="771"/>
      <c r="AE2326" s="771"/>
      <c r="AF2326" s="771"/>
      <c r="AG2326" s="771"/>
      <c r="AH2326" s="771"/>
      <c r="AI2326" s="771"/>
      <c r="AJ2326" s="771"/>
      <c r="AK2326" s="771"/>
      <c r="AL2326" s="771"/>
      <c r="AM2326" s="771"/>
      <c r="AN2326" s="771"/>
      <c r="AO2326" s="771"/>
      <c r="AP2326" s="771"/>
      <c r="AQ2326" s="771"/>
      <c r="AR2326" s="771"/>
      <c r="AS2326" s="771"/>
      <c r="AT2326" s="771"/>
      <c r="AU2326" s="771"/>
    </row>
    <row r="2327" spans="1:47" s="1384" customFormat="1" outlineLevel="1" x14ac:dyDescent="0.2">
      <c r="A2327" s="8"/>
      <c r="B2327" s="8"/>
      <c r="C2327" s="1989" t="s">
        <v>4119</v>
      </c>
      <c r="D2327" s="1989" t="s">
        <v>7931</v>
      </c>
      <c r="E2327" s="1989">
        <v>0</v>
      </c>
      <c r="F2327" s="38">
        <f t="shared" si="36"/>
        <v>0</v>
      </c>
      <c r="G2327" s="1547"/>
      <c r="H2327" s="8"/>
      <c r="I2327" s="8"/>
      <c r="J2327" s="8"/>
      <c r="K2327" s="8"/>
      <c r="L2327" s="8"/>
      <c r="M2327" s="8"/>
      <c r="N2327" s="8"/>
      <c r="O2327" s="8"/>
      <c r="P2327" s="8"/>
      <c r="Q2327" s="8"/>
      <c r="R2327" s="8"/>
      <c r="S2327" s="8"/>
      <c r="T2327" s="8"/>
      <c r="U2327" s="8"/>
      <c r="V2327" s="8"/>
      <c r="W2327" s="8"/>
      <c r="X2327" s="771"/>
      <c r="Y2327" s="771"/>
      <c r="Z2327" s="771"/>
      <c r="AA2327" s="771"/>
      <c r="AB2327" s="771"/>
      <c r="AC2327" s="771"/>
      <c r="AD2327" s="771"/>
      <c r="AE2327" s="771"/>
      <c r="AF2327" s="771"/>
      <c r="AG2327" s="771"/>
      <c r="AH2327" s="771"/>
      <c r="AI2327" s="771"/>
      <c r="AJ2327" s="771"/>
      <c r="AK2327" s="771"/>
      <c r="AL2327" s="771"/>
      <c r="AM2327" s="771"/>
      <c r="AN2327" s="771"/>
      <c r="AO2327" s="771"/>
      <c r="AP2327" s="771"/>
      <c r="AQ2327" s="771"/>
      <c r="AR2327" s="771"/>
      <c r="AS2327" s="771"/>
      <c r="AT2327" s="771"/>
      <c r="AU2327" s="771"/>
    </row>
    <row r="2328" spans="1:47" s="1384" customFormat="1" outlineLevel="1" x14ac:dyDescent="0.2">
      <c r="A2328" s="8"/>
      <c r="B2328" s="8"/>
      <c r="C2328" s="1989" t="s">
        <v>6814</v>
      </c>
      <c r="D2328" s="1989" t="s">
        <v>7932</v>
      </c>
      <c r="E2328" s="1989">
        <v>0</v>
      </c>
      <c r="F2328" s="38">
        <f t="shared" si="36"/>
        <v>0</v>
      </c>
      <c r="G2328" s="1547"/>
      <c r="H2328" s="8"/>
      <c r="I2328" s="8"/>
      <c r="J2328" s="8"/>
      <c r="K2328" s="8"/>
      <c r="L2328" s="8"/>
      <c r="M2328" s="8"/>
      <c r="N2328" s="8"/>
      <c r="O2328" s="8"/>
      <c r="P2328" s="8"/>
      <c r="Q2328" s="8"/>
      <c r="R2328" s="8"/>
      <c r="S2328" s="8"/>
      <c r="T2328" s="8"/>
      <c r="U2328" s="8"/>
      <c r="V2328" s="8"/>
      <c r="W2328" s="8"/>
      <c r="X2328" s="771"/>
      <c r="Y2328" s="771"/>
      <c r="Z2328" s="771"/>
      <c r="AA2328" s="771"/>
      <c r="AB2328" s="771"/>
      <c r="AC2328" s="771"/>
      <c r="AD2328" s="771"/>
      <c r="AE2328" s="771"/>
      <c r="AF2328" s="771"/>
      <c r="AG2328" s="771"/>
      <c r="AH2328" s="771"/>
      <c r="AI2328" s="771"/>
      <c r="AJ2328" s="771"/>
      <c r="AK2328" s="771"/>
      <c r="AL2328" s="771"/>
      <c r="AM2328" s="771"/>
      <c r="AN2328" s="771"/>
      <c r="AO2328" s="771"/>
      <c r="AP2328" s="771"/>
      <c r="AQ2328" s="771"/>
      <c r="AR2328" s="771"/>
      <c r="AS2328" s="771"/>
      <c r="AT2328" s="771"/>
      <c r="AU2328" s="771"/>
    </row>
    <row r="2329" spans="1:47" s="1384" customFormat="1" outlineLevel="1" x14ac:dyDescent="0.2">
      <c r="A2329" s="8"/>
      <c r="B2329" s="8"/>
      <c r="C2329" s="1989" t="s">
        <v>4120</v>
      </c>
      <c r="D2329" s="1989" t="s">
        <v>7933</v>
      </c>
      <c r="E2329" s="1989">
        <v>0</v>
      </c>
      <c r="F2329" s="38">
        <f t="shared" si="36"/>
        <v>0</v>
      </c>
      <c r="G2329" s="1547"/>
      <c r="H2329" s="8"/>
      <c r="I2329" s="8"/>
      <c r="J2329" s="8"/>
      <c r="K2329" s="8"/>
      <c r="L2329" s="8"/>
      <c r="M2329" s="8"/>
      <c r="N2329" s="8"/>
      <c r="O2329" s="8"/>
      <c r="P2329" s="8"/>
      <c r="Q2329" s="8"/>
      <c r="R2329" s="8"/>
      <c r="S2329" s="8"/>
      <c r="T2329" s="8"/>
      <c r="U2329" s="8"/>
      <c r="V2329" s="8"/>
      <c r="W2329" s="8"/>
      <c r="X2329" s="771"/>
      <c r="Y2329" s="771"/>
      <c r="Z2329" s="771"/>
      <c r="AA2329" s="771"/>
      <c r="AB2329" s="771"/>
      <c r="AC2329" s="771"/>
      <c r="AD2329" s="771"/>
      <c r="AE2329" s="771"/>
      <c r="AF2329" s="771"/>
      <c r="AG2329" s="771"/>
      <c r="AH2329" s="771"/>
      <c r="AI2329" s="771"/>
      <c r="AJ2329" s="771"/>
      <c r="AK2329" s="771"/>
      <c r="AL2329" s="771"/>
      <c r="AM2329" s="771"/>
      <c r="AN2329" s="771"/>
      <c r="AO2329" s="771"/>
      <c r="AP2329" s="771"/>
      <c r="AQ2329" s="771"/>
      <c r="AR2329" s="771"/>
      <c r="AS2329" s="771"/>
      <c r="AT2329" s="771"/>
      <c r="AU2329" s="771"/>
    </row>
    <row r="2330" spans="1:47" s="1384" customFormat="1" outlineLevel="1" x14ac:dyDescent="0.2">
      <c r="A2330" s="8"/>
      <c r="B2330" s="8"/>
      <c r="C2330" s="1989" t="s">
        <v>6815</v>
      </c>
      <c r="D2330" s="1989" t="s">
        <v>7934</v>
      </c>
      <c r="E2330" s="1989">
        <v>0</v>
      </c>
      <c r="F2330" s="38">
        <f t="shared" si="36"/>
        <v>0</v>
      </c>
      <c r="G2330" s="1547"/>
      <c r="H2330" s="8"/>
      <c r="I2330" s="8"/>
      <c r="J2330" s="8"/>
      <c r="K2330" s="8"/>
      <c r="L2330" s="8"/>
      <c r="M2330" s="8"/>
      <c r="N2330" s="8"/>
      <c r="O2330" s="8"/>
      <c r="P2330" s="8"/>
      <c r="Q2330" s="8"/>
      <c r="R2330" s="8"/>
      <c r="S2330" s="8"/>
      <c r="T2330" s="8"/>
      <c r="U2330" s="8"/>
      <c r="V2330" s="8"/>
      <c r="W2330" s="8"/>
      <c r="X2330" s="771"/>
      <c r="Y2330" s="771"/>
      <c r="Z2330" s="771"/>
      <c r="AA2330" s="771"/>
      <c r="AB2330" s="771"/>
      <c r="AC2330" s="771"/>
      <c r="AD2330" s="771"/>
      <c r="AE2330" s="771"/>
      <c r="AF2330" s="771"/>
      <c r="AG2330" s="771"/>
      <c r="AH2330" s="771"/>
      <c r="AI2330" s="771"/>
      <c r="AJ2330" s="771"/>
      <c r="AK2330" s="771"/>
      <c r="AL2330" s="771"/>
      <c r="AM2330" s="771"/>
      <c r="AN2330" s="771"/>
      <c r="AO2330" s="771"/>
      <c r="AP2330" s="771"/>
      <c r="AQ2330" s="771"/>
      <c r="AR2330" s="771"/>
      <c r="AS2330" s="771"/>
      <c r="AT2330" s="771"/>
      <c r="AU2330" s="771"/>
    </row>
    <row r="2331" spans="1:47" s="1384" customFormat="1" outlineLevel="1" x14ac:dyDescent="0.2">
      <c r="A2331" s="8"/>
      <c r="B2331" s="8"/>
      <c r="C2331" s="1989" t="s">
        <v>4121</v>
      </c>
      <c r="D2331" s="1989" t="s">
        <v>6228</v>
      </c>
      <c r="E2331" s="1989">
        <v>0</v>
      </c>
      <c r="F2331" s="38">
        <f t="shared" si="36"/>
        <v>0</v>
      </c>
      <c r="G2331" s="1547"/>
      <c r="H2331" s="8"/>
      <c r="I2331" s="8"/>
      <c r="J2331" s="8"/>
      <c r="K2331" s="8"/>
      <c r="L2331" s="8"/>
      <c r="M2331" s="8"/>
      <c r="N2331" s="8"/>
      <c r="O2331" s="8"/>
      <c r="P2331" s="8"/>
      <c r="Q2331" s="8"/>
      <c r="R2331" s="8"/>
      <c r="S2331" s="8"/>
      <c r="T2331" s="8"/>
      <c r="U2331" s="8"/>
      <c r="V2331" s="8"/>
      <c r="W2331" s="8"/>
      <c r="X2331" s="771"/>
      <c r="Y2331" s="771"/>
      <c r="Z2331" s="771"/>
      <c r="AA2331" s="771"/>
      <c r="AB2331" s="771"/>
      <c r="AC2331" s="771"/>
      <c r="AD2331" s="771"/>
      <c r="AE2331" s="771"/>
      <c r="AF2331" s="771"/>
      <c r="AG2331" s="771"/>
      <c r="AH2331" s="771"/>
      <c r="AI2331" s="771"/>
      <c r="AJ2331" s="771"/>
      <c r="AK2331" s="771"/>
      <c r="AL2331" s="771"/>
      <c r="AM2331" s="771"/>
      <c r="AN2331" s="771"/>
      <c r="AO2331" s="771"/>
      <c r="AP2331" s="771"/>
      <c r="AQ2331" s="771"/>
      <c r="AR2331" s="771"/>
      <c r="AS2331" s="771"/>
      <c r="AT2331" s="771"/>
      <c r="AU2331" s="771"/>
    </row>
    <row r="2332" spans="1:47" s="1384" customFormat="1" outlineLevel="1" x14ac:dyDescent="0.2">
      <c r="A2332" s="8"/>
      <c r="B2332" s="8"/>
      <c r="C2332" s="1989" t="s">
        <v>4122</v>
      </c>
      <c r="D2332" s="1989" t="s">
        <v>6229</v>
      </c>
      <c r="E2332" s="1989">
        <v>0</v>
      </c>
      <c r="F2332" s="38">
        <f t="shared" si="36"/>
        <v>0</v>
      </c>
      <c r="G2332" s="1547"/>
      <c r="H2332" s="8"/>
      <c r="I2332" s="8"/>
      <c r="J2332" s="8"/>
      <c r="K2332" s="8"/>
      <c r="L2332" s="8"/>
      <c r="M2332" s="8"/>
      <c r="N2332" s="8"/>
      <c r="O2332" s="8"/>
      <c r="P2332" s="8"/>
      <c r="Q2332" s="8"/>
      <c r="R2332" s="8"/>
      <c r="S2332" s="8"/>
      <c r="T2332" s="8"/>
      <c r="U2332" s="8"/>
      <c r="V2332" s="8"/>
      <c r="W2332" s="8"/>
      <c r="X2332" s="771"/>
      <c r="Y2332" s="771"/>
      <c r="Z2332" s="771"/>
      <c r="AA2332" s="771"/>
      <c r="AB2332" s="771"/>
      <c r="AC2332" s="771"/>
      <c r="AD2332" s="771"/>
      <c r="AE2332" s="771"/>
      <c r="AF2332" s="771"/>
      <c r="AG2332" s="771"/>
      <c r="AH2332" s="771"/>
      <c r="AI2332" s="771"/>
      <c r="AJ2332" s="771"/>
      <c r="AK2332" s="771"/>
      <c r="AL2332" s="771"/>
      <c r="AM2332" s="771"/>
      <c r="AN2332" s="771"/>
      <c r="AO2332" s="771"/>
      <c r="AP2332" s="771"/>
      <c r="AQ2332" s="771"/>
      <c r="AR2332" s="771"/>
      <c r="AS2332" s="771"/>
      <c r="AT2332" s="771"/>
      <c r="AU2332" s="771"/>
    </row>
    <row r="2333" spans="1:47" s="1384" customFormat="1" outlineLevel="1" x14ac:dyDescent="0.2">
      <c r="A2333" s="8"/>
      <c r="B2333" s="8"/>
      <c r="C2333" s="1989" t="s">
        <v>4123</v>
      </c>
      <c r="D2333" s="1989" t="s">
        <v>6230</v>
      </c>
      <c r="E2333" s="1989">
        <v>0</v>
      </c>
      <c r="F2333" s="38">
        <f t="shared" si="36"/>
        <v>0</v>
      </c>
      <c r="G2333" s="1547"/>
      <c r="H2333" s="8"/>
      <c r="I2333" s="8"/>
      <c r="J2333" s="8"/>
      <c r="K2333" s="8"/>
      <c r="L2333" s="8"/>
      <c r="M2333" s="8"/>
      <c r="N2333" s="8"/>
      <c r="O2333" s="8"/>
      <c r="P2333" s="8"/>
      <c r="Q2333" s="8"/>
      <c r="R2333" s="8"/>
      <c r="S2333" s="8"/>
      <c r="T2333" s="8"/>
      <c r="U2333" s="8"/>
      <c r="V2333" s="8"/>
      <c r="W2333" s="8"/>
      <c r="X2333" s="771"/>
      <c r="Y2333" s="771"/>
      <c r="Z2333" s="771"/>
      <c r="AA2333" s="771"/>
      <c r="AB2333" s="771"/>
      <c r="AC2333" s="771"/>
      <c r="AD2333" s="771"/>
      <c r="AE2333" s="771"/>
      <c r="AF2333" s="771"/>
      <c r="AG2333" s="771"/>
      <c r="AH2333" s="771"/>
      <c r="AI2333" s="771"/>
      <c r="AJ2333" s="771"/>
      <c r="AK2333" s="771"/>
      <c r="AL2333" s="771"/>
      <c r="AM2333" s="771"/>
      <c r="AN2333" s="771"/>
      <c r="AO2333" s="771"/>
      <c r="AP2333" s="771"/>
      <c r="AQ2333" s="771"/>
      <c r="AR2333" s="771"/>
      <c r="AS2333" s="771"/>
      <c r="AT2333" s="771"/>
      <c r="AU2333" s="771"/>
    </row>
    <row r="2334" spans="1:47" s="1384" customFormat="1" outlineLevel="1" x14ac:dyDescent="0.2">
      <c r="A2334" s="8"/>
      <c r="B2334" s="8"/>
      <c r="C2334" s="1989" t="s">
        <v>4124</v>
      </c>
      <c r="D2334" s="1989" t="s">
        <v>6231</v>
      </c>
      <c r="E2334" s="1989">
        <v>0</v>
      </c>
      <c r="F2334" s="38">
        <f t="shared" si="36"/>
        <v>0</v>
      </c>
      <c r="G2334" s="1547"/>
      <c r="H2334" s="8"/>
      <c r="I2334" s="8"/>
      <c r="J2334" s="8"/>
      <c r="K2334" s="8"/>
      <c r="L2334" s="8"/>
      <c r="M2334" s="8"/>
      <c r="N2334" s="8"/>
      <c r="O2334" s="8"/>
      <c r="P2334" s="8"/>
      <c r="Q2334" s="8"/>
      <c r="R2334" s="8"/>
      <c r="S2334" s="8"/>
      <c r="T2334" s="8"/>
      <c r="U2334" s="8"/>
      <c r="V2334" s="8"/>
      <c r="W2334" s="8"/>
      <c r="X2334" s="771"/>
      <c r="Y2334" s="771"/>
      <c r="Z2334" s="771"/>
      <c r="AA2334" s="771"/>
      <c r="AB2334" s="771"/>
      <c r="AC2334" s="771"/>
      <c r="AD2334" s="771"/>
      <c r="AE2334" s="771"/>
      <c r="AF2334" s="771"/>
      <c r="AG2334" s="771"/>
      <c r="AH2334" s="771"/>
      <c r="AI2334" s="771"/>
      <c r="AJ2334" s="771"/>
      <c r="AK2334" s="771"/>
      <c r="AL2334" s="771"/>
      <c r="AM2334" s="771"/>
      <c r="AN2334" s="771"/>
      <c r="AO2334" s="771"/>
      <c r="AP2334" s="771"/>
      <c r="AQ2334" s="771"/>
      <c r="AR2334" s="771"/>
      <c r="AS2334" s="771"/>
      <c r="AT2334" s="771"/>
      <c r="AU2334" s="771"/>
    </row>
    <row r="2335" spans="1:47" s="1384" customFormat="1" outlineLevel="1" x14ac:dyDescent="0.2">
      <c r="A2335" s="8"/>
      <c r="B2335" s="8"/>
      <c r="C2335" s="1989" t="s">
        <v>4125</v>
      </c>
      <c r="D2335" s="1989" t="s">
        <v>7935</v>
      </c>
      <c r="E2335" s="1989">
        <v>0</v>
      </c>
      <c r="F2335" s="38">
        <f t="shared" si="36"/>
        <v>0</v>
      </c>
      <c r="G2335" s="1547"/>
      <c r="H2335" s="8"/>
      <c r="I2335" s="8"/>
      <c r="J2335" s="8"/>
      <c r="K2335" s="8"/>
      <c r="L2335" s="8"/>
      <c r="M2335" s="8"/>
      <c r="N2335" s="8"/>
      <c r="O2335" s="8"/>
      <c r="P2335" s="8"/>
      <c r="Q2335" s="8"/>
      <c r="R2335" s="8"/>
      <c r="S2335" s="8"/>
      <c r="T2335" s="8"/>
      <c r="U2335" s="8"/>
      <c r="V2335" s="8"/>
      <c r="W2335" s="8"/>
      <c r="X2335" s="771"/>
      <c r="Y2335" s="771"/>
      <c r="Z2335" s="771"/>
      <c r="AA2335" s="771"/>
      <c r="AB2335" s="771"/>
      <c r="AC2335" s="771"/>
      <c r="AD2335" s="771"/>
      <c r="AE2335" s="771"/>
      <c r="AF2335" s="771"/>
      <c r="AG2335" s="771"/>
      <c r="AH2335" s="771"/>
      <c r="AI2335" s="771"/>
      <c r="AJ2335" s="771"/>
      <c r="AK2335" s="771"/>
      <c r="AL2335" s="771"/>
      <c r="AM2335" s="771"/>
      <c r="AN2335" s="771"/>
      <c r="AO2335" s="771"/>
      <c r="AP2335" s="771"/>
      <c r="AQ2335" s="771"/>
      <c r="AR2335" s="771"/>
      <c r="AS2335" s="771"/>
      <c r="AT2335" s="771"/>
      <c r="AU2335" s="771"/>
    </row>
    <row r="2336" spans="1:47" s="1384" customFormat="1" outlineLevel="1" x14ac:dyDescent="0.2">
      <c r="A2336" s="8"/>
      <c r="B2336" s="8"/>
      <c r="C2336" s="1989" t="s">
        <v>6816</v>
      </c>
      <c r="D2336" s="1989" t="s">
        <v>7936</v>
      </c>
      <c r="E2336" s="1989">
        <v>0</v>
      </c>
      <c r="F2336" s="38">
        <f t="shared" si="36"/>
        <v>0</v>
      </c>
      <c r="G2336" s="1547"/>
      <c r="H2336" s="8"/>
      <c r="I2336" s="8"/>
      <c r="J2336" s="8"/>
      <c r="K2336" s="8"/>
      <c r="L2336" s="8"/>
      <c r="M2336" s="8"/>
      <c r="N2336" s="8"/>
      <c r="O2336" s="8"/>
      <c r="P2336" s="8"/>
      <c r="Q2336" s="8"/>
      <c r="R2336" s="8"/>
      <c r="S2336" s="8"/>
      <c r="T2336" s="8"/>
      <c r="U2336" s="8"/>
      <c r="V2336" s="8"/>
      <c r="W2336" s="8"/>
      <c r="X2336" s="771"/>
      <c r="Y2336" s="771"/>
      <c r="Z2336" s="771"/>
      <c r="AA2336" s="771"/>
      <c r="AB2336" s="771"/>
      <c r="AC2336" s="771"/>
      <c r="AD2336" s="771"/>
      <c r="AE2336" s="771"/>
      <c r="AF2336" s="771"/>
      <c r="AG2336" s="771"/>
      <c r="AH2336" s="771"/>
      <c r="AI2336" s="771"/>
      <c r="AJ2336" s="771"/>
      <c r="AK2336" s="771"/>
      <c r="AL2336" s="771"/>
      <c r="AM2336" s="771"/>
      <c r="AN2336" s="771"/>
      <c r="AO2336" s="771"/>
      <c r="AP2336" s="771"/>
      <c r="AQ2336" s="771"/>
      <c r="AR2336" s="771"/>
      <c r="AS2336" s="771"/>
      <c r="AT2336" s="771"/>
      <c r="AU2336" s="771"/>
    </row>
    <row r="2337" spans="1:47" s="1384" customFormat="1" outlineLevel="1" x14ac:dyDescent="0.2">
      <c r="A2337" s="8"/>
      <c r="B2337" s="8"/>
      <c r="C2337" s="1989" t="s">
        <v>4126</v>
      </c>
      <c r="D2337" s="1989" t="s">
        <v>7937</v>
      </c>
      <c r="E2337" s="1989">
        <v>0</v>
      </c>
      <c r="F2337" s="38">
        <f t="shared" si="36"/>
        <v>0</v>
      </c>
      <c r="G2337" s="1547"/>
      <c r="H2337" s="8"/>
      <c r="I2337" s="8"/>
      <c r="J2337" s="8"/>
      <c r="K2337" s="8"/>
      <c r="L2337" s="8"/>
      <c r="M2337" s="8"/>
      <c r="N2337" s="8"/>
      <c r="O2337" s="8"/>
      <c r="P2337" s="8"/>
      <c r="Q2337" s="8"/>
      <c r="R2337" s="8"/>
      <c r="S2337" s="8"/>
      <c r="T2337" s="8"/>
      <c r="U2337" s="8"/>
      <c r="V2337" s="8"/>
      <c r="W2337" s="8"/>
      <c r="X2337" s="771"/>
      <c r="Y2337" s="771"/>
      <c r="Z2337" s="771"/>
      <c r="AA2337" s="771"/>
      <c r="AB2337" s="771"/>
      <c r="AC2337" s="771"/>
      <c r="AD2337" s="771"/>
      <c r="AE2337" s="771"/>
      <c r="AF2337" s="771"/>
      <c r="AG2337" s="771"/>
      <c r="AH2337" s="771"/>
      <c r="AI2337" s="771"/>
      <c r="AJ2337" s="771"/>
      <c r="AK2337" s="771"/>
      <c r="AL2337" s="771"/>
      <c r="AM2337" s="771"/>
      <c r="AN2337" s="771"/>
      <c r="AO2337" s="771"/>
      <c r="AP2337" s="771"/>
      <c r="AQ2337" s="771"/>
      <c r="AR2337" s="771"/>
      <c r="AS2337" s="771"/>
      <c r="AT2337" s="771"/>
      <c r="AU2337" s="771"/>
    </row>
    <row r="2338" spans="1:47" outlineLevel="1" x14ac:dyDescent="0.2">
      <c r="C2338" s="1989" t="s">
        <v>6817</v>
      </c>
      <c r="D2338" s="1989" t="s">
        <v>7938</v>
      </c>
      <c r="E2338" s="1989">
        <v>0</v>
      </c>
      <c r="F2338" s="38">
        <f t="shared" si="36"/>
        <v>0</v>
      </c>
      <c r="G2338" s="1547"/>
    </row>
    <row r="2339" spans="1:47" outlineLevel="1" x14ac:dyDescent="0.2">
      <c r="C2339" s="1989" t="s">
        <v>4127</v>
      </c>
      <c r="D2339" s="1989" t="s">
        <v>7939</v>
      </c>
      <c r="E2339" s="1989">
        <v>0</v>
      </c>
      <c r="F2339" s="38">
        <f t="shared" si="36"/>
        <v>0</v>
      </c>
      <c r="G2339" s="1547"/>
    </row>
    <row r="2340" spans="1:47" outlineLevel="1" x14ac:dyDescent="0.2">
      <c r="C2340" s="1989" t="s">
        <v>6818</v>
      </c>
      <c r="D2340" s="1989" t="s">
        <v>7940</v>
      </c>
      <c r="E2340" s="1989">
        <v>0</v>
      </c>
      <c r="F2340" s="38">
        <f t="shared" si="36"/>
        <v>0</v>
      </c>
      <c r="G2340" s="1547"/>
    </row>
    <row r="2341" spans="1:47" s="1420" customFormat="1" outlineLevel="1" x14ac:dyDescent="0.2">
      <c r="A2341" s="8"/>
      <c r="B2341" s="8"/>
      <c r="C2341" s="1989" t="s">
        <v>4128</v>
      </c>
      <c r="D2341" s="1989" t="s">
        <v>7941</v>
      </c>
      <c r="E2341" s="1989">
        <v>0</v>
      </c>
      <c r="F2341" s="38">
        <f t="shared" si="36"/>
        <v>0</v>
      </c>
      <c r="G2341" s="1547"/>
      <c r="H2341" s="8"/>
      <c r="I2341" s="8"/>
      <c r="J2341" s="8"/>
      <c r="K2341" s="8"/>
      <c r="L2341" s="8"/>
      <c r="M2341" s="8"/>
      <c r="N2341" s="8"/>
      <c r="O2341" s="8"/>
      <c r="P2341" s="8"/>
      <c r="Q2341" s="8"/>
      <c r="R2341" s="8"/>
      <c r="S2341" s="8"/>
      <c r="T2341" s="8"/>
      <c r="U2341" s="8"/>
      <c r="V2341" s="8"/>
      <c r="W2341" s="8"/>
      <c r="X2341" s="771"/>
      <c r="Y2341" s="771"/>
      <c r="Z2341" s="771"/>
      <c r="AA2341" s="771"/>
      <c r="AB2341" s="771"/>
      <c r="AC2341" s="771"/>
      <c r="AD2341" s="771"/>
      <c r="AE2341" s="771"/>
      <c r="AF2341" s="771"/>
      <c r="AG2341" s="771"/>
      <c r="AH2341" s="771"/>
      <c r="AI2341" s="771"/>
      <c r="AJ2341" s="771"/>
      <c r="AK2341" s="771"/>
      <c r="AL2341" s="771"/>
      <c r="AM2341" s="771"/>
      <c r="AN2341" s="771"/>
      <c r="AO2341" s="771"/>
      <c r="AP2341" s="771"/>
      <c r="AQ2341" s="771"/>
      <c r="AR2341" s="771"/>
      <c r="AS2341" s="771"/>
      <c r="AT2341" s="771"/>
      <c r="AU2341" s="771"/>
    </row>
    <row r="2342" spans="1:47" s="1420" customFormat="1" outlineLevel="1" x14ac:dyDescent="0.2">
      <c r="A2342" s="8"/>
      <c r="B2342" s="8"/>
      <c r="C2342" s="1989" t="s">
        <v>6819</v>
      </c>
      <c r="D2342" s="1989" t="s">
        <v>7942</v>
      </c>
      <c r="E2342" s="1989">
        <v>0</v>
      </c>
      <c r="F2342" s="38">
        <f t="shared" si="36"/>
        <v>0</v>
      </c>
      <c r="G2342" s="1547"/>
      <c r="H2342" s="8"/>
      <c r="I2342" s="8"/>
      <c r="J2342" s="8"/>
      <c r="K2342" s="8"/>
      <c r="L2342" s="8"/>
      <c r="M2342" s="8"/>
      <c r="N2342" s="8"/>
      <c r="O2342" s="8"/>
      <c r="P2342" s="8"/>
      <c r="Q2342" s="8"/>
      <c r="R2342" s="8"/>
      <c r="S2342" s="8"/>
      <c r="T2342" s="8"/>
      <c r="U2342" s="8"/>
      <c r="V2342" s="8"/>
      <c r="W2342" s="8"/>
      <c r="X2342" s="771"/>
      <c r="Y2342" s="771"/>
      <c r="Z2342" s="771"/>
      <c r="AA2342" s="771"/>
      <c r="AB2342" s="771"/>
      <c r="AC2342" s="771"/>
      <c r="AD2342" s="771"/>
      <c r="AE2342" s="771"/>
      <c r="AF2342" s="771"/>
      <c r="AG2342" s="771"/>
      <c r="AH2342" s="771"/>
      <c r="AI2342" s="771"/>
      <c r="AJ2342" s="771"/>
      <c r="AK2342" s="771"/>
      <c r="AL2342" s="771"/>
      <c r="AM2342" s="771"/>
      <c r="AN2342" s="771"/>
      <c r="AO2342" s="771"/>
      <c r="AP2342" s="771"/>
      <c r="AQ2342" s="771"/>
      <c r="AR2342" s="771"/>
      <c r="AS2342" s="771"/>
      <c r="AT2342" s="771"/>
      <c r="AU2342" s="771"/>
    </row>
    <row r="2343" spans="1:47" s="1420" customFormat="1" outlineLevel="1" x14ac:dyDescent="0.2">
      <c r="A2343" s="8"/>
      <c r="B2343" s="8"/>
      <c r="C2343" s="1989" t="s">
        <v>4129</v>
      </c>
      <c r="D2343" s="1989" t="s">
        <v>6232</v>
      </c>
      <c r="E2343" s="1989">
        <v>0</v>
      </c>
      <c r="F2343" s="38">
        <f t="shared" si="36"/>
        <v>0</v>
      </c>
      <c r="G2343" s="1547"/>
      <c r="H2343" s="8"/>
      <c r="I2343" s="8"/>
      <c r="J2343" s="8"/>
      <c r="K2343" s="8"/>
      <c r="L2343" s="8"/>
      <c r="M2343" s="8"/>
      <c r="N2343" s="8"/>
      <c r="O2343" s="8"/>
      <c r="P2343" s="8"/>
      <c r="Q2343" s="8"/>
      <c r="R2343" s="8"/>
      <c r="S2343" s="8"/>
      <c r="T2343" s="8"/>
      <c r="U2343" s="8"/>
      <c r="V2343" s="8"/>
      <c r="W2343" s="8"/>
      <c r="X2343" s="771"/>
      <c r="Y2343" s="771"/>
      <c r="Z2343" s="771"/>
      <c r="AA2343" s="771"/>
      <c r="AB2343" s="771"/>
      <c r="AC2343" s="771"/>
      <c r="AD2343" s="771"/>
      <c r="AE2343" s="771"/>
      <c r="AF2343" s="771"/>
      <c r="AG2343" s="771"/>
      <c r="AH2343" s="771"/>
      <c r="AI2343" s="771"/>
      <c r="AJ2343" s="771"/>
      <c r="AK2343" s="771"/>
      <c r="AL2343" s="771"/>
      <c r="AM2343" s="771"/>
      <c r="AN2343" s="771"/>
      <c r="AO2343" s="771"/>
      <c r="AP2343" s="771"/>
      <c r="AQ2343" s="771"/>
      <c r="AR2343" s="771"/>
      <c r="AS2343" s="771"/>
      <c r="AT2343" s="771"/>
      <c r="AU2343" s="771"/>
    </row>
    <row r="2344" spans="1:47" s="1420" customFormat="1" outlineLevel="1" x14ac:dyDescent="0.2">
      <c r="A2344" s="8"/>
      <c r="B2344" s="8"/>
      <c r="C2344" s="1989" t="s">
        <v>4131</v>
      </c>
      <c r="D2344" s="1989" t="s">
        <v>6233</v>
      </c>
      <c r="E2344" s="1989">
        <v>0</v>
      </c>
      <c r="F2344" s="38">
        <f t="shared" si="36"/>
        <v>0</v>
      </c>
      <c r="G2344" s="1547"/>
      <c r="H2344" s="8"/>
      <c r="I2344" s="8"/>
      <c r="J2344" s="8"/>
      <c r="K2344" s="8"/>
      <c r="L2344" s="8"/>
      <c r="M2344" s="8"/>
      <c r="N2344" s="8"/>
      <c r="O2344" s="8"/>
      <c r="P2344" s="8"/>
      <c r="Q2344" s="8"/>
      <c r="R2344" s="8"/>
      <c r="S2344" s="8"/>
      <c r="T2344" s="8"/>
      <c r="U2344" s="8"/>
      <c r="V2344" s="8"/>
      <c r="W2344" s="8"/>
      <c r="X2344" s="771"/>
      <c r="Y2344" s="771"/>
      <c r="Z2344" s="771"/>
      <c r="AA2344" s="771"/>
      <c r="AB2344" s="771"/>
      <c r="AC2344" s="771"/>
      <c r="AD2344" s="771"/>
      <c r="AE2344" s="771"/>
      <c r="AF2344" s="771"/>
      <c r="AG2344" s="771"/>
      <c r="AH2344" s="771"/>
      <c r="AI2344" s="771"/>
      <c r="AJ2344" s="771"/>
      <c r="AK2344" s="771"/>
      <c r="AL2344" s="771"/>
      <c r="AM2344" s="771"/>
      <c r="AN2344" s="771"/>
      <c r="AO2344" s="771"/>
      <c r="AP2344" s="771"/>
      <c r="AQ2344" s="771"/>
      <c r="AR2344" s="771"/>
      <c r="AS2344" s="771"/>
      <c r="AT2344" s="771"/>
      <c r="AU2344" s="771"/>
    </row>
    <row r="2345" spans="1:47" s="1420" customFormat="1" outlineLevel="1" x14ac:dyDescent="0.2">
      <c r="A2345" s="8"/>
      <c r="B2345" s="8"/>
      <c r="C2345" s="1989" t="s">
        <v>4132</v>
      </c>
      <c r="D2345" s="1989" t="s">
        <v>6234</v>
      </c>
      <c r="E2345" s="1989">
        <v>0</v>
      </c>
      <c r="F2345" s="38">
        <f t="shared" si="36"/>
        <v>0</v>
      </c>
      <c r="G2345" s="1547"/>
      <c r="H2345" s="8"/>
      <c r="I2345" s="8"/>
      <c r="J2345" s="8"/>
      <c r="K2345" s="8"/>
      <c r="L2345" s="8"/>
      <c r="M2345" s="8"/>
      <c r="N2345" s="8"/>
      <c r="O2345" s="8"/>
      <c r="P2345" s="8"/>
      <c r="Q2345" s="8"/>
      <c r="R2345" s="8"/>
      <c r="S2345" s="8"/>
      <c r="T2345" s="8"/>
      <c r="U2345" s="8"/>
      <c r="V2345" s="8"/>
      <c r="W2345" s="8"/>
      <c r="X2345" s="771"/>
      <c r="Y2345" s="771"/>
      <c r="Z2345" s="771"/>
      <c r="AA2345" s="771"/>
      <c r="AB2345" s="771"/>
      <c r="AC2345" s="771"/>
      <c r="AD2345" s="771"/>
      <c r="AE2345" s="771"/>
      <c r="AF2345" s="771"/>
      <c r="AG2345" s="771"/>
      <c r="AH2345" s="771"/>
      <c r="AI2345" s="771"/>
      <c r="AJ2345" s="771"/>
      <c r="AK2345" s="771"/>
      <c r="AL2345" s="771"/>
      <c r="AM2345" s="771"/>
      <c r="AN2345" s="771"/>
      <c r="AO2345" s="771"/>
      <c r="AP2345" s="771"/>
      <c r="AQ2345" s="771"/>
      <c r="AR2345" s="771"/>
      <c r="AS2345" s="771"/>
      <c r="AT2345" s="771"/>
      <c r="AU2345" s="771"/>
    </row>
    <row r="2346" spans="1:47" s="1420" customFormat="1" outlineLevel="1" x14ac:dyDescent="0.2">
      <c r="A2346" s="8"/>
      <c r="B2346" s="8"/>
      <c r="C2346" s="1989" t="s">
        <v>4133</v>
      </c>
      <c r="D2346" s="1989" t="s">
        <v>6235</v>
      </c>
      <c r="E2346" s="1989">
        <v>0</v>
      </c>
      <c r="F2346" s="38">
        <f t="shared" si="36"/>
        <v>0</v>
      </c>
      <c r="G2346" s="1547"/>
      <c r="H2346" s="8"/>
      <c r="I2346" s="8"/>
      <c r="J2346" s="8"/>
      <c r="K2346" s="8"/>
      <c r="L2346" s="8"/>
      <c r="M2346" s="8"/>
      <c r="N2346" s="8"/>
      <c r="O2346" s="8"/>
      <c r="P2346" s="8"/>
      <c r="Q2346" s="8"/>
      <c r="R2346" s="8"/>
      <c r="S2346" s="8"/>
      <c r="T2346" s="8"/>
      <c r="U2346" s="8"/>
      <c r="V2346" s="8"/>
      <c r="W2346" s="8"/>
      <c r="X2346" s="771"/>
      <c r="Y2346" s="771"/>
      <c r="Z2346" s="771"/>
      <c r="AA2346" s="771"/>
      <c r="AB2346" s="771"/>
      <c r="AC2346" s="771"/>
      <c r="AD2346" s="771"/>
      <c r="AE2346" s="771"/>
      <c r="AF2346" s="771"/>
      <c r="AG2346" s="771"/>
      <c r="AH2346" s="771"/>
      <c r="AI2346" s="771"/>
      <c r="AJ2346" s="771"/>
      <c r="AK2346" s="771"/>
      <c r="AL2346" s="771"/>
      <c r="AM2346" s="771"/>
      <c r="AN2346" s="771"/>
      <c r="AO2346" s="771"/>
      <c r="AP2346" s="771"/>
      <c r="AQ2346" s="771"/>
      <c r="AR2346" s="771"/>
      <c r="AS2346" s="771"/>
      <c r="AT2346" s="771"/>
      <c r="AU2346" s="771"/>
    </row>
    <row r="2347" spans="1:47" s="1420" customFormat="1" outlineLevel="1" x14ac:dyDescent="0.2">
      <c r="A2347" s="8"/>
      <c r="B2347" s="8"/>
      <c r="C2347" s="1989" t="s">
        <v>4134</v>
      </c>
      <c r="D2347" s="1989" t="s">
        <v>7943</v>
      </c>
      <c r="E2347" s="1989">
        <v>0</v>
      </c>
      <c r="F2347" s="38">
        <f t="shared" si="36"/>
        <v>0</v>
      </c>
      <c r="G2347" s="1547"/>
      <c r="H2347" s="8"/>
      <c r="I2347" s="8"/>
      <c r="J2347" s="8"/>
      <c r="K2347" s="8"/>
      <c r="L2347" s="8"/>
      <c r="M2347" s="8"/>
      <c r="N2347" s="8"/>
      <c r="O2347" s="8"/>
      <c r="P2347" s="8"/>
      <c r="Q2347" s="8"/>
      <c r="R2347" s="8"/>
      <c r="S2347" s="8"/>
      <c r="T2347" s="8"/>
      <c r="U2347" s="8"/>
      <c r="V2347" s="8"/>
      <c r="W2347" s="8"/>
      <c r="X2347" s="771"/>
      <c r="Y2347" s="771"/>
      <c r="Z2347" s="771"/>
      <c r="AA2347" s="771"/>
      <c r="AB2347" s="771"/>
      <c r="AC2347" s="771"/>
      <c r="AD2347" s="771"/>
      <c r="AE2347" s="771"/>
      <c r="AF2347" s="771"/>
      <c r="AG2347" s="771"/>
      <c r="AH2347" s="771"/>
      <c r="AI2347" s="771"/>
      <c r="AJ2347" s="771"/>
      <c r="AK2347" s="771"/>
      <c r="AL2347" s="771"/>
      <c r="AM2347" s="771"/>
      <c r="AN2347" s="771"/>
      <c r="AO2347" s="771"/>
      <c r="AP2347" s="771"/>
      <c r="AQ2347" s="771"/>
      <c r="AR2347" s="771"/>
      <c r="AS2347" s="771"/>
      <c r="AT2347" s="771"/>
      <c r="AU2347" s="771"/>
    </row>
    <row r="2348" spans="1:47" s="1420" customFormat="1" outlineLevel="1" x14ac:dyDescent="0.2">
      <c r="A2348" s="8"/>
      <c r="B2348" s="8"/>
      <c r="C2348" s="1989" t="s">
        <v>6820</v>
      </c>
      <c r="D2348" s="1989" t="s">
        <v>7944</v>
      </c>
      <c r="E2348" s="1989">
        <v>0</v>
      </c>
      <c r="F2348" s="38">
        <f t="shared" si="36"/>
        <v>0</v>
      </c>
      <c r="G2348" s="1547"/>
      <c r="H2348" s="8"/>
      <c r="I2348" s="8"/>
      <c r="J2348" s="8"/>
      <c r="K2348" s="8"/>
      <c r="L2348" s="8"/>
      <c r="M2348" s="8"/>
      <c r="N2348" s="8"/>
      <c r="O2348" s="8"/>
      <c r="P2348" s="8"/>
      <c r="Q2348" s="8"/>
      <c r="R2348" s="8"/>
      <c r="S2348" s="8"/>
      <c r="T2348" s="8"/>
      <c r="U2348" s="8"/>
      <c r="V2348" s="8"/>
      <c r="W2348" s="8"/>
      <c r="X2348" s="771"/>
      <c r="Y2348" s="771"/>
      <c r="Z2348" s="771"/>
      <c r="AA2348" s="771"/>
      <c r="AB2348" s="771"/>
      <c r="AC2348" s="771"/>
      <c r="AD2348" s="771"/>
      <c r="AE2348" s="771"/>
      <c r="AF2348" s="771"/>
      <c r="AG2348" s="771"/>
      <c r="AH2348" s="771"/>
      <c r="AI2348" s="771"/>
      <c r="AJ2348" s="771"/>
      <c r="AK2348" s="771"/>
      <c r="AL2348" s="771"/>
      <c r="AM2348" s="771"/>
      <c r="AN2348" s="771"/>
      <c r="AO2348" s="771"/>
      <c r="AP2348" s="771"/>
      <c r="AQ2348" s="771"/>
      <c r="AR2348" s="771"/>
      <c r="AS2348" s="771"/>
      <c r="AT2348" s="771"/>
      <c r="AU2348" s="771"/>
    </row>
    <row r="2349" spans="1:47" s="1420" customFormat="1" outlineLevel="1" x14ac:dyDescent="0.2">
      <c r="A2349" s="8"/>
      <c r="B2349" s="8"/>
      <c r="C2349" s="1989" t="s">
        <v>4135</v>
      </c>
      <c r="D2349" s="1989" t="s">
        <v>7945</v>
      </c>
      <c r="E2349" s="1989">
        <v>0</v>
      </c>
      <c r="F2349" s="38">
        <f t="shared" si="36"/>
        <v>0</v>
      </c>
      <c r="G2349" s="1547"/>
      <c r="H2349" s="8"/>
      <c r="I2349" s="8"/>
      <c r="J2349" s="8"/>
      <c r="K2349" s="8"/>
      <c r="L2349" s="8"/>
      <c r="M2349" s="8"/>
      <c r="N2349" s="8"/>
      <c r="O2349" s="8"/>
      <c r="P2349" s="8"/>
      <c r="Q2349" s="8"/>
      <c r="R2349" s="8"/>
      <c r="S2349" s="8"/>
      <c r="T2349" s="8"/>
      <c r="U2349" s="8"/>
      <c r="V2349" s="8"/>
      <c r="W2349" s="8"/>
      <c r="X2349" s="771"/>
      <c r="Y2349" s="771"/>
      <c r="Z2349" s="771"/>
      <c r="AA2349" s="771"/>
      <c r="AB2349" s="771"/>
      <c r="AC2349" s="771"/>
      <c r="AD2349" s="771"/>
      <c r="AE2349" s="771"/>
      <c r="AF2349" s="771"/>
      <c r="AG2349" s="771"/>
      <c r="AH2349" s="771"/>
      <c r="AI2349" s="771"/>
      <c r="AJ2349" s="771"/>
      <c r="AK2349" s="771"/>
      <c r="AL2349" s="771"/>
      <c r="AM2349" s="771"/>
      <c r="AN2349" s="771"/>
      <c r="AO2349" s="771"/>
      <c r="AP2349" s="771"/>
      <c r="AQ2349" s="771"/>
      <c r="AR2349" s="771"/>
      <c r="AS2349" s="771"/>
      <c r="AT2349" s="771"/>
      <c r="AU2349" s="771"/>
    </row>
    <row r="2350" spans="1:47" s="1420" customFormat="1" outlineLevel="1" x14ac:dyDescent="0.2">
      <c r="A2350" s="8"/>
      <c r="B2350" s="8"/>
      <c r="C2350" s="1989" t="s">
        <v>6821</v>
      </c>
      <c r="D2350" s="1989" t="s">
        <v>7946</v>
      </c>
      <c r="E2350" s="1989">
        <v>0</v>
      </c>
      <c r="F2350" s="38">
        <f t="shared" si="36"/>
        <v>0</v>
      </c>
      <c r="G2350" s="1547"/>
      <c r="H2350" s="8"/>
      <c r="I2350" s="8"/>
      <c r="J2350" s="8"/>
      <c r="K2350" s="8"/>
      <c r="L2350" s="8"/>
      <c r="M2350" s="8"/>
      <c r="N2350" s="8"/>
      <c r="O2350" s="8"/>
      <c r="P2350" s="8"/>
      <c r="Q2350" s="8"/>
      <c r="R2350" s="8"/>
      <c r="S2350" s="8"/>
      <c r="T2350" s="8"/>
      <c r="U2350" s="8"/>
      <c r="V2350" s="8"/>
      <c r="W2350" s="8"/>
      <c r="X2350" s="771"/>
      <c r="Y2350" s="771"/>
      <c r="Z2350" s="771"/>
      <c r="AA2350" s="771"/>
      <c r="AB2350" s="771"/>
      <c r="AC2350" s="771"/>
      <c r="AD2350" s="771"/>
      <c r="AE2350" s="771"/>
      <c r="AF2350" s="771"/>
      <c r="AG2350" s="771"/>
      <c r="AH2350" s="771"/>
      <c r="AI2350" s="771"/>
      <c r="AJ2350" s="771"/>
      <c r="AK2350" s="771"/>
      <c r="AL2350" s="771"/>
      <c r="AM2350" s="771"/>
      <c r="AN2350" s="771"/>
      <c r="AO2350" s="771"/>
      <c r="AP2350" s="771"/>
      <c r="AQ2350" s="771"/>
      <c r="AR2350" s="771"/>
      <c r="AS2350" s="771"/>
      <c r="AT2350" s="771"/>
      <c r="AU2350" s="771"/>
    </row>
    <row r="2351" spans="1:47" s="1420" customFormat="1" outlineLevel="1" x14ac:dyDescent="0.2">
      <c r="A2351" s="8"/>
      <c r="B2351" s="8"/>
      <c r="C2351" s="1989" t="s">
        <v>4136</v>
      </c>
      <c r="D2351" s="1989" t="s">
        <v>7947</v>
      </c>
      <c r="E2351" s="1989">
        <v>0</v>
      </c>
      <c r="F2351" s="38">
        <f t="shared" si="36"/>
        <v>0</v>
      </c>
      <c r="G2351" s="1547"/>
      <c r="H2351" s="8"/>
      <c r="I2351" s="8"/>
      <c r="J2351" s="8"/>
      <c r="K2351" s="8"/>
      <c r="L2351" s="8"/>
      <c r="M2351" s="8"/>
      <c r="N2351" s="8"/>
      <c r="O2351" s="8"/>
      <c r="P2351" s="8"/>
      <c r="Q2351" s="8"/>
      <c r="R2351" s="8"/>
      <c r="S2351" s="8"/>
      <c r="T2351" s="8"/>
      <c r="U2351" s="8"/>
      <c r="V2351" s="8"/>
      <c r="W2351" s="8"/>
      <c r="X2351" s="771"/>
      <c r="Y2351" s="771"/>
      <c r="Z2351" s="771"/>
      <c r="AA2351" s="771"/>
      <c r="AB2351" s="771"/>
      <c r="AC2351" s="771"/>
      <c r="AD2351" s="771"/>
      <c r="AE2351" s="771"/>
      <c r="AF2351" s="771"/>
      <c r="AG2351" s="771"/>
      <c r="AH2351" s="771"/>
      <c r="AI2351" s="771"/>
      <c r="AJ2351" s="771"/>
      <c r="AK2351" s="771"/>
      <c r="AL2351" s="771"/>
      <c r="AM2351" s="771"/>
      <c r="AN2351" s="771"/>
      <c r="AO2351" s="771"/>
      <c r="AP2351" s="771"/>
      <c r="AQ2351" s="771"/>
      <c r="AR2351" s="771"/>
      <c r="AS2351" s="771"/>
      <c r="AT2351" s="771"/>
      <c r="AU2351" s="771"/>
    </row>
    <row r="2352" spans="1:47" s="1420" customFormat="1" outlineLevel="1" x14ac:dyDescent="0.2">
      <c r="A2352" s="8"/>
      <c r="B2352" s="8"/>
      <c r="C2352" s="1989" t="s">
        <v>6822</v>
      </c>
      <c r="D2352" s="1989" t="s">
        <v>7948</v>
      </c>
      <c r="E2352" s="1989">
        <v>0</v>
      </c>
      <c r="F2352" s="38">
        <f t="shared" si="36"/>
        <v>0</v>
      </c>
      <c r="G2352" s="1547"/>
      <c r="H2352" s="8"/>
      <c r="I2352" s="8"/>
      <c r="J2352" s="8"/>
      <c r="K2352" s="8"/>
      <c r="L2352" s="8"/>
      <c r="M2352" s="8"/>
      <c r="N2352" s="8"/>
      <c r="O2352" s="8"/>
      <c r="P2352" s="8"/>
      <c r="Q2352" s="8"/>
      <c r="R2352" s="8"/>
      <c r="S2352" s="8"/>
      <c r="T2352" s="8"/>
      <c r="U2352" s="8"/>
      <c r="V2352" s="8"/>
      <c r="W2352" s="8"/>
      <c r="X2352" s="771"/>
      <c r="Y2352" s="771"/>
      <c r="Z2352" s="771"/>
      <c r="AA2352" s="771"/>
      <c r="AB2352" s="771"/>
      <c r="AC2352" s="771"/>
      <c r="AD2352" s="771"/>
      <c r="AE2352" s="771"/>
      <c r="AF2352" s="771"/>
      <c r="AG2352" s="771"/>
      <c r="AH2352" s="771"/>
      <c r="AI2352" s="771"/>
      <c r="AJ2352" s="771"/>
      <c r="AK2352" s="771"/>
      <c r="AL2352" s="771"/>
      <c r="AM2352" s="771"/>
      <c r="AN2352" s="771"/>
      <c r="AO2352" s="771"/>
      <c r="AP2352" s="771"/>
      <c r="AQ2352" s="771"/>
      <c r="AR2352" s="771"/>
      <c r="AS2352" s="771"/>
      <c r="AT2352" s="771"/>
      <c r="AU2352" s="771"/>
    </row>
    <row r="2353" spans="1:47" s="1420" customFormat="1" outlineLevel="1" x14ac:dyDescent="0.2">
      <c r="A2353" s="8"/>
      <c r="B2353" s="8"/>
      <c r="C2353" s="1989" t="s">
        <v>4137</v>
      </c>
      <c r="D2353" s="1989" t="s">
        <v>7949</v>
      </c>
      <c r="E2353" s="1989">
        <v>0</v>
      </c>
      <c r="F2353" s="38">
        <f t="shared" si="36"/>
        <v>0</v>
      </c>
      <c r="G2353" s="1547"/>
      <c r="H2353" s="8"/>
      <c r="I2353" s="8"/>
      <c r="J2353" s="8"/>
      <c r="K2353" s="8"/>
      <c r="L2353" s="8"/>
      <c r="M2353" s="8"/>
      <c r="N2353" s="8"/>
      <c r="O2353" s="8"/>
      <c r="P2353" s="8"/>
      <c r="Q2353" s="8"/>
      <c r="R2353" s="8"/>
      <c r="S2353" s="8"/>
      <c r="T2353" s="8"/>
      <c r="U2353" s="8"/>
      <c r="V2353" s="8"/>
      <c r="W2353" s="8"/>
      <c r="X2353" s="771"/>
      <c r="Y2353" s="771"/>
      <c r="Z2353" s="771"/>
      <c r="AA2353" s="771"/>
      <c r="AB2353" s="771"/>
      <c r="AC2353" s="771"/>
      <c r="AD2353" s="771"/>
      <c r="AE2353" s="771"/>
      <c r="AF2353" s="771"/>
      <c r="AG2353" s="771"/>
      <c r="AH2353" s="771"/>
      <c r="AI2353" s="771"/>
      <c r="AJ2353" s="771"/>
      <c r="AK2353" s="771"/>
      <c r="AL2353" s="771"/>
      <c r="AM2353" s="771"/>
      <c r="AN2353" s="771"/>
      <c r="AO2353" s="771"/>
      <c r="AP2353" s="771"/>
      <c r="AQ2353" s="771"/>
      <c r="AR2353" s="771"/>
      <c r="AS2353" s="771"/>
      <c r="AT2353" s="771"/>
      <c r="AU2353" s="771"/>
    </row>
    <row r="2354" spans="1:47" s="1420" customFormat="1" outlineLevel="1" x14ac:dyDescent="0.2">
      <c r="A2354" s="8"/>
      <c r="B2354" s="8"/>
      <c r="C2354" s="1989" t="s">
        <v>6823</v>
      </c>
      <c r="D2354" s="1989" t="s">
        <v>7950</v>
      </c>
      <c r="E2354" s="1989">
        <v>0</v>
      </c>
      <c r="F2354" s="38">
        <f t="shared" si="36"/>
        <v>0</v>
      </c>
      <c r="G2354" s="1547"/>
      <c r="H2354" s="8"/>
      <c r="I2354" s="8"/>
      <c r="J2354" s="8"/>
      <c r="K2354" s="8"/>
      <c r="L2354" s="8"/>
      <c r="M2354" s="8"/>
      <c r="N2354" s="8"/>
      <c r="O2354" s="8"/>
      <c r="P2354" s="8"/>
      <c r="Q2354" s="8"/>
      <c r="R2354" s="8"/>
      <c r="S2354" s="8"/>
      <c r="T2354" s="8"/>
      <c r="U2354" s="8"/>
      <c r="V2354" s="8"/>
      <c r="W2354" s="8"/>
      <c r="X2354" s="771"/>
      <c r="Y2354" s="771"/>
      <c r="Z2354" s="771"/>
      <c r="AA2354" s="771"/>
      <c r="AB2354" s="771"/>
      <c r="AC2354" s="771"/>
      <c r="AD2354" s="771"/>
      <c r="AE2354" s="771"/>
      <c r="AF2354" s="771"/>
      <c r="AG2354" s="771"/>
      <c r="AH2354" s="771"/>
      <c r="AI2354" s="771"/>
      <c r="AJ2354" s="771"/>
      <c r="AK2354" s="771"/>
      <c r="AL2354" s="771"/>
      <c r="AM2354" s="771"/>
      <c r="AN2354" s="771"/>
      <c r="AO2354" s="771"/>
      <c r="AP2354" s="771"/>
      <c r="AQ2354" s="771"/>
      <c r="AR2354" s="771"/>
      <c r="AS2354" s="771"/>
      <c r="AT2354" s="771"/>
      <c r="AU2354" s="771"/>
    </row>
    <row r="2355" spans="1:47" s="1420" customFormat="1" outlineLevel="1" x14ac:dyDescent="0.2">
      <c r="A2355" s="8"/>
      <c r="B2355" s="8"/>
      <c r="C2355" s="1989" t="s">
        <v>4138</v>
      </c>
      <c r="D2355" s="1989" t="s">
        <v>6236</v>
      </c>
      <c r="E2355" s="1989">
        <v>0</v>
      </c>
      <c r="F2355" s="38">
        <f t="shared" si="36"/>
        <v>0</v>
      </c>
      <c r="G2355" s="1547"/>
      <c r="H2355" s="8"/>
      <c r="I2355" s="8"/>
      <c r="J2355" s="8"/>
      <c r="K2355" s="8"/>
      <c r="L2355" s="8"/>
      <c r="M2355" s="8"/>
      <c r="N2355" s="8"/>
      <c r="O2355" s="8"/>
      <c r="P2355" s="8"/>
      <c r="Q2355" s="8"/>
      <c r="R2355" s="8"/>
      <c r="S2355" s="8"/>
      <c r="T2355" s="8"/>
      <c r="U2355" s="8"/>
      <c r="V2355" s="8"/>
      <c r="W2355" s="8"/>
      <c r="X2355" s="771"/>
      <c r="Y2355" s="771"/>
      <c r="Z2355" s="771"/>
      <c r="AA2355" s="771"/>
      <c r="AB2355" s="771"/>
      <c r="AC2355" s="771"/>
      <c r="AD2355" s="771"/>
      <c r="AE2355" s="771"/>
      <c r="AF2355" s="771"/>
      <c r="AG2355" s="771"/>
      <c r="AH2355" s="771"/>
      <c r="AI2355" s="771"/>
      <c r="AJ2355" s="771"/>
      <c r="AK2355" s="771"/>
      <c r="AL2355" s="771"/>
      <c r="AM2355" s="771"/>
      <c r="AN2355" s="771"/>
      <c r="AO2355" s="771"/>
      <c r="AP2355" s="771"/>
      <c r="AQ2355" s="771"/>
      <c r="AR2355" s="771"/>
      <c r="AS2355" s="771"/>
      <c r="AT2355" s="771"/>
      <c r="AU2355" s="771"/>
    </row>
    <row r="2356" spans="1:47" s="1420" customFormat="1" outlineLevel="1" x14ac:dyDescent="0.2">
      <c r="A2356" s="8"/>
      <c r="B2356" s="8"/>
      <c r="C2356" s="1989" t="s">
        <v>4139</v>
      </c>
      <c r="D2356" s="1989" t="s">
        <v>6237</v>
      </c>
      <c r="E2356" s="1989">
        <v>0</v>
      </c>
      <c r="F2356" s="38">
        <f t="shared" si="36"/>
        <v>0</v>
      </c>
      <c r="G2356" s="1547"/>
      <c r="H2356" s="8"/>
      <c r="I2356" s="8"/>
      <c r="J2356" s="8"/>
      <c r="K2356" s="8"/>
      <c r="L2356" s="8"/>
      <c r="M2356" s="8"/>
      <c r="N2356" s="8"/>
      <c r="O2356" s="8"/>
      <c r="P2356" s="8"/>
      <c r="Q2356" s="8"/>
      <c r="R2356" s="8"/>
      <c r="S2356" s="8"/>
      <c r="T2356" s="8"/>
      <c r="U2356" s="8"/>
      <c r="V2356" s="8"/>
      <c r="W2356" s="8"/>
      <c r="X2356" s="771"/>
      <c r="Y2356" s="771"/>
      <c r="Z2356" s="771"/>
      <c r="AA2356" s="771"/>
      <c r="AB2356" s="771"/>
      <c r="AC2356" s="771"/>
      <c r="AD2356" s="771"/>
      <c r="AE2356" s="771"/>
      <c r="AF2356" s="771"/>
      <c r="AG2356" s="771"/>
      <c r="AH2356" s="771"/>
      <c r="AI2356" s="771"/>
      <c r="AJ2356" s="771"/>
      <c r="AK2356" s="771"/>
      <c r="AL2356" s="771"/>
      <c r="AM2356" s="771"/>
      <c r="AN2356" s="771"/>
      <c r="AO2356" s="771"/>
      <c r="AP2356" s="771"/>
      <c r="AQ2356" s="771"/>
      <c r="AR2356" s="771"/>
      <c r="AS2356" s="771"/>
      <c r="AT2356" s="771"/>
      <c r="AU2356" s="771"/>
    </row>
    <row r="2357" spans="1:47" s="1420" customFormat="1" outlineLevel="1" x14ac:dyDescent="0.2">
      <c r="A2357" s="8"/>
      <c r="B2357" s="8"/>
      <c r="C2357" s="1989" t="s">
        <v>4140</v>
      </c>
      <c r="D2357" s="1989" t="s">
        <v>6238</v>
      </c>
      <c r="E2357" s="1989">
        <v>0</v>
      </c>
      <c r="F2357" s="38">
        <f t="shared" si="36"/>
        <v>0</v>
      </c>
      <c r="G2357" s="1547"/>
      <c r="H2357" s="8"/>
      <c r="I2357" s="8"/>
      <c r="J2357" s="8"/>
      <c r="K2357" s="8"/>
      <c r="L2357" s="8"/>
      <c r="M2357" s="8"/>
      <c r="N2357" s="8"/>
      <c r="O2357" s="8"/>
      <c r="P2357" s="8"/>
      <c r="Q2357" s="8"/>
      <c r="R2357" s="8"/>
      <c r="S2357" s="8"/>
      <c r="T2357" s="8"/>
      <c r="U2357" s="8"/>
      <c r="V2357" s="8"/>
      <c r="W2357" s="8"/>
      <c r="X2357" s="771"/>
      <c r="Y2357" s="771"/>
      <c r="Z2357" s="771"/>
      <c r="AA2357" s="771"/>
      <c r="AB2357" s="771"/>
      <c r="AC2357" s="771"/>
      <c r="AD2357" s="771"/>
      <c r="AE2357" s="771"/>
      <c r="AF2357" s="771"/>
      <c r="AG2357" s="771"/>
      <c r="AH2357" s="771"/>
      <c r="AI2357" s="771"/>
      <c r="AJ2357" s="771"/>
      <c r="AK2357" s="771"/>
      <c r="AL2357" s="771"/>
      <c r="AM2357" s="771"/>
      <c r="AN2357" s="771"/>
      <c r="AO2357" s="771"/>
      <c r="AP2357" s="771"/>
      <c r="AQ2357" s="771"/>
      <c r="AR2357" s="771"/>
      <c r="AS2357" s="771"/>
      <c r="AT2357" s="771"/>
      <c r="AU2357" s="771"/>
    </row>
    <row r="2358" spans="1:47" s="1420" customFormat="1" outlineLevel="1" x14ac:dyDescent="0.2">
      <c r="A2358" s="8"/>
      <c r="B2358" s="8"/>
      <c r="C2358" s="1989" t="s">
        <v>4141</v>
      </c>
      <c r="D2358" s="1989" t="s">
        <v>6239</v>
      </c>
      <c r="E2358" s="1989">
        <v>0</v>
      </c>
      <c r="F2358" s="38">
        <f t="shared" si="36"/>
        <v>0</v>
      </c>
      <c r="G2358" s="1547"/>
      <c r="H2358" s="8"/>
      <c r="I2358" s="8"/>
      <c r="J2358" s="8"/>
      <c r="K2358" s="8"/>
      <c r="L2358" s="8"/>
      <c r="M2358" s="8"/>
      <c r="N2358" s="8"/>
      <c r="O2358" s="8"/>
      <c r="P2358" s="8"/>
      <c r="Q2358" s="8"/>
      <c r="R2358" s="8"/>
      <c r="S2358" s="8"/>
      <c r="T2358" s="8"/>
      <c r="U2358" s="8"/>
      <c r="V2358" s="8"/>
      <c r="W2358" s="8"/>
      <c r="X2358" s="771"/>
      <c r="Y2358" s="771"/>
      <c r="Z2358" s="771"/>
      <c r="AA2358" s="771"/>
      <c r="AB2358" s="771"/>
      <c r="AC2358" s="771"/>
      <c r="AD2358" s="771"/>
      <c r="AE2358" s="771"/>
      <c r="AF2358" s="771"/>
      <c r="AG2358" s="771"/>
      <c r="AH2358" s="771"/>
      <c r="AI2358" s="771"/>
      <c r="AJ2358" s="771"/>
      <c r="AK2358" s="771"/>
      <c r="AL2358" s="771"/>
      <c r="AM2358" s="771"/>
      <c r="AN2358" s="771"/>
      <c r="AO2358" s="771"/>
      <c r="AP2358" s="771"/>
      <c r="AQ2358" s="771"/>
      <c r="AR2358" s="771"/>
      <c r="AS2358" s="771"/>
      <c r="AT2358" s="771"/>
      <c r="AU2358" s="771"/>
    </row>
    <row r="2359" spans="1:47" s="1420" customFormat="1" outlineLevel="1" x14ac:dyDescent="0.2">
      <c r="A2359" s="8"/>
      <c r="B2359" s="8"/>
      <c r="C2359" s="1989" t="s">
        <v>4142</v>
      </c>
      <c r="D2359" s="1989" t="s">
        <v>7951</v>
      </c>
      <c r="E2359" s="1989">
        <v>0</v>
      </c>
      <c r="F2359" s="38">
        <f t="shared" si="36"/>
        <v>0</v>
      </c>
      <c r="G2359" s="1547"/>
      <c r="H2359" s="8"/>
      <c r="I2359" s="8"/>
      <c r="J2359" s="8"/>
      <c r="K2359" s="8"/>
      <c r="L2359" s="8"/>
      <c r="M2359" s="8"/>
      <c r="N2359" s="8"/>
      <c r="O2359" s="8"/>
      <c r="P2359" s="8"/>
      <c r="Q2359" s="8"/>
      <c r="R2359" s="8"/>
      <c r="S2359" s="8"/>
      <c r="T2359" s="8"/>
      <c r="U2359" s="8"/>
      <c r="V2359" s="8"/>
      <c r="W2359" s="8"/>
      <c r="X2359" s="771"/>
      <c r="Y2359" s="771"/>
      <c r="Z2359" s="771"/>
      <c r="AA2359" s="771"/>
      <c r="AB2359" s="771"/>
      <c r="AC2359" s="771"/>
      <c r="AD2359" s="771"/>
      <c r="AE2359" s="771"/>
      <c r="AF2359" s="771"/>
      <c r="AG2359" s="771"/>
      <c r="AH2359" s="771"/>
      <c r="AI2359" s="771"/>
      <c r="AJ2359" s="771"/>
      <c r="AK2359" s="771"/>
      <c r="AL2359" s="771"/>
      <c r="AM2359" s="771"/>
      <c r="AN2359" s="771"/>
      <c r="AO2359" s="771"/>
      <c r="AP2359" s="771"/>
      <c r="AQ2359" s="771"/>
      <c r="AR2359" s="771"/>
      <c r="AS2359" s="771"/>
      <c r="AT2359" s="771"/>
      <c r="AU2359" s="771"/>
    </row>
    <row r="2360" spans="1:47" s="1420" customFormat="1" outlineLevel="1" x14ac:dyDescent="0.2">
      <c r="A2360" s="8"/>
      <c r="B2360" s="8"/>
      <c r="C2360" s="1989" t="s">
        <v>6824</v>
      </c>
      <c r="D2360" s="1989" t="s">
        <v>7952</v>
      </c>
      <c r="E2360" s="1989">
        <v>0</v>
      </c>
      <c r="F2360" s="38">
        <f t="shared" si="36"/>
        <v>0</v>
      </c>
      <c r="G2360" s="1547"/>
      <c r="H2360" s="8"/>
      <c r="I2360" s="8"/>
      <c r="J2360" s="8"/>
      <c r="K2360" s="8"/>
      <c r="L2360" s="8"/>
      <c r="M2360" s="8"/>
      <c r="N2360" s="8"/>
      <c r="O2360" s="8"/>
      <c r="P2360" s="8"/>
      <c r="Q2360" s="8"/>
      <c r="R2360" s="8"/>
      <c r="S2360" s="8"/>
      <c r="T2360" s="8"/>
      <c r="U2360" s="8"/>
      <c r="V2360" s="8"/>
      <c r="W2360" s="8"/>
      <c r="X2360" s="771"/>
      <c r="Y2360" s="771"/>
      <c r="Z2360" s="771"/>
      <c r="AA2360" s="771"/>
      <c r="AB2360" s="771"/>
      <c r="AC2360" s="771"/>
      <c r="AD2360" s="771"/>
      <c r="AE2360" s="771"/>
      <c r="AF2360" s="771"/>
      <c r="AG2360" s="771"/>
      <c r="AH2360" s="771"/>
      <c r="AI2360" s="771"/>
      <c r="AJ2360" s="771"/>
      <c r="AK2360" s="771"/>
      <c r="AL2360" s="771"/>
      <c r="AM2360" s="771"/>
      <c r="AN2360" s="771"/>
      <c r="AO2360" s="771"/>
      <c r="AP2360" s="771"/>
      <c r="AQ2360" s="771"/>
      <c r="AR2360" s="771"/>
      <c r="AS2360" s="771"/>
      <c r="AT2360" s="771"/>
      <c r="AU2360" s="771"/>
    </row>
    <row r="2361" spans="1:47" s="1420" customFormat="1" outlineLevel="1" x14ac:dyDescent="0.2">
      <c r="A2361" s="8"/>
      <c r="B2361" s="8"/>
      <c r="C2361" s="1989" t="s">
        <v>4143</v>
      </c>
      <c r="D2361" s="1989" t="s">
        <v>7953</v>
      </c>
      <c r="E2361" s="1989">
        <v>0</v>
      </c>
      <c r="F2361" s="38">
        <f t="shared" si="36"/>
        <v>0</v>
      </c>
      <c r="G2361" s="1547"/>
      <c r="H2361" s="8"/>
      <c r="I2361" s="8"/>
      <c r="J2361" s="8"/>
      <c r="K2361" s="8"/>
      <c r="L2361" s="8"/>
      <c r="M2361" s="8"/>
      <c r="N2361" s="8"/>
      <c r="O2361" s="8"/>
      <c r="P2361" s="8"/>
      <c r="Q2361" s="8"/>
      <c r="R2361" s="8"/>
      <c r="S2361" s="8"/>
      <c r="T2361" s="8"/>
      <c r="U2361" s="8"/>
      <c r="V2361" s="8"/>
      <c r="W2361" s="8"/>
      <c r="X2361" s="771"/>
      <c r="Y2361" s="771"/>
      <c r="Z2361" s="771"/>
      <c r="AA2361" s="771"/>
      <c r="AB2361" s="771"/>
      <c r="AC2361" s="771"/>
      <c r="AD2361" s="771"/>
      <c r="AE2361" s="771"/>
      <c r="AF2361" s="771"/>
      <c r="AG2361" s="771"/>
      <c r="AH2361" s="771"/>
      <c r="AI2361" s="771"/>
      <c r="AJ2361" s="771"/>
      <c r="AK2361" s="771"/>
      <c r="AL2361" s="771"/>
      <c r="AM2361" s="771"/>
      <c r="AN2361" s="771"/>
      <c r="AO2361" s="771"/>
      <c r="AP2361" s="771"/>
      <c r="AQ2361" s="771"/>
      <c r="AR2361" s="771"/>
      <c r="AS2361" s="771"/>
      <c r="AT2361" s="771"/>
      <c r="AU2361" s="771"/>
    </row>
    <row r="2362" spans="1:47" s="1420" customFormat="1" outlineLevel="1" x14ac:dyDescent="0.2">
      <c r="A2362" s="8"/>
      <c r="B2362" s="8"/>
      <c r="C2362" s="1989" t="s">
        <v>6825</v>
      </c>
      <c r="D2362" s="1989" t="s">
        <v>7954</v>
      </c>
      <c r="E2362" s="1989">
        <v>0</v>
      </c>
      <c r="F2362" s="38">
        <f t="shared" si="36"/>
        <v>0</v>
      </c>
      <c r="G2362" s="1547"/>
      <c r="H2362" s="8"/>
      <c r="I2362" s="8"/>
      <c r="J2362" s="8"/>
      <c r="K2362" s="8"/>
      <c r="L2362" s="8"/>
      <c r="M2362" s="8"/>
      <c r="N2362" s="8"/>
      <c r="O2362" s="8"/>
      <c r="P2362" s="8"/>
      <c r="Q2362" s="8"/>
      <c r="R2362" s="8"/>
      <c r="S2362" s="8"/>
      <c r="T2362" s="8"/>
      <c r="U2362" s="8"/>
      <c r="V2362" s="8"/>
      <c r="W2362" s="8"/>
      <c r="X2362" s="771"/>
      <c r="Y2362" s="771"/>
      <c r="Z2362" s="771"/>
      <c r="AA2362" s="771"/>
      <c r="AB2362" s="771"/>
      <c r="AC2362" s="771"/>
      <c r="AD2362" s="771"/>
      <c r="AE2362" s="771"/>
      <c r="AF2362" s="771"/>
      <c r="AG2362" s="771"/>
      <c r="AH2362" s="771"/>
      <c r="AI2362" s="771"/>
      <c r="AJ2362" s="771"/>
      <c r="AK2362" s="771"/>
      <c r="AL2362" s="771"/>
      <c r="AM2362" s="771"/>
      <c r="AN2362" s="771"/>
      <c r="AO2362" s="771"/>
      <c r="AP2362" s="771"/>
      <c r="AQ2362" s="771"/>
      <c r="AR2362" s="771"/>
      <c r="AS2362" s="771"/>
      <c r="AT2362" s="771"/>
      <c r="AU2362" s="771"/>
    </row>
    <row r="2363" spans="1:47" outlineLevel="1" x14ac:dyDescent="0.2">
      <c r="C2363" s="1989" t="s">
        <v>4144</v>
      </c>
      <c r="D2363" s="1989" t="s">
        <v>7955</v>
      </c>
      <c r="E2363" s="1989">
        <v>0</v>
      </c>
      <c r="F2363" s="38">
        <f t="shared" si="36"/>
        <v>0</v>
      </c>
      <c r="G2363" s="1547"/>
    </row>
    <row r="2364" spans="1:47" outlineLevel="1" x14ac:dyDescent="0.2">
      <c r="C2364" s="1989" t="s">
        <v>6826</v>
      </c>
      <c r="D2364" s="1989" t="s">
        <v>7956</v>
      </c>
      <c r="E2364" s="1989">
        <v>0</v>
      </c>
      <c r="F2364" s="38">
        <f t="shared" si="36"/>
        <v>0</v>
      </c>
      <c r="G2364" s="1547"/>
    </row>
    <row r="2365" spans="1:47" outlineLevel="1" x14ac:dyDescent="0.2">
      <c r="C2365" s="1989" t="s">
        <v>4145</v>
      </c>
      <c r="D2365" s="1989" t="s">
        <v>7957</v>
      </c>
      <c r="E2365" s="1989">
        <v>0</v>
      </c>
      <c r="F2365" s="38">
        <f t="shared" si="36"/>
        <v>0</v>
      </c>
      <c r="G2365" s="1547"/>
    </row>
    <row r="2366" spans="1:47" outlineLevel="1" x14ac:dyDescent="0.2">
      <c r="C2366" s="1989" t="s">
        <v>6827</v>
      </c>
      <c r="D2366" s="1989" t="s">
        <v>7958</v>
      </c>
      <c r="E2366" s="1989">
        <v>0</v>
      </c>
      <c r="F2366" s="38">
        <f t="shared" si="36"/>
        <v>0</v>
      </c>
      <c r="G2366" s="1547"/>
    </row>
    <row r="2367" spans="1:47" outlineLevel="1" x14ac:dyDescent="0.2">
      <c r="C2367" s="1989" t="s">
        <v>4146</v>
      </c>
      <c r="D2367" s="1989" t="s">
        <v>7959</v>
      </c>
      <c r="E2367" s="1989">
        <v>0</v>
      </c>
      <c r="F2367" s="38">
        <f t="shared" si="36"/>
        <v>0</v>
      </c>
      <c r="G2367" s="1547"/>
    </row>
    <row r="2368" spans="1:47" outlineLevel="1" x14ac:dyDescent="0.2">
      <c r="C2368" s="1989" t="s">
        <v>6828</v>
      </c>
      <c r="D2368" s="1989" t="s">
        <v>7960</v>
      </c>
      <c r="E2368" s="1989">
        <v>0</v>
      </c>
      <c r="F2368" s="38">
        <f t="shared" si="36"/>
        <v>0</v>
      </c>
      <c r="G2368" s="1547"/>
    </row>
    <row r="2369" spans="1:47" s="1420" customFormat="1" outlineLevel="1" x14ac:dyDescent="0.2">
      <c r="A2369" s="8"/>
      <c r="B2369" s="8"/>
      <c r="C2369" s="1989" t="s">
        <v>4147</v>
      </c>
      <c r="D2369" s="1989" t="s">
        <v>7961</v>
      </c>
      <c r="E2369" s="1989">
        <v>0</v>
      </c>
      <c r="F2369" s="38">
        <f t="shared" si="36"/>
        <v>0</v>
      </c>
      <c r="G2369" s="1547"/>
      <c r="H2369" s="8"/>
      <c r="I2369" s="8"/>
      <c r="J2369" s="8"/>
      <c r="K2369" s="8"/>
      <c r="L2369" s="8"/>
      <c r="M2369" s="8"/>
      <c r="N2369" s="8"/>
      <c r="O2369" s="8"/>
      <c r="P2369" s="8"/>
      <c r="Q2369" s="8"/>
      <c r="R2369" s="8"/>
      <c r="S2369" s="8"/>
      <c r="T2369" s="8"/>
      <c r="U2369" s="8"/>
      <c r="V2369" s="8"/>
      <c r="W2369" s="8"/>
      <c r="X2369" s="771"/>
      <c r="Y2369" s="771"/>
      <c r="Z2369" s="771"/>
      <c r="AA2369" s="771"/>
      <c r="AB2369" s="771"/>
      <c r="AC2369" s="771"/>
      <c r="AD2369" s="771"/>
      <c r="AE2369" s="771"/>
      <c r="AF2369" s="771"/>
      <c r="AG2369" s="771"/>
      <c r="AH2369" s="771"/>
      <c r="AI2369" s="771"/>
      <c r="AJ2369" s="771"/>
      <c r="AK2369" s="771"/>
      <c r="AL2369" s="771"/>
      <c r="AM2369" s="771"/>
      <c r="AN2369" s="771"/>
      <c r="AO2369" s="771"/>
      <c r="AP2369" s="771"/>
      <c r="AQ2369" s="771"/>
      <c r="AR2369" s="771"/>
      <c r="AS2369" s="771"/>
      <c r="AT2369" s="771"/>
      <c r="AU2369" s="771"/>
    </row>
    <row r="2370" spans="1:47" s="1420" customFormat="1" outlineLevel="1" x14ac:dyDescent="0.2">
      <c r="A2370" s="8"/>
      <c r="B2370" s="8"/>
      <c r="C2370" s="1989" t="s">
        <v>6829</v>
      </c>
      <c r="D2370" s="1989" t="s">
        <v>7962</v>
      </c>
      <c r="E2370" s="1989">
        <v>0</v>
      </c>
      <c r="F2370" s="38">
        <f t="shared" si="36"/>
        <v>0</v>
      </c>
      <c r="G2370" s="1547"/>
      <c r="H2370" s="8"/>
      <c r="I2370" s="8"/>
      <c r="J2370" s="8"/>
      <c r="K2370" s="8"/>
      <c r="L2370" s="8"/>
      <c r="M2370" s="8"/>
      <c r="N2370" s="8"/>
      <c r="O2370" s="8"/>
      <c r="P2370" s="8"/>
      <c r="Q2370" s="8"/>
      <c r="R2370" s="8"/>
      <c r="S2370" s="8"/>
      <c r="T2370" s="8"/>
      <c r="U2370" s="8"/>
      <c r="V2370" s="8"/>
      <c r="W2370" s="8"/>
      <c r="X2370" s="771"/>
      <c r="Y2370" s="771"/>
      <c r="Z2370" s="771"/>
      <c r="AA2370" s="771"/>
      <c r="AB2370" s="771"/>
      <c r="AC2370" s="771"/>
      <c r="AD2370" s="771"/>
      <c r="AE2370" s="771"/>
      <c r="AF2370" s="771"/>
      <c r="AG2370" s="771"/>
      <c r="AH2370" s="771"/>
      <c r="AI2370" s="771"/>
      <c r="AJ2370" s="771"/>
      <c r="AK2370" s="771"/>
      <c r="AL2370" s="771"/>
      <c r="AM2370" s="771"/>
      <c r="AN2370" s="771"/>
      <c r="AO2370" s="771"/>
      <c r="AP2370" s="771"/>
      <c r="AQ2370" s="771"/>
      <c r="AR2370" s="771"/>
      <c r="AS2370" s="771"/>
      <c r="AT2370" s="771"/>
      <c r="AU2370" s="771"/>
    </row>
    <row r="2371" spans="1:47" s="1420" customFormat="1" outlineLevel="1" x14ac:dyDescent="0.2">
      <c r="A2371" s="8"/>
      <c r="B2371" s="8"/>
      <c r="C2371" s="1989" t="s">
        <v>4148</v>
      </c>
      <c r="D2371" s="1989" t="s">
        <v>7963</v>
      </c>
      <c r="E2371" s="1989">
        <v>0</v>
      </c>
      <c r="F2371" s="38">
        <f t="shared" si="36"/>
        <v>0</v>
      </c>
      <c r="G2371" s="1547"/>
      <c r="H2371" s="8"/>
      <c r="I2371" s="8"/>
      <c r="J2371" s="8"/>
      <c r="K2371" s="8"/>
      <c r="L2371" s="8"/>
      <c r="M2371" s="8"/>
      <c r="N2371" s="8"/>
      <c r="O2371" s="8"/>
      <c r="P2371" s="8"/>
      <c r="Q2371" s="8"/>
      <c r="R2371" s="8"/>
      <c r="S2371" s="8"/>
      <c r="T2371" s="8"/>
      <c r="U2371" s="8"/>
      <c r="V2371" s="8"/>
      <c r="W2371" s="8"/>
      <c r="X2371" s="771"/>
      <c r="Y2371" s="771"/>
      <c r="Z2371" s="771"/>
      <c r="AA2371" s="771"/>
      <c r="AB2371" s="771"/>
      <c r="AC2371" s="771"/>
      <c r="AD2371" s="771"/>
      <c r="AE2371" s="771"/>
      <c r="AF2371" s="771"/>
      <c r="AG2371" s="771"/>
      <c r="AH2371" s="771"/>
      <c r="AI2371" s="771"/>
      <c r="AJ2371" s="771"/>
      <c r="AK2371" s="771"/>
      <c r="AL2371" s="771"/>
      <c r="AM2371" s="771"/>
      <c r="AN2371" s="771"/>
      <c r="AO2371" s="771"/>
      <c r="AP2371" s="771"/>
      <c r="AQ2371" s="771"/>
      <c r="AR2371" s="771"/>
      <c r="AS2371" s="771"/>
      <c r="AT2371" s="771"/>
      <c r="AU2371" s="771"/>
    </row>
    <row r="2372" spans="1:47" s="1420" customFormat="1" outlineLevel="1" x14ac:dyDescent="0.2">
      <c r="A2372" s="8"/>
      <c r="B2372" s="8"/>
      <c r="C2372" s="1989" t="s">
        <v>6830</v>
      </c>
      <c r="D2372" s="1989" t="s">
        <v>7964</v>
      </c>
      <c r="E2372" s="1989">
        <v>0</v>
      </c>
      <c r="F2372" s="38">
        <f t="shared" si="36"/>
        <v>0</v>
      </c>
      <c r="G2372" s="1547"/>
      <c r="H2372" s="8"/>
      <c r="I2372" s="8"/>
      <c r="J2372" s="8"/>
      <c r="K2372" s="8"/>
      <c r="L2372" s="8"/>
      <c r="M2372" s="8"/>
      <c r="N2372" s="8"/>
      <c r="O2372" s="8"/>
      <c r="P2372" s="8"/>
      <c r="Q2372" s="8"/>
      <c r="R2372" s="8"/>
      <c r="S2372" s="8"/>
      <c r="T2372" s="8"/>
      <c r="U2372" s="8"/>
      <c r="V2372" s="8"/>
      <c r="W2372" s="8"/>
      <c r="X2372" s="771"/>
      <c r="Y2372" s="771"/>
      <c r="Z2372" s="771"/>
      <c r="AA2372" s="771"/>
      <c r="AB2372" s="771"/>
      <c r="AC2372" s="771"/>
      <c r="AD2372" s="771"/>
      <c r="AE2372" s="771"/>
      <c r="AF2372" s="771"/>
      <c r="AG2372" s="771"/>
      <c r="AH2372" s="771"/>
      <c r="AI2372" s="771"/>
      <c r="AJ2372" s="771"/>
      <c r="AK2372" s="771"/>
      <c r="AL2372" s="771"/>
      <c r="AM2372" s="771"/>
      <c r="AN2372" s="771"/>
      <c r="AO2372" s="771"/>
      <c r="AP2372" s="771"/>
      <c r="AQ2372" s="771"/>
      <c r="AR2372" s="771"/>
      <c r="AS2372" s="771"/>
      <c r="AT2372" s="771"/>
      <c r="AU2372" s="771"/>
    </row>
    <row r="2373" spans="1:47" s="1420" customFormat="1" outlineLevel="1" x14ac:dyDescent="0.2">
      <c r="A2373" s="8"/>
      <c r="B2373" s="8"/>
      <c r="C2373" s="1989" t="s">
        <v>4149</v>
      </c>
      <c r="D2373" s="1989" t="s">
        <v>7965</v>
      </c>
      <c r="E2373" s="1989">
        <v>0</v>
      </c>
      <c r="F2373" s="38">
        <f t="shared" si="36"/>
        <v>0</v>
      </c>
      <c r="G2373" s="1547"/>
      <c r="H2373" s="8"/>
      <c r="I2373" s="8"/>
      <c r="J2373" s="8"/>
      <c r="K2373" s="8"/>
      <c r="L2373" s="8"/>
      <c r="M2373" s="8"/>
      <c r="N2373" s="8"/>
      <c r="O2373" s="8"/>
      <c r="P2373" s="8"/>
      <c r="Q2373" s="8"/>
      <c r="R2373" s="8"/>
      <c r="S2373" s="8"/>
      <c r="T2373" s="8"/>
      <c r="U2373" s="8"/>
      <c r="V2373" s="8"/>
      <c r="W2373" s="8"/>
      <c r="X2373" s="771"/>
      <c r="Y2373" s="771"/>
      <c r="Z2373" s="771"/>
      <c r="AA2373" s="771"/>
      <c r="AB2373" s="771"/>
      <c r="AC2373" s="771"/>
      <c r="AD2373" s="771"/>
      <c r="AE2373" s="771"/>
      <c r="AF2373" s="771"/>
      <c r="AG2373" s="771"/>
      <c r="AH2373" s="771"/>
      <c r="AI2373" s="771"/>
      <c r="AJ2373" s="771"/>
      <c r="AK2373" s="771"/>
      <c r="AL2373" s="771"/>
      <c r="AM2373" s="771"/>
      <c r="AN2373" s="771"/>
      <c r="AO2373" s="771"/>
      <c r="AP2373" s="771"/>
      <c r="AQ2373" s="771"/>
      <c r="AR2373" s="771"/>
      <c r="AS2373" s="771"/>
      <c r="AT2373" s="771"/>
      <c r="AU2373" s="771"/>
    </row>
    <row r="2374" spans="1:47" s="1420" customFormat="1" outlineLevel="1" x14ac:dyDescent="0.2">
      <c r="A2374" s="8"/>
      <c r="B2374" s="8"/>
      <c r="C2374" s="1989" t="s">
        <v>6831</v>
      </c>
      <c r="D2374" s="1989" t="s">
        <v>7966</v>
      </c>
      <c r="E2374" s="1989">
        <v>0</v>
      </c>
      <c r="F2374" s="38">
        <f t="shared" si="36"/>
        <v>0</v>
      </c>
      <c r="G2374" s="1547"/>
      <c r="H2374" s="8"/>
      <c r="I2374" s="8"/>
      <c r="J2374" s="8"/>
      <c r="K2374" s="8"/>
      <c r="L2374" s="8"/>
      <c r="M2374" s="8"/>
      <c r="N2374" s="8"/>
      <c r="O2374" s="8"/>
      <c r="P2374" s="8"/>
      <c r="Q2374" s="8"/>
      <c r="R2374" s="8"/>
      <c r="S2374" s="8"/>
      <c r="T2374" s="8"/>
      <c r="U2374" s="8"/>
      <c r="V2374" s="8"/>
      <c r="W2374" s="8"/>
      <c r="X2374" s="771"/>
      <c r="Y2374" s="771"/>
      <c r="Z2374" s="771"/>
      <c r="AA2374" s="771"/>
      <c r="AB2374" s="771"/>
      <c r="AC2374" s="771"/>
      <c r="AD2374" s="771"/>
      <c r="AE2374" s="771"/>
      <c r="AF2374" s="771"/>
      <c r="AG2374" s="771"/>
      <c r="AH2374" s="771"/>
      <c r="AI2374" s="771"/>
      <c r="AJ2374" s="771"/>
      <c r="AK2374" s="771"/>
      <c r="AL2374" s="771"/>
      <c r="AM2374" s="771"/>
      <c r="AN2374" s="771"/>
      <c r="AO2374" s="771"/>
      <c r="AP2374" s="771"/>
      <c r="AQ2374" s="771"/>
      <c r="AR2374" s="771"/>
      <c r="AS2374" s="771"/>
      <c r="AT2374" s="771"/>
      <c r="AU2374" s="771"/>
    </row>
    <row r="2375" spans="1:47" s="1420" customFormat="1" outlineLevel="1" x14ac:dyDescent="0.2">
      <c r="A2375" s="8"/>
      <c r="B2375" s="8"/>
      <c r="C2375" s="1989" t="s">
        <v>4150</v>
      </c>
      <c r="D2375" s="1989" t="s">
        <v>6240</v>
      </c>
      <c r="E2375" s="1989">
        <v>0</v>
      </c>
      <c r="F2375" s="38">
        <f t="shared" si="36"/>
        <v>0</v>
      </c>
      <c r="G2375" s="1547"/>
      <c r="H2375" s="8"/>
      <c r="I2375" s="8"/>
      <c r="J2375" s="8"/>
      <c r="K2375" s="8"/>
      <c r="L2375" s="8"/>
      <c r="M2375" s="8"/>
      <c r="N2375" s="8"/>
      <c r="O2375" s="8"/>
      <c r="P2375" s="8"/>
      <c r="Q2375" s="8"/>
      <c r="R2375" s="8"/>
      <c r="S2375" s="8"/>
      <c r="T2375" s="8"/>
      <c r="U2375" s="8"/>
      <c r="V2375" s="8"/>
      <c r="W2375" s="8"/>
      <c r="X2375" s="771"/>
      <c r="Y2375" s="771"/>
      <c r="Z2375" s="771"/>
      <c r="AA2375" s="771"/>
      <c r="AB2375" s="771"/>
      <c r="AC2375" s="771"/>
      <c r="AD2375" s="771"/>
      <c r="AE2375" s="771"/>
      <c r="AF2375" s="771"/>
      <c r="AG2375" s="771"/>
      <c r="AH2375" s="771"/>
      <c r="AI2375" s="771"/>
      <c r="AJ2375" s="771"/>
      <c r="AK2375" s="771"/>
      <c r="AL2375" s="771"/>
      <c r="AM2375" s="771"/>
      <c r="AN2375" s="771"/>
      <c r="AO2375" s="771"/>
      <c r="AP2375" s="771"/>
      <c r="AQ2375" s="771"/>
      <c r="AR2375" s="771"/>
      <c r="AS2375" s="771"/>
      <c r="AT2375" s="771"/>
      <c r="AU2375" s="771"/>
    </row>
    <row r="2376" spans="1:47" s="1420" customFormat="1" outlineLevel="1" x14ac:dyDescent="0.2">
      <c r="A2376" s="8"/>
      <c r="B2376" s="8"/>
      <c r="C2376" s="1989" t="s">
        <v>4151</v>
      </c>
      <c r="D2376" s="1989" t="s">
        <v>6241</v>
      </c>
      <c r="E2376" s="1989">
        <v>0</v>
      </c>
      <c r="F2376" s="38">
        <f t="shared" ref="F2376:F2439" si="37">E2376*$G$4*$J$4</f>
        <v>0</v>
      </c>
      <c r="G2376" s="1547"/>
      <c r="H2376" s="8"/>
      <c r="I2376" s="8"/>
      <c r="J2376" s="8"/>
      <c r="K2376" s="8"/>
      <c r="L2376" s="8"/>
      <c r="M2376" s="8"/>
      <c r="N2376" s="8"/>
      <c r="O2376" s="8"/>
      <c r="P2376" s="8"/>
      <c r="Q2376" s="8"/>
      <c r="R2376" s="8"/>
      <c r="S2376" s="8"/>
      <c r="T2376" s="8"/>
      <c r="U2376" s="8"/>
      <c r="V2376" s="8"/>
      <c r="W2376" s="8"/>
      <c r="X2376" s="771"/>
      <c r="Y2376" s="771"/>
      <c r="Z2376" s="771"/>
      <c r="AA2376" s="771"/>
      <c r="AB2376" s="771"/>
      <c r="AC2376" s="771"/>
      <c r="AD2376" s="771"/>
      <c r="AE2376" s="771"/>
      <c r="AF2376" s="771"/>
      <c r="AG2376" s="771"/>
      <c r="AH2376" s="771"/>
      <c r="AI2376" s="771"/>
      <c r="AJ2376" s="771"/>
      <c r="AK2376" s="771"/>
      <c r="AL2376" s="771"/>
      <c r="AM2376" s="771"/>
      <c r="AN2376" s="771"/>
      <c r="AO2376" s="771"/>
      <c r="AP2376" s="771"/>
      <c r="AQ2376" s="771"/>
      <c r="AR2376" s="771"/>
      <c r="AS2376" s="771"/>
      <c r="AT2376" s="771"/>
      <c r="AU2376" s="771"/>
    </row>
    <row r="2377" spans="1:47" s="1420" customFormat="1" outlineLevel="1" x14ac:dyDescent="0.2">
      <c r="A2377" s="8"/>
      <c r="B2377" s="8"/>
      <c r="C2377" s="1989" t="s">
        <v>4152</v>
      </c>
      <c r="D2377" s="1989" t="s">
        <v>6242</v>
      </c>
      <c r="E2377" s="1989">
        <v>0</v>
      </c>
      <c r="F2377" s="38">
        <f t="shared" si="37"/>
        <v>0</v>
      </c>
      <c r="G2377" s="1547"/>
      <c r="H2377" s="8"/>
      <c r="I2377" s="8"/>
      <c r="J2377" s="8"/>
      <c r="K2377" s="8"/>
      <c r="L2377" s="8"/>
      <c r="M2377" s="8"/>
      <c r="N2377" s="8"/>
      <c r="O2377" s="8"/>
      <c r="P2377" s="8"/>
      <c r="Q2377" s="8"/>
      <c r="R2377" s="8"/>
      <c r="S2377" s="8"/>
      <c r="T2377" s="8"/>
      <c r="U2377" s="8"/>
      <c r="V2377" s="8"/>
      <c r="W2377" s="8"/>
      <c r="X2377" s="771"/>
      <c r="Y2377" s="771"/>
      <c r="Z2377" s="771"/>
      <c r="AA2377" s="771"/>
      <c r="AB2377" s="771"/>
      <c r="AC2377" s="771"/>
      <c r="AD2377" s="771"/>
      <c r="AE2377" s="771"/>
      <c r="AF2377" s="771"/>
      <c r="AG2377" s="771"/>
      <c r="AH2377" s="771"/>
      <c r="AI2377" s="771"/>
      <c r="AJ2377" s="771"/>
      <c r="AK2377" s="771"/>
      <c r="AL2377" s="771"/>
      <c r="AM2377" s="771"/>
      <c r="AN2377" s="771"/>
      <c r="AO2377" s="771"/>
      <c r="AP2377" s="771"/>
      <c r="AQ2377" s="771"/>
      <c r="AR2377" s="771"/>
      <c r="AS2377" s="771"/>
      <c r="AT2377" s="771"/>
      <c r="AU2377" s="771"/>
    </row>
    <row r="2378" spans="1:47" s="1420" customFormat="1" outlineLevel="1" x14ac:dyDescent="0.2">
      <c r="A2378" s="8"/>
      <c r="B2378" s="8"/>
      <c r="C2378" s="1989" t="s">
        <v>4153</v>
      </c>
      <c r="D2378" s="1989" t="s">
        <v>6243</v>
      </c>
      <c r="E2378" s="1989">
        <v>0</v>
      </c>
      <c r="F2378" s="38">
        <f t="shared" si="37"/>
        <v>0</v>
      </c>
      <c r="G2378" s="1547"/>
      <c r="H2378" s="8"/>
      <c r="I2378" s="8"/>
      <c r="J2378" s="8"/>
      <c r="K2378" s="8"/>
      <c r="L2378" s="8"/>
      <c r="M2378" s="8"/>
      <c r="N2378" s="8"/>
      <c r="O2378" s="8"/>
      <c r="P2378" s="8"/>
      <c r="Q2378" s="8"/>
      <c r="R2378" s="8"/>
      <c r="S2378" s="8"/>
      <c r="T2378" s="8"/>
      <c r="U2378" s="8"/>
      <c r="V2378" s="8"/>
      <c r="W2378" s="8"/>
      <c r="X2378" s="771"/>
      <c r="Y2378" s="771"/>
      <c r="Z2378" s="771"/>
      <c r="AA2378" s="771"/>
      <c r="AB2378" s="771"/>
      <c r="AC2378" s="771"/>
      <c r="AD2378" s="771"/>
      <c r="AE2378" s="771"/>
      <c r="AF2378" s="771"/>
      <c r="AG2378" s="771"/>
      <c r="AH2378" s="771"/>
      <c r="AI2378" s="771"/>
      <c r="AJ2378" s="771"/>
      <c r="AK2378" s="771"/>
      <c r="AL2378" s="771"/>
      <c r="AM2378" s="771"/>
      <c r="AN2378" s="771"/>
      <c r="AO2378" s="771"/>
      <c r="AP2378" s="771"/>
      <c r="AQ2378" s="771"/>
      <c r="AR2378" s="771"/>
      <c r="AS2378" s="771"/>
      <c r="AT2378" s="771"/>
      <c r="AU2378" s="771"/>
    </row>
    <row r="2379" spans="1:47" s="1420" customFormat="1" outlineLevel="1" x14ac:dyDescent="0.2">
      <c r="A2379" s="8"/>
      <c r="B2379" s="8"/>
      <c r="C2379" s="1989" t="s">
        <v>4154</v>
      </c>
      <c r="D2379" s="1989" t="s">
        <v>7967</v>
      </c>
      <c r="E2379" s="1989">
        <v>0</v>
      </c>
      <c r="F2379" s="38">
        <f t="shared" si="37"/>
        <v>0</v>
      </c>
      <c r="G2379" s="1547"/>
      <c r="H2379" s="8"/>
      <c r="I2379" s="8"/>
      <c r="J2379" s="8"/>
      <c r="K2379" s="8"/>
      <c r="L2379" s="8"/>
      <c r="M2379" s="8"/>
      <c r="N2379" s="8"/>
      <c r="O2379" s="8"/>
      <c r="P2379" s="8"/>
      <c r="Q2379" s="8"/>
      <c r="R2379" s="8"/>
      <c r="S2379" s="8"/>
      <c r="T2379" s="8"/>
      <c r="U2379" s="8"/>
      <c r="V2379" s="8"/>
      <c r="W2379" s="8"/>
      <c r="X2379" s="771"/>
      <c r="Y2379" s="771"/>
      <c r="Z2379" s="771"/>
      <c r="AA2379" s="771"/>
      <c r="AB2379" s="771"/>
      <c r="AC2379" s="771"/>
      <c r="AD2379" s="771"/>
      <c r="AE2379" s="771"/>
      <c r="AF2379" s="771"/>
      <c r="AG2379" s="771"/>
      <c r="AH2379" s="771"/>
      <c r="AI2379" s="771"/>
      <c r="AJ2379" s="771"/>
      <c r="AK2379" s="771"/>
      <c r="AL2379" s="771"/>
      <c r="AM2379" s="771"/>
      <c r="AN2379" s="771"/>
      <c r="AO2379" s="771"/>
      <c r="AP2379" s="771"/>
      <c r="AQ2379" s="771"/>
      <c r="AR2379" s="771"/>
      <c r="AS2379" s="771"/>
      <c r="AT2379" s="771"/>
      <c r="AU2379" s="771"/>
    </row>
    <row r="2380" spans="1:47" s="1420" customFormat="1" outlineLevel="1" x14ac:dyDescent="0.2">
      <c r="A2380" s="8"/>
      <c r="B2380" s="8"/>
      <c r="C2380" s="1989" t="s">
        <v>6832</v>
      </c>
      <c r="D2380" s="1989" t="s">
        <v>7968</v>
      </c>
      <c r="E2380" s="1989">
        <v>0</v>
      </c>
      <c r="F2380" s="38">
        <f t="shared" si="37"/>
        <v>0</v>
      </c>
      <c r="G2380" s="1547"/>
      <c r="H2380" s="8"/>
      <c r="I2380" s="8"/>
      <c r="J2380" s="8"/>
      <c r="K2380" s="8"/>
      <c r="L2380" s="8"/>
      <c r="M2380" s="8"/>
      <c r="N2380" s="8"/>
      <c r="O2380" s="8"/>
      <c r="P2380" s="8"/>
      <c r="Q2380" s="8"/>
      <c r="R2380" s="8"/>
      <c r="S2380" s="8"/>
      <c r="T2380" s="8"/>
      <c r="U2380" s="8"/>
      <c r="V2380" s="8"/>
      <c r="W2380" s="8"/>
      <c r="X2380" s="771"/>
      <c r="Y2380" s="771"/>
      <c r="Z2380" s="771"/>
      <c r="AA2380" s="771"/>
      <c r="AB2380" s="771"/>
      <c r="AC2380" s="771"/>
      <c r="AD2380" s="771"/>
      <c r="AE2380" s="771"/>
      <c r="AF2380" s="771"/>
      <c r="AG2380" s="771"/>
      <c r="AH2380" s="771"/>
      <c r="AI2380" s="771"/>
      <c r="AJ2380" s="771"/>
      <c r="AK2380" s="771"/>
      <c r="AL2380" s="771"/>
      <c r="AM2380" s="771"/>
      <c r="AN2380" s="771"/>
      <c r="AO2380" s="771"/>
      <c r="AP2380" s="771"/>
      <c r="AQ2380" s="771"/>
      <c r="AR2380" s="771"/>
      <c r="AS2380" s="771"/>
      <c r="AT2380" s="771"/>
      <c r="AU2380" s="771"/>
    </row>
    <row r="2381" spans="1:47" s="1420" customFormat="1" outlineLevel="1" x14ac:dyDescent="0.2">
      <c r="A2381" s="8"/>
      <c r="B2381" s="8"/>
      <c r="C2381" s="1989" t="s">
        <v>4155</v>
      </c>
      <c r="D2381" s="1989" t="s">
        <v>7969</v>
      </c>
      <c r="E2381" s="1989">
        <v>0</v>
      </c>
      <c r="F2381" s="38">
        <f t="shared" si="37"/>
        <v>0</v>
      </c>
      <c r="G2381" s="1547"/>
      <c r="H2381" s="8"/>
      <c r="I2381" s="8"/>
      <c r="J2381" s="8"/>
      <c r="K2381" s="8"/>
      <c r="L2381" s="8"/>
      <c r="M2381" s="8"/>
      <c r="N2381" s="8"/>
      <c r="O2381" s="8"/>
      <c r="P2381" s="8"/>
      <c r="Q2381" s="8"/>
      <c r="R2381" s="8"/>
      <c r="S2381" s="8"/>
      <c r="T2381" s="8"/>
      <c r="U2381" s="8"/>
      <c r="V2381" s="8"/>
      <c r="W2381" s="8"/>
      <c r="X2381" s="771"/>
      <c r="Y2381" s="771"/>
      <c r="Z2381" s="771"/>
      <c r="AA2381" s="771"/>
      <c r="AB2381" s="771"/>
      <c r="AC2381" s="771"/>
      <c r="AD2381" s="771"/>
      <c r="AE2381" s="771"/>
      <c r="AF2381" s="771"/>
      <c r="AG2381" s="771"/>
      <c r="AH2381" s="771"/>
      <c r="AI2381" s="771"/>
      <c r="AJ2381" s="771"/>
      <c r="AK2381" s="771"/>
      <c r="AL2381" s="771"/>
      <c r="AM2381" s="771"/>
      <c r="AN2381" s="771"/>
      <c r="AO2381" s="771"/>
      <c r="AP2381" s="771"/>
      <c r="AQ2381" s="771"/>
      <c r="AR2381" s="771"/>
      <c r="AS2381" s="771"/>
      <c r="AT2381" s="771"/>
      <c r="AU2381" s="771"/>
    </row>
    <row r="2382" spans="1:47" s="1420" customFormat="1" outlineLevel="1" x14ac:dyDescent="0.2">
      <c r="A2382" s="8"/>
      <c r="B2382" s="8"/>
      <c r="C2382" s="1989" t="s">
        <v>6833</v>
      </c>
      <c r="D2382" s="1989" t="s">
        <v>7970</v>
      </c>
      <c r="E2382" s="1989">
        <v>0</v>
      </c>
      <c r="F2382" s="38">
        <f t="shared" si="37"/>
        <v>0</v>
      </c>
      <c r="G2382" s="1547"/>
      <c r="H2382" s="8"/>
      <c r="I2382" s="8"/>
      <c r="J2382" s="8"/>
      <c r="K2382" s="8"/>
      <c r="L2382" s="8"/>
      <c r="M2382" s="8"/>
      <c r="N2382" s="8"/>
      <c r="O2382" s="8"/>
      <c r="P2382" s="8"/>
      <c r="Q2382" s="8"/>
      <c r="R2382" s="8"/>
      <c r="S2382" s="8"/>
      <c r="T2382" s="8"/>
      <c r="U2382" s="8"/>
      <c r="V2382" s="8"/>
      <c r="W2382" s="8"/>
      <c r="X2382" s="771"/>
      <c r="Y2382" s="771"/>
      <c r="Z2382" s="771"/>
      <c r="AA2382" s="771"/>
      <c r="AB2382" s="771"/>
      <c r="AC2382" s="771"/>
      <c r="AD2382" s="771"/>
      <c r="AE2382" s="771"/>
      <c r="AF2382" s="771"/>
      <c r="AG2382" s="771"/>
      <c r="AH2382" s="771"/>
      <c r="AI2382" s="771"/>
      <c r="AJ2382" s="771"/>
      <c r="AK2382" s="771"/>
      <c r="AL2382" s="771"/>
      <c r="AM2382" s="771"/>
      <c r="AN2382" s="771"/>
      <c r="AO2382" s="771"/>
      <c r="AP2382" s="771"/>
      <c r="AQ2382" s="771"/>
      <c r="AR2382" s="771"/>
      <c r="AS2382" s="771"/>
      <c r="AT2382" s="771"/>
      <c r="AU2382" s="771"/>
    </row>
    <row r="2383" spans="1:47" s="1420" customFormat="1" outlineLevel="1" x14ac:dyDescent="0.2">
      <c r="A2383" s="8"/>
      <c r="B2383" s="8"/>
      <c r="C2383" s="1989" t="s">
        <v>4156</v>
      </c>
      <c r="D2383" s="1989" t="s">
        <v>7971</v>
      </c>
      <c r="E2383" s="1989">
        <v>0</v>
      </c>
      <c r="F2383" s="38">
        <f t="shared" si="37"/>
        <v>0</v>
      </c>
      <c r="G2383" s="1547"/>
      <c r="H2383" s="8"/>
      <c r="I2383" s="8"/>
      <c r="J2383" s="8"/>
      <c r="K2383" s="8"/>
      <c r="L2383" s="8"/>
      <c r="M2383" s="8"/>
      <c r="N2383" s="8"/>
      <c r="O2383" s="8"/>
      <c r="P2383" s="8"/>
      <c r="Q2383" s="8"/>
      <c r="R2383" s="8"/>
      <c r="S2383" s="8"/>
      <c r="T2383" s="8"/>
      <c r="U2383" s="8"/>
      <c r="V2383" s="8"/>
      <c r="W2383" s="8"/>
      <c r="X2383" s="771"/>
      <c r="Y2383" s="771"/>
      <c r="Z2383" s="771"/>
      <c r="AA2383" s="771"/>
      <c r="AB2383" s="771"/>
      <c r="AC2383" s="771"/>
      <c r="AD2383" s="771"/>
      <c r="AE2383" s="771"/>
      <c r="AF2383" s="771"/>
      <c r="AG2383" s="771"/>
      <c r="AH2383" s="771"/>
      <c r="AI2383" s="771"/>
      <c r="AJ2383" s="771"/>
      <c r="AK2383" s="771"/>
      <c r="AL2383" s="771"/>
      <c r="AM2383" s="771"/>
      <c r="AN2383" s="771"/>
      <c r="AO2383" s="771"/>
      <c r="AP2383" s="771"/>
      <c r="AQ2383" s="771"/>
      <c r="AR2383" s="771"/>
      <c r="AS2383" s="771"/>
      <c r="AT2383" s="771"/>
      <c r="AU2383" s="771"/>
    </row>
    <row r="2384" spans="1:47" s="1420" customFormat="1" outlineLevel="1" x14ac:dyDescent="0.2">
      <c r="A2384" s="8"/>
      <c r="B2384" s="8"/>
      <c r="C2384" s="1989" t="s">
        <v>6834</v>
      </c>
      <c r="D2384" s="1989" t="s">
        <v>7972</v>
      </c>
      <c r="E2384" s="1989">
        <v>0</v>
      </c>
      <c r="F2384" s="38">
        <f t="shared" si="37"/>
        <v>0</v>
      </c>
      <c r="G2384" s="1547"/>
      <c r="H2384" s="8"/>
      <c r="I2384" s="8"/>
      <c r="J2384" s="8"/>
      <c r="K2384" s="8"/>
      <c r="L2384" s="8"/>
      <c r="M2384" s="8"/>
      <c r="N2384" s="8"/>
      <c r="O2384" s="8"/>
      <c r="P2384" s="8"/>
      <c r="Q2384" s="8"/>
      <c r="R2384" s="8"/>
      <c r="S2384" s="8"/>
      <c r="T2384" s="8"/>
      <c r="U2384" s="8"/>
      <c r="V2384" s="8"/>
      <c r="W2384" s="8"/>
      <c r="X2384" s="771"/>
      <c r="Y2384" s="771"/>
      <c r="Z2384" s="771"/>
      <c r="AA2384" s="771"/>
      <c r="AB2384" s="771"/>
      <c r="AC2384" s="771"/>
      <c r="AD2384" s="771"/>
      <c r="AE2384" s="771"/>
      <c r="AF2384" s="771"/>
      <c r="AG2384" s="771"/>
      <c r="AH2384" s="771"/>
      <c r="AI2384" s="771"/>
      <c r="AJ2384" s="771"/>
      <c r="AK2384" s="771"/>
      <c r="AL2384" s="771"/>
      <c r="AM2384" s="771"/>
      <c r="AN2384" s="771"/>
      <c r="AO2384" s="771"/>
      <c r="AP2384" s="771"/>
      <c r="AQ2384" s="771"/>
      <c r="AR2384" s="771"/>
      <c r="AS2384" s="771"/>
      <c r="AT2384" s="771"/>
      <c r="AU2384" s="771"/>
    </row>
    <row r="2385" spans="1:47" s="1420" customFormat="1" outlineLevel="1" x14ac:dyDescent="0.2">
      <c r="A2385" s="8"/>
      <c r="B2385" s="8"/>
      <c r="C2385" s="1989" t="s">
        <v>4157</v>
      </c>
      <c r="D2385" s="1989" t="s">
        <v>7973</v>
      </c>
      <c r="E2385" s="1989">
        <v>0</v>
      </c>
      <c r="F2385" s="38">
        <f t="shared" si="37"/>
        <v>0</v>
      </c>
      <c r="G2385" s="1547"/>
      <c r="H2385" s="8"/>
      <c r="I2385" s="8"/>
      <c r="J2385" s="8"/>
      <c r="K2385" s="8"/>
      <c r="L2385" s="8"/>
      <c r="M2385" s="8"/>
      <c r="N2385" s="8"/>
      <c r="O2385" s="8"/>
      <c r="P2385" s="8"/>
      <c r="Q2385" s="8"/>
      <c r="R2385" s="8"/>
      <c r="S2385" s="8"/>
      <c r="T2385" s="8"/>
      <c r="U2385" s="8"/>
      <c r="V2385" s="8"/>
      <c r="W2385" s="8"/>
      <c r="X2385" s="771"/>
      <c r="Y2385" s="771"/>
      <c r="Z2385" s="771"/>
      <c r="AA2385" s="771"/>
      <c r="AB2385" s="771"/>
      <c r="AC2385" s="771"/>
      <c r="AD2385" s="771"/>
      <c r="AE2385" s="771"/>
      <c r="AF2385" s="771"/>
      <c r="AG2385" s="771"/>
      <c r="AH2385" s="771"/>
      <c r="AI2385" s="771"/>
      <c r="AJ2385" s="771"/>
      <c r="AK2385" s="771"/>
      <c r="AL2385" s="771"/>
      <c r="AM2385" s="771"/>
      <c r="AN2385" s="771"/>
      <c r="AO2385" s="771"/>
      <c r="AP2385" s="771"/>
      <c r="AQ2385" s="771"/>
      <c r="AR2385" s="771"/>
      <c r="AS2385" s="771"/>
      <c r="AT2385" s="771"/>
      <c r="AU2385" s="771"/>
    </row>
    <row r="2386" spans="1:47" s="1420" customFormat="1" outlineLevel="1" x14ac:dyDescent="0.2">
      <c r="A2386" s="8"/>
      <c r="B2386" s="8"/>
      <c r="C2386" s="1989" t="s">
        <v>6835</v>
      </c>
      <c r="D2386" s="1989" t="s">
        <v>7974</v>
      </c>
      <c r="E2386" s="1989">
        <v>0</v>
      </c>
      <c r="F2386" s="38">
        <f t="shared" si="37"/>
        <v>0</v>
      </c>
      <c r="G2386" s="1547"/>
      <c r="H2386" s="8"/>
      <c r="I2386" s="8"/>
      <c r="J2386" s="8"/>
      <c r="K2386" s="8"/>
      <c r="L2386" s="8"/>
      <c r="M2386" s="8"/>
      <c r="N2386" s="8"/>
      <c r="O2386" s="8"/>
      <c r="P2386" s="8"/>
      <c r="Q2386" s="8"/>
      <c r="R2386" s="8"/>
      <c r="S2386" s="8"/>
      <c r="T2386" s="8"/>
      <c r="U2386" s="8"/>
      <c r="V2386" s="8"/>
      <c r="W2386" s="8"/>
      <c r="X2386" s="771"/>
      <c r="Y2386" s="771"/>
      <c r="Z2386" s="771"/>
      <c r="AA2386" s="771"/>
      <c r="AB2386" s="771"/>
      <c r="AC2386" s="771"/>
      <c r="AD2386" s="771"/>
      <c r="AE2386" s="771"/>
      <c r="AF2386" s="771"/>
      <c r="AG2386" s="771"/>
      <c r="AH2386" s="771"/>
      <c r="AI2386" s="771"/>
      <c r="AJ2386" s="771"/>
      <c r="AK2386" s="771"/>
      <c r="AL2386" s="771"/>
      <c r="AM2386" s="771"/>
      <c r="AN2386" s="771"/>
      <c r="AO2386" s="771"/>
      <c r="AP2386" s="771"/>
      <c r="AQ2386" s="771"/>
      <c r="AR2386" s="771"/>
      <c r="AS2386" s="771"/>
      <c r="AT2386" s="771"/>
      <c r="AU2386" s="771"/>
    </row>
    <row r="2387" spans="1:47" s="1420" customFormat="1" outlineLevel="1" x14ac:dyDescent="0.2">
      <c r="A2387" s="8"/>
      <c r="B2387" s="8"/>
      <c r="C2387" s="1989" t="s">
        <v>7975</v>
      </c>
      <c r="D2387" s="1989" t="s">
        <v>7976</v>
      </c>
      <c r="E2387" s="1989">
        <v>29.1</v>
      </c>
      <c r="F2387" s="38">
        <f t="shared" si="37"/>
        <v>2366.4480840000001</v>
      </c>
      <c r="G2387" s="1547"/>
      <c r="H2387" s="8"/>
      <c r="I2387" s="8"/>
      <c r="J2387" s="8"/>
      <c r="K2387" s="8"/>
      <c r="L2387" s="8"/>
      <c r="M2387" s="8"/>
      <c r="N2387" s="8"/>
      <c r="O2387" s="8"/>
      <c r="P2387" s="8"/>
      <c r="Q2387" s="8"/>
      <c r="R2387" s="8"/>
      <c r="S2387" s="8"/>
      <c r="T2387" s="8"/>
      <c r="U2387" s="8"/>
      <c r="V2387" s="8"/>
      <c r="W2387" s="8"/>
      <c r="X2387" s="771"/>
      <c r="Y2387" s="771"/>
      <c r="Z2387" s="771"/>
      <c r="AA2387" s="771"/>
      <c r="AB2387" s="771"/>
      <c r="AC2387" s="771"/>
      <c r="AD2387" s="771"/>
      <c r="AE2387" s="771"/>
      <c r="AF2387" s="771"/>
      <c r="AG2387" s="771"/>
      <c r="AH2387" s="771"/>
      <c r="AI2387" s="771"/>
      <c r="AJ2387" s="771"/>
      <c r="AK2387" s="771"/>
      <c r="AL2387" s="771"/>
      <c r="AM2387" s="771"/>
      <c r="AN2387" s="771"/>
      <c r="AO2387" s="771"/>
      <c r="AP2387" s="771"/>
      <c r="AQ2387" s="771"/>
      <c r="AR2387" s="771"/>
      <c r="AS2387" s="771"/>
      <c r="AT2387" s="771"/>
      <c r="AU2387" s="771"/>
    </row>
    <row r="2388" spans="1:47" s="1420" customFormat="1" outlineLevel="1" x14ac:dyDescent="0.2">
      <c r="A2388" s="8"/>
      <c r="B2388" s="8"/>
      <c r="C2388" s="1989" t="s">
        <v>7977</v>
      </c>
      <c r="D2388" s="1989" t="s">
        <v>7978</v>
      </c>
      <c r="E2388" s="1989">
        <v>18.57</v>
      </c>
      <c r="F2388" s="38">
        <f t="shared" si="37"/>
        <v>1510.1354268</v>
      </c>
      <c r="G2388" s="1547"/>
      <c r="H2388" s="8"/>
      <c r="I2388" s="8"/>
      <c r="J2388" s="8"/>
      <c r="K2388" s="8"/>
      <c r="L2388" s="8"/>
      <c r="M2388" s="8"/>
      <c r="N2388" s="8"/>
      <c r="O2388" s="8"/>
      <c r="P2388" s="8"/>
      <c r="Q2388" s="8"/>
      <c r="R2388" s="8"/>
      <c r="S2388" s="8"/>
      <c r="T2388" s="8"/>
      <c r="U2388" s="8"/>
      <c r="V2388" s="8"/>
      <c r="W2388" s="8"/>
      <c r="X2388" s="771"/>
      <c r="Y2388" s="771"/>
      <c r="Z2388" s="771"/>
      <c r="AA2388" s="771"/>
      <c r="AB2388" s="771"/>
      <c r="AC2388" s="771"/>
      <c r="AD2388" s="771"/>
      <c r="AE2388" s="771"/>
      <c r="AF2388" s="771"/>
      <c r="AG2388" s="771"/>
      <c r="AH2388" s="771"/>
      <c r="AI2388" s="771"/>
      <c r="AJ2388" s="771"/>
      <c r="AK2388" s="771"/>
      <c r="AL2388" s="771"/>
      <c r="AM2388" s="771"/>
      <c r="AN2388" s="771"/>
      <c r="AO2388" s="771"/>
      <c r="AP2388" s="771"/>
      <c r="AQ2388" s="771"/>
      <c r="AR2388" s="771"/>
      <c r="AS2388" s="771"/>
      <c r="AT2388" s="771"/>
      <c r="AU2388" s="771"/>
    </row>
    <row r="2389" spans="1:47" s="1420" customFormat="1" outlineLevel="1" x14ac:dyDescent="0.2">
      <c r="A2389" s="8"/>
      <c r="B2389" s="8"/>
      <c r="C2389" s="1989" t="s">
        <v>7979</v>
      </c>
      <c r="D2389" s="1989" t="s">
        <v>7980</v>
      </c>
      <c r="E2389" s="1989">
        <v>0.94</v>
      </c>
      <c r="F2389" s="38">
        <f t="shared" si="37"/>
        <v>76.441965600000003</v>
      </c>
      <c r="G2389" s="1547"/>
      <c r="H2389" s="8"/>
      <c r="I2389" s="8"/>
      <c r="J2389" s="8"/>
      <c r="K2389" s="8"/>
      <c r="L2389" s="8"/>
      <c r="M2389" s="8"/>
      <c r="N2389" s="8"/>
      <c r="O2389" s="8"/>
      <c r="P2389" s="8"/>
      <c r="Q2389" s="8"/>
      <c r="R2389" s="8"/>
      <c r="S2389" s="8"/>
      <c r="T2389" s="8"/>
      <c r="U2389" s="8"/>
      <c r="V2389" s="8"/>
      <c r="W2389" s="8"/>
      <c r="X2389" s="771"/>
      <c r="Y2389" s="771"/>
      <c r="Z2389" s="771"/>
      <c r="AA2389" s="771"/>
      <c r="AB2389" s="771"/>
      <c r="AC2389" s="771"/>
      <c r="AD2389" s="771"/>
      <c r="AE2389" s="771"/>
      <c r="AF2389" s="771"/>
      <c r="AG2389" s="771"/>
      <c r="AH2389" s="771"/>
      <c r="AI2389" s="771"/>
      <c r="AJ2389" s="771"/>
      <c r="AK2389" s="771"/>
      <c r="AL2389" s="771"/>
      <c r="AM2389" s="771"/>
      <c r="AN2389" s="771"/>
      <c r="AO2389" s="771"/>
      <c r="AP2389" s="771"/>
      <c r="AQ2389" s="771"/>
      <c r="AR2389" s="771"/>
      <c r="AS2389" s="771"/>
      <c r="AT2389" s="771"/>
      <c r="AU2389" s="771"/>
    </row>
    <row r="2390" spans="1:47" s="1420" customFormat="1" outlineLevel="1" x14ac:dyDescent="0.2">
      <c r="A2390" s="8"/>
      <c r="B2390" s="8"/>
      <c r="C2390" s="1989" t="s">
        <v>7981</v>
      </c>
      <c r="D2390" s="1989" t="s">
        <v>7982</v>
      </c>
      <c r="E2390" s="1989">
        <v>1.25</v>
      </c>
      <c r="F2390" s="38">
        <f t="shared" si="37"/>
        <v>101.65155000000001</v>
      </c>
      <c r="G2390" s="1547"/>
      <c r="H2390" s="8"/>
      <c r="I2390" s="8"/>
      <c r="J2390" s="8"/>
      <c r="K2390" s="8"/>
      <c r="L2390" s="8"/>
      <c r="M2390" s="8"/>
      <c r="N2390" s="8"/>
      <c r="O2390" s="8"/>
      <c r="P2390" s="8"/>
      <c r="Q2390" s="8"/>
      <c r="R2390" s="8"/>
      <c r="S2390" s="8"/>
      <c r="T2390" s="8"/>
      <c r="U2390" s="8"/>
      <c r="V2390" s="8"/>
      <c r="W2390" s="8"/>
      <c r="X2390" s="771"/>
      <c r="Y2390" s="771"/>
      <c r="Z2390" s="771"/>
      <c r="AA2390" s="771"/>
      <c r="AB2390" s="771"/>
      <c r="AC2390" s="771"/>
      <c r="AD2390" s="771"/>
      <c r="AE2390" s="771"/>
      <c r="AF2390" s="771"/>
      <c r="AG2390" s="771"/>
      <c r="AH2390" s="771"/>
      <c r="AI2390" s="771"/>
      <c r="AJ2390" s="771"/>
      <c r="AK2390" s="771"/>
      <c r="AL2390" s="771"/>
      <c r="AM2390" s="771"/>
      <c r="AN2390" s="771"/>
      <c r="AO2390" s="771"/>
      <c r="AP2390" s="771"/>
      <c r="AQ2390" s="771"/>
      <c r="AR2390" s="771"/>
      <c r="AS2390" s="771"/>
      <c r="AT2390" s="771"/>
      <c r="AU2390" s="771"/>
    </row>
    <row r="2391" spans="1:47" s="1420" customFormat="1" outlineLevel="1" x14ac:dyDescent="0.2">
      <c r="A2391" s="8"/>
      <c r="B2391" s="8"/>
      <c r="C2391" s="1989" t="s">
        <v>4648</v>
      </c>
      <c r="D2391" s="1989" t="s">
        <v>7983</v>
      </c>
      <c r="E2391" s="1989">
        <v>0.96</v>
      </c>
      <c r="F2391" s="38">
        <f t="shared" si="37"/>
        <v>78.068390399999998</v>
      </c>
      <c r="G2391" s="1547"/>
      <c r="H2391" s="8"/>
      <c r="I2391" s="8"/>
      <c r="J2391" s="8"/>
      <c r="K2391" s="8"/>
      <c r="L2391" s="8"/>
      <c r="M2391" s="8"/>
      <c r="N2391" s="8"/>
      <c r="O2391" s="8"/>
      <c r="P2391" s="8"/>
      <c r="Q2391" s="8"/>
      <c r="R2391" s="8"/>
      <c r="S2391" s="8"/>
      <c r="T2391" s="8"/>
      <c r="U2391" s="8"/>
      <c r="V2391" s="8"/>
      <c r="W2391" s="8"/>
      <c r="X2391" s="771"/>
      <c r="Y2391" s="771"/>
      <c r="Z2391" s="771"/>
      <c r="AA2391" s="771"/>
      <c r="AB2391" s="771"/>
      <c r="AC2391" s="771"/>
      <c r="AD2391" s="771"/>
      <c r="AE2391" s="771"/>
      <c r="AF2391" s="771"/>
      <c r="AG2391" s="771"/>
      <c r="AH2391" s="771"/>
      <c r="AI2391" s="771"/>
      <c r="AJ2391" s="771"/>
      <c r="AK2391" s="771"/>
      <c r="AL2391" s="771"/>
      <c r="AM2391" s="771"/>
      <c r="AN2391" s="771"/>
      <c r="AO2391" s="771"/>
      <c r="AP2391" s="771"/>
      <c r="AQ2391" s="771"/>
      <c r="AR2391" s="771"/>
      <c r="AS2391" s="771"/>
      <c r="AT2391" s="771"/>
      <c r="AU2391" s="771"/>
    </row>
    <row r="2392" spans="1:47" s="1420" customFormat="1" outlineLevel="1" x14ac:dyDescent="0.2">
      <c r="A2392" s="8"/>
      <c r="B2392" s="8"/>
      <c r="C2392" s="1989" t="s">
        <v>4649</v>
      </c>
      <c r="D2392" s="1989" t="s">
        <v>7984</v>
      </c>
      <c r="E2392" s="1989">
        <v>0.91</v>
      </c>
      <c r="F2392" s="38">
        <f t="shared" si="37"/>
        <v>74.00232840000001</v>
      </c>
      <c r="G2392" s="1547"/>
      <c r="H2392" s="8"/>
      <c r="I2392" s="8"/>
      <c r="J2392" s="8"/>
      <c r="K2392" s="8"/>
      <c r="L2392" s="8"/>
      <c r="M2392" s="8"/>
      <c r="N2392" s="8"/>
      <c r="O2392" s="8"/>
      <c r="P2392" s="8"/>
      <c r="Q2392" s="8"/>
      <c r="R2392" s="8"/>
      <c r="S2392" s="8"/>
      <c r="T2392" s="8"/>
      <c r="U2392" s="8"/>
      <c r="V2392" s="8"/>
      <c r="W2392" s="8"/>
      <c r="X2392" s="771"/>
      <c r="Y2392" s="771"/>
      <c r="Z2392" s="771"/>
      <c r="AA2392" s="771"/>
      <c r="AB2392" s="771"/>
      <c r="AC2392" s="771"/>
      <c r="AD2392" s="771"/>
      <c r="AE2392" s="771"/>
      <c r="AF2392" s="771"/>
      <c r="AG2392" s="771"/>
      <c r="AH2392" s="771"/>
      <c r="AI2392" s="771"/>
      <c r="AJ2392" s="771"/>
      <c r="AK2392" s="771"/>
      <c r="AL2392" s="771"/>
      <c r="AM2392" s="771"/>
      <c r="AN2392" s="771"/>
      <c r="AO2392" s="771"/>
      <c r="AP2392" s="771"/>
      <c r="AQ2392" s="771"/>
      <c r="AR2392" s="771"/>
      <c r="AS2392" s="771"/>
      <c r="AT2392" s="771"/>
      <c r="AU2392" s="771"/>
    </row>
    <row r="2393" spans="1:47" s="1420" customFormat="1" outlineLevel="1" x14ac:dyDescent="0.2">
      <c r="A2393" s="8"/>
      <c r="B2393" s="8"/>
      <c r="C2393" s="1989" t="s">
        <v>4650</v>
      </c>
      <c r="D2393" s="1989" t="s">
        <v>7985</v>
      </c>
      <c r="E2393" s="1989">
        <v>1</v>
      </c>
      <c r="F2393" s="38">
        <f t="shared" si="37"/>
        <v>81.321240000000003</v>
      </c>
      <c r="G2393" s="1547"/>
      <c r="H2393" s="8"/>
      <c r="I2393" s="8"/>
      <c r="J2393" s="8"/>
      <c r="K2393" s="8"/>
      <c r="L2393" s="8"/>
      <c r="M2393" s="8"/>
      <c r="N2393" s="8"/>
      <c r="O2393" s="8"/>
      <c r="P2393" s="8"/>
      <c r="Q2393" s="8"/>
      <c r="R2393" s="8"/>
      <c r="S2393" s="8"/>
      <c r="T2393" s="8"/>
      <c r="U2393" s="8"/>
      <c r="V2393" s="8"/>
      <c r="W2393" s="8"/>
      <c r="X2393" s="771"/>
      <c r="Y2393" s="771"/>
      <c r="Z2393" s="771"/>
      <c r="AA2393" s="771"/>
      <c r="AB2393" s="771"/>
      <c r="AC2393" s="771"/>
      <c r="AD2393" s="771"/>
      <c r="AE2393" s="771"/>
      <c r="AF2393" s="771"/>
      <c r="AG2393" s="771"/>
      <c r="AH2393" s="771"/>
      <c r="AI2393" s="771"/>
      <c r="AJ2393" s="771"/>
      <c r="AK2393" s="771"/>
      <c r="AL2393" s="771"/>
      <c r="AM2393" s="771"/>
      <c r="AN2393" s="771"/>
      <c r="AO2393" s="771"/>
      <c r="AP2393" s="771"/>
      <c r="AQ2393" s="771"/>
      <c r="AR2393" s="771"/>
      <c r="AS2393" s="771"/>
      <c r="AT2393" s="771"/>
      <c r="AU2393" s="771"/>
    </row>
    <row r="2394" spans="1:47" s="1420" customFormat="1" outlineLevel="1" x14ac:dyDescent="0.2">
      <c r="A2394" s="8"/>
      <c r="B2394" s="8"/>
      <c r="C2394" s="1989" t="s">
        <v>4651</v>
      </c>
      <c r="D2394" s="1989" t="s">
        <v>7986</v>
      </c>
      <c r="E2394" s="1989">
        <v>1.1100000000000001</v>
      </c>
      <c r="F2394" s="38">
        <f t="shared" si="37"/>
        <v>90.266576400000005</v>
      </c>
      <c r="G2394" s="1547"/>
      <c r="H2394" s="8"/>
      <c r="I2394" s="8"/>
      <c r="J2394" s="8"/>
      <c r="K2394" s="8"/>
      <c r="L2394" s="8"/>
      <c r="M2394" s="8"/>
      <c r="N2394" s="8"/>
      <c r="O2394" s="8"/>
      <c r="P2394" s="8"/>
      <c r="Q2394" s="8"/>
      <c r="R2394" s="8"/>
      <c r="S2394" s="8"/>
      <c r="T2394" s="8"/>
      <c r="U2394" s="8"/>
      <c r="V2394" s="8"/>
      <c r="W2394" s="8"/>
      <c r="X2394" s="771"/>
      <c r="Y2394" s="771"/>
      <c r="Z2394" s="771"/>
      <c r="AA2394" s="771"/>
      <c r="AB2394" s="771"/>
      <c r="AC2394" s="771"/>
      <c r="AD2394" s="771"/>
      <c r="AE2394" s="771"/>
      <c r="AF2394" s="771"/>
      <c r="AG2394" s="771"/>
      <c r="AH2394" s="771"/>
      <c r="AI2394" s="771"/>
      <c r="AJ2394" s="771"/>
      <c r="AK2394" s="771"/>
      <c r="AL2394" s="771"/>
      <c r="AM2394" s="771"/>
      <c r="AN2394" s="771"/>
      <c r="AO2394" s="771"/>
      <c r="AP2394" s="771"/>
      <c r="AQ2394" s="771"/>
      <c r="AR2394" s="771"/>
      <c r="AS2394" s="771"/>
      <c r="AT2394" s="771"/>
      <c r="AU2394" s="771"/>
    </row>
    <row r="2395" spans="1:47" s="1420" customFormat="1" outlineLevel="1" x14ac:dyDescent="0.2">
      <c r="A2395" s="8"/>
      <c r="B2395" s="8"/>
      <c r="C2395" s="1989" t="s">
        <v>4652</v>
      </c>
      <c r="D2395" s="1989" t="s">
        <v>7987</v>
      </c>
      <c r="E2395" s="1989">
        <v>1.2</v>
      </c>
      <c r="F2395" s="38">
        <f t="shared" si="37"/>
        <v>97.585487999999998</v>
      </c>
      <c r="G2395" s="1547"/>
      <c r="H2395" s="8"/>
      <c r="I2395" s="8"/>
      <c r="J2395" s="8"/>
      <c r="K2395" s="8"/>
      <c r="L2395" s="8"/>
      <c r="M2395" s="8"/>
      <c r="N2395" s="8"/>
      <c r="O2395" s="8"/>
      <c r="P2395" s="8"/>
      <c r="Q2395" s="8"/>
      <c r="R2395" s="8"/>
      <c r="S2395" s="8"/>
      <c r="T2395" s="8"/>
      <c r="U2395" s="8"/>
      <c r="V2395" s="8"/>
      <c r="W2395" s="8"/>
      <c r="X2395" s="771"/>
      <c r="Y2395" s="771"/>
      <c r="Z2395" s="771"/>
      <c r="AA2395" s="771"/>
      <c r="AB2395" s="771"/>
      <c r="AC2395" s="771"/>
      <c r="AD2395" s="771"/>
      <c r="AE2395" s="771"/>
      <c r="AF2395" s="771"/>
      <c r="AG2395" s="771"/>
      <c r="AH2395" s="771"/>
      <c r="AI2395" s="771"/>
      <c r="AJ2395" s="771"/>
      <c r="AK2395" s="771"/>
      <c r="AL2395" s="771"/>
      <c r="AM2395" s="771"/>
      <c r="AN2395" s="771"/>
      <c r="AO2395" s="771"/>
      <c r="AP2395" s="771"/>
      <c r="AQ2395" s="771"/>
      <c r="AR2395" s="771"/>
      <c r="AS2395" s="771"/>
      <c r="AT2395" s="771"/>
      <c r="AU2395" s="771"/>
    </row>
    <row r="2396" spans="1:47" s="1420" customFormat="1" outlineLevel="1" x14ac:dyDescent="0.2">
      <c r="A2396" s="8"/>
      <c r="B2396" s="8"/>
      <c r="C2396" s="1989" t="s">
        <v>4653</v>
      </c>
      <c r="D2396" s="1989" t="s">
        <v>7988</v>
      </c>
      <c r="E2396" s="1989">
        <v>0.99</v>
      </c>
      <c r="F2396" s="38">
        <f t="shared" si="37"/>
        <v>80.508027600000005</v>
      </c>
      <c r="G2396" s="1547"/>
      <c r="H2396" s="8"/>
      <c r="I2396" s="8"/>
      <c r="J2396" s="8"/>
      <c r="K2396" s="8"/>
      <c r="L2396" s="8"/>
      <c r="M2396" s="8"/>
      <c r="N2396" s="8"/>
      <c r="O2396" s="8"/>
      <c r="P2396" s="8"/>
      <c r="Q2396" s="8"/>
      <c r="R2396" s="8"/>
      <c r="S2396" s="8"/>
      <c r="T2396" s="8"/>
      <c r="U2396" s="8"/>
      <c r="V2396" s="8"/>
      <c r="W2396" s="8"/>
      <c r="X2396" s="771"/>
      <c r="Y2396" s="771"/>
      <c r="Z2396" s="771"/>
      <c r="AA2396" s="771"/>
      <c r="AB2396" s="771"/>
      <c r="AC2396" s="771"/>
      <c r="AD2396" s="771"/>
      <c r="AE2396" s="771"/>
      <c r="AF2396" s="771"/>
      <c r="AG2396" s="771"/>
      <c r="AH2396" s="771"/>
      <c r="AI2396" s="771"/>
      <c r="AJ2396" s="771"/>
      <c r="AK2396" s="771"/>
      <c r="AL2396" s="771"/>
      <c r="AM2396" s="771"/>
      <c r="AN2396" s="771"/>
      <c r="AO2396" s="771"/>
      <c r="AP2396" s="771"/>
      <c r="AQ2396" s="771"/>
      <c r="AR2396" s="771"/>
      <c r="AS2396" s="771"/>
      <c r="AT2396" s="771"/>
      <c r="AU2396" s="771"/>
    </row>
    <row r="2397" spans="1:47" s="1420" customFormat="1" outlineLevel="1" x14ac:dyDescent="0.2">
      <c r="A2397" s="8"/>
      <c r="B2397" s="8"/>
      <c r="C2397" s="1989" t="s">
        <v>4654</v>
      </c>
      <c r="D2397" s="1989" t="s">
        <v>7989</v>
      </c>
      <c r="E2397" s="1989">
        <v>1.1100000000000001</v>
      </c>
      <c r="F2397" s="38">
        <f t="shared" si="37"/>
        <v>90.266576400000005</v>
      </c>
      <c r="G2397" s="1547"/>
      <c r="H2397" s="8"/>
      <c r="I2397" s="8"/>
      <c r="J2397" s="8"/>
      <c r="K2397" s="8"/>
      <c r="L2397" s="8"/>
      <c r="M2397" s="8"/>
      <c r="N2397" s="8"/>
      <c r="O2397" s="8"/>
      <c r="P2397" s="8"/>
      <c r="Q2397" s="8"/>
      <c r="R2397" s="8"/>
      <c r="S2397" s="8"/>
      <c r="T2397" s="8"/>
      <c r="U2397" s="8"/>
      <c r="V2397" s="8"/>
      <c r="W2397" s="8"/>
      <c r="X2397" s="771"/>
      <c r="Y2397" s="771"/>
      <c r="Z2397" s="771"/>
      <c r="AA2397" s="771"/>
      <c r="AB2397" s="771"/>
      <c r="AC2397" s="771"/>
      <c r="AD2397" s="771"/>
      <c r="AE2397" s="771"/>
      <c r="AF2397" s="771"/>
      <c r="AG2397" s="771"/>
      <c r="AH2397" s="771"/>
      <c r="AI2397" s="771"/>
      <c r="AJ2397" s="771"/>
      <c r="AK2397" s="771"/>
      <c r="AL2397" s="771"/>
      <c r="AM2397" s="771"/>
      <c r="AN2397" s="771"/>
      <c r="AO2397" s="771"/>
      <c r="AP2397" s="771"/>
      <c r="AQ2397" s="771"/>
      <c r="AR2397" s="771"/>
      <c r="AS2397" s="771"/>
      <c r="AT2397" s="771"/>
      <c r="AU2397" s="771"/>
    </row>
    <row r="2398" spans="1:47" s="1420" customFormat="1" outlineLevel="1" x14ac:dyDescent="0.2">
      <c r="A2398" s="8"/>
      <c r="B2398" s="8"/>
      <c r="C2398" s="1989" t="s">
        <v>4655</v>
      </c>
      <c r="D2398" s="1989" t="s">
        <v>7990</v>
      </c>
      <c r="E2398" s="1989">
        <v>1.2</v>
      </c>
      <c r="F2398" s="38">
        <f t="shared" si="37"/>
        <v>97.585487999999998</v>
      </c>
      <c r="G2398" s="1547"/>
      <c r="H2398" s="8"/>
      <c r="I2398" s="8"/>
      <c r="J2398" s="8"/>
      <c r="K2398" s="8"/>
      <c r="L2398" s="8"/>
      <c r="M2398" s="8"/>
      <c r="N2398" s="8"/>
      <c r="O2398" s="8"/>
      <c r="P2398" s="8"/>
      <c r="Q2398" s="8"/>
      <c r="R2398" s="8"/>
      <c r="S2398" s="8"/>
      <c r="T2398" s="8"/>
      <c r="U2398" s="8"/>
      <c r="V2398" s="8"/>
      <c r="W2398" s="8"/>
      <c r="X2398" s="771"/>
      <c r="Y2398" s="771"/>
      <c r="Z2398" s="771"/>
      <c r="AA2398" s="771"/>
      <c r="AB2398" s="771"/>
      <c r="AC2398" s="771"/>
      <c r="AD2398" s="771"/>
      <c r="AE2398" s="771"/>
      <c r="AF2398" s="771"/>
      <c r="AG2398" s="771"/>
      <c r="AH2398" s="771"/>
      <c r="AI2398" s="771"/>
      <c r="AJ2398" s="771"/>
      <c r="AK2398" s="771"/>
      <c r="AL2398" s="771"/>
      <c r="AM2398" s="771"/>
      <c r="AN2398" s="771"/>
      <c r="AO2398" s="771"/>
      <c r="AP2398" s="771"/>
      <c r="AQ2398" s="771"/>
      <c r="AR2398" s="771"/>
      <c r="AS2398" s="771"/>
      <c r="AT2398" s="771"/>
      <c r="AU2398" s="771"/>
    </row>
    <row r="2399" spans="1:47" s="1420" customFormat="1" outlineLevel="1" x14ac:dyDescent="0.2">
      <c r="A2399" s="8"/>
      <c r="B2399" s="8"/>
      <c r="C2399" s="1989" t="s">
        <v>4656</v>
      </c>
      <c r="D2399" s="1989" t="s">
        <v>7991</v>
      </c>
      <c r="E2399" s="1989">
        <v>1.32</v>
      </c>
      <c r="F2399" s="38">
        <f t="shared" si="37"/>
        <v>107.34403680000001</v>
      </c>
      <c r="G2399" s="1547"/>
      <c r="H2399" s="8"/>
      <c r="I2399" s="8"/>
      <c r="J2399" s="8"/>
      <c r="K2399" s="8"/>
      <c r="L2399" s="8"/>
      <c r="M2399" s="8"/>
      <c r="N2399" s="8"/>
      <c r="O2399" s="8"/>
      <c r="P2399" s="8"/>
      <c r="Q2399" s="8"/>
      <c r="R2399" s="8"/>
      <c r="S2399" s="8"/>
      <c r="T2399" s="8"/>
      <c r="U2399" s="8"/>
      <c r="V2399" s="8"/>
      <c r="W2399" s="8"/>
      <c r="X2399" s="771"/>
      <c r="Y2399" s="771"/>
      <c r="Z2399" s="771"/>
      <c r="AA2399" s="771"/>
      <c r="AB2399" s="771"/>
      <c r="AC2399" s="771"/>
      <c r="AD2399" s="771"/>
      <c r="AE2399" s="771"/>
      <c r="AF2399" s="771"/>
      <c r="AG2399" s="771"/>
      <c r="AH2399" s="771"/>
      <c r="AI2399" s="771"/>
      <c r="AJ2399" s="771"/>
      <c r="AK2399" s="771"/>
      <c r="AL2399" s="771"/>
      <c r="AM2399" s="771"/>
      <c r="AN2399" s="771"/>
      <c r="AO2399" s="771"/>
      <c r="AP2399" s="771"/>
      <c r="AQ2399" s="771"/>
      <c r="AR2399" s="771"/>
      <c r="AS2399" s="771"/>
      <c r="AT2399" s="771"/>
      <c r="AU2399" s="771"/>
    </row>
    <row r="2400" spans="1:47" s="1420" customFormat="1" outlineLevel="1" x14ac:dyDescent="0.2">
      <c r="A2400" s="8"/>
      <c r="B2400" s="8"/>
      <c r="C2400" s="1989" t="s">
        <v>4657</v>
      </c>
      <c r="D2400" s="1989" t="s">
        <v>7992</v>
      </c>
      <c r="E2400" s="1989">
        <v>1.0900000000000001</v>
      </c>
      <c r="F2400" s="38">
        <f t="shared" si="37"/>
        <v>88.64015160000001</v>
      </c>
      <c r="G2400" s="1547"/>
      <c r="H2400" s="8"/>
      <c r="I2400" s="8"/>
      <c r="J2400" s="8"/>
      <c r="K2400" s="8"/>
      <c r="L2400" s="8"/>
      <c r="M2400" s="8"/>
      <c r="N2400" s="8"/>
      <c r="O2400" s="8"/>
      <c r="P2400" s="8"/>
      <c r="Q2400" s="8"/>
      <c r="R2400" s="8"/>
      <c r="S2400" s="8"/>
      <c r="T2400" s="8"/>
      <c r="U2400" s="8"/>
      <c r="V2400" s="8"/>
      <c r="W2400" s="8"/>
      <c r="X2400" s="771"/>
      <c r="Y2400" s="771"/>
      <c r="Z2400" s="771"/>
      <c r="AA2400" s="771"/>
      <c r="AB2400" s="771"/>
      <c r="AC2400" s="771"/>
      <c r="AD2400" s="771"/>
      <c r="AE2400" s="771"/>
      <c r="AF2400" s="771"/>
      <c r="AG2400" s="771"/>
      <c r="AH2400" s="771"/>
      <c r="AI2400" s="771"/>
      <c r="AJ2400" s="771"/>
      <c r="AK2400" s="771"/>
      <c r="AL2400" s="771"/>
      <c r="AM2400" s="771"/>
      <c r="AN2400" s="771"/>
      <c r="AO2400" s="771"/>
      <c r="AP2400" s="771"/>
      <c r="AQ2400" s="771"/>
      <c r="AR2400" s="771"/>
      <c r="AS2400" s="771"/>
      <c r="AT2400" s="771"/>
      <c r="AU2400" s="771"/>
    </row>
    <row r="2401" spans="1:47" s="1420" customFormat="1" outlineLevel="1" x14ac:dyDescent="0.2">
      <c r="A2401" s="8"/>
      <c r="B2401" s="8"/>
      <c r="C2401" s="1989" t="s">
        <v>4658</v>
      </c>
      <c r="D2401" s="1989" t="s">
        <v>7993</v>
      </c>
      <c r="E2401" s="1989">
        <v>1.2</v>
      </c>
      <c r="F2401" s="38">
        <f t="shared" si="37"/>
        <v>97.585487999999998</v>
      </c>
      <c r="G2401" s="1547"/>
      <c r="H2401" s="8"/>
      <c r="I2401" s="8"/>
      <c r="J2401" s="8"/>
      <c r="K2401" s="8"/>
      <c r="L2401" s="8"/>
      <c r="M2401" s="8"/>
      <c r="N2401" s="8"/>
      <c r="O2401" s="8"/>
      <c r="P2401" s="8"/>
      <c r="Q2401" s="8"/>
      <c r="R2401" s="8"/>
      <c r="S2401" s="8"/>
      <c r="T2401" s="8"/>
      <c r="U2401" s="8"/>
      <c r="V2401" s="8"/>
      <c r="W2401" s="8"/>
      <c r="X2401" s="771"/>
      <c r="Y2401" s="771"/>
      <c r="Z2401" s="771"/>
      <c r="AA2401" s="771"/>
      <c r="AB2401" s="771"/>
      <c r="AC2401" s="771"/>
      <c r="AD2401" s="771"/>
      <c r="AE2401" s="771"/>
      <c r="AF2401" s="771"/>
      <c r="AG2401" s="771"/>
      <c r="AH2401" s="771"/>
      <c r="AI2401" s="771"/>
      <c r="AJ2401" s="771"/>
      <c r="AK2401" s="771"/>
      <c r="AL2401" s="771"/>
      <c r="AM2401" s="771"/>
      <c r="AN2401" s="771"/>
      <c r="AO2401" s="771"/>
      <c r="AP2401" s="771"/>
      <c r="AQ2401" s="771"/>
      <c r="AR2401" s="771"/>
      <c r="AS2401" s="771"/>
      <c r="AT2401" s="771"/>
      <c r="AU2401" s="771"/>
    </row>
    <row r="2402" spans="1:47" s="1420" customFormat="1" outlineLevel="1" x14ac:dyDescent="0.2">
      <c r="A2402" s="8"/>
      <c r="B2402" s="8"/>
      <c r="C2402" s="1989" t="s">
        <v>4659</v>
      </c>
      <c r="D2402" s="1989" t="s">
        <v>7994</v>
      </c>
      <c r="E2402" s="1989">
        <v>1.32</v>
      </c>
      <c r="F2402" s="38">
        <f t="shared" si="37"/>
        <v>107.34403680000001</v>
      </c>
      <c r="G2402" s="1547"/>
      <c r="H2402" s="8"/>
      <c r="I2402" s="8"/>
      <c r="J2402" s="8"/>
      <c r="K2402" s="8"/>
      <c r="L2402" s="8"/>
      <c r="M2402" s="8"/>
      <c r="N2402" s="8"/>
      <c r="O2402" s="8"/>
      <c r="P2402" s="8"/>
      <c r="Q2402" s="8"/>
      <c r="R2402" s="8"/>
      <c r="S2402" s="8"/>
      <c r="T2402" s="8"/>
      <c r="U2402" s="8"/>
      <c r="V2402" s="8"/>
      <c r="W2402" s="8"/>
      <c r="X2402" s="771"/>
      <c r="Y2402" s="771"/>
      <c r="Z2402" s="771"/>
      <c r="AA2402" s="771"/>
      <c r="AB2402" s="771"/>
      <c r="AC2402" s="771"/>
      <c r="AD2402" s="771"/>
      <c r="AE2402" s="771"/>
      <c r="AF2402" s="771"/>
      <c r="AG2402" s="771"/>
      <c r="AH2402" s="771"/>
      <c r="AI2402" s="771"/>
      <c r="AJ2402" s="771"/>
      <c r="AK2402" s="771"/>
      <c r="AL2402" s="771"/>
      <c r="AM2402" s="771"/>
      <c r="AN2402" s="771"/>
      <c r="AO2402" s="771"/>
      <c r="AP2402" s="771"/>
      <c r="AQ2402" s="771"/>
      <c r="AR2402" s="771"/>
      <c r="AS2402" s="771"/>
      <c r="AT2402" s="771"/>
      <c r="AU2402" s="771"/>
    </row>
    <row r="2403" spans="1:47" s="1420" customFormat="1" outlineLevel="1" x14ac:dyDescent="0.2">
      <c r="A2403" s="8"/>
      <c r="B2403" s="8"/>
      <c r="C2403" s="1989" t="s">
        <v>4660</v>
      </c>
      <c r="D2403" s="1989" t="s">
        <v>7995</v>
      </c>
      <c r="E2403" s="1989">
        <v>1.45</v>
      </c>
      <c r="F2403" s="38">
        <f t="shared" si="37"/>
        <v>117.91579800000001</v>
      </c>
      <c r="G2403" s="1547"/>
      <c r="H2403" s="8"/>
      <c r="I2403" s="8"/>
      <c r="J2403" s="8"/>
      <c r="K2403" s="8"/>
      <c r="L2403" s="8"/>
      <c r="M2403" s="8"/>
      <c r="N2403" s="8"/>
      <c r="O2403" s="8"/>
      <c r="P2403" s="8"/>
      <c r="Q2403" s="8"/>
      <c r="R2403" s="8"/>
      <c r="S2403" s="8"/>
      <c r="T2403" s="8"/>
      <c r="U2403" s="8"/>
      <c r="V2403" s="8"/>
      <c r="W2403" s="8"/>
      <c r="X2403" s="771"/>
      <c r="Y2403" s="771"/>
      <c r="Z2403" s="771"/>
      <c r="AA2403" s="771"/>
      <c r="AB2403" s="771"/>
      <c r="AC2403" s="771"/>
      <c r="AD2403" s="771"/>
      <c r="AE2403" s="771"/>
      <c r="AF2403" s="771"/>
      <c r="AG2403" s="771"/>
      <c r="AH2403" s="771"/>
      <c r="AI2403" s="771"/>
      <c r="AJ2403" s="771"/>
      <c r="AK2403" s="771"/>
      <c r="AL2403" s="771"/>
      <c r="AM2403" s="771"/>
      <c r="AN2403" s="771"/>
      <c r="AO2403" s="771"/>
      <c r="AP2403" s="771"/>
      <c r="AQ2403" s="771"/>
      <c r="AR2403" s="771"/>
      <c r="AS2403" s="771"/>
      <c r="AT2403" s="771"/>
      <c r="AU2403" s="771"/>
    </row>
    <row r="2404" spans="1:47" s="1420" customFormat="1" outlineLevel="1" x14ac:dyDescent="0.2">
      <c r="A2404" s="8"/>
      <c r="B2404" s="8"/>
      <c r="C2404" s="1989" t="s">
        <v>4661</v>
      </c>
      <c r="D2404" s="1989" t="s">
        <v>7996</v>
      </c>
      <c r="E2404" s="1989">
        <v>1.24</v>
      </c>
      <c r="F2404" s="38">
        <f t="shared" si="37"/>
        <v>100.8383376</v>
      </c>
      <c r="G2404" s="1547"/>
      <c r="H2404" s="8"/>
      <c r="I2404" s="8"/>
      <c r="J2404" s="8"/>
      <c r="K2404" s="8"/>
      <c r="L2404" s="8"/>
      <c r="M2404" s="8"/>
      <c r="N2404" s="8"/>
      <c r="O2404" s="8"/>
      <c r="P2404" s="8"/>
      <c r="Q2404" s="8"/>
      <c r="R2404" s="8"/>
      <c r="S2404" s="8"/>
      <c r="T2404" s="8"/>
      <c r="U2404" s="8"/>
      <c r="V2404" s="8"/>
      <c r="W2404" s="8"/>
      <c r="X2404" s="771"/>
      <c r="Y2404" s="771"/>
      <c r="Z2404" s="771"/>
      <c r="AA2404" s="771"/>
      <c r="AB2404" s="771"/>
      <c r="AC2404" s="771"/>
      <c r="AD2404" s="771"/>
      <c r="AE2404" s="771"/>
      <c r="AF2404" s="771"/>
      <c r="AG2404" s="771"/>
      <c r="AH2404" s="771"/>
      <c r="AI2404" s="771"/>
      <c r="AJ2404" s="771"/>
      <c r="AK2404" s="771"/>
      <c r="AL2404" s="771"/>
      <c r="AM2404" s="771"/>
      <c r="AN2404" s="771"/>
      <c r="AO2404" s="771"/>
      <c r="AP2404" s="771"/>
      <c r="AQ2404" s="771"/>
      <c r="AR2404" s="771"/>
      <c r="AS2404" s="771"/>
      <c r="AT2404" s="771"/>
      <c r="AU2404" s="771"/>
    </row>
    <row r="2405" spans="1:47" s="1420" customFormat="1" outlineLevel="1" x14ac:dyDescent="0.2">
      <c r="A2405" s="8"/>
      <c r="B2405" s="8"/>
      <c r="C2405" s="1989" t="s">
        <v>4662</v>
      </c>
      <c r="D2405" s="1989" t="s">
        <v>7997</v>
      </c>
      <c r="E2405" s="1989">
        <v>1.39</v>
      </c>
      <c r="F2405" s="38">
        <f t="shared" si="37"/>
        <v>113.03652360000001</v>
      </c>
      <c r="G2405" s="1547"/>
      <c r="H2405" s="8"/>
      <c r="I2405" s="8"/>
      <c r="J2405" s="8"/>
      <c r="K2405" s="8"/>
      <c r="L2405" s="8"/>
      <c r="M2405" s="8"/>
      <c r="N2405" s="8"/>
      <c r="O2405" s="8"/>
      <c r="P2405" s="8"/>
      <c r="Q2405" s="8"/>
      <c r="R2405" s="8"/>
      <c r="S2405" s="8"/>
      <c r="T2405" s="8"/>
      <c r="U2405" s="8"/>
      <c r="V2405" s="8"/>
      <c r="W2405" s="8"/>
      <c r="X2405" s="771"/>
      <c r="Y2405" s="771"/>
      <c r="Z2405" s="771"/>
      <c r="AA2405" s="771"/>
      <c r="AB2405" s="771"/>
      <c r="AC2405" s="771"/>
      <c r="AD2405" s="771"/>
      <c r="AE2405" s="771"/>
      <c r="AF2405" s="771"/>
      <c r="AG2405" s="771"/>
      <c r="AH2405" s="771"/>
      <c r="AI2405" s="771"/>
      <c r="AJ2405" s="771"/>
      <c r="AK2405" s="771"/>
      <c r="AL2405" s="771"/>
      <c r="AM2405" s="771"/>
      <c r="AN2405" s="771"/>
      <c r="AO2405" s="771"/>
      <c r="AP2405" s="771"/>
      <c r="AQ2405" s="771"/>
      <c r="AR2405" s="771"/>
      <c r="AS2405" s="771"/>
      <c r="AT2405" s="771"/>
      <c r="AU2405" s="771"/>
    </row>
    <row r="2406" spans="1:47" s="1420" customFormat="1" outlineLevel="1" x14ac:dyDescent="0.2">
      <c r="A2406" s="8"/>
      <c r="B2406" s="8"/>
      <c r="C2406" s="1989" t="s">
        <v>4663</v>
      </c>
      <c r="D2406" s="1989" t="s">
        <v>7998</v>
      </c>
      <c r="E2406" s="1989">
        <v>1.53</v>
      </c>
      <c r="F2406" s="38">
        <f t="shared" si="37"/>
        <v>124.4214972</v>
      </c>
      <c r="G2406" s="1547"/>
      <c r="H2406" s="8"/>
      <c r="I2406" s="8"/>
      <c r="J2406" s="8"/>
      <c r="K2406" s="8"/>
      <c r="L2406" s="8"/>
      <c r="M2406" s="8"/>
      <c r="N2406" s="8"/>
      <c r="O2406" s="8"/>
      <c r="P2406" s="8"/>
      <c r="Q2406" s="8"/>
      <c r="R2406" s="8"/>
      <c r="S2406" s="8"/>
      <c r="T2406" s="8"/>
      <c r="U2406" s="8"/>
      <c r="V2406" s="8"/>
      <c r="W2406" s="8"/>
      <c r="X2406" s="771"/>
      <c r="Y2406" s="771"/>
      <c r="Z2406" s="771"/>
      <c r="AA2406" s="771"/>
      <c r="AB2406" s="771"/>
      <c r="AC2406" s="771"/>
      <c r="AD2406" s="771"/>
      <c r="AE2406" s="771"/>
      <c r="AF2406" s="771"/>
      <c r="AG2406" s="771"/>
      <c r="AH2406" s="771"/>
      <c r="AI2406" s="771"/>
      <c r="AJ2406" s="771"/>
      <c r="AK2406" s="771"/>
      <c r="AL2406" s="771"/>
      <c r="AM2406" s="771"/>
      <c r="AN2406" s="771"/>
      <c r="AO2406" s="771"/>
      <c r="AP2406" s="771"/>
      <c r="AQ2406" s="771"/>
      <c r="AR2406" s="771"/>
      <c r="AS2406" s="771"/>
      <c r="AT2406" s="771"/>
      <c r="AU2406" s="771"/>
    </row>
    <row r="2407" spans="1:47" s="1420" customFormat="1" outlineLevel="1" x14ac:dyDescent="0.2">
      <c r="A2407" s="8"/>
      <c r="B2407" s="8"/>
      <c r="C2407" s="1989" t="s">
        <v>4664</v>
      </c>
      <c r="D2407" s="1989" t="s">
        <v>7999</v>
      </c>
      <c r="E2407" s="1989">
        <v>1.68</v>
      </c>
      <c r="F2407" s="38">
        <f t="shared" si="37"/>
        <v>136.6196832</v>
      </c>
      <c r="G2407" s="1547"/>
      <c r="H2407" s="8"/>
      <c r="I2407" s="8"/>
      <c r="J2407" s="8"/>
      <c r="K2407" s="8"/>
      <c r="L2407" s="8"/>
      <c r="M2407" s="8"/>
      <c r="N2407" s="8"/>
      <c r="O2407" s="8"/>
      <c r="P2407" s="8"/>
      <c r="Q2407" s="8"/>
      <c r="R2407" s="8"/>
      <c r="S2407" s="8"/>
      <c r="T2407" s="8"/>
      <c r="U2407" s="8"/>
      <c r="V2407" s="8"/>
      <c r="W2407" s="8"/>
      <c r="X2407" s="771"/>
      <c r="Y2407" s="771"/>
      <c r="Z2407" s="771"/>
      <c r="AA2407" s="771"/>
      <c r="AB2407" s="771"/>
      <c r="AC2407" s="771"/>
      <c r="AD2407" s="771"/>
      <c r="AE2407" s="771"/>
      <c r="AF2407" s="771"/>
      <c r="AG2407" s="771"/>
      <c r="AH2407" s="771"/>
      <c r="AI2407" s="771"/>
      <c r="AJ2407" s="771"/>
      <c r="AK2407" s="771"/>
      <c r="AL2407" s="771"/>
      <c r="AM2407" s="771"/>
      <c r="AN2407" s="771"/>
      <c r="AO2407" s="771"/>
      <c r="AP2407" s="771"/>
      <c r="AQ2407" s="771"/>
      <c r="AR2407" s="771"/>
      <c r="AS2407" s="771"/>
      <c r="AT2407" s="771"/>
      <c r="AU2407" s="771"/>
    </row>
    <row r="2408" spans="1:47" s="1420" customFormat="1" outlineLevel="1" x14ac:dyDescent="0.2">
      <c r="A2408" s="8"/>
      <c r="B2408" s="8"/>
      <c r="C2408" s="1989" t="s">
        <v>4665</v>
      </c>
      <c r="D2408" s="1989" t="s">
        <v>8000</v>
      </c>
      <c r="E2408" s="1989">
        <v>1.42</v>
      </c>
      <c r="F2408" s="38">
        <f t="shared" si="37"/>
        <v>115.4761608</v>
      </c>
      <c r="G2408" s="1547"/>
      <c r="H2408" s="8"/>
      <c r="I2408" s="8"/>
      <c r="J2408" s="8"/>
      <c r="K2408" s="8"/>
      <c r="L2408" s="8"/>
      <c r="M2408" s="8"/>
      <c r="N2408" s="8"/>
      <c r="O2408" s="8"/>
      <c r="P2408" s="8"/>
      <c r="Q2408" s="8"/>
      <c r="R2408" s="8"/>
      <c r="S2408" s="8"/>
      <c r="T2408" s="8"/>
      <c r="U2408" s="8"/>
      <c r="V2408" s="8"/>
      <c r="W2408" s="8"/>
      <c r="X2408" s="771"/>
      <c r="Y2408" s="771"/>
      <c r="Z2408" s="771"/>
      <c r="AA2408" s="771"/>
      <c r="AB2408" s="771"/>
      <c r="AC2408" s="771"/>
      <c r="AD2408" s="771"/>
      <c r="AE2408" s="771"/>
      <c r="AF2408" s="771"/>
      <c r="AG2408" s="771"/>
      <c r="AH2408" s="771"/>
      <c r="AI2408" s="771"/>
      <c r="AJ2408" s="771"/>
      <c r="AK2408" s="771"/>
      <c r="AL2408" s="771"/>
      <c r="AM2408" s="771"/>
      <c r="AN2408" s="771"/>
      <c r="AO2408" s="771"/>
      <c r="AP2408" s="771"/>
      <c r="AQ2408" s="771"/>
      <c r="AR2408" s="771"/>
      <c r="AS2408" s="771"/>
      <c r="AT2408" s="771"/>
      <c r="AU2408" s="771"/>
    </row>
    <row r="2409" spans="1:47" s="1420" customFormat="1" outlineLevel="1" x14ac:dyDescent="0.2">
      <c r="A2409" s="8"/>
      <c r="B2409" s="8"/>
      <c r="C2409" s="1989" t="s">
        <v>4666</v>
      </c>
      <c r="D2409" s="1989" t="s">
        <v>8001</v>
      </c>
      <c r="E2409" s="1989">
        <v>1.58</v>
      </c>
      <c r="F2409" s="38">
        <f t="shared" si="37"/>
        <v>128.48755919999999</v>
      </c>
      <c r="G2409" s="1547"/>
      <c r="H2409" s="8"/>
      <c r="I2409" s="8"/>
      <c r="J2409" s="8"/>
      <c r="K2409" s="8"/>
      <c r="L2409" s="8"/>
      <c r="M2409" s="8"/>
      <c r="N2409" s="8"/>
      <c r="O2409" s="8"/>
      <c r="P2409" s="8"/>
      <c r="Q2409" s="8"/>
      <c r="R2409" s="8"/>
      <c r="S2409" s="8"/>
      <c r="T2409" s="8"/>
      <c r="U2409" s="8"/>
      <c r="V2409" s="8"/>
      <c r="W2409" s="8"/>
      <c r="X2409" s="771"/>
      <c r="Y2409" s="771"/>
      <c r="Z2409" s="771"/>
      <c r="AA2409" s="771"/>
      <c r="AB2409" s="771"/>
      <c r="AC2409" s="771"/>
      <c r="AD2409" s="771"/>
      <c r="AE2409" s="771"/>
      <c r="AF2409" s="771"/>
      <c r="AG2409" s="771"/>
      <c r="AH2409" s="771"/>
      <c r="AI2409" s="771"/>
      <c r="AJ2409" s="771"/>
      <c r="AK2409" s="771"/>
      <c r="AL2409" s="771"/>
      <c r="AM2409" s="771"/>
      <c r="AN2409" s="771"/>
      <c r="AO2409" s="771"/>
      <c r="AP2409" s="771"/>
      <c r="AQ2409" s="771"/>
      <c r="AR2409" s="771"/>
      <c r="AS2409" s="771"/>
      <c r="AT2409" s="771"/>
      <c r="AU2409" s="771"/>
    </row>
    <row r="2410" spans="1:47" outlineLevel="1" x14ac:dyDescent="0.2">
      <c r="C2410" s="1989" t="s">
        <v>4667</v>
      </c>
      <c r="D2410" s="1989" t="s">
        <v>8002</v>
      </c>
      <c r="E2410" s="1989">
        <v>1.75</v>
      </c>
      <c r="F2410" s="38">
        <f t="shared" si="37"/>
        <v>142.31217000000001</v>
      </c>
      <c r="G2410" s="1547"/>
    </row>
    <row r="2411" spans="1:47" outlineLevel="1" x14ac:dyDescent="0.2">
      <c r="C2411" s="1989" t="s">
        <v>4668</v>
      </c>
      <c r="D2411" s="1989" t="s">
        <v>8003</v>
      </c>
      <c r="E2411" s="1989">
        <v>1.92</v>
      </c>
      <c r="F2411" s="38">
        <f t="shared" si="37"/>
        <v>156.1367808</v>
      </c>
      <c r="G2411" s="1547"/>
    </row>
    <row r="2412" spans="1:47" outlineLevel="1" x14ac:dyDescent="0.2">
      <c r="C2412" s="1989" t="s">
        <v>4669</v>
      </c>
      <c r="D2412" s="1989" t="s">
        <v>8004</v>
      </c>
      <c r="E2412" s="1989">
        <v>1.57</v>
      </c>
      <c r="F2412" s="38">
        <f t="shared" si="37"/>
        <v>127.67434680000001</v>
      </c>
      <c r="G2412" s="1547"/>
    </row>
    <row r="2413" spans="1:47" outlineLevel="1" x14ac:dyDescent="0.2">
      <c r="C2413" s="1989" t="s">
        <v>4670</v>
      </c>
      <c r="D2413" s="1989" t="s">
        <v>8005</v>
      </c>
      <c r="E2413" s="1989">
        <v>1.77</v>
      </c>
      <c r="F2413" s="38">
        <f t="shared" si="37"/>
        <v>143.9385948</v>
      </c>
      <c r="G2413" s="1547"/>
    </row>
    <row r="2414" spans="1:47" outlineLevel="1" x14ac:dyDescent="0.2">
      <c r="C2414" s="1989" t="s">
        <v>4671</v>
      </c>
      <c r="D2414" s="1989" t="s">
        <v>8006</v>
      </c>
      <c r="E2414" s="1989">
        <v>1.97</v>
      </c>
      <c r="F2414" s="38">
        <f t="shared" si="37"/>
        <v>160.20284280000001</v>
      </c>
      <c r="G2414" s="1547"/>
    </row>
    <row r="2415" spans="1:47" outlineLevel="1" x14ac:dyDescent="0.2">
      <c r="C2415" s="1989" t="s">
        <v>4672</v>
      </c>
      <c r="D2415" s="1989" t="s">
        <v>8007</v>
      </c>
      <c r="E2415" s="1989">
        <v>2.17</v>
      </c>
      <c r="F2415" s="38">
        <f t="shared" si="37"/>
        <v>176.46709079999999</v>
      </c>
      <c r="G2415" s="1547"/>
    </row>
    <row r="2416" spans="1:47" outlineLevel="1" x14ac:dyDescent="0.2">
      <c r="C2416" s="1989" t="s">
        <v>4673</v>
      </c>
      <c r="D2416" s="1989" t="s">
        <v>8008</v>
      </c>
      <c r="E2416" s="1989">
        <v>1.75</v>
      </c>
      <c r="F2416" s="38">
        <f t="shared" si="37"/>
        <v>142.31217000000001</v>
      </c>
      <c r="G2416" s="1547"/>
    </row>
    <row r="2417" spans="1:47" outlineLevel="1" x14ac:dyDescent="0.2">
      <c r="C2417" s="1989" t="s">
        <v>4674</v>
      </c>
      <c r="D2417" s="1989" t="s">
        <v>8009</v>
      </c>
      <c r="E2417" s="1989">
        <v>1.96</v>
      </c>
      <c r="F2417" s="38">
        <f t="shared" si="37"/>
        <v>159.38963040000002</v>
      </c>
      <c r="G2417" s="1547"/>
    </row>
    <row r="2418" spans="1:47" outlineLevel="1" x14ac:dyDescent="0.2">
      <c r="C2418" s="1989" t="s">
        <v>4675</v>
      </c>
      <c r="D2418" s="1989" t="s">
        <v>8010</v>
      </c>
      <c r="E2418" s="1989">
        <v>2.1800000000000002</v>
      </c>
      <c r="F2418" s="38">
        <f t="shared" si="37"/>
        <v>177.28030320000002</v>
      </c>
      <c r="G2418" s="1547"/>
    </row>
    <row r="2419" spans="1:47" outlineLevel="1" x14ac:dyDescent="0.2">
      <c r="C2419" s="1989" t="s">
        <v>4676</v>
      </c>
      <c r="D2419" s="1989" t="s">
        <v>8011</v>
      </c>
      <c r="E2419" s="1989">
        <v>2.4</v>
      </c>
      <c r="F2419" s="38">
        <f t="shared" si="37"/>
        <v>195.170976</v>
      </c>
      <c r="G2419" s="1547"/>
    </row>
    <row r="2420" spans="1:47" outlineLevel="1" x14ac:dyDescent="0.2">
      <c r="C2420" s="1989" t="s">
        <v>4677</v>
      </c>
      <c r="D2420" s="1989" t="s">
        <v>8012</v>
      </c>
      <c r="E2420" s="1989">
        <v>1.96</v>
      </c>
      <c r="F2420" s="38">
        <f t="shared" si="37"/>
        <v>159.38963040000002</v>
      </c>
      <c r="G2420" s="1547"/>
    </row>
    <row r="2421" spans="1:47" s="1418" customFormat="1" outlineLevel="1" x14ac:dyDescent="0.2">
      <c r="A2421" s="8"/>
      <c r="B2421" s="8"/>
      <c r="C2421" s="1989" t="s">
        <v>4678</v>
      </c>
      <c r="D2421" s="1989" t="s">
        <v>8013</v>
      </c>
      <c r="E2421" s="1989">
        <v>2.19</v>
      </c>
      <c r="F2421" s="38">
        <f t="shared" si="37"/>
        <v>178.09351559999999</v>
      </c>
      <c r="G2421" s="1547"/>
      <c r="H2421" s="8"/>
      <c r="I2421" s="8"/>
      <c r="J2421" s="8"/>
      <c r="K2421" s="8"/>
      <c r="L2421" s="8"/>
      <c r="M2421" s="8"/>
      <c r="N2421" s="8"/>
      <c r="O2421" s="8"/>
      <c r="P2421" s="8"/>
      <c r="Q2421" s="8"/>
      <c r="R2421" s="8"/>
      <c r="S2421" s="8"/>
      <c r="T2421" s="8"/>
      <c r="U2421" s="8"/>
      <c r="V2421" s="8"/>
      <c r="W2421" s="8"/>
      <c r="X2421" s="771"/>
      <c r="Y2421" s="771"/>
      <c r="Z2421" s="771"/>
      <c r="AA2421" s="771"/>
      <c r="AB2421" s="771"/>
      <c r="AC2421" s="771"/>
      <c r="AD2421" s="771"/>
      <c r="AE2421" s="771"/>
      <c r="AF2421" s="771"/>
      <c r="AG2421" s="771"/>
      <c r="AH2421" s="771"/>
      <c r="AI2421" s="771"/>
      <c r="AJ2421" s="771"/>
      <c r="AK2421" s="771"/>
      <c r="AL2421" s="771"/>
      <c r="AM2421" s="771"/>
      <c r="AN2421" s="771"/>
      <c r="AO2421" s="771"/>
      <c r="AP2421" s="771"/>
      <c r="AQ2421" s="771"/>
      <c r="AR2421" s="771"/>
      <c r="AS2421" s="771"/>
      <c r="AT2421" s="771"/>
      <c r="AU2421" s="771"/>
    </row>
    <row r="2422" spans="1:47" s="1418" customFormat="1" outlineLevel="1" x14ac:dyDescent="0.2">
      <c r="A2422" s="8"/>
      <c r="B2422" s="8"/>
      <c r="C2422" s="1989" t="s">
        <v>4679</v>
      </c>
      <c r="D2422" s="1989" t="s">
        <v>8014</v>
      </c>
      <c r="E2422" s="1989">
        <v>2.44</v>
      </c>
      <c r="F2422" s="38">
        <f t="shared" si="37"/>
        <v>198.42382560000001</v>
      </c>
      <c r="G2422" s="1547"/>
      <c r="H2422" s="8"/>
      <c r="I2422" s="8"/>
      <c r="J2422" s="8"/>
      <c r="K2422" s="8"/>
      <c r="L2422" s="8"/>
      <c r="M2422" s="8"/>
      <c r="N2422" s="8"/>
      <c r="O2422" s="8"/>
      <c r="P2422" s="8"/>
      <c r="Q2422" s="8"/>
      <c r="R2422" s="8"/>
      <c r="S2422" s="8"/>
      <c r="T2422" s="8"/>
      <c r="U2422" s="8"/>
      <c r="V2422" s="8"/>
      <c r="W2422" s="8"/>
      <c r="X2422" s="771"/>
      <c r="Y2422" s="771"/>
      <c r="Z2422" s="771"/>
      <c r="AA2422" s="771"/>
      <c r="AB2422" s="771"/>
      <c r="AC2422" s="771"/>
      <c r="AD2422" s="771"/>
      <c r="AE2422" s="771"/>
      <c r="AF2422" s="771"/>
      <c r="AG2422" s="771"/>
      <c r="AH2422" s="771"/>
      <c r="AI2422" s="771"/>
      <c r="AJ2422" s="771"/>
      <c r="AK2422" s="771"/>
      <c r="AL2422" s="771"/>
      <c r="AM2422" s="771"/>
      <c r="AN2422" s="771"/>
      <c r="AO2422" s="771"/>
      <c r="AP2422" s="771"/>
      <c r="AQ2422" s="771"/>
      <c r="AR2422" s="771"/>
      <c r="AS2422" s="771"/>
      <c r="AT2422" s="771"/>
      <c r="AU2422" s="771"/>
    </row>
    <row r="2423" spans="1:47" s="1418" customFormat="1" outlineLevel="1" x14ac:dyDescent="0.2">
      <c r="A2423" s="8"/>
      <c r="B2423" s="8"/>
      <c r="C2423" s="1989" t="s">
        <v>4680</v>
      </c>
      <c r="D2423" s="1989" t="s">
        <v>8015</v>
      </c>
      <c r="E2423" s="1989">
        <v>2.68</v>
      </c>
      <c r="F2423" s="38">
        <f t="shared" si="37"/>
        <v>217.94092320000004</v>
      </c>
      <c r="G2423" s="1547"/>
      <c r="H2423" s="8"/>
      <c r="I2423" s="8"/>
      <c r="J2423" s="8"/>
      <c r="K2423" s="8"/>
      <c r="L2423" s="8"/>
      <c r="M2423" s="8"/>
      <c r="N2423" s="8"/>
      <c r="O2423" s="8"/>
      <c r="P2423" s="8"/>
      <c r="Q2423" s="8"/>
      <c r="R2423" s="8"/>
      <c r="S2423" s="8"/>
      <c r="T2423" s="8"/>
      <c r="U2423" s="8"/>
      <c r="V2423" s="8"/>
      <c r="W2423" s="8"/>
      <c r="X2423" s="771"/>
      <c r="Y2423" s="771"/>
      <c r="Z2423" s="771"/>
      <c r="AA2423" s="771"/>
      <c r="AB2423" s="771"/>
      <c r="AC2423" s="771"/>
      <c r="AD2423" s="771"/>
      <c r="AE2423" s="771"/>
      <c r="AF2423" s="771"/>
      <c r="AG2423" s="771"/>
      <c r="AH2423" s="771"/>
      <c r="AI2423" s="771"/>
      <c r="AJ2423" s="771"/>
      <c r="AK2423" s="771"/>
      <c r="AL2423" s="771"/>
      <c r="AM2423" s="771"/>
      <c r="AN2423" s="771"/>
      <c r="AO2423" s="771"/>
      <c r="AP2423" s="771"/>
      <c r="AQ2423" s="771"/>
      <c r="AR2423" s="771"/>
      <c r="AS2423" s="771"/>
      <c r="AT2423" s="771"/>
      <c r="AU2423" s="771"/>
    </row>
    <row r="2424" spans="1:47" s="1418" customFormat="1" outlineLevel="1" x14ac:dyDescent="0.2">
      <c r="A2424" s="8"/>
      <c r="B2424" s="8"/>
      <c r="C2424" s="1989" t="s">
        <v>4681</v>
      </c>
      <c r="D2424" s="1989" t="s">
        <v>8016</v>
      </c>
      <c r="E2424" s="1989">
        <v>2.29</v>
      </c>
      <c r="F2424" s="38">
        <f t="shared" si="37"/>
        <v>186.22563959999999</v>
      </c>
      <c r="G2424" s="1547"/>
      <c r="H2424" s="8"/>
      <c r="I2424" s="8"/>
      <c r="J2424" s="8"/>
      <c r="K2424" s="8"/>
      <c r="L2424" s="8"/>
      <c r="M2424" s="8"/>
      <c r="N2424" s="8"/>
      <c r="O2424" s="8"/>
      <c r="P2424" s="8"/>
      <c r="Q2424" s="8"/>
      <c r="R2424" s="8"/>
      <c r="S2424" s="8"/>
      <c r="T2424" s="8"/>
      <c r="U2424" s="8"/>
      <c r="V2424" s="8"/>
      <c r="W2424" s="8"/>
      <c r="X2424" s="771"/>
      <c r="Y2424" s="771"/>
      <c r="Z2424" s="771"/>
      <c r="AA2424" s="771"/>
      <c r="AB2424" s="771"/>
      <c r="AC2424" s="771"/>
      <c r="AD2424" s="771"/>
      <c r="AE2424" s="771"/>
      <c r="AF2424" s="771"/>
      <c r="AG2424" s="771"/>
      <c r="AH2424" s="771"/>
      <c r="AI2424" s="771"/>
      <c r="AJ2424" s="771"/>
      <c r="AK2424" s="771"/>
      <c r="AL2424" s="771"/>
      <c r="AM2424" s="771"/>
      <c r="AN2424" s="771"/>
      <c r="AO2424" s="771"/>
      <c r="AP2424" s="771"/>
      <c r="AQ2424" s="771"/>
      <c r="AR2424" s="771"/>
      <c r="AS2424" s="771"/>
      <c r="AT2424" s="771"/>
      <c r="AU2424" s="771"/>
    </row>
    <row r="2425" spans="1:47" s="1418" customFormat="1" outlineLevel="1" x14ac:dyDescent="0.2">
      <c r="A2425" s="8"/>
      <c r="B2425" s="8"/>
      <c r="C2425" s="1989" t="s">
        <v>4682</v>
      </c>
      <c r="D2425" s="1989" t="s">
        <v>8017</v>
      </c>
      <c r="E2425" s="1989">
        <v>2.58</v>
      </c>
      <c r="F2425" s="38">
        <f t="shared" si="37"/>
        <v>209.80879920000001</v>
      </c>
      <c r="G2425" s="1547"/>
      <c r="H2425" s="8"/>
      <c r="I2425" s="8"/>
      <c r="J2425" s="8"/>
      <c r="K2425" s="8"/>
      <c r="L2425" s="8"/>
      <c r="M2425" s="8"/>
      <c r="N2425" s="8"/>
      <c r="O2425" s="8"/>
      <c r="P2425" s="8"/>
      <c r="Q2425" s="8"/>
      <c r="R2425" s="8"/>
      <c r="S2425" s="8"/>
      <c r="T2425" s="8"/>
      <c r="U2425" s="8"/>
      <c r="V2425" s="8"/>
      <c r="W2425" s="8"/>
      <c r="X2425" s="771"/>
      <c r="Y2425" s="771"/>
      <c r="Z2425" s="771"/>
      <c r="AA2425" s="771"/>
      <c r="AB2425" s="771"/>
      <c r="AC2425" s="771"/>
      <c r="AD2425" s="771"/>
      <c r="AE2425" s="771"/>
      <c r="AF2425" s="771"/>
      <c r="AG2425" s="771"/>
      <c r="AH2425" s="771"/>
      <c r="AI2425" s="771"/>
      <c r="AJ2425" s="771"/>
      <c r="AK2425" s="771"/>
      <c r="AL2425" s="771"/>
      <c r="AM2425" s="771"/>
      <c r="AN2425" s="771"/>
      <c r="AO2425" s="771"/>
      <c r="AP2425" s="771"/>
      <c r="AQ2425" s="771"/>
      <c r="AR2425" s="771"/>
      <c r="AS2425" s="771"/>
      <c r="AT2425" s="771"/>
      <c r="AU2425" s="771"/>
    </row>
    <row r="2426" spans="1:47" s="1418" customFormat="1" outlineLevel="1" x14ac:dyDescent="0.2">
      <c r="A2426" s="8"/>
      <c r="B2426" s="8"/>
      <c r="C2426" s="1989" t="s">
        <v>4683</v>
      </c>
      <c r="D2426" s="1989" t="s">
        <v>8018</v>
      </c>
      <c r="E2426" s="1989">
        <v>2.87</v>
      </c>
      <c r="F2426" s="38">
        <f t="shared" si="37"/>
        <v>233.39195880000003</v>
      </c>
      <c r="G2426" s="1547"/>
      <c r="H2426" s="8"/>
      <c r="I2426" s="8"/>
      <c r="J2426" s="8"/>
      <c r="K2426" s="8"/>
      <c r="L2426" s="8"/>
      <c r="M2426" s="8"/>
      <c r="N2426" s="8"/>
      <c r="O2426" s="8"/>
      <c r="P2426" s="8"/>
      <c r="Q2426" s="8"/>
      <c r="R2426" s="8"/>
      <c r="S2426" s="8"/>
      <c r="T2426" s="8"/>
      <c r="U2426" s="8"/>
      <c r="V2426" s="8"/>
      <c r="W2426" s="8"/>
      <c r="X2426" s="771"/>
      <c r="Y2426" s="771"/>
      <c r="Z2426" s="771"/>
      <c r="AA2426" s="771"/>
      <c r="AB2426" s="771"/>
      <c r="AC2426" s="771"/>
      <c r="AD2426" s="771"/>
      <c r="AE2426" s="771"/>
      <c r="AF2426" s="771"/>
      <c r="AG2426" s="771"/>
      <c r="AH2426" s="771"/>
      <c r="AI2426" s="771"/>
      <c r="AJ2426" s="771"/>
      <c r="AK2426" s="771"/>
      <c r="AL2426" s="771"/>
      <c r="AM2426" s="771"/>
      <c r="AN2426" s="771"/>
      <c r="AO2426" s="771"/>
      <c r="AP2426" s="771"/>
      <c r="AQ2426" s="771"/>
      <c r="AR2426" s="771"/>
      <c r="AS2426" s="771"/>
      <c r="AT2426" s="771"/>
      <c r="AU2426" s="771"/>
    </row>
    <row r="2427" spans="1:47" s="1418" customFormat="1" outlineLevel="1" x14ac:dyDescent="0.2">
      <c r="A2427" s="8"/>
      <c r="B2427" s="8"/>
      <c r="C2427" s="1989" t="s">
        <v>4684</v>
      </c>
      <c r="D2427" s="1989" t="s">
        <v>8019</v>
      </c>
      <c r="E2427" s="1989">
        <v>3.16</v>
      </c>
      <c r="F2427" s="38">
        <f t="shared" si="37"/>
        <v>256.97511839999999</v>
      </c>
      <c r="G2427" s="1547"/>
      <c r="H2427" s="8"/>
      <c r="I2427" s="8"/>
      <c r="J2427" s="8"/>
      <c r="K2427" s="8"/>
      <c r="L2427" s="8"/>
      <c r="M2427" s="8"/>
      <c r="N2427" s="8"/>
      <c r="O2427" s="8"/>
      <c r="P2427" s="8"/>
      <c r="Q2427" s="8"/>
      <c r="R2427" s="8"/>
      <c r="S2427" s="8"/>
      <c r="T2427" s="8"/>
      <c r="U2427" s="8"/>
      <c r="V2427" s="8"/>
      <c r="W2427" s="8"/>
      <c r="X2427" s="771"/>
      <c r="Y2427" s="771"/>
      <c r="Z2427" s="771"/>
      <c r="AA2427" s="771"/>
      <c r="AB2427" s="771"/>
      <c r="AC2427" s="771"/>
      <c r="AD2427" s="771"/>
      <c r="AE2427" s="771"/>
      <c r="AF2427" s="771"/>
      <c r="AG2427" s="771"/>
      <c r="AH2427" s="771"/>
      <c r="AI2427" s="771"/>
      <c r="AJ2427" s="771"/>
      <c r="AK2427" s="771"/>
      <c r="AL2427" s="771"/>
      <c r="AM2427" s="771"/>
      <c r="AN2427" s="771"/>
      <c r="AO2427" s="771"/>
      <c r="AP2427" s="771"/>
      <c r="AQ2427" s="771"/>
      <c r="AR2427" s="771"/>
      <c r="AS2427" s="771"/>
      <c r="AT2427" s="771"/>
      <c r="AU2427" s="771"/>
    </row>
    <row r="2428" spans="1:47" s="1418" customFormat="1" outlineLevel="1" x14ac:dyDescent="0.2">
      <c r="A2428" s="8"/>
      <c r="B2428" s="8"/>
      <c r="C2428" s="1989" t="s">
        <v>4685</v>
      </c>
      <c r="D2428" s="1989" t="s">
        <v>8020</v>
      </c>
      <c r="E2428" s="1989">
        <v>0.96</v>
      </c>
      <c r="F2428" s="38">
        <f t="shared" si="37"/>
        <v>78.068390399999998</v>
      </c>
      <c r="G2428" s="1547"/>
      <c r="H2428" s="8"/>
      <c r="I2428" s="8"/>
      <c r="J2428" s="8"/>
      <c r="K2428" s="8"/>
      <c r="L2428" s="8"/>
      <c r="M2428" s="8"/>
      <c r="N2428" s="8"/>
      <c r="O2428" s="8"/>
      <c r="P2428" s="8"/>
      <c r="Q2428" s="8"/>
      <c r="R2428" s="8"/>
      <c r="S2428" s="8"/>
      <c r="T2428" s="8"/>
      <c r="U2428" s="8"/>
      <c r="V2428" s="8"/>
      <c r="W2428" s="8"/>
      <c r="X2428" s="771"/>
      <c r="Y2428" s="771"/>
      <c r="Z2428" s="771"/>
      <c r="AA2428" s="771"/>
      <c r="AB2428" s="771"/>
      <c r="AC2428" s="771"/>
      <c r="AD2428" s="771"/>
      <c r="AE2428" s="771"/>
      <c r="AF2428" s="771"/>
      <c r="AG2428" s="771"/>
      <c r="AH2428" s="771"/>
      <c r="AI2428" s="771"/>
      <c r="AJ2428" s="771"/>
      <c r="AK2428" s="771"/>
      <c r="AL2428" s="771"/>
      <c r="AM2428" s="771"/>
      <c r="AN2428" s="771"/>
      <c r="AO2428" s="771"/>
      <c r="AP2428" s="771"/>
      <c r="AQ2428" s="771"/>
      <c r="AR2428" s="771"/>
      <c r="AS2428" s="771"/>
      <c r="AT2428" s="771"/>
      <c r="AU2428" s="771"/>
    </row>
    <row r="2429" spans="1:47" s="1418" customFormat="1" outlineLevel="1" x14ac:dyDescent="0.2">
      <c r="A2429" s="8"/>
      <c r="B2429" s="8"/>
      <c r="C2429" s="1989" t="s">
        <v>4686</v>
      </c>
      <c r="D2429" s="1989" t="s">
        <v>8021</v>
      </c>
      <c r="E2429" s="1989">
        <v>0.91</v>
      </c>
      <c r="F2429" s="38">
        <f t="shared" si="37"/>
        <v>74.00232840000001</v>
      </c>
      <c r="G2429" s="1547"/>
      <c r="H2429" s="8"/>
      <c r="I2429" s="8"/>
      <c r="J2429" s="8"/>
      <c r="K2429" s="8"/>
      <c r="L2429" s="8"/>
      <c r="M2429" s="8"/>
      <c r="N2429" s="8"/>
      <c r="O2429" s="8"/>
      <c r="P2429" s="8"/>
      <c r="Q2429" s="8"/>
      <c r="R2429" s="8"/>
      <c r="S2429" s="8"/>
      <c r="T2429" s="8"/>
      <c r="U2429" s="8"/>
      <c r="V2429" s="8"/>
      <c r="W2429" s="8"/>
      <c r="X2429" s="771"/>
      <c r="Y2429" s="771"/>
      <c r="Z2429" s="771"/>
      <c r="AA2429" s="771"/>
      <c r="AB2429" s="771"/>
      <c r="AC2429" s="771"/>
      <c r="AD2429" s="771"/>
      <c r="AE2429" s="771"/>
      <c r="AF2429" s="771"/>
      <c r="AG2429" s="771"/>
      <c r="AH2429" s="771"/>
      <c r="AI2429" s="771"/>
      <c r="AJ2429" s="771"/>
      <c r="AK2429" s="771"/>
      <c r="AL2429" s="771"/>
      <c r="AM2429" s="771"/>
      <c r="AN2429" s="771"/>
      <c r="AO2429" s="771"/>
      <c r="AP2429" s="771"/>
      <c r="AQ2429" s="771"/>
      <c r="AR2429" s="771"/>
      <c r="AS2429" s="771"/>
      <c r="AT2429" s="771"/>
      <c r="AU2429" s="771"/>
    </row>
    <row r="2430" spans="1:47" s="1418" customFormat="1" outlineLevel="1" x14ac:dyDescent="0.2">
      <c r="A2430" s="8"/>
      <c r="B2430" s="8"/>
      <c r="C2430" s="1989" t="s">
        <v>4687</v>
      </c>
      <c r="D2430" s="1989" t="s">
        <v>8022</v>
      </c>
      <c r="E2430" s="1989">
        <v>1</v>
      </c>
      <c r="F2430" s="38">
        <f t="shared" si="37"/>
        <v>81.321240000000003</v>
      </c>
      <c r="G2430" s="1547"/>
      <c r="H2430" s="8"/>
      <c r="I2430" s="8"/>
      <c r="J2430" s="8"/>
      <c r="K2430" s="8"/>
      <c r="L2430" s="8"/>
      <c r="M2430" s="8"/>
      <c r="N2430" s="8"/>
      <c r="O2430" s="8"/>
      <c r="P2430" s="8"/>
      <c r="Q2430" s="8"/>
      <c r="R2430" s="8"/>
      <c r="S2430" s="8"/>
      <c r="T2430" s="8"/>
      <c r="U2430" s="8"/>
      <c r="V2430" s="8"/>
      <c r="W2430" s="8"/>
      <c r="X2430" s="771"/>
      <c r="Y2430" s="771"/>
      <c r="Z2430" s="771"/>
      <c r="AA2430" s="771"/>
      <c r="AB2430" s="771"/>
      <c r="AC2430" s="771"/>
      <c r="AD2430" s="771"/>
      <c r="AE2430" s="771"/>
      <c r="AF2430" s="771"/>
      <c r="AG2430" s="771"/>
      <c r="AH2430" s="771"/>
      <c r="AI2430" s="771"/>
      <c r="AJ2430" s="771"/>
      <c r="AK2430" s="771"/>
      <c r="AL2430" s="771"/>
      <c r="AM2430" s="771"/>
      <c r="AN2430" s="771"/>
      <c r="AO2430" s="771"/>
      <c r="AP2430" s="771"/>
      <c r="AQ2430" s="771"/>
      <c r="AR2430" s="771"/>
      <c r="AS2430" s="771"/>
      <c r="AT2430" s="771"/>
      <c r="AU2430" s="771"/>
    </row>
    <row r="2431" spans="1:47" s="1418" customFormat="1" outlineLevel="1" x14ac:dyDescent="0.2">
      <c r="A2431" s="8"/>
      <c r="B2431" s="8"/>
      <c r="C2431" s="1989" t="s">
        <v>4688</v>
      </c>
      <c r="D2431" s="1989" t="s">
        <v>8023</v>
      </c>
      <c r="E2431" s="1989">
        <v>1.1100000000000001</v>
      </c>
      <c r="F2431" s="38">
        <f t="shared" si="37"/>
        <v>90.266576400000005</v>
      </c>
      <c r="G2431" s="1547"/>
      <c r="H2431" s="8"/>
      <c r="I2431" s="8"/>
      <c r="J2431" s="8"/>
      <c r="K2431" s="8"/>
      <c r="L2431" s="8"/>
      <c r="M2431" s="8"/>
      <c r="N2431" s="8"/>
      <c r="O2431" s="8"/>
      <c r="P2431" s="8"/>
      <c r="Q2431" s="8"/>
      <c r="R2431" s="8"/>
      <c r="S2431" s="8"/>
      <c r="T2431" s="8"/>
      <c r="U2431" s="8"/>
      <c r="V2431" s="8"/>
      <c r="W2431" s="8"/>
      <c r="X2431" s="771"/>
      <c r="Y2431" s="771"/>
      <c r="Z2431" s="771"/>
      <c r="AA2431" s="771"/>
      <c r="AB2431" s="771"/>
      <c r="AC2431" s="771"/>
      <c r="AD2431" s="771"/>
      <c r="AE2431" s="771"/>
      <c r="AF2431" s="771"/>
      <c r="AG2431" s="771"/>
      <c r="AH2431" s="771"/>
      <c r="AI2431" s="771"/>
      <c r="AJ2431" s="771"/>
      <c r="AK2431" s="771"/>
      <c r="AL2431" s="771"/>
      <c r="AM2431" s="771"/>
      <c r="AN2431" s="771"/>
      <c r="AO2431" s="771"/>
      <c r="AP2431" s="771"/>
      <c r="AQ2431" s="771"/>
      <c r="AR2431" s="771"/>
      <c r="AS2431" s="771"/>
      <c r="AT2431" s="771"/>
      <c r="AU2431" s="771"/>
    </row>
    <row r="2432" spans="1:47" s="1418" customFormat="1" outlineLevel="1" x14ac:dyDescent="0.2">
      <c r="A2432" s="8"/>
      <c r="B2432" s="8"/>
      <c r="C2432" s="1989" t="s">
        <v>4689</v>
      </c>
      <c r="D2432" s="1989" t="s">
        <v>8024</v>
      </c>
      <c r="E2432" s="1989">
        <v>1.2</v>
      </c>
      <c r="F2432" s="38">
        <f t="shared" si="37"/>
        <v>97.585487999999998</v>
      </c>
      <c r="G2432" s="1547"/>
      <c r="H2432" s="8"/>
      <c r="I2432" s="8"/>
      <c r="J2432" s="8"/>
      <c r="K2432" s="8"/>
      <c r="L2432" s="8"/>
      <c r="M2432" s="8"/>
      <c r="N2432" s="8"/>
      <c r="O2432" s="8"/>
      <c r="P2432" s="8"/>
      <c r="Q2432" s="8"/>
      <c r="R2432" s="8"/>
      <c r="S2432" s="8"/>
      <c r="T2432" s="8"/>
      <c r="U2432" s="8"/>
      <c r="V2432" s="8"/>
      <c r="W2432" s="8"/>
      <c r="X2432" s="771"/>
      <c r="Y2432" s="771"/>
      <c r="Z2432" s="771"/>
      <c r="AA2432" s="771"/>
      <c r="AB2432" s="771"/>
      <c r="AC2432" s="771"/>
      <c r="AD2432" s="771"/>
      <c r="AE2432" s="771"/>
      <c r="AF2432" s="771"/>
      <c r="AG2432" s="771"/>
      <c r="AH2432" s="771"/>
      <c r="AI2432" s="771"/>
      <c r="AJ2432" s="771"/>
      <c r="AK2432" s="771"/>
      <c r="AL2432" s="771"/>
      <c r="AM2432" s="771"/>
      <c r="AN2432" s="771"/>
      <c r="AO2432" s="771"/>
      <c r="AP2432" s="771"/>
      <c r="AQ2432" s="771"/>
      <c r="AR2432" s="771"/>
      <c r="AS2432" s="771"/>
      <c r="AT2432" s="771"/>
      <c r="AU2432" s="771"/>
    </row>
    <row r="2433" spans="1:47" s="1418" customFormat="1" outlineLevel="1" x14ac:dyDescent="0.2">
      <c r="A2433" s="8"/>
      <c r="B2433" s="8"/>
      <c r="C2433" s="1989" t="s">
        <v>4690</v>
      </c>
      <c r="D2433" s="1989" t="s">
        <v>8025</v>
      </c>
      <c r="E2433" s="1989">
        <v>0.99</v>
      </c>
      <c r="F2433" s="38">
        <f t="shared" si="37"/>
        <v>80.508027600000005</v>
      </c>
      <c r="G2433" s="1547"/>
      <c r="H2433" s="8"/>
      <c r="I2433" s="8"/>
      <c r="J2433" s="8"/>
      <c r="K2433" s="8"/>
      <c r="L2433" s="8"/>
      <c r="M2433" s="8"/>
      <c r="N2433" s="8"/>
      <c r="O2433" s="8"/>
      <c r="P2433" s="8"/>
      <c r="Q2433" s="8"/>
      <c r="R2433" s="8"/>
      <c r="S2433" s="8"/>
      <c r="T2433" s="8"/>
      <c r="U2433" s="8"/>
      <c r="V2433" s="8"/>
      <c r="W2433" s="8"/>
      <c r="X2433" s="771"/>
      <c r="Y2433" s="771"/>
      <c r="Z2433" s="771"/>
      <c r="AA2433" s="771"/>
      <c r="AB2433" s="771"/>
      <c r="AC2433" s="771"/>
      <c r="AD2433" s="771"/>
      <c r="AE2433" s="771"/>
      <c r="AF2433" s="771"/>
      <c r="AG2433" s="771"/>
      <c r="AH2433" s="771"/>
      <c r="AI2433" s="771"/>
      <c r="AJ2433" s="771"/>
      <c r="AK2433" s="771"/>
      <c r="AL2433" s="771"/>
      <c r="AM2433" s="771"/>
      <c r="AN2433" s="771"/>
      <c r="AO2433" s="771"/>
      <c r="AP2433" s="771"/>
      <c r="AQ2433" s="771"/>
      <c r="AR2433" s="771"/>
      <c r="AS2433" s="771"/>
      <c r="AT2433" s="771"/>
      <c r="AU2433" s="771"/>
    </row>
    <row r="2434" spans="1:47" s="1418" customFormat="1" outlineLevel="1" x14ac:dyDescent="0.2">
      <c r="A2434" s="8"/>
      <c r="B2434" s="8"/>
      <c r="C2434" s="1989" t="s">
        <v>4691</v>
      </c>
      <c r="D2434" s="1989" t="s">
        <v>8026</v>
      </c>
      <c r="E2434" s="1989">
        <v>1.1100000000000001</v>
      </c>
      <c r="F2434" s="38">
        <f t="shared" si="37"/>
        <v>90.266576400000005</v>
      </c>
      <c r="G2434" s="1547"/>
      <c r="H2434" s="8"/>
      <c r="I2434" s="8"/>
      <c r="J2434" s="8"/>
      <c r="K2434" s="8"/>
      <c r="L2434" s="8"/>
      <c r="M2434" s="8"/>
      <c r="N2434" s="8"/>
      <c r="O2434" s="8"/>
      <c r="P2434" s="8"/>
      <c r="Q2434" s="8"/>
      <c r="R2434" s="8"/>
      <c r="S2434" s="8"/>
      <c r="T2434" s="8"/>
      <c r="U2434" s="8"/>
      <c r="V2434" s="8"/>
      <c r="W2434" s="8"/>
      <c r="X2434" s="771"/>
      <c r="Y2434" s="771"/>
      <c r="Z2434" s="771"/>
      <c r="AA2434" s="771"/>
      <c r="AB2434" s="771"/>
      <c r="AC2434" s="771"/>
      <c r="AD2434" s="771"/>
      <c r="AE2434" s="771"/>
      <c r="AF2434" s="771"/>
      <c r="AG2434" s="771"/>
      <c r="AH2434" s="771"/>
      <c r="AI2434" s="771"/>
      <c r="AJ2434" s="771"/>
      <c r="AK2434" s="771"/>
      <c r="AL2434" s="771"/>
      <c r="AM2434" s="771"/>
      <c r="AN2434" s="771"/>
      <c r="AO2434" s="771"/>
      <c r="AP2434" s="771"/>
      <c r="AQ2434" s="771"/>
      <c r="AR2434" s="771"/>
      <c r="AS2434" s="771"/>
      <c r="AT2434" s="771"/>
      <c r="AU2434" s="771"/>
    </row>
    <row r="2435" spans="1:47" s="1418" customFormat="1" outlineLevel="1" x14ac:dyDescent="0.2">
      <c r="A2435" s="8"/>
      <c r="B2435" s="8"/>
      <c r="C2435" s="1989" t="s">
        <v>4692</v>
      </c>
      <c r="D2435" s="1989" t="s">
        <v>8027</v>
      </c>
      <c r="E2435" s="1989">
        <v>1.2</v>
      </c>
      <c r="F2435" s="38">
        <f t="shared" si="37"/>
        <v>97.585487999999998</v>
      </c>
      <c r="G2435" s="1547"/>
      <c r="H2435" s="8"/>
      <c r="I2435" s="8"/>
      <c r="J2435" s="8"/>
      <c r="K2435" s="8"/>
      <c r="L2435" s="8"/>
      <c r="M2435" s="8"/>
      <c r="N2435" s="8"/>
      <c r="O2435" s="8"/>
      <c r="P2435" s="8"/>
      <c r="Q2435" s="8"/>
      <c r="R2435" s="8"/>
      <c r="S2435" s="8"/>
      <c r="T2435" s="8"/>
      <c r="U2435" s="8"/>
      <c r="V2435" s="8"/>
      <c r="W2435" s="8"/>
      <c r="X2435" s="771"/>
      <c r="Y2435" s="771"/>
      <c r="Z2435" s="771"/>
      <c r="AA2435" s="771"/>
      <c r="AB2435" s="771"/>
      <c r="AC2435" s="771"/>
      <c r="AD2435" s="771"/>
      <c r="AE2435" s="771"/>
      <c r="AF2435" s="771"/>
      <c r="AG2435" s="771"/>
      <c r="AH2435" s="771"/>
      <c r="AI2435" s="771"/>
      <c r="AJ2435" s="771"/>
      <c r="AK2435" s="771"/>
      <c r="AL2435" s="771"/>
      <c r="AM2435" s="771"/>
      <c r="AN2435" s="771"/>
      <c r="AO2435" s="771"/>
      <c r="AP2435" s="771"/>
      <c r="AQ2435" s="771"/>
      <c r="AR2435" s="771"/>
      <c r="AS2435" s="771"/>
      <c r="AT2435" s="771"/>
      <c r="AU2435" s="771"/>
    </row>
    <row r="2436" spans="1:47" s="1418" customFormat="1" outlineLevel="1" x14ac:dyDescent="0.2">
      <c r="A2436" s="8"/>
      <c r="B2436" s="8"/>
      <c r="C2436" s="1989" t="s">
        <v>4693</v>
      </c>
      <c r="D2436" s="1989" t="s">
        <v>8028</v>
      </c>
      <c r="E2436" s="1989">
        <v>1.32</v>
      </c>
      <c r="F2436" s="38">
        <f t="shared" si="37"/>
        <v>107.34403680000001</v>
      </c>
      <c r="G2436" s="1547"/>
      <c r="H2436" s="8"/>
      <c r="I2436" s="8"/>
      <c r="J2436" s="8"/>
      <c r="K2436" s="8"/>
      <c r="L2436" s="8"/>
      <c r="M2436" s="8"/>
      <c r="N2436" s="8"/>
      <c r="O2436" s="8"/>
      <c r="P2436" s="8"/>
      <c r="Q2436" s="8"/>
      <c r="R2436" s="8"/>
      <c r="S2436" s="8"/>
      <c r="T2436" s="8"/>
      <c r="U2436" s="8"/>
      <c r="V2436" s="8"/>
      <c r="W2436" s="8"/>
      <c r="X2436" s="771"/>
      <c r="Y2436" s="771"/>
      <c r="Z2436" s="771"/>
      <c r="AA2436" s="771"/>
      <c r="AB2436" s="771"/>
      <c r="AC2436" s="771"/>
      <c r="AD2436" s="771"/>
      <c r="AE2436" s="771"/>
      <c r="AF2436" s="771"/>
      <c r="AG2436" s="771"/>
      <c r="AH2436" s="771"/>
      <c r="AI2436" s="771"/>
      <c r="AJ2436" s="771"/>
      <c r="AK2436" s="771"/>
      <c r="AL2436" s="771"/>
      <c r="AM2436" s="771"/>
      <c r="AN2436" s="771"/>
      <c r="AO2436" s="771"/>
      <c r="AP2436" s="771"/>
      <c r="AQ2436" s="771"/>
      <c r="AR2436" s="771"/>
      <c r="AS2436" s="771"/>
      <c r="AT2436" s="771"/>
      <c r="AU2436" s="771"/>
    </row>
    <row r="2437" spans="1:47" s="1418" customFormat="1" outlineLevel="1" x14ac:dyDescent="0.2">
      <c r="A2437" s="8"/>
      <c r="B2437" s="8"/>
      <c r="C2437" s="1989" t="s">
        <v>4694</v>
      </c>
      <c r="D2437" s="1989" t="s">
        <v>8029</v>
      </c>
      <c r="E2437" s="1989">
        <v>1.0900000000000001</v>
      </c>
      <c r="F2437" s="38">
        <f t="shared" si="37"/>
        <v>88.64015160000001</v>
      </c>
      <c r="G2437" s="1547"/>
      <c r="H2437" s="8"/>
      <c r="I2437" s="8"/>
      <c r="J2437" s="8"/>
      <c r="K2437" s="8"/>
      <c r="L2437" s="8"/>
      <c r="M2437" s="8"/>
      <c r="N2437" s="8"/>
      <c r="O2437" s="8"/>
      <c r="P2437" s="8"/>
      <c r="Q2437" s="8"/>
      <c r="R2437" s="8"/>
      <c r="S2437" s="8"/>
      <c r="T2437" s="8"/>
      <c r="U2437" s="8"/>
      <c r="V2437" s="8"/>
      <c r="W2437" s="8"/>
      <c r="X2437" s="771"/>
      <c r="Y2437" s="771"/>
      <c r="Z2437" s="771"/>
      <c r="AA2437" s="771"/>
      <c r="AB2437" s="771"/>
      <c r="AC2437" s="771"/>
      <c r="AD2437" s="771"/>
      <c r="AE2437" s="771"/>
      <c r="AF2437" s="771"/>
      <c r="AG2437" s="771"/>
      <c r="AH2437" s="771"/>
      <c r="AI2437" s="771"/>
      <c r="AJ2437" s="771"/>
      <c r="AK2437" s="771"/>
      <c r="AL2437" s="771"/>
      <c r="AM2437" s="771"/>
      <c r="AN2437" s="771"/>
      <c r="AO2437" s="771"/>
      <c r="AP2437" s="771"/>
      <c r="AQ2437" s="771"/>
      <c r="AR2437" s="771"/>
      <c r="AS2437" s="771"/>
      <c r="AT2437" s="771"/>
      <c r="AU2437" s="771"/>
    </row>
    <row r="2438" spans="1:47" s="1418" customFormat="1" outlineLevel="1" x14ac:dyDescent="0.2">
      <c r="A2438" s="8"/>
      <c r="B2438" s="8"/>
      <c r="C2438" s="1989" t="s">
        <v>4695</v>
      </c>
      <c r="D2438" s="1989" t="s">
        <v>8030</v>
      </c>
      <c r="E2438" s="1989">
        <v>1.2</v>
      </c>
      <c r="F2438" s="38">
        <f t="shared" si="37"/>
        <v>97.585487999999998</v>
      </c>
      <c r="G2438" s="1547"/>
      <c r="H2438" s="8"/>
      <c r="I2438" s="8"/>
      <c r="J2438" s="8"/>
      <c r="K2438" s="8"/>
      <c r="L2438" s="8"/>
      <c r="M2438" s="8"/>
      <c r="N2438" s="8"/>
      <c r="O2438" s="8"/>
      <c r="P2438" s="8"/>
      <c r="Q2438" s="8"/>
      <c r="R2438" s="8"/>
      <c r="S2438" s="8"/>
      <c r="T2438" s="8"/>
      <c r="U2438" s="8"/>
      <c r="V2438" s="8"/>
      <c r="W2438" s="8"/>
      <c r="X2438" s="771"/>
      <c r="Y2438" s="771"/>
      <c r="Z2438" s="771"/>
      <c r="AA2438" s="771"/>
      <c r="AB2438" s="771"/>
      <c r="AC2438" s="771"/>
      <c r="AD2438" s="771"/>
      <c r="AE2438" s="771"/>
      <c r="AF2438" s="771"/>
      <c r="AG2438" s="771"/>
      <c r="AH2438" s="771"/>
      <c r="AI2438" s="771"/>
      <c r="AJ2438" s="771"/>
      <c r="AK2438" s="771"/>
      <c r="AL2438" s="771"/>
      <c r="AM2438" s="771"/>
      <c r="AN2438" s="771"/>
      <c r="AO2438" s="771"/>
      <c r="AP2438" s="771"/>
      <c r="AQ2438" s="771"/>
      <c r="AR2438" s="771"/>
      <c r="AS2438" s="771"/>
      <c r="AT2438" s="771"/>
      <c r="AU2438" s="771"/>
    </row>
    <row r="2439" spans="1:47" s="1418" customFormat="1" outlineLevel="1" x14ac:dyDescent="0.2">
      <c r="A2439" s="8"/>
      <c r="B2439" s="8"/>
      <c r="C2439" s="1989" t="s">
        <v>4696</v>
      </c>
      <c r="D2439" s="1989" t="s">
        <v>8031</v>
      </c>
      <c r="E2439" s="1989">
        <v>1.32</v>
      </c>
      <c r="F2439" s="38">
        <f t="shared" si="37"/>
        <v>107.34403680000001</v>
      </c>
      <c r="G2439" s="1547"/>
      <c r="H2439" s="8"/>
      <c r="I2439" s="8"/>
      <c r="J2439" s="8"/>
      <c r="K2439" s="8"/>
      <c r="L2439" s="8"/>
      <c r="M2439" s="8"/>
      <c r="N2439" s="8"/>
      <c r="O2439" s="8"/>
      <c r="P2439" s="8"/>
      <c r="Q2439" s="8"/>
      <c r="R2439" s="8"/>
      <c r="S2439" s="8"/>
      <c r="T2439" s="8"/>
      <c r="U2439" s="8"/>
      <c r="V2439" s="8"/>
      <c r="W2439" s="8"/>
      <c r="X2439" s="771"/>
      <c r="Y2439" s="771"/>
      <c r="Z2439" s="771"/>
      <c r="AA2439" s="771"/>
      <c r="AB2439" s="771"/>
      <c r="AC2439" s="771"/>
      <c r="AD2439" s="771"/>
      <c r="AE2439" s="771"/>
      <c r="AF2439" s="771"/>
      <c r="AG2439" s="771"/>
      <c r="AH2439" s="771"/>
      <c r="AI2439" s="771"/>
      <c r="AJ2439" s="771"/>
      <c r="AK2439" s="771"/>
      <c r="AL2439" s="771"/>
      <c r="AM2439" s="771"/>
      <c r="AN2439" s="771"/>
      <c r="AO2439" s="771"/>
      <c r="AP2439" s="771"/>
      <c r="AQ2439" s="771"/>
      <c r="AR2439" s="771"/>
      <c r="AS2439" s="771"/>
      <c r="AT2439" s="771"/>
      <c r="AU2439" s="771"/>
    </row>
    <row r="2440" spans="1:47" s="1418" customFormat="1" outlineLevel="1" x14ac:dyDescent="0.2">
      <c r="A2440" s="8"/>
      <c r="B2440" s="8"/>
      <c r="C2440" s="1989" t="s">
        <v>4697</v>
      </c>
      <c r="D2440" s="1989" t="s">
        <v>8032</v>
      </c>
      <c r="E2440" s="1989">
        <v>1.45</v>
      </c>
      <c r="F2440" s="38">
        <f t="shared" ref="F2440:F2503" si="38">E2440*$G$4*$J$4</f>
        <v>117.91579800000001</v>
      </c>
      <c r="G2440" s="1547"/>
      <c r="H2440" s="8"/>
      <c r="I2440" s="8"/>
      <c r="J2440" s="8"/>
      <c r="K2440" s="8"/>
      <c r="L2440" s="8"/>
      <c r="M2440" s="8"/>
      <c r="N2440" s="8"/>
      <c r="O2440" s="8"/>
      <c r="P2440" s="8"/>
      <c r="Q2440" s="8"/>
      <c r="R2440" s="8"/>
      <c r="S2440" s="8"/>
      <c r="T2440" s="8"/>
      <c r="U2440" s="8"/>
      <c r="V2440" s="8"/>
      <c r="W2440" s="8"/>
      <c r="X2440" s="771"/>
      <c r="Y2440" s="771"/>
      <c r="Z2440" s="771"/>
      <c r="AA2440" s="771"/>
      <c r="AB2440" s="771"/>
      <c r="AC2440" s="771"/>
      <c r="AD2440" s="771"/>
      <c r="AE2440" s="771"/>
      <c r="AF2440" s="771"/>
      <c r="AG2440" s="771"/>
      <c r="AH2440" s="771"/>
      <c r="AI2440" s="771"/>
      <c r="AJ2440" s="771"/>
      <c r="AK2440" s="771"/>
      <c r="AL2440" s="771"/>
      <c r="AM2440" s="771"/>
      <c r="AN2440" s="771"/>
      <c r="AO2440" s="771"/>
      <c r="AP2440" s="771"/>
      <c r="AQ2440" s="771"/>
      <c r="AR2440" s="771"/>
      <c r="AS2440" s="771"/>
      <c r="AT2440" s="771"/>
      <c r="AU2440" s="771"/>
    </row>
    <row r="2441" spans="1:47" s="1418" customFormat="1" outlineLevel="1" x14ac:dyDescent="0.2">
      <c r="A2441" s="8"/>
      <c r="B2441" s="8"/>
      <c r="C2441" s="1989" t="s">
        <v>4698</v>
      </c>
      <c r="D2441" s="1989" t="s">
        <v>8033</v>
      </c>
      <c r="E2441" s="1989">
        <v>1.24</v>
      </c>
      <c r="F2441" s="38">
        <f t="shared" si="38"/>
        <v>100.8383376</v>
      </c>
      <c r="G2441" s="1547"/>
      <c r="H2441" s="8"/>
      <c r="I2441" s="8"/>
      <c r="J2441" s="8"/>
      <c r="K2441" s="8"/>
      <c r="L2441" s="8"/>
      <c r="M2441" s="8"/>
      <c r="N2441" s="8"/>
      <c r="O2441" s="8"/>
      <c r="P2441" s="8"/>
      <c r="Q2441" s="8"/>
      <c r="R2441" s="8"/>
      <c r="S2441" s="8"/>
      <c r="T2441" s="8"/>
      <c r="U2441" s="8"/>
      <c r="V2441" s="8"/>
      <c r="W2441" s="8"/>
      <c r="X2441" s="771"/>
      <c r="Y2441" s="771"/>
      <c r="Z2441" s="771"/>
      <c r="AA2441" s="771"/>
      <c r="AB2441" s="771"/>
      <c r="AC2441" s="771"/>
      <c r="AD2441" s="771"/>
      <c r="AE2441" s="771"/>
      <c r="AF2441" s="771"/>
      <c r="AG2441" s="771"/>
      <c r="AH2441" s="771"/>
      <c r="AI2441" s="771"/>
      <c r="AJ2441" s="771"/>
      <c r="AK2441" s="771"/>
      <c r="AL2441" s="771"/>
      <c r="AM2441" s="771"/>
      <c r="AN2441" s="771"/>
      <c r="AO2441" s="771"/>
      <c r="AP2441" s="771"/>
      <c r="AQ2441" s="771"/>
      <c r="AR2441" s="771"/>
      <c r="AS2441" s="771"/>
      <c r="AT2441" s="771"/>
      <c r="AU2441" s="771"/>
    </row>
    <row r="2442" spans="1:47" s="1418" customFormat="1" outlineLevel="1" x14ac:dyDescent="0.2">
      <c r="A2442" s="8"/>
      <c r="B2442" s="8"/>
      <c r="C2442" s="1989" t="s">
        <v>4699</v>
      </c>
      <c r="D2442" s="1989" t="s">
        <v>8034</v>
      </c>
      <c r="E2442" s="1989">
        <v>1.39</v>
      </c>
      <c r="F2442" s="38">
        <f t="shared" si="38"/>
        <v>113.03652360000001</v>
      </c>
      <c r="G2442" s="1547"/>
      <c r="H2442" s="8"/>
      <c r="I2442" s="8"/>
      <c r="J2442" s="8"/>
      <c r="K2442" s="8"/>
      <c r="L2442" s="8"/>
      <c r="M2442" s="8"/>
      <c r="N2442" s="8"/>
      <c r="O2442" s="8"/>
      <c r="P2442" s="8"/>
      <c r="Q2442" s="8"/>
      <c r="R2442" s="8"/>
      <c r="S2442" s="8"/>
      <c r="T2442" s="8"/>
      <c r="U2442" s="8"/>
      <c r="V2442" s="8"/>
      <c r="W2442" s="8"/>
      <c r="X2442" s="771"/>
      <c r="Y2442" s="771"/>
      <c r="Z2442" s="771"/>
      <c r="AA2442" s="771"/>
      <c r="AB2442" s="771"/>
      <c r="AC2442" s="771"/>
      <c r="AD2442" s="771"/>
      <c r="AE2442" s="771"/>
      <c r="AF2442" s="771"/>
      <c r="AG2442" s="771"/>
      <c r="AH2442" s="771"/>
      <c r="AI2442" s="771"/>
      <c r="AJ2442" s="771"/>
      <c r="AK2442" s="771"/>
      <c r="AL2442" s="771"/>
      <c r="AM2442" s="771"/>
      <c r="AN2442" s="771"/>
      <c r="AO2442" s="771"/>
      <c r="AP2442" s="771"/>
      <c r="AQ2442" s="771"/>
      <c r="AR2442" s="771"/>
      <c r="AS2442" s="771"/>
      <c r="AT2442" s="771"/>
      <c r="AU2442" s="771"/>
    </row>
    <row r="2443" spans="1:47" s="1418" customFormat="1" outlineLevel="1" x14ac:dyDescent="0.2">
      <c r="A2443" s="8"/>
      <c r="B2443" s="8"/>
      <c r="C2443" s="1989" t="s">
        <v>4700</v>
      </c>
      <c r="D2443" s="1989" t="s">
        <v>8035</v>
      </c>
      <c r="E2443" s="1989">
        <v>1.53</v>
      </c>
      <c r="F2443" s="38">
        <f t="shared" si="38"/>
        <v>124.4214972</v>
      </c>
      <c r="G2443" s="1547"/>
      <c r="H2443" s="8"/>
      <c r="I2443" s="8"/>
      <c r="J2443" s="8"/>
      <c r="K2443" s="8"/>
      <c r="L2443" s="8"/>
      <c r="M2443" s="8"/>
      <c r="N2443" s="8"/>
      <c r="O2443" s="8"/>
      <c r="P2443" s="8"/>
      <c r="Q2443" s="8"/>
      <c r="R2443" s="8"/>
      <c r="S2443" s="8"/>
      <c r="T2443" s="8"/>
      <c r="U2443" s="8"/>
      <c r="V2443" s="8"/>
      <c r="W2443" s="8"/>
      <c r="X2443" s="771"/>
      <c r="Y2443" s="771"/>
      <c r="Z2443" s="771"/>
      <c r="AA2443" s="771"/>
      <c r="AB2443" s="771"/>
      <c r="AC2443" s="771"/>
      <c r="AD2443" s="771"/>
      <c r="AE2443" s="771"/>
      <c r="AF2443" s="771"/>
      <c r="AG2443" s="771"/>
      <c r="AH2443" s="771"/>
      <c r="AI2443" s="771"/>
      <c r="AJ2443" s="771"/>
      <c r="AK2443" s="771"/>
      <c r="AL2443" s="771"/>
      <c r="AM2443" s="771"/>
      <c r="AN2443" s="771"/>
      <c r="AO2443" s="771"/>
      <c r="AP2443" s="771"/>
      <c r="AQ2443" s="771"/>
      <c r="AR2443" s="771"/>
      <c r="AS2443" s="771"/>
      <c r="AT2443" s="771"/>
      <c r="AU2443" s="771"/>
    </row>
    <row r="2444" spans="1:47" s="1418" customFormat="1" outlineLevel="1" x14ac:dyDescent="0.2">
      <c r="A2444" s="8"/>
      <c r="B2444" s="8"/>
      <c r="C2444" s="1989" t="s">
        <v>4701</v>
      </c>
      <c r="D2444" s="1989" t="s">
        <v>8036</v>
      </c>
      <c r="E2444" s="1989">
        <v>1.68</v>
      </c>
      <c r="F2444" s="38">
        <f t="shared" si="38"/>
        <v>136.6196832</v>
      </c>
      <c r="G2444" s="1547"/>
      <c r="H2444" s="8"/>
      <c r="I2444" s="8"/>
      <c r="J2444" s="8"/>
      <c r="K2444" s="8"/>
      <c r="L2444" s="8"/>
      <c r="M2444" s="8"/>
      <c r="N2444" s="8"/>
      <c r="O2444" s="8"/>
      <c r="P2444" s="8"/>
      <c r="Q2444" s="8"/>
      <c r="R2444" s="8"/>
      <c r="S2444" s="8"/>
      <c r="T2444" s="8"/>
      <c r="U2444" s="8"/>
      <c r="V2444" s="8"/>
      <c r="W2444" s="8"/>
      <c r="X2444" s="771"/>
      <c r="Y2444" s="771"/>
      <c r="Z2444" s="771"/>
      <c r="AA2444" s="771"/>
      <c r="AB2444" s="771"/>
      <c r="AC2444" s="771"/>
      <c r="AD2444" s="771"/>
      <c r="AE2444" s="771"/>
      <c r="AF2444" s="771"/>
      <c r="AG2444" s="771"/>
      <c r="AH2444" s="771"/>
      <c r="AI2444" s="771"/>
      <c r="AJ2444" s="771"/>
      <c r="AK2444" s="771"/>
      <c r="AL2444" s="771"/>
      <c r="AM2444" s="771"/>
      <c r="AN2444" s="771"/>
      <c r="AO2444" s="771"/>
      <c r="AP2444" s="771"/>
      <c r="AQ2444" s="771"/>
      <c r="AR2444" s="771"/>
      <c r="AS2444" s="771"/>
      <c r="AT2444" s="771"/>
      <c r="AU2444" s="771"/>
    </row>
    <row r="2445" spans="1:47" s="1418" customFormat="1" outlineLevel="1" x14ac:dyDescent="0.2">
      <c r="A2445" s="8"/>
      <c r="B2445" s="8"/>
      <c r="C2445" s="1989" t="s">
        <v>4702</v>
      </c>
      <c r="D2445" s="1989" t="s">
        <v>8037</v>
      </c>
      <c r="E2445" s="1989">
        <v>1.42</v>
      </c>
      <c r="F2445" s="38">
        <f t="shared" si="38"/>
        <v>115.4761608</v>
      </c>
      <c r="G2445" s="1547"/>
      <c r="H2445" s="8"/>
      <c r="I2445" s="8"/>
      <c r="J2445" s="8"/>
      <c r="K2445" s="8"/>
      <c r="L2445" s="8"/>
      <c r="M2445" s="8"/>
      <c r="N2445" s="8"/>
      <c r="O2445" s="8"/>
      <c r="P2445" s="8"/>
      <c r="Q2445" s="8"/>
      <c r="R2445" s="8"/>
      <c r="S2445" s="8"/>
      <c r="T2445" s="8"/>
      <c r="U2445" s="8"/>
      <c r="V2445" s="8"/>
      <c r="W2445" s="8"/>
      <c r="X2445" s="771"/>
      <c r="Y2445" s="771"/>
      <c r="Z2445" s="771"/>
      <c r="AA2445" s="771"/>
      <c r="AB2445" s="771"/>
      <c r="AC2445" s="771"/>
      <c r="AD2445" s="771"/>
      <c r="AE2445" s="771"/>
      <c r="AF2445" s="771"/>
      <c r="AG2445" s="771"/>
      <c r="AH2445" s="771"/>
      <c r="AI2445" s="771"/>
      <c r="AJ2445" s="771"/>
      <c r="AK2445" s="771"/>
      <c r="AL2445" s="771"/>
      <c r="AM2445" s="771"/>
      <c r="AN2445" s="771"/>
      <c r="AO2445" s="771"/>
      <c r="AP2445" s="771"/>
      <c r="AQ2445" s="771"/>
      <c r="AR2445" s="771"/>
      <c r="AS2445" s="771"/>
      <c r="AT2445" s="771"/>
      <c r="AU2445" s="771"/>
    </row>
    <row r="2446" spans="1:47" s="1418" customFormat="1" outlineLevel="1" x14ac:dyDescent="0.2">
      <c r="A2446" s="8"/>
      <c r="B2446" s="8"/>
      <c r="C2446" s="1989" t="s">
        <v>4703</v>
      </c>
      <c r="D2446" s="1989" t="s">
        <v>8038</v>
      </c>
      <c r="E2446" s="1989">
        <v>1.58</v>
      </c>
      <c r="F2446" s="38">
        <f t="shared" si="38"/>
        <v>128.48755919999999</v>
      </c>
      <c r="G2446" s="1547"/>
      <c r="H2446" s="8"/>
      <c r="I2446" s="8"/>
      <c r="J2446" s="8"/>
      <c r="K2446" s="8"/>
      <c r="L2446" s="8"/>
      <c r="M2446" s="8"/>
      <c r="N2446" s="8"/>
      <c r="O2446" s="8"/>
      <c r="P2446" s="8"/>
      <c r="Q2446" s="8"/>
      <c r="R2446" s="8"/>
      <c r="S2446" s="8"/>
      <c r="T2446" s="8"/>
      <c r="U2446" s="8"/>
      <c r="V2446" s="8"/>
      <c r="W2446" s="8"/>
      <c r="X2446" s="771"/>
      <c r="Y2446" s="771"/>
      <c r="Z2446" s="771"/>
      <c r="AA2446" s="771"/>
      <c r="AB2446" s="771"/>
      <c r="AC2446" s="771"/>
      <c r="AD2446" s="771"/>
      <c r="AE2446" s="771"/>
      <c r="AF2446" s="771"/>
      <c r="AG2446" s="771"/>
      <c r="AH2446" s="771"/>
      <c r="AI2446" s="771"/>
      <c r="AJ2446" s="771"/>
      <c r="AK2446" s="771"/>
      <c r="AL2446" s="771"/>
      <c r="AM2446" s="771"/>
      <c r="AN2446" s="771"/>
      <c r="AO2446" s="771"/>
      <c r="AP2446" s="771"/>
      <c r="AQ2446" s="771"/>
      <c r="AR2446" s="771"/>
      <c r="AS2446" s="771"/>
      <c r="AT2446" s="771"/>
      <c r="AU2446" s="771"/>
    </row>
    <row r="2447" spans="1:47" s="1418" customFormat="1" outlineLevel="1" x14ac:dyDescent="0.2">
      <c r="A2447" s="8"/>
      <c r="B2447" s="8"/>
      <c r="C2447" s="1989" t="s">
        <v>4704</v>
      </c>
      <c r="D2447" s="1989" t="s">
        <v>8039</v>
      </c>
      <c r="E2447" s="1989">
        <v>1.75</v>
      </c>
      <c r="F2447" s="38">
        <f t="shared" si="38"/>
        <v>142.31217000000001</v>
      </c>
      <c r="G2447" s="1547"/>
      <c r="H2447" s="8"/>
      <c r="I2447" s="8"/>
      <c r="J2447" s="8"/>
      <c r="K2447" s="8"/>
      <c r="L2447" s="8"/>
      <c r="M2447" s="8"/>
      <c r="N2447" s="8"/>
      <c r="O2447" s="8"/>
      <c r="P2447" s="8"/>
      <c r="Q2447" s="8"/>
      <c r="R2447" s="8"/>
      <c r="S2447" s="8"/>
      <c r="T2447" s="8"/>
      <c r="U2447" s="8"/>
      <c r="V2447" s="8"/>
      <c r="W2447" s="8"/>
      <c r="X2447" s="771"/>
      <c r="Y2447" s="771"/>
      <c r="Z2447" s="771"/>
      <c r="AA2447" s="771"/>
      <c r="AB2447" s="771"/>
      <c r="AC2447" s="771"/>
      <c r="AD2447" s="771"/>
      <c r="AE2447" s="771"/>
      <c r="AF2447" s="771"/>
      <c r="AG2447" s="771"/>
      <c r="AH2447" s="771"/>
      <c r="AI2447" s="771"/>
      <c r="AJ2447" s="771"/>
      <c r="AK2447" s="771"/>
      <c r="AL2447" s="771"/>
      <c r="AM2447" s="771"/>
      <c r="AN2447" s="771"/>
      <c r="AO2447" s="771"/>
      <c r="AP2447" s="771"/>
      <c r="AQ2447" s="771"/>
      <c r="AR2447" s="771"/>
      <c r="AS2447" s="771"/>
      <c r="AT2447" s="771"/>
      <c r="AU2447" s="771"/>
    </row>
    <row r="2448" spans="1:47" s="1418" customFormat="1" outlineLevel="1" x14ac:dyDescent="0.2">
      <c r="A2448" s="8"/>
      <c r="B2448" s="8"/>
      <c r="C2448" s="1989" t="s">
        <v>4705</v>
      </c>
      <c r="D2448" s="1989" t="s">
        <v>8040</v>
      </c>
      <c r="E2448" s="1989">
        <v>1.92</v>
      </c>
      <c r="F2448" s="38">
        <f t="shared" si="38"/>
        <v>156.1367808</v>
      </c>
      <c r="G2448" s="1547"/>
      <c r="H2448" s="8"/>
      <c r="I2448" s="8"/>
      <c r="J2448" s="8"/>
      <c r="K2448" s="8"/>
      <c r="L2448" s="8"/>
      <c r="M2448" s="8"/>
      <c r="N2448" s="8"/>
      <c r="O2448" s="8"/>
      <c r="P2448" s="8"/>
      <c r="Q2448" s="8"/>
      <c r="R2448" s="8"/>
      <c r="S2448" s="8"/>
      <c r="T2448" s="8"/>
      <c r="U2448" s="8"/>
      <c r="V2448" s="8"/>
      <c r="W2448" s="8"/>
      <c r="X2448" s="771"/>
      <c r="Y2448" s="771"/>
      <c r="Z2448" s="771"/>
      <c r="AA2448" s="771"/>
      <c r="AB2448" s="771"/>
      <c r="AC2448" s="771"/>
      <c r="AD2448" s="771"/>
      <c r="AE2448" s="771"/>
      <c r="AF2448" s="771"/>
      <c r="AG2448" s="771"/>
      <c r="AH2448" s="771"/>
      <c r="AI2448" s="771"/>
      <c r="AJ2448" s="771"/>
      <c r="AK2448" s="771"/>
      <c r="AL2448" s="771"/>
      <c r="AM2448" s="771"/>
      <c r="AN2448" s="771"/>
      <c r="AO2448" s="771"/>
      <c r="AP2448" s="771"/>
      <c r="AQ2448" s="771"/>
      <c r="AR2448" s="771"/>
      <c r="AS2448" s="771"/>
      <c r="AT2448" s="771"/>
      <c r="AU2448" s="771"/>
    </row>
    <row r="2449" spans="1:47" s="1418" customFormat="1" outlineLevel="1" x14ac:dyDescent="0.2">
      <c r="A2449" s="8"/>
      <c r="B2449" s="8"/>
      <c r="C2449" s="1989" t="s">
        <v>4706</v>
      </c>
      <c r="D2449" s="1989" t="s">
        <v>8041</v>
      </c>
      <c r="E2449" s="1989">
        <v>1.57</v>
      </c>
      <c r="F2449" s="38">
        <f t="shared" si="38"/>
        <v>127.67434680000001</v>
      </c>
      <c r="G2449" s="1547"/>
      <c r="H2449" s="8"/>
      <c r="I2449" s="8"/>
      <c r="J2449" s="8"/>
      <c r="K2449" s="8"/>
      <c r="L2449" s="8"/>
      <c r="M2449" s="8"/>
      <c r="N2449" s="8"/>
      <c r="O2449" s="8"/>
      <c r="P2449" s="8"/>
      <c r="Q2449" s="8"/>
      <c r="R2449" s="8"/>
      <c r="S2449" s="8"/>
      <c r="T2449" s="8"/>
      <c r="U2449" s="8"/>
      <c r="V2449" s="8"/>
      <c r="W2449" s="8"/>
      <c r="X2449" s="771"/>
      <c r="Y2449" s="771"/>
      <c r="Z2449" s="771"/>
      <c r="AA2449" s="771"/>
      <c r="AB2449" s="771"/>
      <c r="AC2449" s="771"/>
      <c r="AD2449" s="771"/>
      <c r="AE2449" s="771"/>
      <c r="AF2449" s="771"/>
      <c r="AG2449" s="771"/>
      <c r="AH2449" s="771"/>
      <c r="AI2449" s="771"/>
      <c r="AJ2449" s="771"/>
      <c r="AK2449" s="771"/>
      <c r="AL2449" s="771"/>
      <c r="AM2449" s="771"/>
      <c r="AN2449" s="771"/>
      <c r="AO2449" s="771"/>
      <c r="AP2449" s="771"/>
      <c r="AQ2449" s="771"/>
      <c r="AR2449" s="771"/>
      <c r="AS2449" s="771"/>
      <c r="AT2449" s="771"/>
      <c r="AU2449" s="771"/>
    </row>
    <row r="2450" spans="1:47" s="1418" customFormat="1" outlineLevel="1" x14ac:dyDescent="0.2">
      <c r="A2450" s="8"/>
      <c r="B2450" s="8"/>
      <c r="C2450" s="1989" t="s">
        <v>4707</v>
      </c>
      <c r="D2450" s="1989" t="s">
        <v>8042</v>
      </c>
      <c r="E2450" s="1989">
        <v>1.77</v>
      </c>
      <c r="F2450" s="38">
        <f t="shared" si="38"/>
        <v>143.9385948</v>
      </c>
      <c r="G2450" s="1547"/>
      <c r="H2450" s="8"/>
      <c r="I2450" s="8"/>
      <c r="J2450" s="8"/>
      <c r="K2450" s="8"/>
      <c r="L2450" s="8"/>
      <c r="M2450" s="8"/>
      <c r="N2450" s="8"/>
      <c r="O2450" s="8"/>
      <c r="P2450" s="8"/>
      <c r="Q2450" s="8"/>
      <c r="R2450" s="8"/>
      <c r="S2450" s="8"/>
      <c r="T2450" s="8"/>
      <c r="U2450" s="8"/>
      <c r="V2450" s="8"/>
      <c r="W2450" s="8"/>
      <c r="X2450" s="771"/>
      <c r="Y2450" s="771"/>
      <c r="Z2450" s="771"/>
      <c r="AA2450" s="771"/>
      <c r="AB2450" s="771"/>
      <c r="AC2450" s="771"/>
      <c r="AD2450" s="771"/>
      <c r="AE2450" s="771"/>
      <c r="AF2450" s="771"/>
      <c r="AG2450" s="771"/>
      <c r="AH2450" s="771"/>
      <c r="AI2450" s="771"/>
      <c r="AJ2450" s="771"/>
      <c r="AK2450" s="771"/>
      <c r="AL2450" s="771"/>
      <c r="AM2450" s="771"/>
      <c r="AN2450" s="771"/>
      <c r="AO2450" s="771"/>
      <c r="AP2450" s="771"/>
      <c r="AQ2450" s="771"/>
      <c r="AR2450" s="771"/>
      <c r="AS2450" s="771"/>
      <c r="AT2450" s="771"/>
      <c r="AU2450" s="771"/>
    </row>
    <row r="2451" spans="1:47" s="1418" customFormat="1" outlineLevel="1" x14ac:dyDescent="0.2">
      <c r="A2451" s="8"/>
      <c r="B2451" s="8"/>
      <c r="C2451" s="1989" t="s">
        <v>4708</v>
      </c>
      <c r="D2451" s="1989" t="s">
        <v>8043</v>
      </c>
      <c r="E2451" s="1989">
        <v>1.97</v>
      </c>
      <c r="F2451" s="38">
        <f t="shared" si="38"/>
        <v>160.20284280000001</v>
      </c>
      <c r="G2451" s="1547"/>
      <c r="H2451" s="8"/>
      <c r="I2451" s="8"/>
      <c r="J2451" s="8"/>
      <c r="K2451" s="8"/>
      <c r="L2451" s="8"/>
      <c r="M2451" s="8"/>
      <c r="N2451" s="8"/>
      <c r="O2451" s="8"/>
      <c r="P2451" s="8"/>
      <c r="Q2451" s="8"/>
      <c r="R2451" s="8"/>
      <c r="S2451" s="8"/>
      <c r="T2451" s="8"/>
      <c r="U2451" s="8"/>
      <c r="V2451" s="8"/>
      <c r="W2451" s="8"/>
      <c r="X2451" s="771"/>
      <c r="Y2451" s="771"/>
      <c r="Z2451" s="771"/>
      <c r="AA2451" s="771"/>
      <c r="AB2451" s="771"/>
      <c r="AC2451" s="771"/>
      <c r="AD2451" s="771"/>
      <c r="AE2451" s="771"/>
      <c r="AF2451" s="771"/>
      <c r="AG2451" s="771"/>
      <c r="AH2451" s="771"/>
      <c r="AI2451" s="771"/>
      <c r="AJ2451" s="771"/>
      <c r="AK2451" s="771"/>
      <c r="AL2451" s="771"/>
      <c r="AM2451" s="771"/>
      <c r="AN2451" s="771"/>
      <c r="AO2451" s="771"/>
      <c r="AP2451" s="771"/>
      <c r="AQ2451" s="771"/>
      <c r="AR2451" s="771"/>
      <c r="AS2451" s="771"/>
      <c r="AT2451" s="771"/>
      <c r="AU2451" s="771"/>
    </row>
    <row r="2452" spans="1:47" s="1418" customFormat="1" outlineLevel="1" x14ac:dyDescent="0.2">
      <c r="A2452" s="8"/>
      <c r="B2452" s="8"/>
      <c r="C2452" s="1989" t="s">
        <v>4709</v>
      </c>
      <c r="D2452" s="1989" t="s">
        <v>8044</v>
      </c>
      <c r="E2452" s="1989">
        <v>2.17</v>
      </c>
      <c r="F2452" s="38">
        <f t="shared" si="38"/>
        <v>176.46709079999999</v>
      </c>
      <c r="G2452" s="1547"/>
      <c r="H2452" s="8"/>
      <c r="I2452" s="8"/>
      <c r="J2452" s="8"/>
      <c r="K2452" s="8"/>
      <c r="L2452" s="8"/>
      <c r="M2452" s="8"/>
      <c r="N2452" s="8"/>
      <c r="O2452" s="8"/>
      <c r="P2452" s="8"/>
      <c r="Q2452" s="8"/>
      <c r="R2452" s="8"/>
      <c r="S2452" s="8"/>
      <c r="T2452" s="8"/>
      <c r="U2452" s="8"/>
      <c r="V2452" s="8"/>
      <c r="W2452" s="8"/>
      <c r="X2452" s="771"/>
      <c r="Y2452" s="771"/>
      <c r="Z2452" s="771"/>
      <c r="AA2452" s="771"/>
      <c r="AB2452" s="771"/>
      <c r="AC2452" s="771"/>
      <c r="AD2452" s="771"/>
      <c r="AE2452" s="771"/>
      <c r="AF2452" s="771"/>
      <c r="AG2452" s="771"/>
      <c r="AH2452" s="771"/>
      <c r="AI2452" s="771"/>
      <c r="AJ2452" s="771"/>
      <c r="AK2452" s="771"/>
      <c r="AL2452" s="771"/>
      <c r="AM2452" s="771"/>
      <c r="AN2452" s="771"/>
      <c r="AO2452" s="771"/>
      <c r="AP2452" s="771"/>
      <c r="AQ2452" s="771"/>
      <c r="AR2452" s="771"/>
      <c r="AS2452" s="771"/>
      <c r="AT2452" s="771"/>
      <c r="AU2452" s="771"/>
    </row>
    <row r="2453" spans="1:47" s="1418" customFormat="1" outlineLevel="1" x14ac:dyDescent="0.2">
      <c r="A2453" s="8"/>
      <c r="B2453" s="8"/>
      <c r="C2453" s="1989" t="s">
        <v>4710</v>
      </c>
      <c r="D2453" s="1989" t="s">
        <v>8045</v>
      </c>
      <c r="E2453" s="1989">
        <v>1.75</v>
      </c>
      <c r="F2453" s="38">
        <f t="shared" si="38"/>
        <v>142.31217000000001</v>
      </c>
      <c r="G2453" s="1547"/>
      <c r="H2453" s="8"/>
      <c r="I2453" s="8"/>
      <c r="J2453" s="8"/>
      <c r="K2453" s="8"/>
      <c r="L2453" s="8"/>
      <c r="M2453" s="8"/>
      <c r="N2453" s="8"/>
      <c r="O2453" s="8"/>
      <c r="P2453" s="8"/>
      <c r="Q2453" s="8"/>
      <c r="R2453" s="8"/>
      <c r="S2453" s="8"/>
      <c r="T2453" s="8"/>
      <c r="U2453" s="8"/>
      <c r="V2453" s="8"/>
      <c r="W2453" s="8"/>
      <c r="X2453" s="771"/>
      <c r="Y2453" s="771"/>
      <c r="Z2453" s="771"/>
      <c r="AA2453" s="771"/>
      <c r="AB2453" s="771"/>
      <c r="AC2453" s="771"/>
      <c r="AD2453" s="771"/>
      <c r="AE2453" s="771"/>
      <c r="AF2453" s="771"/>
      <c r="AG2453" s="771"/>
      <c r="AH2453" s="771"/>
      <c r="AI2453" s="771"/>
      <c r="AJ2453" s="771"/>
      <c r="AK2453" s="771"/>
      <c r="AL2453" s="771"/>
      <c r="AM2453" s="771"/>
      <c r="AN2453" s="771"/>
      <c r="AO2453" s="771"/>
      <c r="AP2453" s="771"/>
      <c r="AQ2453" s="771"/>
      <c r="AR2453" s="771"/>
      <c r="AS2453" s="771"/>
      <c r="AT2453" s="771"/>
      <c r="AU2453" s="771"/>
    </row>
    <row r="2454" spans="1:47" s="1418" customFormat="1" outlineLevel="1" x14ac:dyDescent="0.2">
      <c r="A2454" s="8"/>
      <c r="B2454" s="8"/>
      <c r="C2454" s="1989" t="s">
        <v>4711</v>
      </c>
      <c r="D2454" s="1989" t="s">
        <v>8046</v>
      </c>
      <c r="E2454" s="1989">
        <v>1.96</v>
      </c>
      <c r="F2454" s="38">
        <f t="shared" si="38"/>
        <v>159.38963040000002</v>
      </c>
      <c r="G2454" s="1547"/>
      <c r="H2454" s="8"/>
      <c r="I2454" s="8"/>
      <c r="J2454" s="8"/>
      <c r="K2454" s="8"/>
      <c r="L2454" s="8"/>
      <c r="M2454" s="8"/>
      <c r="N2454" s="8"/>
      <c r="O2454" s="8"/>
      <c r="P2454" s="8"/>
      <c r="Q2454" s="8"/>
      <c r="R2454" s="8"/>
      <c r="S2454" s="8"/>
      <c r="T2454" s="8"/>
      <c r="U2454" s="8"/>
      <c r="V2454" s="8"/>
      <c r="W2454" s="8"/>
      <c r="X2454" s="771"/>
      <c r="Y2454" s="771"/>
      <c r="Z2454" s="771"/>
      <c r="AA2454" s="771"/>
      <c r="AB2454" s="771"/>
      <c r="AC2454" s="771"/>
      <c r="AD2454" s="771"/>
      <c r="AE2454" s="771"/>
      <c r="AF2454" s="771"/>
      <c r="AG2454" s="771"/>
      <c r="AH2454" s="771"/>
      <c r="AI2454" s="771"/>
      <c r="AJ2454" s="771"/>
      <c r="AK2454" s="771"/>
      <c r="AL2454" s="771"/>
      <c r="AM2454" s="771"/>
      <c r="AN2454" s="771"/>
      <c r="AO2454" s="771"/>
      <c r="AP2454" s="771"/>
      <c r="AQ2454" s="771"/>
      <c r="AR2454" s="771"/>
      <c r="AS2454" s="771"/>
      <c r="AT2454" s="771"/>
      <c r="AU2454" s="771"/>
    </row>
    <row r="2455" spans="1:47" s="1418" customFormat="1" outlineLevel="1" x14ac:dyDescent="0.2">
      <c r="A2455" s="8"/>
      <c r="B2455" s="8"/>
      <c r="C2455" s="1989" t="s">
        <v>4712</v>
      </c>
      <c r="D2455" s="1989" t="s">
        <v>8047</v>
      </c>
      <c r="E2455" s="1989">
        <v>2.1800000000000002</v>
      </c>
      <c r="F2455" s="38">
        <f t="shared" si="38"/>
        <v>177.28030320000002</v>
      </c>
      <c r="G2455" s="1547"/>
      <c r="H2455" s="8"/>
      <c r="I2455" s="8"/>
      <c r="J2455" s="8"/>
      <c r="K2455" s="8"/>
      <c r="L2455" s="8"/>
      <c r="M2455" s="8"/>
      <c r="N2455" s="8"/>
      <c r="O2455" s="8"/>
      <c r="P2455" s="8"/>
      <c r="Q2455" s="8"/>
      <c r="R2455" s="8"/>
      <c r="S2455" s="8"/>
      <c r="T2455" s="8"/>
      <c r="U2455" s="8"/>
      <c r="V2455" s="8"/>
      <c r="W2455" s="8"/>
      <c r="X2455" s="771"/>
      <c r="Y2455" s="771"/>
      <c r="Z2455" s="771"/>
      <c r="AA2455" s="771"/>
      <c r="AB2455" s="771"/>
      <c r="AC2455" s="771"/>
      <c r="AD2455" s="771"/>
      <c r="AE2455" s="771"/>
      <c r="AF2455" s="771"/>
      <c r="AG2455" s="771"/>
      <c r="AH2455" s="771"/>
      <c r="AI2455" s="771"/>
      <c r="AJ2455" s="771"/>
      <c r="AK2455" s="771"/>
      <c r="AL2455" s="771"/>
      <c r="AM2455" s="771"/>
      <c r="AN2455" s="771"/>
      <c r="AO2455" s="771"/>
      <c r="AP2455" s="771"/>
      <c r="AQ2455" s="771"/>
      <c r="AR2455" s="771"/>
      <c r="AS2455" s="771"/>
      <c r="AT2455" s="771"/>
      <c r="AU2455" s="771"/>
    </row>
    <row r="2456" spans="1:47" s="1418" customFormat="1" outlineLevel="1" x14ac:dyDescent="0.2">
      <c r="A2456" s="8"/>
      <c r="B2456" s="8"/>
      <c r="C2456" s="1989" t="s">
        <v>4713</v>
      </c>
      <c r="D2456" s="1989" t="s">
        <v>8048</v>
      </c>
      <c r="E2456" s="1989">
        <v>2.4</v>
      </c>
      <c r="F2456" s="38">
        <f t="shared" si="38"/>
        <v>195.170976</v>
      </c>
      <c r="G2456" s="1547"/>
      <c r="H2456" s="8"/>
      <c r="I2456" s="8"/>
      <c r="J2456" s="8"/>
      <c r="K2456" s="8"/>
      <c r="L2456" s="8"/>
      <c r="M2456" s="8"/>
      <c r="N2456" s="8"/>
      <c r="O2456" s="8"/>
      <c r="P2456" s="8"/>
      <c r="Q2456" s="8"/>
      <c r="R2456" s="8"/>
      <c r="S2456" s="8"/>
      <c r="T2456" s="8"/>
      <c r="U2456" s="8"/>
      <c r="V2456" s="8"/>
      <c r="W2456" s="8"/>
      <c r="X2456" s="771"/>
      <c r="Y2456" s="771"/>
      <c r="Z2456" s="771"/>
      <c r="AA2456" s="771"/>
      <c r="AB2456" s="771"/>
      <c r="AC2456" s="771"/>
      <c r="AD2456" s="771"/>
      <c r="AE2456" s="771"/>
      <c r="AF2456" s="771"/>
      <c r="AG2456" s="771"/>
      <c r="AH2456" s="771"/>
      <c r="AI2456" s="771"/>
      <c r="AJ2456" s="771"/>
      <c r="AK2456" s="771"/>
      <c r="AL2456" s="771"/>
      <c r="AM2456" s="771"/>
      <c r="AN2456" s="771"/>
      <c r="AO2456" s="771"/>
      <c r="AP2456" s="771"/>
      <c r="AQ2456" s="771"/>
      <c r="AR2456" s="771"/>
      <c r="AS2456" s="771"/>
      <c r="AT2456" s="771"/>
      <c r="AU2456" s="771"/>
    </row>
    <row r="2457" spans="1:47" s="1418" customFormat="1" outlineLevel="1" x14ac:dyDescent="0.2">
      <c r="A2457" s="8"/>
      <c r="B2457" s="8"/>
      <c r="C2457" s="1989" t="s">
        <v>4714</v>
      </c>
      <c r="D2457" s="1989" t="s">
        <v>8049</v>
      </c>
      <c r="E2457" s="1989">
        <v>1.96</v>
      </c>
      <c r="F2457" s="38">
        <f t="shared" si="38"/>
        <v>159.38963040000002</v>
      </c>
      <c r="G2457" s="1547"/>
      <c r="H2457" s="8"/>
      <c r="I2457" s="8"/>
      <c r="J2457" s="8"/>
      <c r="K2457" s="8"/>
      <c r="L2457" s="8"/>
      <c r="M2457" s="8"/>
      <c r="N2457" s="8"/>
      <c r="O2457" s="8"/>
      <c r="P2457" s="8"/>
      <c r="Q2457" s="8"/>
      <c r="R2457" s="8"/>
      <c r="S2457" s="8"/>
      <c r="T2457" s="8"/>
      <c r="U2457" s="8"/>
      <c r="V2457" s="8"/>
      <c r="W2457" s="8"/>
      <c r="X2457" s="771"/>
      <c r="Y2457" s="771"/>
      <c r="Z2457" s="771"/>
      <c r="AA2457" s="771"/>
      <c r="AB2457" s="771"/>
      <c r="AC2457" s="771"/>
      <c r="AD2457" s="771"/>
      <c r="AE2457" s="771"/>
      <c r="AF2457" s="771"/>
      <c r="AG2457" s="771"/>
      <c r="AH2457" s="771"/>
      <c r="AI2457" s="771"/>
      <c r="AJ2457" s="771"/>
      <c r="AK2457" s="771"/>
      <c r="AL2457" s="771"/>
      <c r="AM2457" s="771"/>
      <c r="AN2457" s="771"/>
      <c r="AO2457" s="771"/>
      <c r="AP2457" s="771"/>
      <c r="AQ2457" s="771"/>
      <c r="AR2457" s="771"/>
      <c r="AS2457" s="771"/>
      <c r="AT2457" s="771"/>
      <c r="AU2457" s="771"/>
    </row>
    <row r="2458" spans="1:47" s="1418" customFormat="1" outlineLevel="1" x14ac:dyDescent="0.2">
      <c r="A2458" s="8"/>
      <c r="B2458" s="8"/>
      <c r="C2458" s="1989" t="s">
        <v>4715</v>
      </c>
      <c r="D2458" s="1989" t="s">
        <v>8050</v>
      </c>
      <c r="E2458" s="1989">
        <v>2.19</v>
      </c>
      <c r="F2458" s="38">
        <f t="shared" si="38"/>
        <v>178.09351559999999</v>
      </c>
      <c r="G2458" s="1547"/>
      <c r="H2458" s="8"/>
      <c r="I2458" s="8"/>
      <c r="J2458" s="8"/>
      <c r="K2458" s="8"/>
      <c r="L2458" s="8"/>
      <c r="M2458" s="8"/>
      <c r="N2458" s="8"/>
      <c r="O2458" s="8"/>
      <c r="P2458" s="8"/>
      <c r="Q2458" s="8"/>
      <c r="R2458" s="8"/>
      <c r="S2458" s="8"/>
      <c r="T2458" s="8"/>
      <c r="U2458" s="8"/>
      <c r="V2458" s="8"/>
      <c r="W2458" s="8"/>
      <c r="X2458" s="771"/>
      <c r="Y2458" s="771"/>
      <c r="Z2458" s="771"/>
      <c r="AA2458" s="771"/>
      <c r="AB2458" s="771"/>
      <c r="AC2458" s="771"/>
      <c r="AD2458" s="771"/>
      <c r="AE2458" s="771"/>
      <c r="AF2458" s="771"/>
      <c r="AG2458" s="771"/>
      <c r="AH2458" s="771"/>
      <c r="AI2458" s="771"/>
      <c r="AJ2458" s="771"/>
      <c r="AK2458" s="771"/>
      <c r="AL2458" s="771"/>
      <c r="AM2458" s="771"/>
      <c r="AN2458" s="771"/>
      <c r="AO2458" s="771"/>
      <c r="AP2458" s="771"/>
      <c r="AQ2458" s="771"/>
      <c r="AR2458" s="771"/>
      <c r="AS2458" s="771"/>
      <c r="AT2458" s="771"/>
      <c r="AU2458" s="771"/>
    </row>
    <row r="2459" spans="1:47" s="1418" customFormat="1" outlineLevel="1" x14ac:dyDescent="0.2">
      <c r="A2459" s="8"/>
      <c r="B2459" s="8"/>
      <c r="C2459" s="1989" t="s">
        <v>4716</v>
      </c>
      <c r="D2459" s="1989" t="s">
        <v>8051</v>
      </c>
      <c r="E2459" s="1989">
        <v>2.44</v>
      </c>
      <c r="F2459" s="38">
        <f t="shared" si="38"/>
        <v>198.42382560000001</v>
      </c>
      <c r="G2459" s="1547"/>
      <c r="H2459" s="8"/>
      <c r="I2459" s="8"/>
      <c r="J2459" s="8"/>
      <c r="K2459" s="8"/>
      <c r="L2459" s="8"/>
      <c r="M2459" s="8"/>
      <c r="N2459" s="8"/>
      <c r="O2459" s="8"/>
      <c r="P2459" s="8"/>
      <c r="Q2459" s="8"/>
      <c r="R2459" s="8"/>
      <c r="S2459" s="8"/>
      <c r="T2459" s="8"/>
      <c r="U2459" s="8"/>
      <c r="V2459" s="8"/>
      <c r="W2459" s="8"/>
      <c r="X2459" s="771"/>
      <c r="Y2459" s="771"/>
      <c r="Z2459" s="771"/>
      <c r="AA2459" s="771"/>
      <c r="AB2459" s="771"/>
      <c r="AC2459" s="771"/>
      <c r="AD2459" s="771"/>
      <c r="AE2459" s="771"/>
      <c r="AF2459" s="771"/>
      <c r="AG2459" s="771"/>
      <c r="AH2459" s="771"/>
      <c r="AI2459" s="771"/>
      <c r="AJ2459" s="771"/>
      <c r="AK2459" s="771"/>
      <c r="AL2459" s="771"/>
      <c r="AM2459" s="771"/>
      <c r="AN2459" s="771"/>
      <c r="AO2459" s="771"/>
      <c r="AP2459" s="771"/>
      <c r="AQ2459" s="771"/>
      <c r="AR2459" s="771"/>
      <c r="AS2459" s="771"/>
      <c r="AT2459" s="771"/>
      <c r="AU2459" s="771"/>
    </row>
    <row r="2460" spans="1:47" s="1418" customFormat="1" outlineLevel="1" x14ac:dyDescent="0.2">
      <c r="A2460" s="8"/>
      <c r="B2460" s="8"/>
      <c r="C2460" s="1989" t="s">
        <v>4717</v>
      </c>
      <c r="D2460" s="1989" t="s">
        <v>8052</v>
      </c>
      <c r="E2460" s="1989">
        <v>2.68</v>
      </c>
      <c r="F2460" s="38">
        <f t="shared" si="38"/>
        <v>217.94092320000004</v>
      </c>
      <c r="G2460" s="1547"/>
      <c r="H2460" s="8"/>
      <c r="I2460" s="8"/>
      <c r="J2460" s="8"/>
      <c r="K2460" s="8"/>
      <c r="L2460" s="8"/>
      <c r="M2460" s="8"/>
      <c r="N2460" s="8"/>
      <c r="O2460" s="8"/>
      <c r="P2460" s="8"/>
      <c r="Q2460" s="8"/>
      <c r="R2460" s="8"/>
      <c r="S2460" s="8"/>
      <c r="T2460" s="8"/>
      <c r="U2460" s="8"/>
      <c r="V2460" s="8"/>
      <c r="W2460" s="8"/>
      <c r="X2460" s="771"/>
      <c r="Y2460" s="771"/>
      <c r="Z2460" s="771"/>
      <c r="AA2460" s="771"/>
      <c r="AB2460" s="771"/>
      <c r="AC2460" s="771"/>
      <c r="AD2460" s="771"/>
      <c r="AE2460" s="771"/>
      <c r="AF2460" s="771"/>
      <c r="AG2460" s="771"/>
      <c r="AH2460" s="771"/>
      <c r="AI2460" s="771"/>
      <c r="AJ2460" s="771"/>
      <c r="AK2460" s="771"/>
      <c r="AL2460" s="771"/>
      <c r="AM2460" s="771"/>
      <c r="AN2460" s="771"/>
      <c r="AO2460" s="771"/>
      <c r="AP2460" s="771"/>
      <c r="AQ2460" s="771"/>
      <c r="AR2460" s="771"/>
      <c r="AS2460" s="771"/>
      <c r="AT2460" s="771"/>
      <c r="AU2460" s="771"/>
    </row>
    <row r="2461" spans="1:47" s="1418" customFormat="1" outlineLevel="1" x14ac:dyDescent="0.2">
      <c r="A2461" s="8"/>
      <c r="B2461" s="8"/>
      <c r="C2461" s="1989" t="s">
        <v>4718</v>
      </c>
      <c r="D2461" s="1989" t="s">
        <v>8053</v>
      </c>
      <c r="E2461" s="1989">
        <v>2.29</v>
      </c>
      <c r="F2461" s="38">
        <f t="shared" si="38"/>
        <v>186.22563959999999</v>
      </c>
      <c r="G2461" s="1547"/>
      <c r="H2461" s="8"/>
      <c r="I2461" s="8"/>
      <c r="J2461" s="8"/>
      <c r="K2461" s="8"/>
      <c r="L2461" s="8"/>
      <c r="M2461" s="8"/>
      <c r="N2461" s="8"/>
      <c r="O2461" s="8"/>
      <c r="P2461" s="8"/>
      <c r="Q2461" s="8"/>
      <c r="R2461" s="8"/>
      <c r="S2461" s="8"/>
      <c r="T2461" s="8"/>
      <c r="U2461" s="8"/>
      <c r="V2461" s="8"/>
      <c r="W2461" s="8"/>
      <c r="X2461" s="771"/>
      <c r="Y2461" s="771"/>
      <c r="Z2461" s="771"/>
      <c r="AA2461" s="771"/>
      <c r="AB2461" s="771"/>
      <c r="AC2461" s="771"/>
      <c r="AD2461" s="771"/>
      <c r="AE2461" s="771"/>
      <c r="AF2461" s="771"/>
      <c r="AG2461" s="771"/>
      <c r="AH2461" s="771"/>
      <c r="AI2461" s="771"/>
      <c r="AJ2461" s="771"/>
      <c r="AK2461" s="771"/>
      <c r="AL2461" s="771"/>
      <c r="AM2461" s="771"/>
      <c r="AN2461" s="771"/>
      <c r="AO2461" s="771"/>
      <c r="AP2461" s="771"/>
      <c r="AQ2461" s="771"/>
      <c r="AR2461" s="771"/>
      <c r="AS2461" s="771"/>
      <c r="AT2461" s="771"/>
      <c r="AU2461" s="771"/>
    </row>
    <row r="2462" spans="1:47" s="1418" customFormat="1" outlineLevel="1" x14ac:dyDescent="0.2">
      <c r="A2462" s="8"/>
      <c r="B2462" s="8"/>
      <c r="C2462" s="1989" t="s">
        <v>4719</v>
      </c>
      <c r="D2462" s="1989" t="s">
        <v>8054</v>
      </c>
      <c r="E2462" s="1989">
        <v>2.58</v>
      </c>
      <c r="F2462" s="38">
        <f t="shared" si="38"/>
        <v>209.80879920000001</v>
      </c>
      <c r="G2462" s="1547"/>
      <c r="H2462" s="8"/>
      <c r="I2462" s="8"/>
      <c r="J2462" s="8"/>
      <c r="K2462" s="8"/>
      <c r="L2462" s="8"/>
      <c r="M2462" s="8"/>
      <c r="N2462" s="8"/>
      <c r="O2462" s="8"/>
      <c r="P2462" s="8"/>
      <c r="Q2462" s="8"/>
      <c r="R2462" s="8"/>
      <c r="S2462" s="8"/>
      <c r="T2462" s="8"/>
      <c r="U2462" s="8"/>
      <c r="V2462" s="8"/>
      <c r="W2462" s="8"/>
      <c r="X2462" s="771"/>
      <c r="Y2462" s="771"/>
      <c r="Z2462" s="771"/>
      <c r="AA2462" s="771"/>
      <c r="AB2462" s="771"/>
      <c r="AC2462" s="771"/>
      <c r="AD2462" s="771"/>
      <c r="AE2462" s="771"/>
      <c r="AF2462" s="771"/>
      <c r="AG2462" s="771"/>
      <c r="AH2462" s="771"/>
      <c r="AI2462" s="771"/>
      <c r="AJ2462" s="771"/>
      <c r="AK2462" s="771"/>
      <c r="AL2462" s="771"/>
      <c r="AM2462" s="771"/>
      <c r="AN2462" s="771"/>
      <c r="AO2462" s="771"/>
      <c r="AP2462" s="771"/>
      <c r="AQ2462" s="771"/>
      <c r="AR2462" s="771"/>
      <c r="AS2462" s="771"/>
      <c r="AT2462" s="771"/>
      <c r="AU2462" s="771"/>
    </row>
    <row r="2463" spans="1:47" s="1418" customFormat="1" outlineLevel="1" x14ac:dyDescent="0.2">
      <c r="A2463" s="8"/>
      <c r="B2463" s="8"/>
      <c r="C2463" s="1989" t="s">
        <v>4720</v>
      </c>
      <c r="D2463" s="1989" t="s">
        <v>8055</v>
      </c>
      <c r="E2463" s="1989">
        <v>2.87</v>
      </c>
      <c r="F2463" s="38">
        <f t="shared" si="38"/>
        <v>233.39195880000003</v>
      </c>
      <c r="G2463" s="1547"/>
      <c r="H2463" s="8"/>
      <c r="I2463" s="8"/>
      <c r="J2463" s="8"/>
      <c r="K2463" s="8"/>
      <c r="L2463" s="8"/>
      <c r="M2463" s="8"/>
      <c r="N2463" s="8"/>
      <c r="O2463" s="8"/>
      <c r="P2463" s="8"/>
      <c r="Q2463" s="8"/>
      <c r="R2463" s="8"/>
      <c r="S2463" s="8"/>
      <c r="T2463" s="8"/>
      <c r="U2463" s="8"/>
      <c r="V2463" s="8"/>
      <c r="W2463" s="8"/>
      <c r="X2463" s="771"/>
      <c r="Y2463" s="771"/>
      <c r="Z2463" s="771"/>
      <c r="AA2463" s="771"/>
      <c r="AB2463" s="771"/>
      <c r="AC2463" s="771"/>
      <c r="AD2463" s="771"/>
      <c r="AE2463" s="771"/>
      <c r="AF2463" s="771"/>
      <c r="AG2463" s="771"/>
      <c r="AH2463" s="771"/>
      <c r="AI2463" s="771"/>
      <c r="AJ2463" s="771"/>
      <c r="AK2463" s="771"/>
      <c r="AL2463" s="771"/>
      <c r="AM2463" s="771"/>
      <c r="AN2463" s="771"/>
      <c r="AO2463" s="771"/>
      <c r="AP2463" s="771"/>
      <c r="AQ2463" s="771"/>
      <c r="AR2463" s="771"/>
      <c r="AS2463" s="771"/>
      <c r="AT2463" s="771"/>
      <c r="AU2463" s="771"/>
    </row>
    <row r="2464" spans="1:47" s="1418" customFormat="1" outlineLevel="1" x14ac:dyDescent="0.2">
      <c r="A2464" s="8"/>
      <c r="B2464" s="8"/>
      <c r="C2464" s="1989" t="s">
        <v>4721</v>
      </c>
      <c r="D2464" s="1989" t="s">
        <v>8056</v>
      </c>
      <c r="E2464" s="1989">
        <v>3.16</v>
      </c>
      <c r="F2464" s="38">
        <f t="shared" si="38"/>
        <v>256.97511839999999</v>
      </c>
      <c r="G2464" s="1547"/>
      <c r="H2464" s="8"/>
      <c r="I2464" s="8"/>
      <c r="J2464" s="8"/>
      <c r="K2464" s="8"/>
      <c r="L2464" s="8"/>
      <c r="M2464" s="8"/>
      <c r="N2464" s="8"/>
      <c r="O2464" s="8"/>
      <c r="P2464" s="8"/>
      <c r="Q2464" s="8"/>
      <c r="R2464" s="8"/>
      <c r="S2464" s="8"/>
      <c r="T2464" s="8"/>
      <c r="U2464" s="8"/>
      <c r="V2464" s="8"/>
      <c r="W2464" s="8"/>
      <c r="X2464" s="771"/>
      <c r="Y2464" s="771"/>
      <c r="Z2464" s="771"/>
      <c r="AA2464" s="771"/>
      <c r="AB2464" s="771"/>
      <c r="AC2464" s="771"/>
      <c r="AD2464" s="771"/>
      <c r="AE2464" s="771"/>
      <c r="AF2464" s="771"/>
      <c r="AG2464" s="771"/>
      <c r="AH2464" s="771"/>
      <c r="AI2464" s="771"/>
      <c r="AJ2464" s="771"/>
      <c r="AK2464" s="771"/>
      <c r="AL2464" s="771"/>
      <c r="AM2464" s="771"/>
      <c r="AN2464" s="771"/>
      <c r="AO2464" s="771"/>
      <c r="AP2464" s="771"/>
      <c r="AQ2464" s="771"/>
      <c r="AR2464" s="771"/>
      <c r="AS2464" s="771"/>
      <c r="AT2464" s="771"/>
      <c r="AU2464" s="771"/>
    </row>
    <row r="2465" spans="1:47" s="1418" customFormat="1" outlineLevel="1" x14ac:dyDescent="0.2">
      <c r="A2465" s="8"/>
      <c r="B2465" s="8"/>
      <c r="C2465" s="1989" t="s">
        <v>4722</v>
      </c>
      <c r="D2465" s="1989" t="s">
        <v>8057</v>
      </c>
      <c r="E2465" s="1989">
        <v>0.96</v>
      </c>
      <c r="F2465" s="38">
        <f t="shared" si="38"/>
        <v>78.068390399999998</v>
      </c>
      <c r="G2465" s="1547"/>
      <c r="H2465" s="8"/>
      <c r="I2465" s="8"/>
      <c r="J2465" s="8"/>
      <c r="K2465" s="8"/>
      <c r="L2465" s="8"/>
      <c r="M2465" s="8"/>
      <c r="N2465" s="8"/>
      <c r="O2465" s="8"/>
      <c r="P2465" s="8"/>
      <c r="Q2465" s="8"/>
      <c r="R2465" s="8"/>
      <c r="S2465" s="8"/>
      <c r="T2465" s="8"/>
      <c r="U2465" s="8"/>
      <c r="V2465" s="8"/>
      <c r="W2465" s="8"/>
      <c r="X2465" s="771"/>
      <c r="Y2465" s="771"/>
      <c r="Z2465" s="771"/>
      <c r="AA2465" s="771"/>
      <c r="AB2465" s="771"/>
      <c r="AC2465" s="771"/>
      <c r="AD2465" s="771"/>
      <c r="AE2465" s="771"/>
      <c r="AF2465" s="771"/>
      <c r="AG2465" s="771"/>
      <c r="AH2465" s="771"/>
      <c r="AI2465" s="771"/>
      <c r="AJ2465" s="771"/>
      <c r="AK2465" s="771"/>
      <c r="AL2465" s="771"/>
      <c r="AM2465" s="771"/>
      <c r="AN2465" s="771"/>
      <c r="AO2465" s="771"/>
      <c r="AP2465" s="771"/>
      <c r="AQ2465" s="771"/>
      <c r="AR2465" s="771"/>
      <c r="AS2465" s="771"/>
      <c r="AT2465" s="771"/>
      <c r="AU2465" s="771"/>
    </row>
    <row r="2466" spans="1:47" s="1418" customFormat="1" outlineLevel="1" x14ac:dyDescent="0.2">
      <c r="A2466" s="8"/>
      <c r="B2466" s="8"/>
      <c r="C2466" s="1989" t="s">
        <v>4723</v>
      </c>
      <c r="D2466" s="1989" t="s">
        <v>8058</v>
      </c>
      <c r="E2466" s="1989">
        <v>0.91</v>
      </c>
      <c r="F2466" s="38">
        <f t="shared" si="38"/>
        <v>74.00232840000001</v>
      </c>
      <c r="G2466" s="1547"/>
      <c r="H2466" s="8"/>
      <c r="I2466" s="8"/>
      <c r="J2466" s="8"/>
      <c r="K2466" s="8"/>
      <c r="L2466" s="8"/>
      <c r="M2466" s="8"/>
      <c r="N2466" s="8"/>
      <c r="O2466" s="8"/>
      <c r="P2466" s="8"/>
      <c r="Q2466" s="8"/>
      <c r="R2466" s="8"/>
      <c r="S2466" s="8"/>
      <c r="T2466" s="8"/>
      <c r="U2466" s="8"/>
      <c r="V2466" s="8"/>
      <c r="W2466" s="8"/>
      <c r="X2466" s="771"/>
      <c r="Y2466" s="771"/>
      <c r="Z2466" s="771"/>
      <c r="AA2466" s="771"/>
      <c r="AB2466" s="771"/>
      <c r="AC2466" s="771"/>
      <c r="AD2466" s="771"/>
      <c r="AE2466" s="771"/>
      <c r="AF2466" s="771"/>
      <c r="AG2466" s="771"/>
      <c r="AH2466" s="771"/>
      <c r="AI2466" s="771"/>
      <c r="AJ2466" s="771"/>
      <c r="AK2466" s="771"/>
      <c r="AL2466" s="771"/>
      <c r="AM2466" s="771"/>
      <c r="AN2466" s="771"/>
      <c r="AO2466" s="771"/>
      <c r="AP2466" s="771"/>
      <c r="AQ2466" s="771"/>
      <c r="AR2466" s="771"/>
      <c r="AS2466" s="771"/>
      <c r="AT2466" s="771"/>
      <c r="AU2466" s="771"/>
    </row>
    <row r="2467" spans="1:47" s="1418" customFormat="1" outlineLevel="1" x14ac:dyDescent="0.2">
      <c r="A2467" s="8"/>
      <c r="B2467" s="8"/>
      <c r="C2467" s="1989" t="s">
        <v>4724</v>
      </c>
      <c r="D2467" s="1989" t="s">
        <v>8059</v>
      </c>
      <c r="E2467" s="1989">
        <v>1</v>
      </c>
      <c r="F2467" s="38">
        <f t="shared" si="38"/>
        <v>81.321240000000003</v>
      </c>
      <c r="G2467" s="1547"/>
      <c r="H2467" s="8"/>
      <c r="I2467" s="8"/>
      <c r="J2467" s="8"/>
      <c r="K2467" s="8"/>
      <c r="L2467" s="8"/>
      <c r="M2467" s="8"/>
      <c r="N2467" s="8"/>
      <c r="O2467" s="8"/>
      <c r="P2467" s="8"/>
      <c r="Q2467" s="8"/>
      <c r="R2467" s="8"/>
      <c r="S2467" s="8"/>
      <c r="T2467" s="8"/>
      <c r="U2467" s="8"/>
      <c r="V2467" s="8"/>
      <c r="W2467" s="8"/>
      <c r="X2467" s="771"/>
      <c r="Y2467" s="771"/>
      <c r="Z2467" s="771"/>
      <c r="AA2467" s="771"/>
      <c r="AB2467" s="771"/>
      <c r="AC2467" s="771"/>
      <c r="AD2467" s="771"/>
      <c r="AE2467" s="771"/>
      <c r="AF2467" s="771"/>
      <c r="AG2467" s="771"/>
      <c r="AH2467" s="771"/>
      <c r="AI2467" s="771"/>
      <c r="AJ2467" s="771"/>
      <c r="AK2467" s="771"/>
      <c r="AL2467" s="771"/>
      <c r="AM2467" s="771"/>
      <c r="AN2467" s="771"/>
      <c r="AO2467" s="771"/>
      <c r="AP2467" s="771"/>
      <c r="AQ2467" s="771"/>
      <c r="AR2467" s="771"/>
      <c r="AS2467" s="771"/>
      <c r="AT2467" s="771"/>
      <c r="AU2467" s="771"/>
    </row>
    <row r="2468" spans="1:47" s="1418" customFormat="1" outlineLevel="1" x14ac:dyDescent="0.2">
      <c r="A2468" s="8"/>
      <c r="B2468" s="8"/>
      <c r="C2468" s="1989" t="s">
        <v>4725</v>
      </c>
      <c r="D2468" s="1989" t="s">
        <v>8060</v>
      </c>
      <c r="E2468" s="1989">
        <v>1.1100000000000001</v>
      </c>
      <c r="F2468" s="38">
        <f t="shared" si="38"/>
        <v>90.266576400000005</v>
      </c>
      <c r="G2468" s="1547"/>
      <c r="H2468" s="8"/>
      <c r="I2468" s="8"/>
      <c r="J2468" s="8"/>
      <c r="K2468" s="8"/>
      <c r="L2468" s="8"/>
      <c r="M2468" s="8"/>
      <c r="N2468" s="8"/>
      <c r="O2468" s="8"/>
      <c r="P2468" s="8"/>
      <c r="Q2468" s="8"/>
      <c r="R2468" s="8"/>
      <c r="S2468" s="8"/>
      <c r="T2468" s="8"/>
      <c r="U2468" s="8"/>
      <c r="V2468" s="8"/>
      <c r="W2468" s="8"/>
      <c r="X2468" s="771"/>
      <c r="Y2468" s="771"/>
      <c r="Z2468" s="771"/>
      <c r="AA2468" s="771"/>
      <c r="AB2468" s="771"/>
      <c r="AC2468" s="771"/>
      <c r="AD2468" s="771"/>
      <c r="AE2468" s="771"/>
      <c r="AF2468" s="771"/>
      <c r="AG2468" s="771"/>
      <c r="AH2468" s="771"/>
      <c r="AI2468" s="771"/>
      <c r="AJ2468" s="771"/>
      <c r="AK2468" s="771"/>
      <c r="AL2468" s="771"/>
      <c r="AM2468" s="771"/>
      <c r="AN2468" s="771"/>
      <c r="AO2468" s="771"/>
      <c r="AP2468" s="771"/>
      <c r="AQ2468" s="771"/>
      <c r="AR2468" s="771"/>
      <c r="AS2468" s="771"/>
      <c r="AT2468" s="771"/>
      <c r="AU2468" s="771"/>
    </row>
    <row r="2469" spans="1:47" s="1418" customFormat="1" outlineLevel="1" x14ac:dyDescent="0.2">
      <c r="A2469" s="8"/>
      <c r="B2469" s="8"/>
      <c r="C2469" s="1989" t="s">
        <v>4726</v>
      </c>
      <c r="D2469" s="1989" t="s">
        <v>8061</v>
      </c>
      <c r="E2469" s="1989">
        <v>1.2</v>
      </c>
      <c r="F2469" s="38">
        <f t="shared" si="38"/>
        <v>97.585487999999998</v>
      </c>
      <c r="G2469" s="1547"/>
      <c r="H2469" s="8"/>
      <c r="I2469" s="8"/>
      <c r="J2469" s="8"/>
      <c r="K2469" s="8"/>
      <c r="L2469" s="8"/>
      <c r="M2469" s="8"/>
      <c r="N2469" s="8"/>
      <c r="O2469" s="8"/>
      <c r="P2469" s="8"/>
      <c r="Q2469" s="8"/>
      <c r="R2469" s="8"/>
      <c r="S2469" s="8"/>
      <c r="T2469" s="8"/>
      <c r="U2469" s="8"/>
      <c r="V2469" s="8"/>
      <c r="W2469" s="8"/>
      <c r="X2469" s="771"/>
      <c r="Y2469" s="771"/>
      <c r="Z2469" s="771"/>
      <c r="AA2469" s="771"/>
      <c r="AB2469" s="771"/>
      <c r="AC2469" s="771"/>
      <c r="AD2469" s="771"/>
      <c r="AE2469" s="771"/>
      <c r="AF2469" s="771"/>
      <c r="AG2469" s="771"/>
      <c r="AH2469" s="771"/>
      <c r="AI2469" s="771"/>
      <c r="AJ2469" s="771"/>
      <c r="AK2469" s="771"/>
      <c r="AL2469" s="771"/>
      <c r="AM2469" s="771"/>
      <c r="AN2469" s="771"/>
      <c r="AO2469" s="771"/>
      <c r="AP2469" s="771"/>
      <c r="AQ2469" s="771"/>
      <c r="AR2469" s="771"/>
      <c r="AS2469" s="771"/>
      <c r="AT2469" s="771"/>
      <c r="AU2469" s="771"/>
    </row>
    <row r="2470" spans="1:47" s="1418" customFormat="1" outlineLevel="1" x14ac:dyDescent="0.2">
      <c r="A2470" s="8"/>
      <c r="B2470" s="8"/>
      <c r="C2470" s="1989" t="s">
        <v>4727</v>
      </c>
      <c r="D2470" s="1989" t="s">
        <v>8062</v>
      </c>
      <c r="E2470" s="1989">
        <v>0.99</v>
      </c>
      <c r="F2470" s="38">
        <f t="shared" si="38"/>
        <v>80.508027600000005</v>
      </c>
      <c r="G2470" s="1547"/>
      <c r="H2470" s="8"/>
      <c r="I2470" s="8"/>
      <c r="J2470" s="8"/>
      <c r="K2470" s="8"/>
      <c r="L2470" s="8"/>
      <c r="M2470" s="8"/>
      <c r="N2470" s="8"/>
      <c r="O2470" s="8"/>
      <c r="P2470" s="8"/>
      <c r="Q2470" s="8"/>
      <c r="R2470" s="8"/>
      <c r="S2470" s="8"/>
      <c r="T2470" s="8"/>
      <c r="U2470" s="8"/>
      <c r="V2470" s="8"/>
      <c r="W2470" s="8"/>
      <c r="X2470" s="771"/>
      <c r="Y2470" s="771"/>
      <c r="Z2470" s="771"/>
      <c r="AA2470" s="771"/>
      <c r="AB2470" s="771"/>
      <c r="AC2470" s="771"/>
      <c r="AD2470" s="771"/>
      <c r="AE2470" s="771"/>
      <c r="AF2470" s="771"/>
      <c r="AG2470" s="771"/>
      <c r="AH2470" s="771"/>
      <c r="AI2470" s="771"/>
      <c r="AJ2470" s="771"/>
      <c r="AK2470" s="771"/>
      <c r="AL2470" s="771"/>
      <c r="AM2470" s="771"/>
      <c r="AN2470" s="771"/>
      <c r="AO2470" s="771"/>
      <c r="AP2470" s="771"/>
      <c r="AQ2470" s="771"/>
      <c r="AR2470" s="771"/>
      <c r="AS2470" s="771"/>
      <c r="AT2470" s="771"/>
      <c r="AU2470" s="771"/>
    </row>
    <row r="2471" spans="1:47" s="1418" customFormat="1" outlineLevel="1" x14ac:dyDescent="0.2">
      <c r="A2471" s="8"/>
      <c r="B2471" s="8"/>
      <c r="C2471" s="1989" t="s">
        <v>4728</v>
      </c>
      <c r="D2471" s="1989" t="s">
        <v>8063</v>
      </c>
      <c r="E2471" s="1989">
        <v>1.1100000000000001</v>
      </c>
      <c r="F2471" s="38">
        <f t="shared" si="38"/>
        <v>90.266576400000005</v>
      </c>
      <c r="G2471" s="1547"/>
      <c r="H2471" s="8"/>
      <c r="I2471" s="8"/>
      <c r="J2471" s="8"/>
      <c r="K2471" s="8"/>
      <c r="L2471" s="8"/>
      <c r="M2471" s="8"/>
      <c r="N2471" s="8"/>
      <c r="O2471" s="8"/>
      <c r="P2471" s="8"/>
      <c r="Q2471" s="8"/>
      <c r="R2471" s="8"/>
      <c r="S2471" s="8"/>
      <c r="T2471" s="8"/>
      <c r="U2471" s="8"/>
      <c r="V2471" s="8"/>
      <c r="W2471" s="8"/>
      <c r="X2471" s="771"/>
      <c r="Y2471" s="771"/>
      <c r="Z2471" s="771"/>
      <c r="AA2471" s="771"/>
      <c r="AB2471" s="771"/>
      <c r="AC2471" s="771"/>
      <c r="AD2471" s="771"/>
      <c r="AE2471" s="771"/>
      <c r="AF2471" s="771"/>
      <c r="AG2471" s="771"/>
      <c r="AH2471" s="771"/>
      <c r="AI2471" s="771"/>
      <c r="AJ2471" s="771"/>
      <c r="AK2471" s="771"/>
      <c r="AL2471" s="771"/>
      <c r="AM2471" s="771"/>
      <c r="AN2471" s="771"/>
      <c r="AO2471" s="771"/>
      <c r="AP2471" s="771"/>
      <c r="AQ2471" s="771"/>
      <c r="AR2471" s="771"/>
      <c r="AS2471" s="771"/>
      <c r="AT2471" s="771"/>
      <c r="AU2471" s="771"/>
    </row>
    <row r="2472" spans="1:47" s="1418" customFormat="1" outlineLevel="1" x14ac:dyDescent="0.2">
      <c r="A2472" s="8"/>
      <c r="B2472" s="8"/>
      <c r="C2472" s="1989" t="s">
        <v>4729</v>
      </c>
      <c r="D2472" s="1989" t="s">
        <v>8064</v>
      </c>
      <c r="E2472" s="1989">
        <v>1.2</v>
      </c>
      <c r="F2472" s="38">
        <f t="shared" si="38"/>
        <v>97.585487999999998</v>
      </c>
      <c r="G2472" s="1547"/>
      <c r="H2472" s="8"/>
      <c r="I2472" s="8"/>
      <c r="J2472" s="8"/>
      <c r="K2472" s="8"/>
      <c r="L2472" s="8"/>
      <c r="M2472" s="8"/>
      <c r="N2472" s="8"/>
      <c r="O2472" s="8"/>
      <c r="P2472" s="8"/>
      <c r="Q2472" s="8"/>
      <c r="R2472" s="8"/>
      <c r="S2472" s="8"/>
      <c r="T2472" s="8"/>
      <c r="U2472" s="8"/>
      <c r="V2472" s="8"/>
      <c r="W2472" s="8"/>
      <c r="X2472" s="771"/>
      <c r="Y2472" s="771"/>
      <c r="Z2472" s="771"/>
      <c r="AA2472" s="771"/>
      <c r="AB2472" s="771"/>
      <c r="AC2472" s="771"/>
      <c r="AD2472" s="771"/>
      <c r="AE2472" s="771"/>
      <c r="AF2472" s="771"/>
      <c r="AG2472" s="771"/>
      <c r="AH2472" s="771"/>
      <c r="AI2472" s="771"/>
      <c r="AJ2472" s="771"/>
      <c r="AK2472" s="771"/>
      <c r="AL2472" s="771"/>
      <c r="AM2472" s="771"/>
      <c r="AN2472" s="771"/>
      <c r="AO2472" s="771"/>
      <c r="AP2472" s="771"/>
      <c r="AQ2472" s="771"/>
      <c r="AR2472" s="771"/>
      <c r="AS2472" s="771"/>
      <c r="AT2472" s="771"/>
      <c r="AU2472" s="771"/>
    </row>
    <row r="2473" spans="1:47" s="1418" customFormat="1" outlineLevel="1" x14ac:dyDescent="0.2">
      <c r="A2473" s="8"/>
      <c r="B2473" s="8"/>
      <c r="C2473" s="1989" t="s">
        <v>4730</v>
      </c>
      <c r="D2473" s="1989" t="s">
        <v>8065</v>
      </c>
      <c r="E2473" s="1989">
        <v>1.32</v>
      </c>
      <c r="F2473" s="38">
        <f t="shared" si="38"/>
        <v>107.34403680000001</v>
      </c>
      <c r="G2473" s="1547"/>
      <c r="H2473" s="8"/>
      <c r="I2473" s="8"/>
      <c r="J2473" s="8"/>
      <c r="K2473" s="8"/>
      <c r="L2473" s="8"/>
      <c r="M2473" s="8"/>
      <c r="N2473" s="8"/>
      <c r="O2473" s="8"/>
      <c r="P2473" s="8"/>
      <c r="Q2473" s="8"/>
      <c r="R2473" s="8"/>
      <c r="S2473" s="8"/>
      <c r="T2473" s="8"/>
      <c r="U2473" s="8"/>
      <c r="V2473" s="8"/>
      <c r="W2473" s="8"/>
      <c r="X2473" s="771"/>
      <c r="Y2473" s="771"/>
      <c r="Z2473" s="771"/>
      <c r="AA2473" s="771"/>
      <c r="AB2473" s="771"/>
      <c r="AC2473" s="771"/>
      <c r="AD2473" s="771"/>
      <c r="AE2473" s="771"/>
      <c r="AF2473" s="771"/>
      <c r="AG2473" s="771"/>
      <c r="AH2473" s="771"/>
      <c r="AI2473" s="771"/>
      <c r="AJ2473" s="771"/>
      <c r="AK2473" s="771"/>
      <c r="AL2473" s="771"/>
      <c r="AM2473" s="771"/>
      <c r="AN2473" s="771"/>
      <c r="AO2473" s="771"/>
      <c r="AP2473" s="771"/>
      <c r="AQ2473" s="771"/>
      <c r="AR2473" s="771"/>
      <c r="AS2473" s="771"/>
      <c r="AT2473" s="771"/>
      <c r="AU2473" s="771"/>
    </row>
    <row r="2474" spans="1:47" s="1418" customFormat="1" outlineLevel="1" x14ac:dyDescent="0.2">
      <c r="A2474" s="8"/>
      <c r="B2474" s="8"/>
      <c r="C2474" s="1989" t="s">
        <v>4731</v>
      </c>
      <c r="D2474" s="1989" t="s">
        <v>8066</v>
      </c>
      <c r="E2474" s="1989">
        <v>1.0900000000000001</v>
      </c>
      <c r="F2474" s="38">
        <f t="shared" si="38"/>
        <v>88.64015160000001</v>
      </c>
      <c r="G2474" s="1547"/>
      <c r="H2474" s="8"/>
      <c r="I2474" s="8"/>
      <c r="J2474" s="8"/>
      <c r="K2474" s="8"/>
      <c r="L2474" s="8"/>
      <c r="M2474" s="8"/>
      <c r="N2474" s="8"/>
      <c r="O2474" s="8"/>
      <c r="P2474" s="8"/>
      <c r="Q2474" s="8"/>
      <c r="R2474" s="8"/>
      <c r="S2474" s="8"/>
      <c r="T2474" s="8"/>
      <c r="U2474" s="8"/>
      <c r="V2474" s="8"/>
      <c r="W2474" s="8"/>
      <c r="X2474" s="771"/>
      <c r="Y2474" s="771"/>
      <c r="Z2474" s="771"/>
      <c r="AA2474" s="771"/>
      <c r="AB2474" s="771"/>
      <c r="AC2474" s="771"/>
      <c r="AD2474" s="771"/>
      <c r="AE2474" s="771"/>
      <c r="AF2474" s="771"/>
      <c r="AG2474" s="771"/>
      <c r="AH2474" s="771"/>
      <c r="AI2474" s="771"/>
      <c r="AJ2474" s="771"/>
      <c r="AK2474" s="771"/>
      <c r="AL2474" s="771"/>
      <c r="AM2474" s="771"/>
      <c r="AN2474" s="771"/>
      <c r="AO2474" s="771"/>
      <c r="AP2474" s="771"/>
      <c r="AQ2474" s="771"/>
      <c r="AR2474" s="771"/>
      <c r="AS2474" s="771"/>
      <c r="AT2474" s="771"/>
      <c r="AU2474" s="771"/>
    </row>
    <row r="2475" spans="1:47" s="1418" customFormat="1" outlineLevel="1" x14ac:dyDescent="0.2">
      <c r="A2475" s="8"/>
      <c r="B2475" s="8"/>
      <c r="C2475" s="1989" t="s">
        <v>4732</v>
      </c>
      <c r="D2475" s="1989" t="s">
        <v>8067</v>
      </c>
      <c r="E2475" s="1989">
        <v>1.2</v>
      </c>
      <c r="F2475" s="38">
        <f t="shared" si="38"/>
        <v>97.585487999999998</v>
      </c>
      <c r="G2475" s="1547"/>
      <c r="H2475" s="8"/>
      <c r="I2475" s="8"/>
      <c r="J2475" s="8"/>
      <c r="K2475" s="8"/>
      <c r="L2475" s="8"/>
      <c r="M2475" s="8"/>
      <c r="N2475" s="8"/>
      <c r="O2475" s="8"/>
      <c r="P2475" s="8"/>
      <c r="Q2475" s="8"/>
      <c r="R2475" s="8"/>
      <c r="S2475" s="8"/>
      <c r="T2475" s="8"/>
      <c r="U2475" s="8"/>
      <c r="V2475" s="8"/>
      <c r="W2475" s="8"/>
      <c r="X2475" s="771"/>
      <c r="Y2475" s="771"/>
      <c r="Z2475" s="771"/>
      <c r="AA2475" s="771"/>
      <c r="AB2475" s="771"/>
      <c r="AC2475" s="771"/>
      <c r="AD2475" s="771"/>
      <c r="AE2475" s="771"/>
      <c r="AF2475" s="771"/>
      <c r="AG2475" s="771"/>
      <c r="AH2475" s="771"/>
      <c r="AI2475" s="771"/>
      <c r="AJ2475" s="771"/>
      <c r="AK2475" s="771"/>
      <c r="AL2475" s="771"/>
      <c r="AM2475" s="771"/>
      <c r="AN2475" s="771"/>
      <c r="AO2475" s="771"/>
      <c r="AP2475" s="771"/>
      <c r="AQ2475" s="771"/>
      <c r="AR2475" s="771"/>
      <c r="AS2475" s="771"/>
      <c r="AT2475" s="771"/>
      <c r="AU2475" s="771"/>
    </row>
    <row r="2476" spans="1:47" s="1418" customFormat="1" outlineLevel="1" x14ac:dyDescent="0.2">
      <c r="A2476" s="8"/>
      <c r="B2476" s="8"/>
      <c r="C2476" s="1989" t="s">
        <v>4733</v>
      </c>
      <c r="D2476" s="1989" t="s">
        <v>8068</v>
      </c>
      <c r="E2476" s="1989">
        <v>1.32</v>
      </c>
      <c r="F2476" s="38">
        <f t="shared" si="38"/>
        <v>107.34403680000001</v>
      </c>
      <c r="G2476" s="1547"/>
      <c r="H2476" s="8"/>
      <c r="I2476" s="8"/>
      <c r="J2476" s="8"/>
      <c r="K2476" s="8"/>
      <c r="L2476" s="8"/>
      <c r="M2476" s="8"/>
      <c r="N2476" s="8"/>
      <c r="O2476" s="8"/>
      <c r="P2476" s="8"/>
      <c r="Q2476" s="8"/>
      <c r="R2476" s="8"/>
      <c r="S2476" s="8"/>
      <c r="T2476" s="8"/>
      <c r="U2476" s="8"/>
      <c r="V2476" s="8"/>
      <c r="W2476" s="8"/>
      <c r="X2476" s="771"/>
      <c r="Y2476" s="771"/>
      <c r="Z2476" s="771"/>
      <c r="AA2476" s="771"/>
      <c r="AB2476" s="771"/>
      <c r="AC2476" s="771"/>
      <c r="AD2476" s="771"/>
      <c r="AE2476" s="771"/>
      <c r="AF2476" s="771"/>
      <c r="AG2476" s="771"/>
      <c r="AH2476" s="771"/>
      <c r="AI2476" s="771"/>
      <c r="AJ2476" s="771"/>
      <c r="AK2476" s="771"/>
      <c r="AL2476" s="771"/>
      <c r="AM2476" s="771"/>
      <c r="AN2476" s="771"/>
      <c r="AO2476" s="771"/>
      <c r="AP2476" s="771"/>
      <c r="AQ2476" s="771"/>
      <c r="AR2476" s="771"/>
      <c r="AS2476" s="771"/>
      <c r="AT2476" s="771"/>
      <c r="AU2476" s="771"/>
    </row>
    <row r="2477" spans="1:47" s="1418" customFormat="1" outlineLevel="1" x14ac:dyDescent="0.2">
      <c r="A2477" s="8"/>
      <c r="B2477" s="8"/>
      <c r="C2477" s="1989" t="s">
        <v>4734</v>
      </c>
      <c r="D2477" s="1989" t="s">
        <v>8069</v>
      </c>
      <c r="E2477" s="1989">
        <v>1.45</v>
      </c>
      <c r="F2477" s="38">
        <f t="shared" si="38"/>
        <v>117.91579800000001</v>
      </c>
      <c r="G2477" s="1547"/>
      <c r="H2477" s="8"/>
      <c r="I2477" s="8"/>
      <c r="J2477" s="8"/>
      <c r="K2477" s="8"/>
      <c r="L2477" s="8"/>
      <c r="M2477" s="8"/>
      <c r="N2477" s="8"/>
      <c r="O2477" s="8"/>
      <c r="P2477" s="8"/>
      <c r="Q2477" s="8"/>
      <c r="R2477" s="8"/>
      <c r="S2477" s="8"/>
      <c r="T2477" s="8"/>
      <c r="U2477" s="8"/>
      <c r="V2477" s="8"/>
      <c r="W2477" s="8"/>
      <c r="X2477" s="771"/>
      <c r="Y2477" s="771"/>
      <c r="Z2477" s="771"/>
      <c r="AA2477" s="771"/>
      <c r="AB2477" s="771"/>
      <c r="AC2477" s="771"/>
      <c r="AD2477" s="771"/>
      <c r="AE2477" s="771"/>
      <c r="AF2477" s="771"/>
      <c r="AG2477" s="771"/>
      <c r="AH2477" s="771"/>
      <c r="AI2477" s="771"/>
      <c r="AJ2477" s="771"/>
      <c r="AK2477" s="771"/>
      <c r="AL2477" s="771"/>
      <c r="AM2477" s="771"/>
      <c r="AN2477" s="771"/>
      <c r="AO2477" s="771"/>
      <c r="AP2477" s="771"/>
      <c r="AQ2477" s="771"/>
      <c r="AR2477" s="771"/>
      <c r="AS2477" s="771"/>
      <c r="AT2477" s="771"/>
      <c r="AU2477" s="771"/>
    </row>
    <row r="2478" spans="1:47" s="1418" customFormat="1" outlineLevel="1" x14ac:dyDescent="0.2">
      <c r="A2478" s="8"/>
      <c r="B2478" s="8"/>
      <c r="C2478" s="1989" t="s">
        <v>4735</v>
      </c>
      <c r="D2478" s="1989" t="s">
        <v>8070</v>
      </c>
      <c r="E2478" s="1989">
        <v>1.24</v>
      </c>
      <c r="F2478" s="38">
        <f t="shared" si="38"/>
        <v>100.8383376</v>
      </c>
      <c r="G2478" s="1547"/>
      <c r="H2478" s="8"/>
      <c r="I2478" s="8"/>
      <c r="J2478" s="8"/>
      <c r="K2478" s="8"/>
      <c r="L2478" s="8"/>
      <c r="M2478" s="8"/>
      <c r="N2478" s="8"/>
      <c r="O2478" s="8"/>
      <c r="P2478" s="8"/>
      <c r="Q2478" s="8"/>
      <c r="R2478" s="8"/>
      <c r="S2478" s="8"/>
      <c r="T2478" s="8"/>
      <c r="U2478" s="8"/>
      <c r="V2478" s="8"/>
      <c r="W2478" s="8"/>
      <c r="X2478" s="771"/>
      <c r="Y2478" s="771"/>
      <c r="Z2478" s="771"/>
      <c r="AA2478" s="771"/>
      <c r="AB2478" s="771"/>
      <c r="AC2478" s="771"/>
      <c r="AD2478" s="771"/>
      <c r="AE2478" s="771"/>
      <c r="AF2478" s="771"/>
      <c r="AG2478" s="771"/>
      <c r="AH2478" s="771"/>
      <c r="AI2478" s="771"/>
      <c r="AJ2478" s="771"/>
      <c r="AK2478" s="771"/>
      <c r="AL2478" s="771"/>
      <c r="AM2478" s="771"/>
      <c r="AN2478" s="771"/>
      <c r="AO2478" s="771"/>
      <c r="AP2478" s="771"/>
      <c r="AQ2478" s="771"/>
      <c r="AR2478" s="771"/>
      <c r="AS2478" s="771"/>
      <c r="AT2478" s="771"/>
      <c r="AU2478" s="771"/>
    </row>
    <row r="2479" spans="1:47" s="1418" customFormat="1" outlineLevel="1" x14ac:dyDescent="0.2">
      <c r="A2479" s="8"/>
      <c r="B2479" s="8"/>
      <c r="C2479" s="1989" t="s">
        <v>4736</v>
      </c>
      <c r="D2479" s="1989" t="s">
        <v>8071</v>
      </c>
      <c r="E2479" s="1989">
        <v>1.39</v>
      </c>
      <c r="F2479" s="38">
        <f t="shared" si="38"/>
        <v>113.03652360000001</v>
      </c>
      <c r="G2479" s="1547"/>
      <c r="H2479" s="8"/>
      <c r="I2479" s="8"/>
      <c r="J2479" s="8"/>
      <c r="K2479" s="8"/>
      <c r="L2479" s="8"/>
      <c r="M2479" s="8"/>
      <c r="N2479" s="8"/>
      <c r="O2479" s="8"/>
      <c r="P2479" s="8"/>
      <c r="Q2479" s="8"/>
      <c r="R2479" s="8"/>
      <c r="S2479" s="8"/>
      <c r="T2479" s="8"/>
      <c r="U2479" s="8"/>
      <c r="V2479" s="8"/>
      <c r="W2479" s="8"/>
      <c r="X2479" s="771"/>
      <c r="Y2479" s="771"/>
      <c r="Z2479" s="771"/>
      <c r="AA2479" s="771"/>
      <c r="AB2479" s="771"/>
      <c r="AC2479" s="771"/>
      <c r="AD2479" s="771"/>
      <c r="AE2479" s="771"/>
      <c r="AF2479" s="771"/>
      <c r="AG2479" s="771"/>
      <c r="AH2479" s="771"/>
      <c r="AI2479" s="771"/>
      <c r="AJ2479" s="771"/>
      <c r="AK2479" s="771"/>
      <c r="AL2479" s="771"/>
      <c r="AM2479" s="771"/>
      <c r="AN2479" s="771"/>
      <c r="AO2479" s="771"/>
      <c r="AP2479" s="771"/>
      <c r="AQ2479" s="771"/>
      <c r="AR2479" s="771"/>
      <c r="AS2479" s="771"/>
      <c r="AT2479" s="771"/>
      <c r="AU2479" s="771"/>
    </row>
    <row r="2480" spans="1:47" s="1418" customFormat="1" outlineLevel="1" x14ac:dyDescent="0.2">
      <c r="A2480" s="8"/>
      <c r="B2480" s="8"/>
      <c r="C2480" s="1989" t="s">
        <v>4737</v>
      </c>
      <c r="D2480" s="1989" t="s">
        <v>8072</v>
      </c>
      <c r="E2480" s="1989">
        <v>1.53</v>
      </c>
      <c r="F2480" s="38">
        <f t="shared" si="38"/>
        <v>124.4214972</v>
      </c>
      <c r="G2480" s="1547"/>
      <c r="H2480" s="8"/>
      <c r="I2480" s="8"/>
      <c r="J2480" s="8"/>
      <c r="K2480" s="8"/>
      <c r="L2480" s="8"/>
      <c r="M2480" s="8"/>
      <c r="N2480" s="8"/>
      <c r="O2480" s="8"/>
      <c r="P2480" s="8"/>
      <c r="Q2480" s="8"/>
      <c r="R2480" s="8"/>
      <c r="S2480" s="8"/>
      <c r="T2480" s="8"/>
      <c r="U2480" s="8"/>
      <c r="V2480" s="8"/>
      <c r="W2480" s="8"/>
      <c r="X2480" s="771"/>
      <c r="Y2480" s="771"/>
      <c r="Z2480" s="771"/>
      <c r="AA2480" s="771"/>
      <c r="AB2480" s="771"/>
      <c r="AC2480" s="771"/>
      <c r="AD2480" s="771"/>
      <c r="AE2480" s="771"/>
      <c r="AF2480" s="771"/>
      <c r="AG2480" s="771"/>
      <c r="AH2480" s="771"/>
      <c r="AI2480" s="771"/>
      <c r="AJ2480" s="771"/>
      <c r="AK2480" s="771"/>
      <c r="AL2480" s="771"/>
      <c r="AM2480" s="771"/>
      <c r="AN2480" s="771"/>
      <c r="AO2480" s="771"/>
      <c r="AP2480" s="771"/>
      <c r="AQ2480" s="771"/>
      <c r="AR2480" s="771"/>
      <c r="AS2480" s="771"/>
      <c r="AT2480" s="771"/>
      <c r="AU2480" s="771"/>
    </row>
    <row r="2481" spans="1:47" s="1418" customFormat="1" outlineLevel="1" x14ac:dyDescent="0.2">
      <c r="A2481" s="8"/>
      <c r="B2481" s="8"/>
      <c r="C2481" s="1989" t="s">
        <v>4738</v>
      </c>
      <c r="D2481" s="1989" t="s">
        <v>8073</v>
      </c>
      <c r="E2481" s="1989">
        <v>1.68</v>
      </c>
      <c r="F2481" s="38">
        <f t="shared" si="38"/>
        <v>136.6196832</v>
      </c>
      <c r="G2481" s="1547"/>
      <c r="H2481" s="8"/>
      <c r="I2481" s="8"/>
      <c r="J2481" s="8"/>
      <c r="K2481" s="8"/>
      <c r="L2481" s="8"/>
      <c r="M2481" s="8"/>
      <c r="N2481" s="8"/>
      <c r="O2481" s="8"/>
      <c r="P2481" s="8"/>
      <c r="Q2481" s="8"/>
      <c r="R2481" s="8"/>
      <c r="S2481" s="8"/>
      <c r="T2481" s="8"/>
      <c r="U2481" s="8"/>
      <c r="V2481" s="8"/>
      <c r="W2481" s="8"/>
      <c r="X2481" s="771"/>
      <c r="Y2481" s="771"/>
      <c r="Z2481" s="771"/>
      <c r="AA2481" s="771"/>
      <c r="AB2481" s="771"/>
      <c r="AC2481" s="771"/>
      <c r="AD2481" s="771"/>
      <c r="AE2481" s="771"/>
      <c r="AF2481" s="771"/>
      <c r="AG2481" s="771"/>
      <c r="AH2481" s="771"/>
      <c r="AI2481" s="771"/>
      <c r="AJ2481" s="771"/>
      <c r="AK2481" s="771"/>
      <c r="AL2481" s="771"/>
      <c r="AM2481" s="771"/>
      <c r="AN2481" s="771"/>
      <c r="AO2481" s="771"/>
      <c r="AP2481" s="771"/>
      <c r="AQ2481" s="771"/>
      <c r="AR2481" s="771"/>
      <c r="AS2481" s="771"/>
      <c r="AT2481" s="771"/>
      <c r="AU2481" s="771"/>
    </row>
    <row r="2482" spans="1:47" s="1418" customFormat="1" outlineLevel="1" x14ac:dyDescent="0.2">
      <c r="A2482" s="8"/>
      <c r="B2482" s="8"/>
      <c r="C2482" s="1989" t="s">
        <v>4739</v>
      </c>
      <c r="D2482" s="1989" t="s">
        <v>8074</v>
      </c>
      <c r="E2482" s="1989">
        <v>1.42</v>
      </c>
      <c r="F2482" s="38">
        <f t="shared" si="38"/>
        <v>115.4761608</v>
      </c>
      <c r="G2482" s="1547"/>
      <c r="H2482" s="8"/>
      <c r="I2482" s="8"/>
      <c r="J2482" s="8"/>
      <c r="K2482" s="8"/>
      <c r="L2482" s="8"/>
      <c r="M2482" s="8"/>
      <c r="N2482" s="8"/>
      <c r="O2482" s="8"/>
      <c r="P2482" s="8"/>
      <c r="Q2482" s="8"/>
      <c r="R2482" s="8"/>
      <c r="S2482" s="8"/>
      <c r="T2482" s="8"/>
      <c r="U2482" s="8"/>
      <c r="V2482" s="8"/>
      <c r="W2482" s="8"/>
      <c r="X2482" s="771"/>
      <c r="Y2482" s="771"/>
      <c r="Z2482" s="771"/>
      <c r="AA2482" s="771"/>
      <c r="AB2482" s="771"/>
      <c r="AC2482" s="771"/>
      <c r="AD2482" s="771"/>
      <c r="AE2482" s="771"/>
      <c r="AF2482" s="771"/>
      <c r="AG2482" s="771"/>
      <c r="AH2482" s="771"/>
      <c r="AI2482" s="771"/>
      <c r="AJ2482" s="771"/>
      <c r="AK2482" s="771"/>
      <c r="AL2482" s="771"/>
      <c r="AM2482" s="771"/>
      <c r="AN2482" s="771"/>
      <c r="AO2482" s="771"/>
      <c r="AP2482" s="771"/>
      <c r="AQ2482" s="771"/>
      <c r="AR2482" s="771"/>
      <c r="AS2482" s="771"/>
      <c r="AT2482" s="771"/>
      <c r="AU2482" s="771"/>
    </row>
    <row r="2483" spans="1:47" s="1418" customFormat="1" outlineLevel="1" x14ac:dyDescent="0.2">
      <c r="A2483" s="8"/>
      <c r="B2483" s="8"/>
      <c r="C2483" s="1989" t="s">
        <v>4740</v>
      </c>
      <c r="D2483" s="1989" t="s">
        <v>8075</v>
      </c>
      <c r="E2483" s="1989">
        <v>1.58</v>
      </c>
      <c r="F2483" s="38">
        <f t="shared" si="38"/>
        <v>128.48755919999999</v>
      </c>
      <c r="G2483" s="1547"/>
      <c r="H2483" s="8"/>
      <c r="I2483" s="8"/>
      <c r="J2483" s="8"/>
      <c r="K2483" s="8"/>
      <c r="L2483" s="8"/>
      <c r="M2483" s="8"/>
      <c r="N2483" s="8"/>
      <c r="O2483" s="8"/>
      <c r="P2483" s="8"/>
      <c r="Q2483" s="8"/>
      <c r="R2483" s="8"/>
      <c r="S2483" s="8"/>
      <c r="T2483" s="8"/>
      <c r="U2483" s="8"/>
      <c r="V2483" s="8"/>
      <c r="W2483" s="8"/>
      <c r="X2483" s="771"/>
      <c r="Y2483" s="771"/>
      <c r="Z2483" s="771"/>
      <c r="AA2483" s="771"/>
      <c r="AB2483" s="771"/>
      <c r="AC2483" s="771"/>
      <c r="AD2483" s="771"/>
      <c r="AE2483" s="771"/>
      <c r="AF2483" s="771"/>
      <c r="AG2483" s="771"/>
      <c r="AH2483" s="771"/>
      <c r="AI2483" s="771"/>
      <c r="AJ2483" s="771"/>
      <c r="AK2483" s="771"/>
      <c r="AL2483" s="771"/>
      <c r="AM2483" s="771"/>
      <c r="AN2483" s="771"/>
      <c r="AO2483" s="771"/>
      <c r="AP2483" s="771"/>
      <c r="AQ2483" s="771"/>
      <c r="AR2483" s="771"/>
      <c r="AS2483" s="771"/>
      <c r="AT2483" s="771"/>
      <c r="AU2483" s="771"/>
    </row>
    <row r="2484" spans="1:47" s="1418" customFormat="1" outlineLevel="1" x14ac:dyDescent="0.2">
      <c r="A2484" s="8"/>
      <c r="B2484" s="8"/>
      <c r="C2484" s="1989" t="s">
        <v>4741</v>
      </c>
      <c r="D2484" s="1989" t="s">
        <v>8076</v>
      </c>
      <c r="E2484" s="1989">
        <v>1.75</v>
      </c>
      <c r="F2484" s="38">
        <f t="shared" si="38"/>
        <v>142.31217000000001</v>
      </c>
      <c r="G2484" s="1547"/>
      <c r="H2484" s="8"/>
      <c r="I2484" s="8"/>
      <c r="J2484" s="8"/>
      <c r="K2484" s="8"/>
      <c r="L2484" s="8"/>
      <c r="M2484" s="8"/>
      <c r="N2484" s="8"/>
      <c r="O2484" s="8"/>
      <c r="P2484" s="8"/>
      <c r="Q2484" s="8"/>
      <c r="R2484" s="8"/>
      <c r="S2484" s="8"/>
      <c r="T2484" s="8"/>
      <c r="U2484" s="8"/>
      <c r="V2484" s="8"/>
      <c r="W2484" s="8"/>
      <c r="X2484" s="771"/>
      <c r="Y2484" s="771"/>
      <c r="Z2484" s="771"/>
      <c r="AA2484" s="771"/>
      <c r="AB2484" s="771"/>
      <c r="AC2484" s="771"/>
      <c r="AD2484" s="771"/>
      <c r="AE2484" s="771"/>
      <c r="AF2484" s="771"/>
      <c r="AG2484" s="771"/>
      <c r="AH2484" s="771"/>
      <c r="AI2484" s="771"/>
      <c r="AJ2484" s="771"/>
      <c r="AK2484" s="771"/>
      <c r="AL2484" s="771"/>
      <c r="AM2484" s="771"/>
      <c r="AN2484" s="771"/>
      <c r="AO2484" s="771"/>
      <c r="AP2484" s="771"/>
      <c r="AQ2484" s="771"/>
      <c r="AR2484" s="771"/>
      <c r="AS2484" s="771"/>
      <c r="AT2484" s="771"/>
      <c r="AU2484" s="771"/>
    </row>
    <row r="2485" spans="1:47" s="1418" customFormat="1" outlineLevel="1" x14ac:dyDescent="0.2">
      <c r="A2485" s="8"/>
      <c r="B2485" s="8"/>
      <c r="C2485" s="1989" t="s">
        <v>4742</v>
      </c>
      <c r="D2485" s="1989" t="s">
        <v>8077</v>
      </c>
      <c r="E2485" s="1989">
        <v>1.92</v>
      </c>
      <c r="F2485" s="38">
        <f t="shared" si="38"/>
        <v>156.1367808</v>
      </c>
      <c r="G2485" s="1547"/>
      <c r="H2485" s="8"/>
      <c r="I2485" s="8"/>
      <c r="J2485" s="8"/>
      <c r="K2485" s="8"/>
      <c r="L2485" s="8"/>
      <c r="M2485" s="8"/>
      <c r="N2485" s="8"/>
      <c r="O2485" s="8"/>
      <c r="P2485" s="8"/>
      <c r="Q2485" s="8"/>
      <c r="R2485" s="8"/>
      <c r="S2485" s="8"/>
      <c r="T2485" s="8"/>
      <c r="U2485" s="8"/>
      <c r="V2485" s="8"/>
      <c r="W2485" s="8"/>
      <c r="X2485" s="771"/>
      <c r="Y2485" s="771"/>
      <c r="Z2485" s="771"/>
      <c r="AA2485" s="771"/>
      <c r="AB2485" s="771"/>
      <c r="AC2485" s="771"/>
      <c r="AD2485" s="771"/>
      <c r="AE2485" s="771"/>
      <c r="AF2485" s="771"/>
      <c r="AG2485" s="771"/>
      <c r="AH2485" s="771"/>
      <c r="AI2485" s="771"/>
      <c r="AJ2485" s="771"/>
      <c r="AK2485" s="771"/>
      <c r="AL2485" s="771"/>
      <c r="AM2485" s="771"/>
      <c r="AN2485" s="771"/>
      <c r="AO2485" s="771"/>
      <c r="AP2485" s="771"/>
      <c r="AQ2485" s="771"/>
      <c r="AR2485" s="771"/>
      <c r="AS2485" s="771"/>
      <c r="AT2485" s="771"/>
      <c r="AU2485" s="771"/>
    </row>
    <row r="2486" spans="1:47" s="1418" customFormat="1" outlineLevel="1" x14ac:dyDescent="0.2">
      <c r="A2486" s="8"/>
      <c r="B2486" s="8"/>
      <c r="C2486" s="1989" t="s">
        <v>4743</v>
      </c>
      <c r="D2486" s="1989" t="s">
        <v>8078</v>
      </c>
      <c r="E2486" s="1989">
        <v>1.57</v>
      </c>
      <c r="F2486" s="38">
        <f t="shared" si="38"/>
        <v>127.67434680000001</v>
      </c>
      <c r="G2486" s="1547"/>
      <c r="H2486" s="8"/>
      <c r="I2486" s="8"/>
      <c r="J2486" s="8"/>
      <c r="K2486" s="8"/>
      <c r="L2486" s="8"/>
      <c r="M2486" s="8"/>
      <c r="N2486" s="8"/>
      <c r="O2486" s="8"/>
      <c r="P2486" s="8"/>
      <c r="Q2486" s="8"/>
      <c r="R2486" s="8"/>
      <c r="S2486" s="8"/>
      <c r="T2486" s="8"/>
      <c r="U2486" s="8"/>
      <c r="V2486" s="8"/>
      <c r="W2486" s="8"/>
      <c r="X2486" s="771"/>
      <c r="Y2486" s="771"/>
      <c r="Z2486" s="771"/>
      <c r="AA2486" s="771"/>
      <c r="AB2486" s="771"/>
      <c r="AC2486" s="771"/>
      <c r="AD2486" s="771"/>
      <c r="AE2486" s="771"/>
      <c r="AF2486" s="771"/>
      <c r="AG2486" s="771"/>
      <c r="AH2486" s="771"/>
      <c r="AI2486" s="771"/>
      <c r="AJ2486" s="771"/>
      <c r="AK2486" s="771"/>
      <c r="AL2486" s="771"/>
      <c r="AM2486" s="771"/>
      <c r="AN2486" s="771"/>
      <c r="AO2486" s="771"/>
      <c r="AP2486" s="771"/>
      <c r="AQ2486" s="771"/>
      <c r="AR2486" s="771"/>
      <c r="AS2486" s="771"/>
      <c r="AT2486" s="771"/>
      <c r="AU2486" s="771"/>
    </row>
    <row r="2487" spans="1:47" s="1418" customFormat="1" outlineLevel="1" x14ac:dyDescent="0.2">
      <c r="A2487" s="8"/>
      <c r="B2487" s="8"/>
      <c r="C2487" s="1989" t="s">
        <v>4744</v>
      </c>
      <c r="D2487" s="1989" t="s">
        <v>8079</v>
      </c>
      <c r="E2487" s="1989">
        <v>1.77</v>
      </c>
      <c r="F2487" s="38">
        <f t="shared" si="38"/>
        <v>143.9385948</v>
      </c>
      <c r="G2487" s="1547"/>
      <c r="H2487" s="8"/>
      <c r="I2487" s="8"/>
      <c r="J2487" s="8"/>
      <c r="K2487" s="8"/>
      <c r="L2487" s="8"/>
      <c r="M2487" s="8"/>
      <c r="N2487" s="8"/>
      <c r="O2487" s="8"/>
      <c r="P2487" s="8"/>
      <c r="Q2487" s="8"/>
      <c r="R2487" s="8"/>
      <c r="S2487" s="8"/>
      <c r="T2487" s="8"/>
      <c r="U2487" s="8"/>
      <c r="V2487" s="8"/>
      <c r="W2487" s="8"/>
      <c r="X2487" s="771"/>
      <c r="Y2487" s="771"/>
      <c r="Z2487" s="771"/>
      <c r="AA2487" s="771"/>
      <c r="AB2487" s="771"/>
      <c r="AC2487" s="771"/>
      <c r="AD2487" s="771"/>
      <c r="AE2487" s="771"/>
      <c r="AF2487" s="771"/>
      <c r="AG2487" s="771"/>
      <c r="AH2487" s="771"/>
      <c r="AI2487" s="771"/>
      <c r="AJ2487" s="771"/>
      <c r="AK2487" s="771"/>
      <c r="AL2487" s="771"/>
      <c r="AM2487" s="771"/>
      <c r="AN2487" s="771"/>
      <c r="AO2487" s="771"/>
      <c r="AP2487" s="771"/>
      <c r="AQ2487" s="771"/>
      <c r="AR2487" s="771"/>
      <c r="AS2487" s="771"/>
      <c r="AT2487" s="771"/>
      <c r="AU2487" s="771"/>
    </row>
    <row r="2488" spans="1:47" s="1418" customFormat="1" outlineLevel="1" x14ac:dyDescent="0.2">
      <c r="A2488" s="8"/>
      <c r="B2488" s="8"/>
      <c r="C2488" s="1989" t="s">
        <v>4745</v>
      </c>
      <c r="D2488" s="1989" t="s">
        <v>8080</v>
      </c>
      <c r="E2488" s="1989">
        <v>1.97</v>
      </c>
      <c r="F2488" s="38">
        <f t="shared" si="38"/>
        <v>160.20284280000001</v>
      </c>
      <c r="G2488" s="1547"/>
      <c r="H2488" s="8"/>
      <c r="I2488" s="8"/>
      <c r="J2488" s="8"/>
      <c r="K2488" s="8"/>
      <c r="L2488" s="8"/>
      <c r="M2488" s="8"/>
      <c r="N2488" s="8"/>
      <c r="O2488" s="8"/>
      <c r="P2488" s="8"/>
      <c r="Q2488" s="8"/>
      <c r="R2488" s="8"/>
      <c r="S2488" s="8"/>
      <c r="T2488" s="8"/>
      <c r="U2488" s="8"/>
      <c r="V2488" s="8"/>
      <c r="W2488" s="8"/>
      <c r="X2488" s="771"/>
      <c r="Y2488" s="771"/>
      <c r="Z2488" s="771"/>
      <c r="AA2488" s="771"/>
      <c r="AB2488" s="771"/>
      <c r="AC2488" s="771"/>
      <c r="AD2488" s="771"/>
      <c r="AE2488" s="771"/>
      <c r="AF2488" s="771"/>
      <c r="AG2488" s="771"/>
      <c r="AH2488" s="771"/>
      <c r="AI2488" s="771"/>
      <c r="AJ2488" s="771"/>
      <c r="AK2488" s="771"/>
      <c r="AL2488" s="771"/>
      <c r="AM2488" s="771"/>
      <c r="AN2488" s="771"/>
      <c r="AO2488" s="771"/>
      <c r="AP2488" s="771"/>
      <c r="AQ2488" s="771"/>
      <c r="AR2488" s="771"/>
      <c r="AS2488" s="771"/>
      <c r="AT2488" s="771"/>
      <c r="AU2488" s="771"/>
    </row>
    <row r="2489" spans="1:47" s="1418" customFormat="1" outlineLevel="1" x14ac:dyDescent="0.2">
      <c r="A2489" s="8"/>
      <c r="B2489" s="8"/>
      <c r="C2489" s="1989" t="s">
        <v>4746</v>
      </c>
      <c r="D2489" s="1989" t="s">
        <v>8081</v>
      </c>
      <c r="E2489" s="1989">
        <v>2.17</v>
      </c>
      <c r="F2489" s="38">
        <f t="shared" si="38"/>
        <v>176.46709079999999</v>
      </c>
      <c r="G2489" s="1547"/>
      <c r="H2489" s="8"/>
      <c r="I2489" s="8"/>
      <c r="J2489" s="8"/>
      <c r="K2489" s="8"/>
      <c r="L2489" s="8"/>
      <c r="M2489" s="8"/>
      <c r="N2489" s="8"/>
      <c r="O2489" s="8"/>
      <c r="P2489" s="8"/>
      <c r="Q2489" s="8"/>
      <c r="R2489" s="8"/>
      <c r="S2489" s="8"/>
      <c r="T2489" s="8"/>
      <c r="U2489" s="8"/>
      <c r="V2489" s="8"/>
      <c r="W2489" s="8"/>
      <c r="X2489" s="771"/>
      <c r="Y2489" s="771"/>
      <c r="Z2489" s="771"/>
      <c r="AA2489" s="771"/>
      <c r="AB2489" s="771"/>
      <c r="AC2489" s="771"/>
      <c r="AD2489" s="771"/>
      <c r="AE2489" s="771"/>
      <c r="AF2489" s="771"/>
      <c r="AG2489" s="771"/>
      <c r="AH2489" s="771"/>
      <c r="AI2489" s="771"/>
      <c r="AJ2489" s="771"/>
      <c r="AK2489" s="771"/>
      <c r="AL2489" s="771"/>
      <c r="AM2489" s="771"/>
      <c r="AN2489" s="771"/>
      <c r="AO2489" s="771"/>
      <c r="AP2489" s="771"/>
      <c r="AQ2489" s="771"/>
      <c r="AR2489" s="771"/>
      <c r="AS2489" s="771"/>
      <c r="AT2489" s="771"/>
      <c r="AU2489" s="771"/>
    </row>
    <row r="2490" spans="1:47" s="1418" customFormat="1" outlineLevel="1" x14ac:dyDescent="0.2">
      <c r="A2490" s="8"/>
      <c r="B2490" s="8"/>
      <c r="C2490" s="1989" t="s">
        <v>4747</v>
      </c>
      <c r="D2490" s="1989" t="s">
        <v>8082</v>
      </c>
      <c r="E2490" s="1989">
        <v>1.75</v>
      </c>
      <c r="F2490" s="38">
        <f t="shared" si="38"/>
        <v>142.31217000000001</v>
      </c>
      <c r="G2490" s="1547"/>
      <c r="H2490" s="8"/>
      <c r="I2490" s="8"/>
      <c r="J2490" s="8"/>
      <c r="K2490" s="8"/>
      <c r="L2490" s="8"/>
      <c r="M2490" s="8"/>
      <c r="N2490" s="8"/>
      <c r="O2490" s="8"/>
      <c r="P2490" s="8"/>
      <c r="Q2490" s="8"/>
      <c r="R2490" s="8"/>
      <c r="S2490" s="8"/>
      <c r="T2490" s="8"/>
      <c r="U2490" s="8"/>
      <c r="V2490" s="8"/>
      <c r="W2490" s="8"/>
      <c r="X2490" s="771"/>
      <c r="Y2490" s="771"/>
      <c r="Z2490" s="771"/>
      <c r="AA2490" s="771"/>
      <c r="AB2490" s="771"/>
      <c r="AC2490" s="771"/>
      <c r="AD2490" s="771"/>
      <c r="AE2490" s="771"/>
      <c r="AF2490" s="771"/>
      <c r="AG2490" s="771"/>
      <c r="AH2490" s="771"/>
      <c r="AI2490" s="771"/>
      <c r="AJ2490" s="771"/>
      <c r="AK2490" s="771"/>
      <c r="AL2490" s="771"/>
      <c r="AM2490" s="771"/>
      <c r="AN2490" s="771"/>
      <c r="AO2490" s="771"/>
      <c r="AP2490" s="771"/>
      <c r="AQ2490" s="771"/>
      <c r="AR2490" s="771"/>
      <c r="AS2490" s="771"/>
      <c r="AT2490" s="771"/>
      <c r="AU2490" s="771"/>
    </row>
    <row r="2491" spans="1:47" s="1418" customFormat="1" outlineLevel="1" x14ac:dyDescent="0.2">
      <c r="A2491" s="8"/>
      <c r="B2491" s="8"/>
      <c r="C2491" s="1989" t="s">
        <v>4748</v>
      </c>
      <c r="D2491" s="1989" t="s">
        <v>8083</v>
      </c>
      <c r="E2491" s="1989">
        <v>1.96</v>
      </c>
      <c r="F2491" s="38">
        <f t="shared" si="38"/>
        <v>159.38963040000002</v>
      </c>
      <c r="G2491" s="1547"/>
      <c r="H2491" s="8"/>
      <c r="I2491" s="8"/>
      <c r="J2491" s="8"/>
      <c r="K2491" s="8"/>
      <c r="L2491" s="8"/>
      <c r="M2491" s="8"/>
      <c r="N2491" s="8"/>
      <c r="O2491" s="8"/>
      <c r="P2491" s="8"/>
      <c r="Q2491" s="8"/>
      <c r="R2491" s="8"/>
      <c r="S2491" s="8"/>
      <c r="T2491" s="8"/>
      <c r="U2491" s="8"/>
      <c r="V2491" s="8"/>
      <c r="W2491" s="8"/>
      <c r="X2491" s="771"/>
      <c r="Y2491" s="771"/>
      <c r="Z2491" s="771"/>
      <c r="AA2491" s="771"/>
      <c r="AB2491" s="771"/>
      <c r="AC2491" s="771"/>
      <c r="AD2491" s="771"/>
      <c r="AE2491" s="771"/>
      <c r="AF2491" s="771"/>
      <c r="AG2491" s="771"/>
      <c r="AH2491" s="771"/>
      <c r="AI2491" s="771"/>
      <c r="AJ2491" s="771"/>
      <c r="AK2491" s="771"/>
      <c r="AL2491" s="771"/>
      <c r="AM2491" s="771"/>
      <c r="AN2491" s="771"/>
      <c r="AO2491" s="771"/>
      <c r="AP2491" s="771"/>
      <c r="AQ2491" s="771"/>
      <c r="AR2491" s="771"/>
      <c r="AS2491" s="771"/>
      <c r="AT2491" s="771"/>
      <c r="AU2491" s="771"/>
    </row>
    <row r="2492" spans="1:47" s="1418" customFormat="1" outlineLevel="1" x14ac:dyDescent="0.2">
      <c r="A2492" s="8"/>
      <c r="B2492" s="8"/>
      <c r="C2492" s="1989" t="s">
        <v>4749</v>
      </c>
      <c r="D2492" s="1989" t="s">
        <v>8084</v>
      </c>
      <c r="E2492" s="1989">
        <v>2.1800000000000002</v>
      </c>
      <c r="F2492" s="38">
        <f t="shared" si="38"/>
        <v>177.28030320000002</v>
      </c>
      <c r="G2492" s="1547"/>
      <c r="H2492" s="8"/>
      <c r="I2492" s="8"/>
      <c r="J2492" s="8"/>
      <c r="K2492" s="8"/>
      <c r="L2492" s="8"/>
      <c r="M2492" s="8"/>
      <c r="N2492" s="8"/>
      <c r="O2492" s="8"/>
      <c r="P2492" s="8"/>
      <c r="Q2492" s="8"/>
      <c r="R2492" s="8"/>
      <c r="S2492" s="8"/>
      <c r="T2492" s="8"/>
      <c r="U2492" s="8"/>
      <c r="V2492" s="8"/>
      <c r="W2492" s="8"/>
      <c r="X2492" s="771"/>
      <c r="Y2492" s="771"/>
      <c r="Z2492" s="771"/>
      <c r="AA2492" s="771"/>
      <c r="AB2492" s="771"/>
      <c r="AC2492" s="771"/>
      <c r="AD2492" s="771"/>
      <c r="AE2492" s="771"/>
      <c r="AF2492" s="771"/>
      <c r="AG2492" s="771"/>
      <c r="AH2492" s="771"/>
      <c r="AI2492" s="771"/>
      <c r="AJ2492" s="771"/>
      <c r="AK2492" s="771"/>
      <c r="AL2492" s="771"/>
      <c r="AM2492" s="771"/>
      <c r="AN2492" s="771"/>
      <c r="AO2492" s="771"/>
      <c r="AP2492" s="771"/>
      <c r="AQ2492" s="771"/>
      <c r="AR2492" s="771"/>
      <c r="AS2492" s="771"/>
      <c r="AT2492" s="771"/>
      <c r="AU2492" s="771"/>
    </row>
    <row r="2493" spans="1:47" s="1418" customFormat="1" outlineLevel="1" x14ac:dyDescent="0.2">
      <c r="A2493" s="8"/>
      <c r="B2493" s="8"/>
      <c r="C2493" s="1989" t="s">
        <v>4750</v>
      </c>
      <c r="D2493" s="1989" t="s">
        <v>8085</v>
      </c>
      <c r="E2493" s="1989">
        <v>2.4</v>
      </c>
      <c r="F2493" s="38">
        <f t="shared" si="38"/>
        <v>195.170976</v>
      </c>
      <c r="G2493" s="1547"/>
      <c r="H2493" s="8"/>
      <c r="I2493" s="8"/>
      <c r="J2493" s="8"/>
      <c r="K2493" s="8"/>
      <c r="L2493" s="8"/>
      <c r="M2493" s="8"/>
      <c r="N2493" s="8"/>
      <c r="O2493" s="8"/>
      <c r="P2493" s="8"/>
      <c r="Q2493" s="8"/>
      <c r="R2493" s="8"/>
      <c r="S2493" s="8"/>
      <c r="T2493" s="8"/>
      <c r="U2493" s="8"/>
      <c r="V2493" s="8"/>
      <c r="W2493" s="8"/>
      <c r="X2493" s="771"/>
      <c r="Y2493" s="771"/>
      <c r="Z2493" s="771"/>
      <c r="AA2493" s="771"/>
      <c r="AB2493" s="771"/>
      <c r="AC2493" s="771"/>
      <c r="AD2493" s="771"/>
      <c r="AE2493" s="771"/>
      <c r="AF2493" s="771"/>
      <c r="AG2493" s="771"/>
      <c r="AH2493" s="771"/>
      <c r="AI2493" s="771"/>
      <c r="AJ2493" s="771"/>
      <c r="AK2493" s="771"/>
      <c r="AL2493" s="771"/>
      <c r="AM2493" s="771"/>
      <c r="AN2493" s="771"/>
      <c r="AO2493" s="771"/>
      <c r="AP2493" s="771"/>
      <c r="AQ2493" s="771"/>
      <c r="AR2493" s="771"/>
      <c r="AS2493" s="771"/>
      <c r="AT2493" s="771"/>
      <c r="AU2493" s="771"/>
    </row>
    <row r="2494" spans="1:47" s="1418" customFormat="1" outlineLevel="1" x14ac:dyDescent="0.2">
      <c r="A2494" s="8"/>
      <c r="B2494" s="8"/>
      <c r="C2494" s="1989" t="s">
        <v>4751</v>
      </c>
      <c r="D2494" s="1989" t="s">
        <v>8086</v>
      </c>
      <c r="E2494" s="1989">
        <v>1.96</v>
      </c>
      <c r="F2494" s="38">
        <f t="shared" si="38"/>
        <v>159.38963040000002</v>
      </c>
      <c r="G2494" s="1547"/>
      <c r="H2494" s="8"/>
      <c r="I2494" s="8"/>
      <c r="J2494" s="8"/>
      <c r="K2494" s="8"/>
      <c r="L2494" s="8"/>
      <c r="M2494" s="8"/>
      <c r="N2494" s="8"/>
      <c r="O2494" s="8"/>
      <c r="P2494" s="8"/>
      <c r="Q2494" s="8"/>
      <c r="R2494" s="8"/>
      <c r="S2494" s="8"/>
      <c r="T2494" s="8"/>
      <c r="U2494" s="8"/>
      <c r="V2494" s="8"/>
      <c r="W2494" s="8"/>
      <c r="X2494" s="771"/>
      <c r="Y2494" s="771"/>
      <c r="Z2494" s="771"/>
      <c r="AA2494" s="771"/>
      <c r="AB2494" s="771"/>
      <c r="AC2494" s="771"/>
      <c r="AD2494" s="771"/>
      <c r="AE2494" s="771"/>
      <c r="AF2494" s="771"/>
      <c r="AG2494" s="771"/>
      <c r="AH2494" s="771"/>
      <c r="AI2494" s="771"/>
      <c r="AJ2494" s="771"/>
      <c r="AK2494" s="771"/>
      <c r="AL2494" s="771"/>
      <c r="AM2494" s="771"/>
      <c r="AN2494" s="771"/>
      <c r="AO2494" s="771"/>
      <c r="AP2494" s="771"/>
      <c r="AQ2494" s="771"/>
      <c r="AR2494" s="771"/>
      <c r="AS2494" s="771"/>
      <c r="AT2494" s="771"/>
      <c r="AU2494" s="771"/>
    </row>
    <row r="2495" spans="1:47" s="1418" customFormat="1" outlineLevel="1" x14ac:dyDescent="0.2">
      <c r="A2495" s="8"/>
      <c r="B2495" s="8"/>
      <c r="C2495" s="1989" t="s">
        <v>4752</v>
      </c>
      <c r="D2495" s="1989" t="s">
        <v>8087</v>
      </c>
      <c r="E2495" s="1989">
        <v>2.19</v>
      </c>
      <c r="F2495" s="38">
        <f t="shared" si="38"/>
        <v>178.09351559999999</v>
      </c>
      <c r="G2495" s="1547"/>
      <c r="H2495" s="8"/>
      <c r="I2495" s="8"/>
      <c r="J2495" s="8"/>
      <c r="K2495" s="8"/>
      <c r="L2495" s="8"/>
      <c r="M2495" s="8"/>
      <c r="N2495" s="8"/>
      <c r="O2495" s="8"/>
      <c r="P2495" s="8"/>
      <c r="Q2495" s="8"/>
      <c r="R2495" s="8"/>
      <c r="S2495" s="8"/>
      <c r="T2495" s="8"/>
      <c r="U2495" s="8"/>
      <c r="V2495" s="8"/>
      <c r="W2495" s="8"/>
      <c r="X2495" s="771"/>
      <c r="Y2495" s="771"/>
      <c r="Z2495" s="771"/>
      <c r="AA2495" s="771"/>
      <c r="AB2495" s="771"/>
      <c r="AC2495" s="771"/>
      <c r="AD2495" s="771"/>
      <c r="AE2495" s="771"/>
      <c r="AF2495" s="771"/>
      <c r="AG2495" s="771"/>
      <c r="AH2495" s="771"/>
      <c r="AI2495" s="771"/>
      <c r="AJ2495" s="771"/>
      <c r="AK2495" s="771"/>
      <c r="AL2495" s="771"/>
      <c r="AM2495" s="771"/>
      <c r="AN2495" s="771"/>
      <c r="AO2495" s="771"/>
      <c r="AP2495" s="771"/>
      <c r="AQ2495" s="771"/>
      <c r="AR2495" s="771"/>
      <c r="AS2495" s="771"/>
      <c r="AT2495" s="771"/>
      <c r="AU2495" s="771"/>
    </row>
    <row r="2496" spans="1:47" s="1418" customFormat="1" outlineLevel="1" x14ac:dyDescent="0.2">
      <c r="A2496" s="8"/>
      <c r="B2496" s="8"/>
      <c r="C2496" s="1989" t="s">
        <v>4753</v>
      </c>
      <c r="D2496" s="1989" t="s">
        <v>8088</v>
      </c>
      <c r="E2496" s="1989">
        <v>2.44</v>
      </c>
      <c r="F2496" s="38">
        <f t="shared" si="38"/>
        <v>198.42382560000001</v>
      </c>
      <c r="G2496" s="1547"/>
      <c r="H2496" s="8"/>
      <c r="I2496" s="8"/>
      <c r="J2496" s="8"/>
      <c r="K2496" s="8"/>
      <c r="L2496" s="8"/>
      <c r="M2496" s="8"/>
      <c r="N2496" s="8"/>
      <c r="O2496" s="8"/>
      <c r="P2496" s="8"/>
      <c r="Q2496" s="8"/>
      <c r="R2496" s="8"/>
      <c r="S2496" s="8"/>
      <c r="T2496" s="8"/>
      <c r="U2496" s="8"/>
      <c r="V2496" s="8"/>
      <c r="W2496" s="8"/>
      <c r="X2496" s="771"/>
      <c r="Y2496" s="771"/>
      <c r="Z2496" s="771"/>
      <c r="AA2496" s="771"/>
      <c r="AB2496" s="771"/>
      <c r="AC2496" s="771"/>
      <c r="AD2496" s="771"/>
      <c r="AE2496" s="771"/>
      <c r="AF2496" s="771"/>
      <c r="AG2496" s="771"/>
      <c r="AH2496" s="771"/>
      <c r="AI2496" s="771"/>
      <c r="AJ2496" s="771"/>
      <c r="AK2496" s="771"/>
      <c r="AL2496" s="771"/>
      <c r="AM2496" s="771"/>
      <c r="AN2496" s="771"/>
      <c r="AO2496" s="771"/>
      <c r="AP2496" s="771"/>
      <c r="AQ2496" s="771"/>
      <c r="AR2496" s="771"/>
      <c r="AS2496" s="771"/>
      <c r="AT2496" s="771"/>
      <c r="AU2496" s="771"/>
    </row>
    <row r="2497" spans="1:47" s="1418" customFormat="1" outlineLevel="1" x14ac:dyDescent="0.2">
      <c r="A2497" s="8"/>
      <c r="B2497" s="8"/>
      <c r="C2497" s="1989" t="s">
        <v>4754</v>
      </c>
      <c r="D2497" s="1989" t="s">
        <v>8089</v>
      </c>
      <c r="E2497" s="1989">
        <v>2.68</v>
      </c>
      <c r="F2497" s="38">
        <f t="shared" si="38"/>
        <v>217.94092320000004</v>
      </c>
      <c r="G2497" s="1547"/>
      <c r="H2497" s="8"/>
      <c r="I2497" s="8"/>
      <c r="J2497" s="8"/>
      <c r="K2497" s="8"/>
      <c r="L2497" s="8"/>
      <c r="M2497" s="8"/>
      <c r="N2497" s="8"/>
      <c r="O2497" s="8"/>
      <c r="P2497" s="8"/>
      <c r="Q2497" s="8"/>
      <c r="R2497" s="8"/>
      <c r="S2497" s="8"/>
      <c r="T2497" s="8"/>
      <c r="U2497" s="8"/>
      <c r="V2497" s="8"/>
      <c r="W2497" s="8"/>
      <c r="X2497" s="771"/>
      <c r="Y2497" s="771"/>
      <c r="Z2497" s="771"/>
      <c r="AA2497" s="771"/>
      <c r="AB2497" s="771"/>
      <c r="AC2497" s="771"/>
      <c r="AD2497" s="771"/>
      <c r="AE2497" s="771"/>
      <c r="AF2497" s="771"/>
      <c r="AG2497" s="771"/>
      <c r="AH2497" s="771"/>
      <c r="AI2497" s="771"/>
      <c r="AJ2497" s="771"/>
      <c r="AK2497" s="771"/>
      <c r="AL2497" s="771"/>
      <c r="AM2497" s="771"/>
      <c r="AN2497" s="771"/>
      <c r="AO2497" s="771"/>
      <c r="AP2497" s="771"/>
      <c r="AQ2497" s="771"/>
      <c r="AR2497" s="771"/>
      <c r="AS2497" s="771"/>
      <c r="AT2497" s="771"/>
      <c r="AU2497" s="771"/>
    </row>
    <row r="2498" spans="1:47" s="1418" customFormat="1" outlineLevel="1" x14ac:dyDescent="0.2">
      <c r="A2498" s="8"/>
      <c r="B2498" s="8"/>
      <c r="C2498" s="1989" t="s">
        <v>4755</v>
      </c>
      <c r="D2498" s="1989" t="s">
        <v>8090</v>
      </c>
      <c r="E2498" s="1989">
        <v>2.29</v>
      </c>
      <c r="F2498" s="38">
        <f t="shared" si="38"/>
        <v>186.22563959999999</v>
      </c>
      <c r="G2498" s="1547"/>
      <c r="H2498" s="8"/>
      <c r="I2498" s="8"/>
      <c r="J2498" s="8"/>
      <c r="K2498" s="8"/>
      <c r="L2498" s="8"/>
      <c r="M2498" s="8"/>
      <c r="N2498" s="8"/>
      <c r="O2498" s="8"/>
      <c r="P2498" s="8"/>
      <c r="Q2498" s="8"/>
      <c r="R2498" s="8"/>
      <c r="S2498" s="8"/>
      <c r="T2498" s="8"/>
      <c r="U2498" s="8"/>
      <c r="V2498" s="8"/>
      <c r="W2498" s="8"/>
      <c r="X2498" s="771"/>
      <c r="Y2498" s="771"/>
      <c r="Z2498" s="771"/>
      <c r="AA2498" s="771"/>
      <c r="AB2498" s="771"/>
      <c r="AC2498" s="771"/>
      <c r="AD2498" s="771"/>
      <c r="AE2498" s="771"/>
      <c r="AF2498" s="771"/>
      <c r="AG2498" s="771"/>
      <c r="AH2498" s="771"/>
      <c r="AI2498" s="771"/>
      <c r="AJ2498" s="771"/>
      <c r="AK2498" s="771"/>
      <c r="AL2498" s="771"/>
      <c r="AM2498" s="771"/>
      <c r="AN2498" s="771"/>
      <c r="AO2498" s="771"/>
      <c r="AP2498" s="771"/>
      <c r="AQ2498" s="771"/>
      <c r="AR2498" s="771"/>
      <c r="AS2498" s="771"/>
      <c r="AT2498" s="771"/>
      <c r="AU2498" s="771"/>
    </row>
    <row r="2499" spans="1:47" s="1418" customFormat="1" outlineLevel="1" x14ac:dyDescent="0.2">
      <c r="A2499" s="8"/>
      <c r="B2499" s="8"/>
      <c r="C2499" s="1989" t="s">
        <v>4756</v>
      </c>
      <c r="D2499" s="1989" t="s">
        <v>8091</v>
      </c>
      <c r="E2499" s="1989">
        <v>2.58</v>
      </c>
      <c r="F2499" s="38">
        <f t="shared" si="38"/>
        <v>209.80879920000001</v>
      </c>
      <c r="G2499" s="1547"/>
      <c r="H2499" s="8"/>
      <c r="I2499" s="8"/>
      <c r="J2499" s="8"/>
      <c r="K2499" s="8"/>
      <c r="L2499" s="8"/>
      <c r="M2499" s="8"/>
      <c r="N2499" s="8"/>
      <c r="O2499" s="8"/>
      <c r="P2499" s="8"/>
      <c r="Q2499" s="8"/>
      <c r="R2499" s="8"/>
      <c r="S2499" s="8"/>
      <c r="T2499" s="8"/>
      <c r="U2499" s="8"/>
      <c r="V2499" s="8"/>
      <c r="W2499" s="8"/>
      <c r="X2499" s="771"/>
      <c r="Y2499" s="771"/>
      <c r="Z2499" s="771"/>
      <c r="AA2499" s="771"/>
      <c r="AB2499" s="771"/>
      <c r="AC2499" s="771"/>
      <c r="AD2499" s="771"/>
      <c r="AE2499" s="771"/>
      <c r="AF2499" s="771"/>
      <c r="AG2499" s="771"/>
      <c r="AH2499" s="771"/>
      <c r="AI2499" s="771"/>
      <c r="AJ2499" s="771"/>
      <c r="AK2499" s="771"/>
      <c r="AL2499" s="771"/>
      <c r="AM2499" s="771"/>
      <c r="AN2499" s="771"/>
      <c r="AO2499" s="771"/>
      <c r="AP2499" s="771"/>
      <c r="AQ2499" s="771"/>
      <c r="AR2499" s="771"/>
      <c r="AS2499" s="771"/>
      <c r="AT2499" s="771"/>
      <c r="AU2499" s="771"/>
    </row>
    <row r="2500" spans="1:47" s="1418" customFormat="1" outlineLevel="1" x14ac:dyDescent="0.2">
      <c r="A2500" s="8"/>
      <c r="B2500" s="8"/>
      <c r="C2500" s="1989" t="s">
        <v>4757</v>
      </c>
      <c r="D2500" s="1989" t="s">
        <v>8092</v>
      </c>
      <c r="E2500" s="1989">
        <v>2.87</v>
      </c>
      <c r="F2500" s="38">
        <f t="shared" si="38"/>
        <v>233.39195880000003</v>
      </c>
      <c r="G2500" s="1547"/>
      <c r="H2500" s="8"/>
      <c r="I2500" s="8"/>
      <c r="J2500" s="8"/>
      <c r="K2500" s="8"/>
      <c r="L2500" s="8"/>
      <c r="M2500" s="8"/>
      <c r="N2500" s="8"/>
      <c r="O2500" s="8"/>
      <c r="P2500" s="8"/>
      <c r="Q2500" s="8"/>
      <c r="R2500" s="8"/>
      <c r="S2500" s="8"/>
      <c r="T2500" s="8"/>
      <c r="U2500" s="8"/>
      <c r="V2500" s="8"/>
      <c r="W2500" s="8"/>
      <c r="X2500" s="771"/>
      <c r="Y2500" s="771"/>
      <c r="Z2500" s="771"/>
      <c r="AA2500" s="771"/>
      <c r="AB2500" s="771"/>
      <c r="AC2500" s="771"/>
      <c r="AD2500" s="771"/>
      <c r="AE2500" s="771"/>
      <c r="AF2500" s="771"/>
      <c r="AG2500" s="771"/>
      <c r="AH2500" s="771"/>
      <c r="AI2500" s="771"/>
      <c r="AJ2500" s="771"/>
      <c r="AK2500" s="771"/>
      <c r="AL2500" s="771"/>
      <c r="AM2500" s="771"/>
      <c r="AN2500" s="771"/>
      <c r="AO2500" s="771"/>
      <c r="AP2500" s="771"/>
      <c r="AQ2500" s="771"/>
      <c r="AR2500" s="771"/>
      <c r="AS2500" s="771"/>
      <c r="AT2500" s="771"/>
      <c r="AU2500" s="771"/>
    </row>
    <row r="2501" spans="1:47" s="1418" customFormat="1" outlineLevel="1" x14ac:dyDescent="0.2">
      <c r="A2501" s="8"/>
      <c r="B2501" s="8"/>
      <c r="C2501" s="1989" t="s">
        <v>4758</v>
      </c>
      <c r="D2501" s="1989" t="s">
        <v>8093</v>
      </c>
      <c r="E2501" s="1989">
        <v>3.16</v>
      </c>
      <c r="F2501" s="38">
        <f t="shared" si="38"/>
        <v>256.97511839999999</v>
      </c>
      <c r="G2501" s="1547"/>
      <c r="H2501" s="8"/>
      <c r="I2501" s="8"/>
      <c r="J2501" s="8"/>
      <c r="K2501" s="8"/>
      <c r="L2501" s="8"/>
      <c r="M2501" s="8"/>
      <c r="N2501" s="8"/>
      <c r="O2501" s="8"/>
      <c r="P2501" s="8"/>
      <c r="Q2501" s="8"/>
      <c r="R2501" s="8"/>
      <c r="S2501" s="8"/>
      <c r="T2501" s="8"/>
      <c r="U2501" s="8"/>
      <c r="V2501" s="8"/>
      <c r="W2501" s="8"/>
      <c r="X2501" s="771"/>
      <c r="Y2501" s="771"/>
      <c r="Z2501" s="771"/>
      <c r="AA2501" s="771"/>
      <c r="AB2501" s="771"/>
      <c r="AC2501" s="771"/>
      <c r="AD2501" s="771"/>
      <c r="AE2501" s="771"/>
      <c r="AF2501" s="771"/>
      <c r="AG2501" s="771"/>
      <c r="AH2501" s="771"/>
      <c r="AI2501" s="771"/>
      <c r="AJ2501" s="771"/>
      <c r="AK2501" s="771"/>
      <c r="AL2501" s="771"/>
      <c r="AM2501" s="771"/>
      <c r="AN2501" s="771"/>
      <c r="AO2501" s="771"/>
      <c r="AP2501" s="771"/>
      <c r="AQ2501" s="771"/>
      <c r="AR2501" s="771"/>
      <c r="AS2501" s="771"/>
      <c r="AT2501" s="771"/>
      <c r="AU2501" s="771"/>
    </row>
    <row r="2502" spans="1:47" s="1418" customFormat="1" outlineLevel="1" x14ac:dyDescent="0.2">
      <c r="A2502" s="8"/>
      <c r="B2502" s="8"/>
      <c r="C2502" s="1989" t="s">
        <v>4759</v>
      </c>
      <c r="D2502" s="1989" t="s">
        <v>5099</v>
      </c>
      <c r="E2502" s="1989">
        <v>0.33</v>
      </c>
      <c r="F2502" s="38">
        <f t="shared" si="38"/>
        <v>26.836009200000003</v>
      </c>
      <c r="G2502" s="1547"/>
      <c r="H2502" s="8"/>
      <c r="I2502" s="8"/>
      <c r="J2502" s="8"/>
      <c r="K2502" s="8"/>
      <c r="L2502" s="8"/>
      <c r="M2502" s="8"/>
      <c r="N2502" s="8"/>
      <c r="O2502" s="8"/>
      <c r="P2502" s="8"/>
      <c r="Q2502" s="8"/>
      <c r="R2502" s="8"/>
      <c r="S2502" s="8"/>
      <c r="T2502" s="8"/>
      <c r="U2502" s="8"/>
      <c r="V2502" s="8"/>
      <c r="W2502" s="8"/>
      <c r="X2502" s="771"/>
      <c r="Y2502" s="771"/>
      <c r="Z2502" s="771"/>
      <c r="AA2502" s="771"/>
      <c r="AB2502" s="771"/>
      <c r="AC2502" s="771"/>
      <c r="AD2502" s="771"/>
      <c r="AE2502" s="771"/>
      <c r="AF2502" s="771"/>
      <c r="AG2502" s="771"/>
      <c r="AH2502" s="771"/>
      <c r="AI2502" s="771"/>
      <c r="AJ2502" s="771"/>
      <c r="AK2502" s="771"/>
      <c r="AL2502" s="771"/>
      <c r="AM2502" s="771"/>
      <c r="AN2502" s="771"/>
      <c r="AO2502" s="771"/>
      <c r="AP2502" s="771"/>
      <c r="AQ2502" s="771"/>
      <c r="AR2502" s="771"/>
      <c r="AS2502" s="771"/>
      <c r="AT2502" s="771"/>
      <c r="AU2502" s="771"/>
    </row>
    <row r="2503" spans="1:47" s="1418" customFormat="1" outlineLevel="1" x14ac:dyDescent="0.2">
      <c r="A2503" s="8"/>
      <c r="B2503" s="8"/>
      <c r="C2503" s="1989" t="s">
        <v>4760</v>
      </c>
      <c r="D2503" s="1989" t="s">
        <v>5100</v>
      </c>
      <c r="E2503" s="1989">
        <v>0.37</v>
      </c>
      <c r="F2503" s="38">
        <f t="shared" si="38"/>
        <v>30.088858800000004</v>
      </c>
      <c r="G2503" s="1547"/>
      <c r="H2503" s="8"/>
      <c r="I2503" s="8"/>
      <c r="J2503" s="8"/>
      <c r="K2503" s="8"/>
      <c r="L2503" s="8"/>
      <c r="M2503" s="8"/>
      <c r="N2503" s="8"/>
      <c r="O2503" s="8"/>
      <c r="P2503" s="8"/>
      <c r="Q2503" s="8"/>
      <c r="R2503" s="8"/>
      <c r="S2503" s="8"/>
      <c r="T2503" s="8"/>
      <c r="U2503" s="8"/>
      <c r="V2503" s="8"/>
      <c r="W2503" s="8"/>
      <c r="X2503" s="771"/>
      <c r="Y2503" s="771"/>
      <c r="Z2503" s="771"/>
      <c r="AA2503" s="771"/>
      <c r="AB2503" s="771"/>
      <c r="AC2503" s="771"/>
      <c r="AD2503" s="771"/>
      <c r="AE2503" s="771"/>
      <c r="AF2503" s="771"/>
      <c r="AG2503" s="771"/>
      <c r="AH2503" s="771"/>
      <c r="AI2503" s="771"/>
      <c r="AJ2503" s="771"/>
      <c r="AK2503" s="771"/>
      <c r="AL2503" s="771"/>
      <c r="AM2503" s="771"/>
      <c r="AN2503" s="771"/>
      <c r="AO2503" s="771"/>
      <c r="AP2503" s="771"/>
      <c r="AQ2503" s="771"/>
      <c r="AR2503" s="771"/>
      <c r="AS2503" s="771"/>
      <c r="AT2503" s="771"/>
      <c r="AU2503" s="771"/>
    </row>
    <row r="2504" spans="1:47" s="1418" customFormat="1" outlineLevel="1" x14ac:dyDescent="0.2">
      <c r="A2504" s="8"/>
      <c r="B2504" s="8"/>
      <c r="C2504" s="1989" t="s">
        <v>4761</v>
      </c>
      <c r="D2504" s="1989" t="s">
        <v>5101</v>
      </c>
      <c r="E2504" s="1989">
        <v>0.39</v>
      </c>
      <c r="F2504" s="38">
        <f t="shared" ref="F2504:F2567" si="39">E2504*$G$4*$J$4</f>
        <v>31.715283599999999</v>
      </c>
      <c r="G2504" s="1547"/>
      <c r="H2504" s="8"/>
      <c r="I2504" s="8"/>
      <c r="J2504" s="8"/>
      <c r="K2504" s="8"/>
      <c r="L2504" s="8"/>
      <c r="M2504" s="8"/>
      <c r="N2504" s="8"/>
      <c r="O2504" s="8"/>
      <c r="P2504" s="8"/>
      <c r="Q2504" s="8"/>
      <c r="R2504" s="8"/>
      <c r="S2504" s="8"/>
      <c r="T2504" s="8"/>
      <c r="U2504" s="8"/>
      <c r="V2504" s="8"/>
      <c r="W2504" s="8"/>
      <c r="X2504" s="771"/>
      <c r="Y2504" s="771"/>
      <c r="Z2504" s="771"/>
      <c r="AA2504" s="771"/>
      <c r="AB2504" s="771"/>
      <c r="AC2504" s="771"/>
      <c r="AD2504" s="771"/>
      <c r="AE2504" s="771"/>
      <c r="AF2504" s="771"/>
      <c r="AG2504" s="771"/>
      <c r="AH2504" s="771"/>
      <c r="AI2504" s="771"/>
      <c r="AJ2504" s="771"/>
      <c r="AK2504" s="771"/>
      <c r="AL2504" s="771"/>
      <c r="AM2504" s="771"/>
      <c r="AN2504" s="771"/>
      <c r="AO2504" s="771"/>
      <c r="AP2504" s="771"/>
      <c r="AQ2504" s="771"/>
      <c r="AR2504" s="771"/>
      <c r="AS2504" s="771"/>
      <c r="AT2504" s="771"/>
      <c r="AU2504" s="771"/>
    </row>
    <row r="2505" spans="1:47" s="1418" customFormat="1" outlineLevel="1" x14ac:dyDescent="0.2">
      <c r="A2505" s="8"/>
      <c r="B2505" s="8"/>
      <c r="C2505" s="1989" t="s">
        <v>4762</v>
      </c>
      <c r="D2505" s="1989" t="s">
        <v>5102</v>
      </c>
      <c r="E2505" s="1989">
        <v>0.4</v>
      </c>
      <c r="F2505" s="38">
        <f t="shared" si="39"/>
        <v>32.528496000000004</v>
      </c>
      <c r="G2505" s="1547"/>
      <c r="H2505" s="8"/>
      <c r="I2505" s="8"/>
      <c r="J2505" s="8"/>
      <c r="K2505" s="8"/>
      <c r="L2505" s="8"/>
      <c r="M2505" s="8"/>
      <c r="N2505" s="8"/>
      <c r="O2505" s="8"/>
      <c r="P2505" s="8"/>
      <c r="Q2505" s="8"/>
      <c r="R2505" s="8"/>
      <c r="S2505" s="8"/>
      <c r="T2505" s="8"/>
      <c r="U2505" s="8"/>
      <c r="V2505" s="8"/>
      <c r="W2505" s="8"/>
      <c r="X2505" s="771"/>
      <c r="Y2505" s="771"/>
      <c r="Z2505" s="771"/>
      <c r="AA2505" s="771"/>
      <c r="AB2505" s="771"/>
      <c r="AC2505" s="771"/>
      <c r="AD2505" s="771"/>
      <c r="AE2505" s="771"/>
      <c r="AF2505" s="771"/>
      <c r="AG2505" s="771"/>
      <c r="AH2505" s="771"/>
      <c r="AI2505" s="771"/>
      <c r="AJ2505" s="771"/>
      <c r="AK2505" s="771"/>
      <c r="AL2505" s="771"/>
      <c r="AM2505" s="771"/>
      <c r="AN2505" s="771"/>
      <c r="AO2505" s="771"/>
      <c r="AP2505" s="771"/>
      <c r="AQ2505" s="771"/>
      <c r="AR2505" s="771"/>
      <c r="AS2505" s="771"/>
      <c r="AT2505" s="771"/>
      <c r="AU2505" s="771"/>
    </row>
    <row r="2506" spans="1:47" s="1418" customFormat="1" outlineLevel="1" x14ac:dyDescent="0.2">
      <c r="A2506" s="8"/>
      <c r="B2506" s="8"/>
      <c r="C2506" s="1989" t="s">
        <v>4763</v>
      </c>
      <c r="D2506" s="1989" t="s">
        <v>5103</v>
      </c>
      <c r="E2506" s="1989">
        <v>0.45</v>
      </c>
      <c r="F2506" s="38">
        <f t="shared" si="39"/>
        <v>36.594558000000006</v>
      </c>
      <c r="G2506" s="1547"/>
      <c r="H2506" s="8"/>
      <c r="I2506" s="8"/>
      <c r="J2506" s="8"/>
      <c r="K2506" s="8"/>
      <c r="L2506" s="8"/>
      <c r="M2506" s="8"/>
      <c r="N2506" s="8"/>
      <c r="O2506" s="8"/>
      <c r="P2506" s="8"/>
      <c r="Q2506" s="8"/>
      <c r="R2506" s="8"/>
      <c r="S2506" s="8"/>
      <c r="T2506" s="8"/>
      <c r="U2506" s="8"/>
      <c r="V2506" s="8"/>
      <c r="W2506" s="8"/>
      <c r="X2506" s="771"/>
      <c r="Y2506" s="771"/>
      <c r="Z2506" s="771"/>
      <c r="AA2506" s="771"/>
      <c r="AB2506" s="771"/>
      <c r="AC2506" s="771"/>
      <c r="AD2506" s="771"/>
      <c r="AE2506" s="771"/>
      <c r="AF2506" s="771"/>
      <c r="AG2506" s="771"/>
      <c r="AH2506" s="771"/>
      <c r="AI2506" s="771"/>
      <c r="AJ2506" s="771"/>
      <c r="AK2506" s="771"/>
      <c r="AL2506" s="771"/>
      <c r="AM2506" s="771"/>
      <c r="AN2506" s="771"/>
      <c r="AO2506" s="771"/>
      <c r="AP2506" s="771"/>
      <c r="AQ2506" s="771"/>
      <c r="AR2506" s="771"/>
      <c r="AS2506" s="771"/>
      <c r="AT2506" s="771"/>
      <c r="AU2506" s="771"/>
    </row>
    <row r="2507" spans="1:47" s="1418" customFormat="1" outlineLevel="1" x14ac:dyDescent="0.2">
      <c r="A2507" s="8"/>
      <c r="B2507" s="8"/>
      <c r="C2507" s="1989" t="s">
        <v>4764</v>
      </c>
      <c r="D2507" s="1989" t="s">
        <v>5104</v>
      </c>
      <c r="E2507" s="1989">
        <v>0.48</v>
      </c>
      <c r="F2507" s="38">
        <f t="shared" si="39"/>
        <v>39.034195199999999</v>
      </c>
      <c r="G2507" s="1547"/>
      <c r="H2507" s="8"/>
      <c r="I2507" s="8"/>
      <c r="J2507" s="8"/>
      <c r="K2507" s="8"/>
      <c r="L2507" s="8"/>
      <c r="M2507" s="8"/>
      <c r="N2507" s="8"/>
      <c r="O2507" s="8"/>
      <c r="P2507" s="8"/>
      <c r="Q2507" s="8"/>
      <c r="R2507" s="8"/>
      <c r="S2507" s="8"/>
      <c r="T2507" s="8"/>
      <c r="U2507" s="8"/>
      <c r="V2507" s="8"/>
      <c r="W2507" s="8"/>
      <c r="X2507" s="771"/>
      <c r="Y2507" s="771"/>
      <c r="Z2507" s="771"/>
      <c r="AA2507" s="771"/>
      <c r="AB2507" s="771"/>
      <c r="AC2507" s="771"/>
      <c r="AD2507" s="771"/>
      <c r="AE2507" s="771"/>
      <c r="AF2507" s="771"/>
      <c r="AG2507" s="771"/>
      <c r="AH2507" s="771"/>
      <c r="AI2507" s="771"/>
      <c r="AJ2507" s="771"/>
      <c r="AK2507" s="771"/>
      <c r="AL2507" s="771"/>
      <c r="AM2507" s="771"/>
      <c r="AN2507" s="771"/>
      <c r="AO2507" s="771"/>
      <c r="AP2507" s="771"/>
      <c r="AQ2507" s="771"/>
      <c r="AR2507" s="771"/>
      <c r="AS2507" s="771"/>
      <c r="AT2507" s="771"/>
      <c r="AU2507" s="771"/>
    </row>
    <row r="2508" spans="1:47" s="1418" customFormat="1" outlineLevel="1" x14ac:dyDescent="0.2">
      <c r="A2508" s="8"/>
      <c r="B2508" s="8"/>
      <c r="C2508" s="1989" t="s">
        <v>4765</v>
      </c>
      <c r="D2508" s="1989" t="s">
        <v>5105</v>
      </c>
      <c r="E2508" s="1989">
        <v>0.54</v>
      </c>
      <c r="F2508" s="38">
        <f t="shared" si="39"/>
        <v>43.913469600000006</v>
      </c>
      <c r="G2508" s="1547"/>
      <c r="H2508" s="8"/>
      <c r="I2508" s="8"/>
      <c r="J2508" s="8"/>
      <c r="K2508" s="8"/>
      <c r="L2508" s="8"/>
      <c r="M2508" s="8"/>
      <c r="N2508" s="8"/>
      <c r="O2508" s="8"/>
      <c r="P2508" s="8"/>
      <c r="Q2508" s="8"/>
      <c r="R2508" s="8"/>
      <c r="S2508" s="8"/>
      <c r="T2508" s="8"/>
      <c r="U2508" s="8"/>
      <c r="V2508" s="8"/>
      <c r="W2508" s="8"/>
      <c r="X2508" s="771"/>
      <c r="Y2508" s="771"/>
      <c r="Z2508" s="771"/>
      <c r="AA2508" s="771"/>
      <c r="AB2508" s="771"/>
      <c r="AC2508" s="771"/>
      <c r="AD2508" s="771"/>
      <c r="AE2508" s="771"/>
      <c r="AF2508" s="771"/>
      <c r="AG2508" s="771"/>
      <c r="AH2508" s="771"/>
      <c r="AI2508" s="771"/>
      <c r="AJ2508" s="771"/>
      <c r="AK2508" s="771"/>
      <c r="AL2508" s="771"/>
      <c r="AM2508" s="771"/>
      <c r="AN2508" s="771"/>
      <c r="AO2508" s="771"/>
      <c r="AP2508" s="771"/>
      <c r="AQ2508" s="771"/>
      <c r="AR2508" s="771"/>
      <c r="AS2508" s="771"/>
      <c r="AT2508" s="771"/>
      <c r="AU2508" s="771"/>
    </row>
    <row r="2509" spans="1:47" s="1418" customFormat="1" outlineLevel="1" x14ac:dyDescent="0.2">
      <c r="A2509" s="8"/>
      <c r="B2509" s="8"/>
      <c r="C2509" s="1989" t="s">
        <v>4766</v>
      </c>
      <c r="D2509" s="1989" t="s">
        <v>5106</v>
      </c>
      <c r="E2509" s="1989">
        <v>0.57999999999999996</v>
      </c>
      <c r="F2509" s="38">
        <f t="shared" si="39"/>
        <v>47.166319199999997</v>
      </c>
      <c r="G2509" s="1547"/>
      <c r="H2509" s="8"/>
      <c r="I2509" s="8"/>
      <c r="J2509" s="8"/>
      <c r="K2509" s="8"/>
      <c r="L2509" s="8"/>
      <c r="M2509" s="8"/>
      <c r="N2509" s="8"/>
      <c r="O2509" s="8"/>
      <c r="P2509" s="8"/>
      <c r="Q2509" s="8"/>
      <c r="R2509" s="8"/>
      <c r="S2509" s="8"/>
      <c r="T2509" s="8"/>
      <c r="U2509" s="8"/>
      <c r="V2509" s="8"/>
      <c r="W2509" s="8"/>
      <c r="X2509" s="771"/>
      <c r="Y2509" s="771"/>
      <c r="Z2509" s="771"/>
      <c r="AA2509" s="771"/>
      <c r="AB2509" s="771"/>
      <c r="AC2509" s="771"/>
      <c r="AD2509" s="771"/>
      <c r="AE2509" s="771"/>
      <c r="AF2509" s="771"/>
      <c r="AG2509" s="771"/>
      <c r="AH2509" s="771"/>
      <c r="AI2509" s="771"/>
      <c r="AJ2509" s="771"/>
      <c r="AK2509" s="771"/>
      <c r="AL2509" s="771"/>
      <c r="AM2509" s="771"/>
      <c r="AN2509" s="771"/>
      <c r="AO2509" s="771"/>
      <c r="AP2509" s="771"/>
      <c r="AQ2509" s="771"/>
      <c r="AR2509" s="771"/>
      <c r="AS2509" s="771"/>
      <c r="AT2509" s="771"/>
      <c r="AU2509" s="771"/>
    </row>
    <row r="2510" spans="1:47" s="1418" customFormat="1" outlineLevel="1" x14ac:dyDescent="0.2">
      <c r="A2510" s="8"/>
      <c r="B2510" s="8"/>
      <c r="C2510" s="1989" t="s">
        <v>4767</v>
      </c>
      <c r="D2510" s="1989" t="s">
        <v>4768</v>
      </c>
      <c r="E2510" s="1989">
        <v>0.61</v>
      </c>
      <c r="F2510" s="38">
        <f t="shared" si="39"/>
        <v>49.605956400000004</v>
      </c>
      <c r="G2510" s="1547"/>
      <c r="H2510" s="8"/>
      <c r="I2510" s="8"/>
      <c r="J2510" s="8"/>
      <c r="K2510" s="8"/>
      <c r="L2510" s="8"/>
      <c r="M2510" s="8"/>
      <c r="N2510" s="8"/>
      <c r="O2510" s="8"/>
      <c r="P2510" s="8"/>
      <c r="Q2510" s="8"/>
      <c r="R2510" s="8"/>
      <c r="S2510" s="8"/>
      <c r="T2510" s="8"/>
      <c r="U2510" s="8"/>
      <c r="V2510" s="8"/>
      <c r="W2510" s="8"/>
      <c r="X2510" s="771"/>
      <c r="Y2510" s="771"/>
      <c r="Z2510" s="771"/>
      <c r="AA2510" s="771"/>
      <c r="AB2510" s="771"/>
      <c r="AC2510" s="771"/>
      <c r="AD2510" s="771"/>
      <c r="AE2510" s="771"/>
      <c r="AF2510" s="771"/>
      <c r="AG2510" s="771"/>
      <c r="AH2510" s="771"/>
      <c r="AI2510" s="771"/>
      <c r="AJ2510" s="771"/>
      <c r="AK2510" s="771"/>
      <c r="AL2510" s="771"/>
      <c r="AM2510" s="771"/>
      <c r="AN2510" s="771"/>
      <c r="AO2510" s="771"/>
      <c r="AP2510" s="771"/>
      <c r="AQ2510" s="771"/>
      <c r="AR2510" s="771"/>
      <c r="AS2510" s="771"/>
      <c r="AT2510" s="771"/>
      <c r="AU2510" s="771"/>
    </row>
    <row r="2511" spans="1:47" s="1418" customFormat="1" outlineLevel="1" x14ac:dyDescent="0.2">
      <c r="A2511" s="8"/>
      <c r="B2511" s="8"/>
      <c r="C2511" s="1989" t="s">
        <v>4769</v>
      </c>
      <c r="D2511" s="1989" t="s">
        <v>4770</v>
      </c>
      <c r="E2511" s="1989">
        <v>0.7</v>
      </c>
      <c r="F2511" s="38">
        <f t="shared" si="39"/>
        <v>56.924868000000004</v>
      </c>
      <c r="G2511" s="1547"/>
      <c r="H2511" s="8"/>
      <c r="I2511" s="8"/>
      <c r="J2511" s="8"/>
      <c r="K2511" s="8"/>
      <c r="L2511" s="8"/>
      <c r="M2511" s="8"/>
      <c r="N2511" s="8"/>
      <c r="O2511" s="8"/>
      <c r="P2511" s="8"/>
      <c r="Q2511" s="8"/>
      <c r="R2511" s="8"/>
      <c r="S2511" s="8"/>
      <c r="T2511" s="8"/>
      <c r="U2511" s="8"/>
      <c r="V2511" s="8"/>
      <c r="W2511" s="8"/>
      <c r="X2511" s="771"/>
      <c r="Y2511" s="771"/>
      <c r="Z2511" s="771"/>
      <c r="AA2511" s="771"/>
      <c r="AB2511" s="771"/>
      <c r="AC2511" s="771"/>
      <c r="AD2511" s="771"/>
      <c r="AE2511" s="771"/>
      <c r="AF2511" s="771"/>
      <c r="AG2511" s="771"/>
      <c r="AH2511" s="771"/>
      <c r="AI2511" s="771"/>
      <c r="AJ2511" s="771"/>
      <c r="AK2511" s="771"/>
      <c r="AL2511" s="771"/>
      <c r="AM2511" s="771"/>
      <c r="AN2511" s="771"/>
      <c r="AO2511" s="771"/>
      <c r="AP2511" s="771"/>
      <c r="AQ2511" s="771"/>
      <c r="AR2511" s="771"/>
      <c r="AS2511" s="771"/>
      <c r="AT2511" s="771"/>
      <c r="AU2511" s="771"/>
    </row>
    <row r="2512" spans="1:47" s="1418" customFormat="1" outlineLevel="1" x14ac:dyDescent="0.2">
      <c r="A2512" s="8"/>
      <c r="B2512" s="8"/>
      <c r="C2512" s="1989" t="s">
        <v>4771</v>
      </c>
      <c r="D2512" s="1989" t="s">
        <v>5107</v>
      </c>
      <c r="E2512" s="1989">
        <v>0.42</v>
      </c>
      <c r="F2512" s="38">
        <f t="shared" si="39"/>
        <v>34.154920799999999</v>
      </c>
      <c r="G2512" s="1547"/>
      <c r="H2512" s="8"/>
      <c r="I2512" s="8"/>
      <c r="J2512" s="8"/>
      <c r="K2512" s="8"/>
      <c r="L2512" s="8"/>
      <c r="M2512" s="8"/>
      <c r="N2512" s="8"/>
      <c r="O2512" s="8"/>
      <c r="P2512" s="8"/>
      <c r="Q2512" s="8"/>
      <c r="R2512" s="8"/>
      <c r="S2512" s="8"/>
      <c r="T2512" s="8"/>
      <c r="U2512" s="8"/>
      <c r="V2512" s="8"/>
      <c r="W2512" s="8"/>
      <c r="X2512" s="771"/>
      <c r="Y2512" s="771"/>
      <c r="Z2512" s="771"/>
      <c r="AA2512" s="771"/>
      <c r="AB2512" s="771"/>
      <c r="AC2512" s="771"/>
      <c r="AD2512" s="771"/>
      <c r="AE2512" s="771"/>
      <c r="AF2512" s="771"/>
      <c r="AG2512" s="771"/>
      <c r="AH2512" s="771"/>
      <c r="AI2512" s="771"/>
      <c r="AJ2512" s="771"/>
      <c r="AK2512" s="771"/>
      <c r="AL2512" s="771"/>
      <c r="AM2512" s="771"/>
      <c r="AN2512" s="771"/>
      <c r="AO2512" s="771"/>
      <c r="AP2512" s="771"/>
      <c r="AQ2512" s="771"/>
      <c r="AR2512" s="771"/>
      <c r="AS2512" s="771"/>
      <c r="AT2512" s="771"/>
      <c r="AU2512" s="771"/>
    </row>
    <row r="2513" spans="1:47" s="1418" customFormat="1" outlineLevel="1" x14ac:dyDescent="0.2">
      <c r="A2513" s="8"/>
      <c r="B2513" s="8"/>
      <c r="C2513" s="1989" t="s">
        <v>4772</v>
      </c>
      <c r="D2513" s="1989" t="s">
        <v>5108</v>
      </c>
      <c r="E2513" s="1989">
        <v>0.51</v>
      </c>
      <c r="F2513" s="38">
        <f t="shared" si="39"/>
        <v>41.473832399999999</v>
      </c>
      <c r="G2513" s="1547"/>
      <c r="H2513" s="8"/>
      <c r="I2513" s="8"/>
      <c r="J2513" s="8"/>
      <c r="K2513" s="8"/>
      <c r="L2513" s="8"/>
      <c r="M2513" s="8"/>
      <c r="N2513" s="8"/>
      <c r="O2513" s="8"/>
      <c r="P2513" s="8"/>
      <c r="Q2513" s="8"/>
      <c r="R2513" s="8"/>
      <c r="S2513" s="8"/>
      <c r="T2513" s="8"/>
      <c r="U2513" s="8"/>
      <c r="V2513" s="8"/>
      <c r="W2513" s="8"/>
      <c r="X2513" s="771"/>
      <c r="Y2513" s="771"/>
      <c r="Z2513" s="771"/>
      <c r="AA2513" s="771"/>
      <c r="AB2513" s="771"/>
      <c r="AC2513" s="771"/>
      <c r="AD2513" s="771"/>
      <c r="AE2513" s="771"/>
      <c r="AF2513" s="771"/>
      <c r="AG2513" s="771"/>
      <c r="AH2513" s="771"/>
      <c r="AI2513" s="771"/>
      <c r="AJ2513" s="771"/>
      <c r="AK2513" s="771"/>
      <c r="AL2513" s="771"/>
      <c r="AM2513" s="771"/>
      <c r="AN2513" s="771"/>
      <c r="AO2513" s="771"/>
      <c r="AP2513" s="771"/>
      <c r="AQ2513" s="771"/>
      <c r="AR2513" s="771"/>
      <c r="AS2513" s="771"/>
      <c r="AT2513" s="771"/>
      <c r="AU2513" s="771"/>
    </row>
    <row r="2514" spans="1:47" s="1418" customFormat="1" outlineLevel="1" x14ac:dyDescent="0.2">
      <c r="A2514" s="8"/>
      <c r="B2514" s="8"/>
      <c r="C2514" s="1989" t="s">
        <v>4773</v>
      </c>
      <c r="D2514" s="1989" t="s">
        <v>5109</v>
      </c>
      <c r="E2514" s="1989">
        <v>0.54</v>
      </c>
      <c r="F2514" s="38">
        <f t="shared" si="39"/>
        <v>43.913469600000006</v>
      </c>
      <c r="G2514" s="1547"/>
      <c r="H2514" s="8"/>
      <c r="I2514" s="8"/>
      <c r="J2514" s="8"/>
      <c r="K2514" s="8"/>
      <c r="L2514" s="8"/>
      <c r="M2514" s="8"/>
      <c r="N2514" s="8"/>
      <c r="O2514" s="8"/>
      <c r="P2514" s="8"/>
      <c r="Q2514" s="8"/>
      <c r="R2514" s="8"/>
      <c r="S2514" s="8"/>
      <c r="T2514" s="8"/>
      <c r="U2514" s="8"/>
      <c r="V2514" s="8"/>
      <c r="W2514" s="8"/>
      <c r="X2514" s="771"/>
      <c r="Y2514" s="771"/>
      <c r="Z2514" s="771"/>
      <c r="AA2514" s="771"/>
      <c r="AB2514" s="771"/>
      <c r="AC2514" s="771"/>
      <c r="AD2514" s="771"/>
      <c r="AE2514" s="771"/>
      <c r="AF2514" s="771"/>
      <c r="AG2514" s="771"/>
      <c r="AH2514" s="771"/>
      <c r="AI2514" s="771"/>
      <c r="AJ2514" s="771"/>
      <c r="AK2514" s="771"/>
      <c r="AL2514" s="771"/>
      <c r="AM2514" s="771"/>
      <c r="AN2514" s="771"/>
      <c r="AO2514" s="771"/>
      <c r="AP2514" s="771"/>
      <c r="AQ2514" s="771"/>
      <c r="AR2514" s="771"/>
      <c r="AS2514" s="771"/>
      <c r="AT2514" s="771"/>
      <c r="AU2514" s="771"/>
    </row>
    <row r="2515" spans="1:47" s="1418" customFormat="1" outlineLevel="1" x14ac:dyDescent="0.2">
      <c r="A2515" s="8"/>
      <c r="B2515" s="8"/>
      <c r="C2515" s="1989" t="s">
        <v>4774</v>
      </c>
      <c r="D2515" s="1989" t="s">
        <v>5110</v>
      </c>
      <c r="E2515" s="1989">
        <v>0.59</v>
      </c>
      <c r="F2515" s="38">
        <f t="shared" si="39"/>
        <v>47.979531600000001</v>
      </c>
      <c r="G2515" s="1547"/>
      <c r="H2515" s="8"/>
      <c r="I2515" s="8"/>
      <c r="J2515" s="8"/>
      <c r="K2515" s="8"/>
      <c r="L2515" s="8"/>
      <c r="M2515" s="8"/>
      <c r="N2515" s="8"/>
      <c r="O2515" s="8"/>
      <c r="P2515" s="8"/>
      <c r="Q2515" s="8"/>
      <c r="R2515" s="8"/>
      <c r="S2515" s="8"/>
      <c r="T2515" s="8"/>
      <c r="U2515" s="8"/>
      <c r="V2515" s="8"/>
      <c r="W2515" s="8"/>
      <c r="X2515" s="771"/>
      <c r="Y2515" s="771"/>
      <c r="Z2515" s="771"/>
      <c r="AA2515" s="771"/>
      <c r="AB2515" s="771"/>
      <c r="AC2515" s="771"/>
      <c r="AD2515" s="771"/>
      <c r="AE2515" s="771"/>
      <c r="AF2515" s="771"/>
      <c r="AG2515" s="771"/>
      <c r="AH2515" s="771"/>
      <c r="AI2515" s="771"/>
      <c r="AJ2515" s="771"/>
      <c r="AK2515" s="771"/>
      <c r="AL2515" s="771"/>
      <c r="AM2515" s="771"/>
      <c r="AN2515" s="771"/>
      <c r="AO2515" s="771"/>
      <c r="AP2515" s="771"/>
      <c r="AQ2515" s="771"/>
      <c r="AR2515" s="771"/>
      <c r="AS2515" s="771"/>
      <c r="AT2515" s="771"/>
      <c r="AU2515" s="771"/>
    </row>
    <row r="2516" spans="1:47" s="1418" customFormat="1" outlineLevel="1" x14ac:dyDescent="0.2">
      <c r="A2516" s="8"/>
      <c r="B2516" s="8"/>
      <c r="C2516" s="1989" t="s">
        <v>4775</v>
      </c>
      <c r="D2516" s="1989" t="s">
        <v>5111</v>
      </c>
      <c r="E2516" s="1989">
        <v>0.66</v>
      </c>
      <c r="F2516" s="38">
        <f t="shared" si="39"/>
        <v>53.672018400000006</v>
      </c>
      <c r="G2516" s="1547"/>
      <c r="H2516" s="8"/>
      <c r="I2516" s="8"/>
      <c r="J2516" s="8"/>
      <c r="K2516" s="8"/>
      <c r="L2516" s="8"/>
      <c r="M2516" s="8"/>
      <c r="N2516" s="8"/>
      <c r="O2516" s="8"/>
      <c r="P2516" s="8"/>
      <c r="Q2516" s="8"/>
      <c r="R2516" s="8"/>
      <c r="S2516" s="8"/>
      <c r="T2516" s="8"/>
      <c r="U2516" s="8"/>
      <c r="V2516" s="8"/>
      <c r="W2516" s="8"/>
      <c r="X2516" s="771"/>
      <c r="Y2516" s="771"/>
      <c r="Z2516" s="771"/>
      <c r="AA2516" s="771"/>
      <c r="AB2516" s="771"/>
      <c r="AC2516" s="771"/>
      <c r="AD2516" s="771"/>
      <c r="AE2516" s="771"/>
      <c r="AF2516" s="771"/>
      <c r="AG2516" s="771"/>
      <c r="AH2516" s="771"/>
      <c r="AI2516" s="771"/>
      <c r="AJ2516" s="771"/>
      <c r="AK2516" s="771"/>
      <c r="AL2516" s="771"/>
      <c r="AM2516" s="771"/>
      <c r="AN2516" s="771"/>
      <c r="AO2516" s="771"/>
      <c r="AP2516" s="771"/>
      <c r="AQ2516" s="771"/>
      <c r="AR2516" s="771"/>
      <c r="AS2516" s="771"/>
      <c r="AT2516" s="771"/>
      <c r="AU2516" s="771"/>
    </row>
    <row r="2517" spans="1:47" s="1418" customFormat="1" outlineLevel="1" x14ac:dyDescent="0.2">
      <c r="A2517" s="8"/>
      <c r="B2517" s="8"/>
      <c r="C2517" s="1989" t="s">
        <v>4776</v>
      </c>
      <c r="D2517" s="1989" t="s">
        <v>5112</v>
      </c>
      <c r="E2517" s="1989">
        <v>0.74</v>
      </c>
      <c r="F2517" s="38">
        <f t="shared" si="39"/>
        <v>60.177717600000008</v>
      </c>
      <c r="G2517" s="1547"/>
      <c r="H2517" s="8"/>
      <c r="I2517" s="8"/>
      <c r="J2517" s="8"/>
      <c r="K2517" s="8"/>
      <c r="L2517" s="8"/>
      <c r="M2517" s="8"/>
      <c r="N2517" s="8"/>
      <c r="O2517" s="8"/>
      <c r="P2517" s="8"/>
      <c r="Q2517" s="8"/>
      <c r="R2517" s="8"/>
      <c r="S2517" s="8"/>
      <c r="T2517" s="8"/>
      <c r="U2517" s="8"/>
      <c r="V2517" s="8"/>
      <c r="W2517" s="8"/>
      <c r="X2517" s="771"/>
      <c r="Y2517" s="771"/>
      <c r="Z2517" s="771"/>
      <c r="AA2517" s="771"/>
      <c r="AB2517" s="771"/>
      <c r="AC2517" s="771"/>
      <c r="AD2517" s="771"/>
      <c r="AE2517" s="771"/>
      <c r="AF2517" s="771"/>
      <c r="AG2517" s="771"/>
      <c r="AH2517" s="771"/>
      <c r="AI2517" s="771"/>
      <c r="AJ2517" s="771"/>
      <c r="AK2517" s="771"/>
      <c r="AL2517" s="771"/>
      <c r="AM2517" s="771"/>
      <c r="AN2517" s="771"/>
      <c r="AO2517" s="771"/>
      <c r="AP2517" s="771"/>
      <c r="AQ2517" s="771"/>
      <c r="AR2517" s="771"/>
      <c r="AS2517" s="771"/>
      <c r="AT2517" s="771"/>
      <c r="AU2517" s="771"/>
    </row>
    <row r="2518" spans="1:47" s="1418" customFormat="1" outlineLevel="1" x14ac:dyDescent="0.2">
      <c r="A2518" s="8"/>
      <c r="B2518" s="8"/>
      <c r="C2518" s="1989" t="s">
        <v>4777</v>
      </c>
      <c r="D2518" s="1989" t="s">
        <v>5113</v>
      </c>
      <c r="E2518" s="1989">
        <v>0.85</v>
      </c>
      <c r="F2518" s="38">
        <f t="shared" si="39"/>
        <v>69.12305400000001</v>
      </c>
      <c r="G2518" s="1547"/>
      <c r="H2518" s="8"/>
      <c r="I2518" s="8"/>
      <c r="J2518" s="8"/>
      <c r="K2518" s="8"/>
      <c r="L2518" s="8"/>
      <c r="M2518" s="8"/>
      <c r="N2518" s="8"/>
      <c r="O2518" s="8"/>
      <c r="P2518" s="8"/>
      <c r="Q2518" s="8"/>
      <c r="R2518" s="8"/>
      <c r="S2518" s="8"/>
      <c r="T2518" s="8"/>
      <c r="U2518" s="8"/>
      <c r="V2518" s="8"/>
      <c r="W2518" s="8"/>
      <c r="X2518" s="771"/>
      <c r="Y2518" s="771"/>
      <c r="Z2518" s="771"/>
      <c r="AA2518" s="771"/>
      <c r="AB2518" s="771"/>
      <c r="AC2518" s="771"/>
      <c r="AD2518" s="771"/>
      <c r="AE2518" s="771"/>
      <c r="AF2518" s="771"/>
      <c r="AG2518" s="771"/>
      <c r="AH2518" s="771"/>
      <c r="AI2518" s="771"/>
      <c r="AJ2518" s="771"/>
      <c r="AK2518" s="771"/>
      <c r="AL2518" s="771"/>
      <c r="AM2518" s="771"/>
      <c r="AN2518" s="771"/>
      <c r="AO2518" s="771"/>
      <c r="AP2518" s="771"/>
      <c r="AQ2518" s="771"/>
      <c r="AR2518" s="771"/>
      <c r="AS2518" s="771"/>
      <c r="AT2518" s="771"/>
      <c r="AU2518" s="771"/>
    </row>
    <row r="2519" spans="1:47" s="1418" customFormat="1" outlineLevel="1" x14ac:dyDescent="0.2">
      <c r="A2519" s="8"/>
      <c r="B2519" s="8"/>
      <c r="C2519" s="1989" t="s">
        <v>4778</v>
      </c>
      <c r="D2519" s="1989" t="s">
        <v>5114</v>
      </c>
      <c r="E2519" s="1989">
        <v>0.93</v>
      </c>
      <c r="F2519" s="38">
        <f t="shared" si="39"/>
        <v>75.628753200000006</v>
      </c>
      <c r="G2519" s="1547"/>
      <c r="H2519" s="8"/>
      <c r="I2519" s="8"/>
      <c r="J2519" s="8"/>
      <c r="K2519" s="8"/>
      <c r="L2519" s="8"/>
      <c r="M2519" s="8"/>
      <c r="N2519" s="8"/>
      <c r="O2519" s="8"/>
      <c r="P2519" s="8"/>
      <c r="Q2519" s="8"/>
      <c r="R2519" s="8"/>
      <c r="S2519" s="8"/>
      <c r="T2519" s="8"/>
      <c r="U2519" s="8"/>
      <c r="V2519" s="8"/>
      <c r="W2519" s="8"/>
      <c r="X2519" s="771"/>
      <c r="Y2519" s="771"/>
      <c r="Z2519" s="771"/>
      <c r="AA2519" s="771"/>
      <c r="AB2519" s="771"/>
      <c r="AC2519" s="771"/>
      <c r="AD2519" s="771"/>
      <c r="AE2519" s="771"/>
      <c r="AF2519" s="771"/>
      <c r="AG2519" s="771"/>
      <c r="AH2519" s="771"/>
      <c r="AI2519" s="771"/>
      <c r="AJ2519" s="771"/>
      <c r="AK2519" s="771"/>
      <c r="AL2519" s="771"/>
      <c r="AM2519" s="771"/>
      <c r="AN2519" s="771"/>
      <c r="AO2519" s="771"/>
      <c r="AP2519" s="771"/>
      <c r="AQ2519" s="771"/>
      <c r="AR2519" s="771"/>
      <c r="AS2519" s="771"/>
      <c r="AT2519" s="771"/>
      <c r="AU2519" s="771"/>
    </row>
    <row r="2520" spans="1:47" s="1418" customFormat="1" outlineLevel="1" x14ac:dyDescent="0.2">
      <c r="A2520" s="8"/>
      <c r="B2520" s="8"/>
      <c r="C2520" s="1989" t="s">
        <v>4779</v>
      </c>
      <c r="D2520" s="1989" t="s">
        <v>4780</v>
      </c>
      <c r="E2520" s="1989">
        <v>1</v>
      </c>
      <c r="F2520" s="38">
        <f t="shared" si="39"/>
        <v>81.321240000000003</v>
      </c>
      <c r="G2520" s="1547"/>
      <c r="H2520" s="8"/>
      <c r="I2520" s="8"/>
      <c r="J2520" s="8"/>
      <c r="K2520" s="8"/>
      <c r="L2520" s="8"/>
      <c r="M2520" s="8"/>
      <c r="N2520" s="8"/>
      <c r="O2520" s="8"/>
      <c r="P2520" s="8"/>
      <c r="Q2520" s="8"/>
      <c r="R2520" s="8"/>
      <c r="S2520" s="8"/>
      <c r="T2520" s="8"/>
      <c r="U2520" s="8"/>
      <c r="V2520" s="8"/>
      <c r="W2520" s="8"/>
      <c r="X2520" s="771"/>
      <c r="Y2520" s="771"/>
      <c r="Z2520" s="771"/>
      <c r="AA2520" s="771"/>
      <c r="AB2520" s="771"/>
      <c r="AC2520" s="771"/>
      <c r="AD2520" s="771"/>
      <c r="AE2520" s="771"/>
      <c r="AF2520" s="771"/>
      <c r="AG2520" s="771"/>
      <c r="AH2520" s="771"/>
      <c r="AI2520" s="771"/>
      <c r="AJ2520" s="771"/>
      <c r="AK2520" s="771"/>
      <c r="AL2520" s="771"/>
      <c r="AM2520" s="771"/>
      <c r="AN2520" s="771"/>
      <c r="AO2520" s="771"/>
      <c r="AP2520" s="771"/>
      <c r="AQ2520" s="771"/>
      <c r="AR2520" s="771"/>
      <c r="AS2520" s="771"/>
      <c r="AT2520" s="771"/>
      <c r="AU2520" s="771"/>
    </row>
    <row r="2521" spans="1:47" s="1418" customFormat="1" outlineLevel="1" x14ac:dyDescent="0.2">
      <c r="A2521" s="8"/>
      <c r="B2521" s="8"/>
      <c r="C2521" s="1989" t="s">
        <v>4781</v>
      </c>
      <c r="D2521" s="1989" t="s">
        <v>4782</v>
      </c>
      <c r="E2521" s="1989">
        <v>1.17</v>
      </c>
      <c r="F2521" s="38">
        <f t="shared" si="39"/>
        <v>95.145850800000005</v>
      </c>
      <c r="G2521" s="1547"/>
      <c r="H2521" s="8"/>
      <c r="I2521" s="8"/>
      <c r="J2521" s="8"/>
      <c r="K2521" s="8"/>
      <c r="L2521" s="8"/>
      <c r="M2521" s="8"/>
      <c r="N2521" s="8"/>
      <c r="O2521" s="8"/>
      <c r="P2521" s="8"/>
      <c r="Q2521" s="8"/>
      <c r="R2521" s="8"/>
      <c r="S2521" s="8"/>
      <c r="T2521" s="8"/>
      <c r="U2521" s="8"/>
      <c r="V2521" s="8"/>
      <c r="W2521" s="8"/>
      <c r="X2521" s="771"/>
      <c r="Y2521" s="771"/>
      <c r="Z2521" s="771"/>
      <c r="AA2521" s="771"/>
      <c r="AB2521" s="771"/>
      <c r="AC2521" s="771"/>
      <c r="AD2521" s="771"/>
      <c r="AE2521" s="771"/>
      <c r="AF2521" s="771"/>
      <c r="AG2521" s="771"/>
      <c r="AH2521" s="771"/>
      <c r="AI2521" s="771"/>
      <c r="AJ2521" s="771"/>
      <c r="AK2521" s="771"/>
      <c r="AL2521" s="771"/>
      <c r="AM2521" s="771"/>
      <c r="AN2521" s="771"/>
      <c r="AO2521" s="771"/>
      <c r="AP2521" s="771"/>
      <c r="AQ2521" s="771"/>
      <c r="AR2521" s="771"/>
      <c r="AS2521" s="771"/>
      <c r="AT2521" s="771"/>
      <c r="AU2521" s="771"/>
    </row>
    <row r="2522" spans="1:47" s="1418" customFormat="1" outlineLevel="1" x14ac:dyDescent="0.2">
      <c r="A2522" s="8"/>
      <c r="B2522" s="8"/>
      <c r="C2522" s="1989" t="s">
        <v>4783</v>
      </c>
      <c r="D2522" s="1989" t="s">
        <v>5115</v>
      </c>
      <c r="E2522" s="1989">
        <v>0.84</v>
      </c>
      <c r="F2522" s="38">
        <f t="shared" si="39"/>
        <v>68.309841599999999</v>
      </c>
      <c r="G2522" s="1547"/>
      <c r="H2522" s="8"/>
      <c r="I2522" s="8"/>
      <c r="J2522" s="8"/>
      <c r="K2522" s="8"/>
      <c r="L2522" s="8"/>
      <c r="M2522" s="8"/>
      <c r="N2522" s="8"/>
      <c r="O2522" s="8"/>
      <c r="P2522" s="8"/>
      <c r="Q2522" s="8"/>
      <c r="R2522" s="8"/>
      <c r="S2522" s="8"/>
      <c r="T2522" s="8"/>
      <c r="U2522" s="8"/>
      <c r="V2522" s="8"/>
      <c r="W2522" s="8"/>
      <c r="X2522" s="771"/>
      <c r="Y2522" s="771"/>
      <c r="Z2522" s="771"/>
      <c r="AA2522" s="771"/>
      <c r="AB2522" s="771"/>
      <c r="AC2522" s="771"/>
      <c r="AD2522" s="771"/>
      <c r="AE2522" s="771"/>
      <c r="AF2522" s="771"/>
      <c r="AG2522" s="771"/>
      <c r="AH2522" s="771"/>
      <c r="AI2522" s="771"/>
      <c r="AJ2522" s="771"/>
      <c r="AK2522" s="771"/>
      <c r="AL2522" s="771"/>
      <c r="AM2522" s="771"/>
      <c r="AN2522" s="771"/>
      <c r="AO2522" s="771"/>
      <c r="AP2522" s="771"/>
      <c r="AQ2522" s="771"/>
      <c r="AR2522" s="771"/>
      <c r="AS2522" s="771"/>
      <c r="AT2522" s="771"/>
      <c r="AU2522" s="771"/>
    </row>
    <row r="2523" spans="1:47" s="1418" customFormat="1" outlineLevel="1" x14ac:dyDescent="0.2">
      <c r="A2523" s="8"/>
      <c r="B2523" s="8"/>
      <c r="C2523" s="1989" t="s">
        <v>4784</v>
      </c>
      <c r="D2523" s="1989" t="s">
        <v>5116</v>
      </c>
      <c r="E2523" s="1989">
        <v>0.94</v>
      </c>
      <c r="F2523" s="38">
        <f t="shared" si="39"/>
        <v>76.441965600000003</v>
      </c>
      <c r="G2523" s="1547"/>
      <c r="H2523" s="8"/>
      <c r="I2523" s="8"/>
      <c r="J2523" s="8"/>
      <c r="K2523" s="8"/>
      <c r="L2523" s="8"/>
      <c r="M2523" s="8"/>
      <c r="N2523" s="8"/>
      <c r="O2523" s="8"/>
      <c r="P2523" s="8"/>
      <c r="Q2523" s="8"/>
      <c r="R2523" s="8"/>
      <c r="S2523" s="8"/>
      <c r="T2523" s="8"/>
      <c r="U2523" s="8"/>
      <c r="V2523" s="8"/>
      <c r="W2523" s="8"/>
      <c r="X2523" s="771"/>
      <c r="Y2523" s="771"/>
      <c r="Z2523" s="771"/>
      <c r="AA2523" s="771"/>
      <c r="AB2523" s="771"/>
      <c r="AC2523" s="771"/>
      <c r="AD2523" s="771"/>
      <c r="AE2523" s="771"/>
      <c r="AF2523" s="771"/>
      <c r="AG2523" s="771"/>
      <c r="AH2523" s="771"/>
      <c r="AI2523" s="771"/>
      <c r="AJ2523" s="771"/>
      <c r="AK2523" s="771"/>
      <c r="AL2523" s="771"/>
      <c r="AM2523" s="771"/>
      <c r="AN2523" s="771"/>
      <c r="AO2523" s="771"/>
      <c r="AP2523" s="771"/>
      <c r="AQ2523" s="771"/>
      <c r="AR2523" s="771"/>
      <c r="AS2523" s="771"/>
      <c r="AT2523" s="771"/>
      <c r="AU2523" s="771"/>
    </row>
    <row r="2524" spans="1:47" s="1418" customFormat="1" outlineLevel="1" x14ac:dyDescent="0.2">
      <c r="A2524" s="8"/>
      <c r="B2524" s="8"/>
      <c r="C2524" s="1989" t="s">
        <v>4785</v>
      </c>
      <c r="D2524" s="1989" t="s">
        <v>5117</v>
      </c>
      <c r="E2524" s="1989">
        <v>1.07</v>
      </c>
      <c r="F2524" s="38">
        <f t="shared" si="39"/>
        <v>87.013726800000015</v>
      </c>
      <c r="G2524" s="1547"/>
      <c r="H2524" s="8"/>
      <c r="I2524" s="8"/>
      <c r="J2524" s="8"/>
      <c r="K2524" s="8"/>
      <c r="L2524" s="8"/>
      <c r="M2524" s="8"/>
      <c r="N2524" s="8"/>
      <c r="O2524" s="8"/>
      <c r="P2524" s="8"/>
      <c r="Q2524" s="8"/>
      <c r="R2524" s="8"/>
      <c r="S2524" s="8"/>
      <c r="T2524" s="8"/>
      <c r="U2524" s="8"/>
      <c r="V2524" s="8"/>
      <c r="W2524" s="8"/>
      <c r="X2524" s="771"/>
      <c r="Y2524" s="771"/>
      <c r="Z2524" s="771"/>
      <c r="AA2524" s="771"/>
      <c r="AB2524" s="771"/>
      <c r="AC2524" s="771"/>
      <c r="AD2524" s="771"/>
      <c r="AE2524" s="771"/>
      <c r="AF2524" s="771"/>
      <c r="AG2524" s="771"/>
      <c r="AH2524" s="771"/>
      <c r="AI2524" s="771"/>
      <c r="AJ2524" s="771"/>
      <c r="AK2524" s="771"/>
      <c r="AL2524" s="771"/>
      <c r="AM2524" s="771"/>
      <c r="AN2524" s="771"/>
      <c r="AO2524" s="771"/>
      <c r="AP2524" s="771"/>
      <c r="AQ2524" s="771"/>
      <c r="AR2524" s="771"/>
      <c r="AS2524" s="771"/>
      <c r="AT2524" s="771"/>
      <c r="AU2524" s="771"/>
    </row>
    <row r="2525" spans="1:47" s="1418" customFormat="1" outlineLevel="1" x14ac:dyDescent="0.2">
      <c r="A2525" s="8"/>
      <c r="B2525" s="8"/>
      <c r="C2525" s="1989" t="s">
        <v>4786</v>
      </c>
      <c r="D2525" s="1989" t="s">
        <v>5118</v>
      </c>
      <c r="E2525" s="1989">
        <v>1.18</v>
      </c>
      <c r="F2525" s="38">
        <f t="shared" si="39"/>
        <v>95.959063200000003</v>
      </c>
      <c r="G2525" s="1547"/>
      <c r="H2525" s="8"/>
      <c r="I2525" s="8"/>
      <c r="J2525" s="8"/>
      <c r="K2525" s="8"/>
      <c r="L2525" s="8"/>
      <c r="M2525" s="8"/>
      <c r="N2525" s="8"/>
      <c r="O2525" s="8"/>
      <c r="P2525" s="8"/>
      <c r="Q2525" s="8"/>
      <c r="R2525" s="8"/>
      <c r="S2525" s="8"/>
      <c r="T2525" s="8"/>
      <c r="U2525" s="8"/>
      <c r="V2525" s="8"/>
      <c r="W2525" s="8"/>
      <c r="X2525" s="771"/>
      <c r="Y2525" s="771"/>
      <c r="Z2525" s="771"/>
      <c r="AA2525" s="771"/>
      <c r="AB2525" s="771"/>
      <c r="AC2525" s="771"/>
      <c r="AD2525" s="771"/>
      <c r="AE2525" s="771"/>
      <c r="AF2525" s="771"/>
      <c r="AG2525" s="771"/>
      <c r="AH2525" s="771"/>
      <c r="AI2525" s="771"/>
      <c r="AJ2525" s="771"/>
      <c r="AK2525" s="771"/>
      <c r="AL2525" s="771"/>
      <c r="AM2525" s="771"/>
      <c r="AN2525" s="771"/>
      <c r="AO2525" s="771"/>
      <c r="AP2525" s="771"/>
      <c r="AQ2525" s="771"/>
      <c r="AR2525" s="771"/>
      <c r="AS2525" s="771"/>
      <c r="AT2525" s="771"/>
      <c r="AU2525" s="771"/>
    </row>
    <row r="2526" spans="1:47" s="1418" customFormat="1" outlineLevel="1" x14ac:dyDescent="0.2">
      <c r="A2526" s="8"/>
      <c r="B2526" s="8"/>
      <c r="C2526" s="1989" t="s">
        <v>4787</v>
      </c>
      <c r="D2526" s="1989" t="s">
        <v>4788</v>
      </c>
      <c r="E2526" s="1989">
        <v>1.3</v>
      </c>
      <c r="F2526" s="38">
        <f t="shared" si="39"/>
        <v>105.71761200000002</v>
      </c>
      <c r="G2526" s="1547"/>
      <c r="H2526" s="8"/>
      <c r="I2526" s="8"/>
      <c r="J2526" s="8"/>
      <c r="K2526" s="8"/>
      <c r="L2526" s="8"/>
      <c r="M2526" s="8"/>
      <c r="N2526" s="8"/>
      <c r="O2526" s="8"/>
      <c r="P2526" s="8"/>
      <c r="Q2526" s="8"/>
      <c r="R2526" s="8"/>
      <c r="S2526" s="8"/>
      <c r="T2526" s="8"/>
      <c r="U2526" s="8"/>
      <c r="V2526" s="8"/>
      <c r="W2526" s="8"/>
      <c r="X2526" s="771"/>
      <c r="Y2526" s="771"/>
      <c r="Z2526" s="771"/>
      <c r="AA2526" s="771"/>
      <c r="AB2526" s="771"/>
      <c r="AC2526" s="771"/>
      <c r="AD2526" s="771"/>
      <c r="AE2526" s="771"/>
      <c r="AF2526" s="771"/>
      <c r="AG2526" s="771"/>
      <c r="AH2526" s="771"/>
      <c r="AI2526" s="771"/>
      <c r="AJ2526" s="771"/>
      <c r="AK2526" s="771"/>
      <c r="AL2526" s="771"/>
      <c r="AM2526" s="771"/>
      <c r="AN2526" s="771"/>
      <c r="AO2526" s="771"/>
      <c r="AP2526" s="771"/>
      <c r="AQ2526" s="771"/>
      <c r="AR2526" s="771"/>
      <c r="AS2526" s="771"/>
      <c r="AT2526" s="771"/>
      <c r="AU2526" s="771"/>
    </row>
    <row r="2527" spans="1:47" s="1418" customFormat="1" outlineLevel="1" x14ac:dyDescent="0.2">
      <c r="A2527" s="8"/>
      <c r="B2527" s="8"/>
      <c r="C2527" s="1989" t="s">
        <v>4789</v>
      </c>
      <c r="D2527" s="1989" t="s">
        <v>4790</v>
      </c>
      <c r="E2527" s="1989">
        <v>1.52</v>
      </c>
      <c r="F2527" s="38">
        <f t="shared" si="39"/>
        <v>123.60828479999999</v>
      </c>
      <c r="G2527" s="1547"/>
      <c r="H2527" s="8"/>
      <c r="I2527" s="8"/>
      <c r="J2527" s="8"/>
      <c r="K2527" s="8"/>
      <c r="L2527" s="8"/>
      <c r="M2527" s="8"/>
      <c r="N2527" s="8"/>
      <c r="O2527" s="8"/>
      <c r="P2527" s="8"/>
      <c r="Q2527" s="8"/>
      <c r="R2527" s="8"/>
      <c r="S2527" s="8"/>
      <c r="T2527" s="8"/>
      <c r="U2527" s="8"/>
      <c r="V2527" s="8"/>
      <c r="W2527" s="8"/>
      <c r="X2527" s="771"/>
      <c r="Y2527" s="771"/>
      <c r="Z2527" s="771"/>
      <c r="AA2527" s="771"/>
      <c r="AB2527" s="771"/>
      <c r="AC2527" s="771"/>
      <c r="AD2527" s="771"/>
      <c r="AE2527" s="771"/>
      <c r="AF2527" s="771"/>
      <c r="AG2527" s="771"/>
      <c r="AH2527" s="771"/>
      <c r="AI2527" s="771"/>
      <c r="AJ2527" s="771"/>
      <c r="AK2527" s="771"/>
      <c r="AL2527" s="771"/>
      <c r="AM2527" s="771"/>
      <c r="AN2527" s="771"/>
      <c r="AO2527" s="771"/>
      <c r="AP2527" s="771"/>
      <c r="AQ2527" s="771"/>
      <c r="AR2527" s="771"/>
      <c r="AS2527" s="771"/>
      <c r="AT2527" s="771"/>
      <c r="AU2527" s="771"/>
    </row>
    <row r="2528" spans="1:47" s="1418" customFormat="1" outlineLevel="1" x14ac:dyDescent="0.2">
      <c r="A2528" s="8"/>
      <c r="B2528" s="8"/>
      <c r="C2528" s="1989" t="s">
        <v>4791</v>
      </c>
      <c r="D2528" s="1989" t="s">
        <v>5119</v>
      </c>
      <c r="E2528" s="1989">
        <v>0.33</v>
      </c>
      <c r="F2528" s="38">
        <f t="shared" si="39"/>
        <v>26.836009200000003</v>
      </c>
      <c r="G2528" s="1547"/>
      <c r="H2528" s="8"/>
      <c r="I2528" s="8"/>
      <c r="J2528" s="8"/>
      <c r="K2528" s="8"/>
      <c r="L2528" s="8"/>
      <c r="M2528" s="8"/>
      <c r="N2528" s="8"/>
      <c r="O2528" s="8"/>
      <c r="P2528" s="8"/>
      <c r="Q2528" s="8"/>
      <c r="R2528" s="8"/>
      <c r="S2528" s="8"/>
      <c r="T2528" s="8"/>
      <c r="U2528" s="8"/>
      <c r="V2528" s="8"/>
      <c r="W2528" s="8"/>
      <c r="X2528" s="771"/>
      <c r="Y2528" s="771"/>
      <c r="Z2528" s="771"/>
      <c r="AA2528" s="771"/>
      <c r="AB2528" s="771"/>
      <c r="AC2528" s="771"/>
      <c r="AD2528" s="771"/>
      <c r="AE2528" s="771"/>
      <c r="AF2528" s="771"/>
      <c r="AG2528" s="771"/>
      <c r="AH2528" s="771"/>
      <c r="AI2528" s="771"/>
      <c r="AJ2528" s="771"/>
      <c r="AK2528" s="771"/>
      <c r="AL2528" s="771"/>
      <c r="AM2528" s="771"/>
      <c r="AN2528" s="771"/>
      <c r="AO2528" s="771"/>
      <c r="AP2528" s="771"/>
      <c r="AQ2528" s="771"/>
      <c r="AR2528" s="771"/>
      <c r="AS2528" s="771"/>
      <c r="AT2528" s="771"/>
      <c r="AU2528" s="771"/>
    </row>
    <row r="2529" spans="1:47" s="1418" customFormat="1" outlineLevel="1" x14ac:dyDescent="0.2">
      <c r="A2529" s="8"/>
      <c r="B2529" s="8"/>
      <c r="C2529" s="1989" t="s">
        <v>4792</v>
      </c>
      <c r="D2529" s="1989" t="s">
        <v>5120</v>
      </c>
      <c r="E2529" s="1989">
        <v>0.37</v>
      </c>
      <c r="F2529" s="38">
        <f t="shared" si="39"/>
        <v>30.088858800000004</v>
      </c>
      <c r="G2529" s="1547"/>
      <c r="H2529" s="8"/>
      <c r="I2529" s="8"/>
      <c r="J2529" s="8"/>
      <c r="K2529" s="8"/>
      <c r="L2529" s="8"/>
      <c r="M2529" s="8"/>
      <c r="N2529" s="8"/>
      <c r="O2529" s="8"/>
      <c r="P2529" s="8"/>
      <c r="Q2529" s="8"/>
      <c r="R2529" s="8"/>
      <c r="S2529" s="8"/>
      <c r="T2529" s="8"/>
      <c r="U2529" s="8"/>
      <c r="V2529" s="8"/>
      <c r="W2529" s="8"/>
      <c r="X2529" s="771"/>
      <c r="Y2529" s="771"/>
      <c r="Z2529" s="771"/>
      <c r="AA2529" s="771"/>
      <c r="AB2529" s="771"/>
      <c r="AC2529" s="771"/>
      <c r="AD2529" s="771"/>
      <c r="AE2529" s="771"/>
      <c r="AF2529" s="771"/>
      <c r="AG2529" s="771"/>
      <c r="AH2529" s="771"/>
      <c r="AI2529" s="771"/>
      <c r="AJ2529" s="771"/>
      <c r="AK2529" s="771"/>
      <c r="AL2529" s="771"/>
      <c r="AM2529" s="771"/>
      <c r="AN2529" s="771"/>
      <c r="AO2529" s="771"/>
      <c r="AP2529" s="771"/>
      <c r="AQ2529" s="771"/>
      <c r="AR2529" s="771"/>
      <c r="AS2529" s="771"/>
      <c r="AT2529" s="771"/>
      <c r="AU2529" s="771"/>
    </row>
    <row r="2530" spans="1:47" s="1418" customFormat="1" outlineLevel="1" x14ac:dyDescent="0.2">
      <c r="A2530" s="8"/>
      <c r="B2530" s="8"/>
      <c r="C2530" s="1989" t="s">
        <v>4793</v>
      </c>
      <c r="D2530" s="1989" t="s">
        <v>5121</v>
      </c>
      <c r="E2530" s="1989">
        <v>0.39</v>
      </c>
      <c r="F2530" s="38">
        <f t="shared" si="39"/>
        <v>31.715283599999999</v>
      </c>
      <c r="G2530" s="1547"/>
      <c r="H2530" s="8"/>
      <c r="I2530" s="8"/>
      <c r="J2530" s="8"/>
      <c r="K2530" s="8"/>
      <c r="L2530" s="8"/>
      <c r="M2530" s="8"/>
      <c r="N2530" s="8"/>
      <c r="O2530" s="8"/>
      <c r="P2530" s="8"/>
      <c r="Q2530" s="8"/>
      <c r="R2530" s="8"/>
      <c r="S2530" s="8"/>
      <c r="T2530" s="8"/>
      <c r="U2530" s="8"/>
      <c r="V2530" s="8"/>
      <c r="W2530" s="8"/>
      <c r="X2530" s="771"/>
      <c r="Y2530" s="771"/>
      <c r="Z2530" s="771"/>
      <c r="AA2530" s="771"/>
      <c r="AB2530" s="771"/>
      <c r="AC2530" s="771"/>
      <c r="AD2530" s="771"/>
      <c r="AE2530" s="771"/>
      <c r="AF2530" s="771"/>
      <c r="AG2530" s="771"/>
      <c r="AH2530" s="771"/>
      <c r="AI2530" s="771"/>
      <c r="AJ2530" s="771"/>
      <c r="AK2530" s="771"/>
      <c r="AL2530" s="771"/>
      <c r="AM2530" s="771"/>
      <c r="AN2530" s="771"/>
      <c r="AO2530" s="771"/>
      <c r="AP2530" s="771"/>
      <c r="AQ2530" s="771"/>
      <c r="AR2530" s="771"/>
      <c r="AS2530" s="771"/>
      <c r="AT2530" s="771"/>
      <c r="AU2530" s="771"/>
    </row>
    <row r="2531" spans="1:47" s="1418" customFormat="1" outlineLevel="1" x14ac:dyDescent="0.2">
      <c r="A2531" s="8"/>
      <c r="B2531" s="8"/>
      <c r="C2531" s="1989" t="s">
        <v>4794</v>
      </c>
      <c r="D2531" s="1989" t="s">
        <v>5122</v>
      </c>
      <c r="E2531" s="1989">
        <v>0.4</v>
      </c>
      <c r="F2531" s="38">
        <f t="shared" si="39"/>
        <v>32.528496000000004</v>
      </c>
      <c r="G2531" s="1547"/>
      <c r="H2531" s="8"/>
      <c r="I2531" s="8"/>
      <c r="J2531" s="8"/>
      <c r="K2531" s="8"/>
      <c r="L2531" s="8"/>
      <c r="M2531" s="8"/>
      <c r="N2531" s="8"/>
      <c r="O2531" s="8"/>
      <c r="P2531" s="8"/>
      <c r="Q2531" s="8"/>
      <c r="R2531" s="8"/>
      <c r="S2531" s="8"/>
      <c r="T2531" s="8"/>
      <c r="U2531" s="8"/>
      <c r="V2531" s="8"/>
      <c r="W2531" s="8"/>
      <c r="X2531" s="771"/>
      <c r="Y2531" s="771"/>
      <c r="Z2531" s="771"/>
      <c r="AA2531" s="771"/>
      <c r="AB2531" s="771"/>
      <c r="AC2531" s="771"/>
      <c r="AD2531" s="771"/>
      <c r="AE2531" s="771"/>
      <c r="AF2531" s="771"/>
      <c r="AG2531" s="771"/>
      <c r="AH2531" s="771"/>
      <c r="AI2531" s="771"/>
      <c r="AJ2531" s="771"/>
      <c r="AK2531" s="771"/>
      <c r="AL2531" s="771"/>
      <c r="AM2531" s="771"/>
      <c r="AN2531" s="771"/>
      <c r="AO2531" s="771"/>
      <c r="AP2531" s="771"/>
      <c r="AQ2531" s="771"/>
      <c r="AR2531" s="771"/>
      <c r="AS2531" s="771"/>
      <c r="AT2531" s="771"/>
      <c r="AU2531" s="771"/>
    </row>
    <row r="2532" spans="1:47" s="1418" customFormat="1" outlineLevel="1" x14ac:dyDescent="0.2">
      <c r="A2532" s="8"/>
      <c r="B2532" s="8"/>
      <c r="C2532" s="1989" t="s">
        <v>4795</v>
      </c>
      <c r="D2532" s="1989" t="s">
        <v>5123</v>
      </c>
      <c r="E2532" s="1989">
        <v>0.45</v>
      </c>
      <c r="F2532" s="38">
        <f t="shared" si="39"/>
        <v>36.594558000000006</v>
      </c>
      <c r="G2532" s="1547"/>
      <c r="H2532" s="8"/>
      <c r="I2532" s="8"/>
      <c r="J2532" s="8"/>
      <c r="K2532" s="8"/>
      <c r="L2532" s="8"/>
      <c r="M2532" s="8"/>
      <c r="N2532" s="8"/>
      <c r="O2532" s="8"/>
      <c r="P2532" s="8"/>
      <c r="Q2532" s="8"/>
      <c r="R2532" s="8"/>
      <c r="S2532" s="8"/>
      <c r="T2532" s="8"/>
      <c r="U2532" s="8"/>
      <c r="V2532" s="8"/>
      <c r="W2532" s="8"/>
      <c r="X2532" s="771"/>
      <c r="Y2532" s="771"/>
      <c r="Z2532" s="771"/>
      <c r="AA2532" s="771"/>
      <c r="AB2532" s="771"/>
      <c r="AC2532" s="771"/>
      <c r="AD2532" s="771"/>
      <c r="AE2532" s="771"/>
      <c r="AF2532" s="771"/>
      <c r="AG2532" s="771"/>
      <c r="AH2532" s="771"/>
      <c r="AI2532" s="771"/>
      <c r="AJ2532" s="771"/>
      <c r="AK2532" s="771"/>
      <c r="AL2532" s="771"/>
      <c r="AM2532" s="771"/>
      <c r="AN2532" s="771"/>
      <c r="AO2532" s="771"/>
      <c r="AP2532" s="771"/>
      <c r="AQ2532" s="771"/>
      <c r="AR2532" s="771"/>
      <c r="AS2532" s="771"/>
      <c r="AT2532" s="771"/>
      <c r="AU2532" s="771"/>
    </row>
    <row r="2533" spans="1:47" s="1418" customFormat="1" outlineLevel="1" x14ac:dyDescent="0.2">
      <c r="A2533" s="8"/>
      <c r="B2533" s="8"/>
      <c r="C2533" s="1989" t="s">
        <v>4796</v>
      </c>
      <c r="D2533" s="1989" t="s">
        <v>5124</v>
      </c>
      <c r="E2533" s="1989">
        <v>0.48</v>
      </c>
      <c r="F2533" s="38">
        <f t="shared" si="39"/>
        <v>39.034195199999999</v>
      </c>
      <c r="G2533" s="1547"/>
      <c r="H2533" s="8"/>
      <c r="I2533" s="8"/>
      <c r="J2533" s="8"/>
      <c r="K2533" s="8"/>
      <c r="L2533" s="8"/>
      <c r="M2533" s="8"/>
      <c r="N2533" s="8"/>
      <c r="O2533" s="8"/>
      <c r="P2533" s="8"/>
      <c r="Q2533" s="8"/>
      <c r="R2533" s="8"/>
      <c r="S2533" s="8"/>
      <c r="T2533" s="8"/>
      <c r="U2533" s="8"/>
      <c r="V2533" s="8"/>
      <c r="W2533" s="8"/>
      <c r="X2533" s="771"/>
      <c r="Y2533" s="771"/>
      <c r="Z2533" s="771"/>
      <c r="AA2533" s="771"/>
      <c r="AB2533" s="771"/>
      <c r="AC2533" s="771"/>
      <c r="AD2533" s="771"/>
      <c r="AE2533" s="771"/>
      <c r="AF2533" s="771"/>
      <c r="AG2533" s="771"/>
      <c r="AH2533" s="771"/>
      <c r="AI2533" s="771"/>
      <c r="AJ2533" s="771"/>
      <c r="AK2533" s="771"/>
      <c r="AL2533" s="771"/>
      <c r="AM2533" s="771"/>
      <c r="AN2533" s="771"/>
      <c r="AO2533" s="771"/>
      <c r="AP2533" s="771"/>
      <c r="AQ2533" s="771"/>
      <c r="AR2533" s="771"/>
      <c r="AS2533" s="771"/>
      <c r="AT2533" s="771"/>
      <c r="AU2533" s="771"/>
    </row>
    <row r="2534" spans="1:47" s="1418" customFormat="1" outlineLevel="1" x14ac:dyDescent="0.2">
      <c r="A2534" s="8"/>
      <c r="B2534" s="8"/>
      <c r="C2534" s="1989" t="s">
        <v>4797</v>
      </c>
      <c r="D2534" s="1989" t="s">
        <v>5125</v>
      </c>
      <c r="E2534" s="1989">
        <v>0.54</v>
      </c>
      <c r="F2534" s="38">
        <f t="shared" si="39"/>
        <v>43.913469600000006</v>
      </c>
      <c r="G2534" s="1547"/>
      <c r="H2534" s="8"/>
      <c r="I2534" s="8"/>
      <c r="J2534" s="8"/>
      <c r="K2534" s="8"/>
      <c r="L2534" s="8"/>
      <c r="M2534" s="8"/>
      <c r="N2534" s="8"/>
      <c r="O2534" s="8"/>
      <c r="P2534" s="8"/>
      <c r="Q2534" s="8"/>
      <c r="R2534" s="8"/>
      <c r="S2534" s="8"/>
      <c r="T2534" s="8"/>
      <c r="U2534" s="8"/>
      <c r="V2534" s="8"/>
      <c r="W2534" s="8"/>
      <c r="X2534" s="771"/>
      <c r="Y2534" s="771"/>
      <c r="Z2534" s="771"/>
      <c r="AA2534" s="771"/>
      <c r="AB2534" s="771"/>
      <c r="AC2534" s="771"/>
      <c r="AD2534" s="771"/>
      <c r="AE2534" s="771"/>
      <c r="AF2534" s="771"/>
      <c r="AG2534" s="771"/>
      <c r="AH2534" s="771"/>
      <c r="AI2534" s="771"/>
      <c r="AJ2534" s="771"/>
      <c r="AK2534" s="771"/>
      <c r="AL2534" s="771"/>
      <c r="AM2534" s="771"/>
      <c r="AN2534" s="771"/>
      <c r="AO2534" s="771"/>
      <c r="AP2534" s="771"/>
      <c r="AQ2534" s="771"/>
      <c r="AR2534" s="771"/>
      <c r="AS2534" s="771"/>
      <c r="AT2534" s="771"/>
      <c r="AU2534" s="771"/>
    </row>
    <row r="2535" spans="1:47" s="1418" customFormat="1" outlineLevel="1" x14ac:dyDescent="0.2">
      <c r="A2535" s="8"/>
      <c r="B2535" s="8"/>
      <c r="C2535" s="1989" t="s">
        <v>4798</v>
      </c>
      <c r="D2535" s="1989" t="s">
        <v>5126</v>
      </c>
      <c r="E2535" s="1989">
        <v>0.57999999999999996</v>
      </c>
      <c r="F2535" s="38">
        <f t="shared" si="39"/>
        <v>47.166319199999997</v>
      </c>
      <c r="G2535" s="1547"/>
      <c r="H2535" s="8"/>
      <c r="I2535" s="8"/>
      <c r="J2535" s="8"/>
      <c r="K2535" s="8"/>
      <c r="L2535" s="8"/>
      <c r="M2535" s="8"/>
      <c r="N2535" s="8"/>
      <c r="O2535" s="8"/>
      <c r="P2535" s="8"/>
      <c r="Q2535" s="8"/>
      <c r="R2535" s="8"/>
      <c r="S2535" s="8"/>
      <c r="T2535" s="8"/>
      <c r="U2535" s="8"/>
      <c r="V2535" s="8"/>
      <c r="W2535" s="8"/>
      <c r="X2535" s="771"/>
      <c r="Y2535" s="771"/>
      <c r="Z2535" s="771"/>
      <c r="AA2535" s="771"/>
      <c r="AB2535" s="771"/>
      <c r="AC2535" s="771"/>
      <c r="AD2535" s="771"/>
      <c r="AE2535" s="771"/>
      <c r="AF2535" s="771"/>
      <c r="AG2535" s="771"/>
      <c r="AH2535" s="771"/>
      <c r="AI2535" s="771"/>
      <c r="AJ2535" s="771"/>
      <c r="AK2535" s="771"/>
      <c r="AL2535" s="771"/>
      <c r="AM2535" s="771"/>
      <c r="AN2535" s="771"/>
      <c r="AO2535" s="771"/>
      <c r="AP2535" s="771"/>
      <c r="AQ2535" s="771"/>
      <c r="AR2535" s="771"/>
      <c r="AS2535" s="771"/>
      <c r="AT2535" s="771"/>
      <c r="AU2535" s="771"/>
    </row>
    <row r="2536" spans="1:47" s="1418" customFormat="1" outlineLevel="1" x14ac:dyDescent="0.2">
      <c r="A2536" s="8"/>
      <c r="B2536" s="8"/>
      <c r="C2536" s="1989" t="s">
        <v>4799</v>
      </c>
      <c r="D2536" s="1989" t="s">
        <v>4800</v>
      </c>
      <c r="E2536" s="1989">
        <v>0.61</v>
      </c>
      <c r="F2536" s="38">
        <f t="shared" si="39"/>
        <v>49.605956400000004</v>
      </c>
      <c r="G2536" s="1547"/>
      <c r="H2536" s="8"/>
      <c r="I2536" s="8"/>
      <c r="J2536" s="8"/>
      <c r="K2536" s="8"/>
      <c r="L2536" s="8"/>
      <c r="M2536" s="8"/>
      <c r="N2536" s="8"/>
      <c r="O2536" s="8"/>
      <c r="P2536" s="8"/>
      <c r="Q2536" s="8"/>
      <c r="R2536" s="8"/>
      <c r="S2536" s="8"/>
      <c r="T2536" s="8"/>
      <c r="U2536" s="8"/>
      <c r="V2536" s="8"/>
      <c r="W2536" s="8"/>
      <c r="X2536" s="771"/>
      <c r="Y2536" s="771"/>
      <c r="Z2536" s="771"/>
      <c r="AA2536" s="771"/>
      <c r="AB2536" s="771"/>
      <c r="AC2536" s="771"/>
      <c r="AD2536" s="771"/>
      <c r="AE2536" s="771"/>
      <c r="AF2536" s="771"/>
      <c r="AG2536" s="771"/>
      <c r="AH2536" s="771"/>
      <c r="AI2536" s="771"/>
      <c r="AJ2536" s="771"/>
      <c r="AK2536" s="771"/>
      <c r="AL2536" s="771"/>
      <c r="AM2536" s="771"/>
      <c r="AN2536" s="771"/>
      <c r="AO2536" s="771"/>
      <c r="AP2536" s="771"/>
      <c r="AQ2536" s="771"/>
      <c r="AR2536" s="771"/>
      <c r="AS2536" s="771"/>
      <c r="AT2536" s="771"/>
      <c r="AU2536" s="771"/>
    </row>
    <row r="2537" spans="1:47" s="1418" customFormat="1" outlineLevel="1" x14ac:dyDescent="0.2">
      <c r="A2537" s="8"/>
      <c r="B2537" s="8"/>
      <c r="C2537" s="1989" t="s">
        <v>4801</v>
      </c>
      <c r="D2537" s="1989" t="s">
        <v>4802</v>
      </c>
      <c r="E2537" s="1989">
        <v>0.7</v>
      </c>
      <c r="F2537" s="38">
        <f t="shared" si="39"/>
        <v>56.924868000000004</v>
      </c>
      <c r="G2537" s="1547"/>
      <c r="H2537" s="8"/>
      <c r="I2537" s="8"/>
      <c r="J2537" s="8"/>
      <c r="K2537" s="8"/>
      <c r="L2537" s="8"/>
      <c r="M2537" s="8"/>
      <c r="N2537" s="8"/>
      <c r="O2537" s="8"/>
      <c r="P2537" s="8"/>
      <c r="Q2537" s="8"/>
      <c r="R2537" s="8"/>
      <c r="S2537" s="8"/>
      <c r="T2537" s="8"/>
      <c r="U2537" s="8"/>
      <c r="V2537" s="8"/>
      <c r="W2537" s="8"/>
      <c r="X2537" s="771"/>
      <c r="Y2537" s="771"/>
      <c r="Z2537" s="771"/>
      <c r="AA2537" s="771"/>
      <c r="AB2537" s="771"/>
      <c r="AC2537" s="771"/>
      <c r="AD2537" s="771"/>
      <c r="AE2537" s="771"/>
      <c r="AF2537" s="771"/>
      <c r="AG2537" s="771"/>
      <c r="AH2537" s="771"/>
      <c r="AI2537" s="771"/>
      <c r="AJ2537" s="771"/>
      <c r="AK2537" s="771"/>
      <c r="AL2537" s="771"/>
      <c r="AM2537" s="771"/>
      <c r="AN2537" s="771"/>
      <c r="AO2537" s="771"/>
      <c r="AP2537" s="771"/>
      <c r="AQ2537" s="771"/>
      <c r="AR2537" s="771"/>
      <c r="AS2537" s="771"/>
      <c r="AT2537" s="771"/>
      <c r="AU2537" s="771"/>
    </row>
    <row r="2538" spans="1:47" s="1418" customFormat="1" outlineLevel="1" x14ac:dyDescent="0.2">
      <c r="A2538" s="8"/>
      <c r="B2538" s="8"/>
      <c r="C2538" s="1989" t="s">
        <v>4803</v>
      </c>
      <c r="D2538" s="1989" t="s">
        <v>5127</v>
      </c>
      <c r="E2538" s="1989">
        <v>0.42</v>
      </c>
      <c r="F2538" s="38">
        <f t="shared" si="39"/>
        <v>34.154920799999999</v>
      </c>
      <c r="G2538" s="1547"/>
      <c r="H2538" s="8"/>
      <c r="I2538" s="8"/>
      <c r="J2538" s="8"/>
      <c r="K2538" s="8"/>
      <c r="L2538" s="8"/>
      <c r="M2538" s="8"/>
      <c r="N2538" s="8"/>
      <c r="O2538" s="8"/>
      <c r="P2538" s="8"/>
      <c r="Q2538" s="8"/>
      <c r="R2538" s="8"/>
      <c r="S2538" s="8"/>
      <c r="T2538" s="8"/>
      <c r="U2538" s="8"/>
      <c r="V2538" s="8"/>
      <c r="W2538" s="8"/>
      <c r="X2538" s="771"/>
      <c r="Y2538" s="771"/>
      <c r="Z2538" s="771"/>
      <c r="AA2538" s="771"/>
      <c r="AB2538" s="771"/>
      <c r="AC2538" s="771"/>
      <c r="AD2538" s="771"/>
      <c r="AE2538" s="771"/>
      <c r="AF2538" s="771"/>
      <c r="AG2538" s="771"/>
      <c r="AH2538" s="771"/>
      <c r="AI2538" s="771"/>
      <c r="AJ2538" s="771"/>
      <c r="AK2538" s="771"/>
      <c r="AL2538" s="771"/>
      <c r="AM2538" s="771"/>
      <c r="AN2538" s="771"/>
      <c r="AO2538" s="771"/>
      <c r="AP2538" s="771"/>
      <c r="AQ2538" s="771"/>
      <c r="AR2538" s="771"/>
      <c r="AS2538" s="771"/>
      <c r="AT2538" s="771"/>
      <c r="AU2538" s="771"/>
    </row>
    <row r="2539" spans="1:47" s="1418" customFormat="1" outlineLevel="1" x14ac:dyDescent="0.2">
      <c r="A2539" s="8"/>
      <c r="B2539" s="8"/>
      <c r="C2539" s="1989" t="s">
        <v>4804</v>
      </c>
      <c r="D2539" s="1989" t="s">
        <v>5128</v>
      </c>
      <c r="E2539" s="1989">
        <v>0.51</v>
      </c>
      <c r="F2539" s="38">
        <f t="shared" si="39"/>
        <v>41.473832399999999</v>
      </c>
      <c r="G2539" s="1547"/>
      <c r="H2539" s="8"/>
      <c r="I2539" s="8"/>
      <c r="J2539" s="8"/>
      <c r="K2539" s="8"/>
      <c r="L2539" s="8"/>
      <c r="M2539" s="8"/>
      <c r="N2539" s="8"/>
      <c r="O2539" s="8"/>
      <c r="P2539" s="8"/>
      <c r="Q2539" s="8"/>
      <c r="R2539" s="8"/>
      <c r="S2539" s="8"/>
      <c r="T2539" s="8"/>
      <c r="U2539" s="8"/>
      <c r="V2539" s="8"/>
      <c r="W2539" s="8"/>
      <c r="X2539" s="771"/>
      <c r="Y2539" s="771"/>
      <c r="Z2539" s="771"/>
      <c r="AA2539" s="771"/>
      <c r="AB2539" s="771"/>
      <c r="AC2539" s="771"/>
      <c r="AD2539" s="771"/>
      <c r="AE2539" s="771"/>
      <c r="AF2539" s="771"/>
      <c r="AG2539" s="771"/>
      <c r="AH2539" s="771"/>
      <c r="AI2539" s="771"/>
      <c r="AJ2539" s="771"/>
      <c r="AK2539" s="771"/>
      <c r="AL2539" s="771"/>
      <c r="AM2539" s="771"/>
      <c r="AN2539" s="771"/>
      <c r="AO2539" s="771"/>
      <c r="AP2539" s="771"/>
      <c r="AQ2539" s="771"/>
      <c r="AR2539" s="771"/>
      <c r="AS2539" s="771"/>
      <c r="AT2539" s="771"/>
      <c r="AU2539" s="771"/>
    </row>
    <row r="2540" spans="1:47" s="1418" customFormat="1" outlineLevel="1" x14ac:dyDescent="0.2">
      <c r="A2540" s="8"/>
      <c r="B2540" s="8"/>
      <c r="C2540" s="1989" t="s">
        <v>4805</v>
      </c>
      <c r="D2540" s="1989" t="s">
        <v>5129</v>
      </c>
      <c r="E2540" s="1989">
        <v>0.54</v>
      </c>
      <c r="F2540" s="38">
        <f t="shared" si="39"/>
        <v>43.913469600000006</v>
      </c>
      <c r="G2540" s="1547"/>
      <c r="H2540" s="8"/>
      <c r="I2540" s="8"/>
      <c r="J2540" s="8"/>
      <c r="K2540" s="8"/>
      <c r="L2540" s="8"/>
      <c r="M2540" s="8"/>
      <c r="N2540" s="8"/>
      <c r="O2540" s="8"/>
      <c r="P2540" s="8"/>
      <c r="Q2540" s="8"/>
      <c r="R2540" s="8"/>
      <c r="S2540" s="8"/>
      <c r="T2540" s="8"/>
      <c r="U2540" s="8"/>
      <c r="V2540" s="8"/>
      <c r="W2540" s="8"/>
      <c r="X2540" s="771"/>
      <c r="Y2540" s="771"/>
      <c r="Z2540" s="771"/>
      <c r="AA2540" s="771"/>
      <c r="AB2540" s="771"/>
      <c r="AC2540" s="771"/>
      <c r="AD2540" s="771"/>
      <c r="AE2540" s="771"/>
      <c r="AF2540" s="771"/>
      <c r="AG2540" s="771"/>
      <c r="AH2540" s="771"/>
      <c r="AI2540" s="771"/>
      <c r="AJ2540" s="771"/>
      <c r="AK2540" s="771"/>
      <c r="AL2540" s="771"/>
      <c r="AM2540" s="771"/>
      <c r="AN2540" s="771"/>
      <c r="AO2540" s="771"/>
      <c r="AP2540" s="771"/>
      <c r="AQ2540" s="771"/>
      <c r="AR2540" s="771"/>
      <c r="AS2540" s="771"/>
      <c r="AT2540" s="771"/>
      <c r="AU2540" s="771"/>
    </row>
    <row r="2541" spans="1:47" s="1418" customFormat="1" outlineLevel="1" x14ac:dyDescent="0.2">
      <c r="A2541" s="8"/>
      <c r="B2541" s="8"/>
      <c r="C2541" s="1989" t="s">
        <v>4806</v>
      </c>
      <c r="D2541" s="1989" t="s">
        <v>5130</v>
      </c>
      <c r="E2541" s="1989">
        <v>0.59</v>
      </c>
      <c r="F2541" s="38">
        <f t="shared" si="39"/>
        <v>47.979531600000001</v>
      </c>
      <c r="G2541" s="1547"/>
      <c r="H2541" s="8"/>
      <c r="I2541" s="8"/>
      <c r="J2541" s="8"/>
      <c r="K2541" s="8"/>
      <c r="L2541" s="8"/>
      <c r="M2541" s="8"/>
      <c r="N2541" s="8"/>
      <c r="O2541" s="8"/>
      <c r="P2541" s="8"/>
      <c r="Q2541" s="8"/>
      <c r="R2541" s="8"/>
      <c r="S2541" s="8"/>
      <c r="T2541" s="8"/>
      <c r="U2541" s="8"/>
      <c r="V2541" s="8"/>
      <c r="W2541" s="8"/>
      <c r="X2541" s="771"/>
      <c r="Y2541" s="771"/>
      <c r="Z2541" s="771"/>
      <c r="AA2541" s="771"/>
      <c r="AB2541" s="771"/>
      <c r="AC2541" s="771"/>
      <c r="AD2541" s="771"/>
      <c r="AE2541" s="771"/>
      <c r="AF2541" s="771"/>
      <c r="AG2541" s="771"/>
      <c r="AH2541" s="771"/>
      <c r="AI2541" s="771"/>
      <c r="AJ2541" s="771"/>
      <c r="AK2541" s="771"/>
      <c r="AL2541" s="771"/>
      <c r="AM2541" s="771"/>
      <c r="AN2541" s="771"/>
      <c r="AO2541" s="771"/>
      <c r="AP2541" s="771"/>
      <c r="AQ2541" s="771"/>
      <c r="AR2541" s="771"/>
      <c r="AS2541" s="771"/>
      <c r="AT2541" s="771"/>
      <c r="AU2541" s="771"/>
    </row>
    <row r="2542" spans="1:47" s="1418" customFormat="1" outlineLevel="1" x14ac:dyDescent="0.2">
      <c r="A2542" s="8"/>
      <c r="B2542" s="8"/>
      <c r="C2542" s="1989" t="s">
        <v>4807</v>
      </c>
      <c r="D2542" s="1989" t="s">
        <v>5131</v>
      </c>
      <c r="E2542" s="1989">
        <v>0.66</v>
      </c>
      <c r="F2542" s="38">
        <f t="shared" si="39"/>
        <v>53.672018400000006</v>
      </c>
      <c r="G2542" s="1547"/>
      <c r="H2542" s="8"/>
      <c r="I2542" s="8"/>
      <c r="J2542" s="8"/>
      <c r="K2542" s="8"/>
      <c r="L2542" s="8"/>
      <c r="M2542" s="8"/>
      <c r="N2542" s="8"/>
      <c r="O2542" s="8"/>
      <c r="P2542" s="8"/>
      <c r="Q2542" s="8"/>
      <c r="R2542" s="8"/>
      <c r="S2542" s="8"/>
      <c r="T2542" s="8"/>
      <c r="U2542" s="8"/>
      <c r="V2542" s="8"/>
      <c r="W2542" s="8"/>
      <c r="X2542" s="771"/>
      <c r="Y2542" s="771"/>
      <c r="Z2542" s="771"/>
      <c r="AA2542" s="771"/>
      <c r="AB2542" s="771"/>
      <c r="AC2542" s="771"/>
      <c r="AD2542" s="771"/>
      <c r="AE2542" s="771"/>
      <c r="AF2542" s="771"/>
      <c r="AG2542" s="771"/>
      <c r="AH2542" s="771"/>
      <c r="AI2542" s="771"/>
      <c r="AJ2542" s="771"/>
      <c r="AK2542" s="771"/>
      <c r="AL2542" s="771"/>
      <c r="AM2542" s="771"/>
      <c r="AN2542" s="771"/>
      <c r="AO2542" s="771"/>
      <c r="AP2542" s="771"/>
      <c r="AQ2542" s="771"/>
      <c r="AR2542" s="771"/>
      <c r="AS2542" s="771"/>
      <c r="AT2542" s="771"/>
      <c r="AU2542" s="771"/>
    </row>
    <row r="2543" spans="1:47" s="1418" customFormat="1" outlineLevel="1" x14ac:dyDescent="0.2">
      <c r="A2543" s="8"/>
      <c r="B2543" s="8"/>
      <c r="C2543" s="1989" t="s">
        <v>4808</v>
      </c>
      <c r="D2543" s="1989" t="s">
        <v>5132</v>
      </c>
      <c r="E2543" s="1989">
        <v>0.74</v>
      </c>
      <c r="F2543" s="38">
        <f t="shared" si="39"/>
        <v>60.177717600000008</v>
      </c>
      <c r="G2543" s="1547"/>
      <c r="H2543" s="8"/>
      <c r="I2543" s="8"/>
      <c r="J2543" s="8"/>
      <c r="K2543" s="8"/>
      <c r="L2543" s="8"/>
      <c r="M2543" s="8"/>
      <c r="N2543" s="8"/>
      <c r="O2543" s="8"/>
      <c r="P2543" s="8"/>
      <c r="Q2543" s="8"/>
      <c r="R2543" s="8"/>
      <c r="S2543" s="8"/>
      <c r="T2543" s="8"/>
      <c r="U2543" s="8"/>
      <c r="V2543" s="8"/>
      <c r="W2543" s="8"/>
      <c r="X2543" s="771"/>
      <c r="Y2543" s="771"/>
      <c r="Z2543" s="771"/>
      <c r="AA2543" s="771"/>
      <c r="AB2543" s="771"/>
      <c r="AC2543" s="771"/>
      <c r="AD2543" s="771"/>
      <c r="AE2543" s="771"/>
      <c r="AF2543" s="771"/>
      <c r="AG2543" s="771"/>
      <c r="AH2543" s="771"/>
      <c r="AI2543" s="771"/>
      <c r="AJ2543" s="771"/>
      <c r="AK2543" s="771"/>
      <c r="AL2543" s="771"/>
      <c r="AM2543" s="771"/>
      <c r="AN2543" s="771"/>
      <c r="AO2543" s="771"/>
      <c r="AP2543" s="771"/>
      <c r="AQ2543" s="771"/>
      <c r="AR2543" s="771"/>
      <c r="AS2543" s="771"/>
      <c r="AT2543" s="771"/>
      <c r="AU2543" s="771"/>
    </row>
    <row r="2544" spans="1:47" s="1418" customFormat="1" outlineLevel="1" x14ac:dyDescent="0.2">
      <c r="A2544" s="8"/>
      <c r="B2544" s="8"/>
      <c r="C2544" s="1989" t="s">
        <v>4809</v>
      </c>
      <c r="D2544" s="1989" t="s">
        <v>5133</v>
      </c>
      <c r="E2544" s="1989">
        <v>0.85</v>
      </c>
      <c r="F2544" s="38">
        <f t="shared" si="39"/>
        <v>69.12305400000001</v>
      </c>
      <c r="G2544" s="1547"/>
      <c r="H2544" s="8"/>
      <c r="I2544" s="8"/>
      <c r="J2544" s="8"/>
      <c r="K2544" s="8"/>
      <c r="L2544" s="8"/>
      <c r="M2544" s="8"/>
      <c r="N2544" s="8"/>
      <c r="O2544" s="8"/>
      <c r="P2544" s="8"/>
      <c r="Q2544" s="8"/>
      <c r="R2544" s="8"/>
      <c r="S2544" s="8"/>
      <c r="T2544" s="8"/>
      <c r="U2544" s="8"/>
      <c r="V2544" s="8"/>
      <c r="W2544" s="8"/>
      <c r="X2544" s="771"/>
      <c r="Y2544" s="771"/>
      <c r="Z2544" s="771"/>
      <c r="AA2544" s="771"/>
      <c r="AB2544" s="771"/>
      <c r="AC2544" s="771"/>
      <c r="AD2544" s="771"/>
      <c r="AE2544" s="771"/>
      <c r="AF2544" s="771"/>
      <c r="AG2544" s="771"/>
      <c r="AH2544" s="771"/>
      <c r="AI2544" s="771"/>
      <c r="AJ2544" s="771"/>
      <c r="AK2544" s="771"/>
      <c r="AL2544" s="771"/>
      <c r="AM2544" s="771"/>
      <c r="AN2544" s="771"/>
      <c r="AO2544" s="771"/>
      <c r="AP2544" s="771"/>
      <c r="AQ2544" s="771"/>
      <c r="AR2544" s="771"/>
      <c r="AS2544" s="771"/>
      <c r="AT2544" s="771"/>
      <c r="AU2544" s="771"/>
    </row>
    <row r="2545" spans="1:47" s="1418" customFormat="1" outlineLevel="1" x14ac:dyDescent="0.2">
      <c r="A2545" s="8"/>
      <c r="B2545" s="8"/>
      <c r="C2545" s="1989" t="s">
        <v>4810</v>
      </c>
      <c r="D2545" s="1989" t="s">
        <v>5134</v>
      </c>
      <c r="E2545" s="1989">
        <v>0.93</v>
      </c>
      <c r="F2545" s="38">
        <f t="shared" si="39"/>
        <v>75.628753200000006</v>
      </c>
      <c r="G2545" s="1547"/>
      <c r="H2545" s="8"/>
      <c r="I2545" s="8"/>
      <c r="J2545" s="8"/>
      <c r="K2545" s="8"/>
      <c r="L2545" s="8"/>
      <c r="M2545" s="8"/>
      <c r="N2545" s="8"/>
      <c r="O2545" s="8"/>
      <c r="P2545" s="8"/>
      <c r="Q2545" s="8"/>
      <c r="R2545" s="8"/>
      <c r="S2545" s="8"/>
      <c r="T2545" s="8"/>
      <c r="U2545" s="8"/>
      <c r="V2545" s="8"/>
      <c r="W2545" s="8"/>
      <c r="X2545" s="771"/>
      <c r="Y2545" s="771"/>
      <c r="Z2545" s="771"/>
      <c r="AA2545" s="771"/>
      <c r="AB2545" s="771"/>
      <c r="AC2545" s="771"/>
      <c r="AD2545" s="771"/>
      <c r="AE2545" s="771"/>
      <c r="AF2545" s="771"/>
      <c r="AG2545" s="771"/>
      <c r="AH2545" s="771"/>
      <c r="AI2545" s="771"/>
      <c r="AJ2545" s="771"/>
      <c r="AK2545" s="771"/>
      <c r="AL2545" s="771"/>
      <c r="AM2545" s="771"/>
      <c r="AN2545" s="771"/>
      <c r="AO2545" s="771"/>
      <c r="AP2545" s="771"/>
      <c r="AQ2545" s="771"/>
      <c r="AR2545" s="771"/>
      <c r="AS2545" s="771"/>
      <c r="AT2545" s="771"/>
      <c r="AU2545" s="771"/>
    </row>
    <row r="2546" spans="1:47" s="1418" customFormat="1" outlineLevel="1" x14ac:dyDescent="0.2">
      <c r="A2546" s="8"/>
      <c r="B2546" s="8"/>
      <c r="C2546" s="1989" t="s">
        <v>4811</v>
      </c>
      <c r="D2546" s="1989" t="s">
        <v>4812</v>
      </c>
      <c r="E2546" s="1989">
        <v>1</v>
      </c>
      <c r="F2546" s="38">
        <f t="shared" si="39"/>
        <v>81.321240000000003</v>
      </c>
      <c r="G2546" s="1547"/>
      <c r="H2546" s="8"/>
      <c r="I2546" s="8"/>
      <c r="J2546" s="8"/>
      <c r="K2546" s="8"/>
      <c r="L2546" s="8"/>
      <c r="M2546" s="8"/>
      <c r="N2546" s="8"/>
      <c r="O2546" s="8"/>
      <c r="P2546" s="8"/>
      <c r="Q2546" s="8"/>
      <c r="R2546" s="8"/>
      <c r="S2546" s="8"/>
      <c r="T2546" s="8"/>
      <c r="U2546" s="8"/>
      <c r="V2546" s="8"/>
      <c r="W2546" s="8"/>
      <c r="X2546" s="771"/>
      <c r="Y2546" s="771"/>
      <c r="Z2546" s="771"/>
      <c r="AA2546" s="771"/>
      <c r="AB2546" s="771"/>
      <c r="AC2546" s="771"/>
      <c r="AD2546" s="771"/>
      <c r="AE2546" s="771"/>
      <c r="AF2546" s="771"/>
      <c r="AG2546" s="771"/>
      <c r="AH2546" s="771"/>
      <c r="AI2546" s="771"/>
      <c r="AJ2546" s="771"/>
      <c r="AK2546" s="771"/>
      <c r="AL2546" s="771"/>
      <c r="AM2546" s="771"/>
      <c r="AN2546" s="771"/>
      <c r="AO2546" s="771"/>
      <c r="AP2546" s="771"/>
      <c r="AQ2546" s="771"/>
      <c r="AR2546" s="771"/>
      <c r="AS2546" s="771"/>
      <c r="AT2546" s="771"/>
      <c r="AU2546" s="771"/>
    </row>
    <row r="2547" spans="1:47" s="1418" customFormat="1" outlineLevel="1" x14ac:dyDescent="0.2">
      <c r="A2547" s="8"/>
      <c r="B2547" s="8"/>
      <c r="C2547" s="1989" t="s">
        <v>4813</v>
      </c>
      <c r="D2547" s="1989" t="s">
        <v>4814</v>
      </c>
      <c r="E2547" s="1989">
        <v>1.17</v>
      </c>
      <c r="F2547" s="38">
        <f t="shared" si="39"/>
        <v>95.145850800000005</v>
      </c>
      <c r="G2547" s="1547"/>
      <c r="H2547" s="8"/>
      <c r="I2547" s="8"/>
      <c r="J2547" s="8"/>
      <c r="K2547" s="8"/>
      <c r="L2547" s="8"/>
      <c r="M2547" s="8"/>
      <c r="N2547" s="8"/>
      <c r="O2547" s="8"/>
      <c r="P2547" s="8"/>
      <c r="Q2547" s="8"/>
      <c r="R2547" s="8"/>
      <c r="S2547" s="8"/>
      <c r="T2547" s="8"/>
      <c r="U2547" s="8"/>
      <c r="V2547" s="8"/>
      <c r="W2547" s="8"/>
      <c r="X2547" s="771"/>
      <c r="Y2547" s="771"/>
      <c r="Z2547" s="771"/>
      <c r="AA2547" s="771"/>
      <c r="AB2547" s="771"/>
      <c r="AC2547" s="771"/>
      <c r="AD2547" s="771"/>
      <c r="AE2547" s="771"/>
      <c r="AF2547" s="771"/>
      <c r="AG2547" s="771"/>
      <c r="AH2547" s="771"/>
      <c r="AI2547" s="771"/>
      <c r="AJ2547" s="771"/>
      <c r="AK2547" s="771"/>
      <c r="AL2547" s="771"/>
      <c r="AM2547" s="771"/>
      <c r="AN2547" s="771"/>
      <c r="AO2547" s="771"/>
      <c r="AP2547" s="771"/>
      <c r="AQ2547" s="771"/>
      <c r="AR2547" s="771"/>
      <c r="AS2547" s="771"/>
      <c r="AT2547" s="771"/>
      <c r="AU2547" s="771"/>
    </row>
    <row r="2548" spans="1:47" s="1418" customFormat="1" outlineLevel="1" x14ac:dyDescent="0.2">
      <c r="A2548" s="8"/>
      <c r="B2548" s="8"/>
      <c r="C2548" s="1989" t="s">
        <v>4815</v>
      </c>
      <c r="D2548" s="1989" t="s">
        <v>5135</v>
      </c>
      <c r="E2548" s="1989">
        <v>0.84</v>
      </c>
      <c r="F2548" s="38">
        <f t="shared" si="39"/>
        <v>68.309841599999999</v>
      </c>
      <c r="G2548" s="1547"/>
      <c r="H2548" s="8"/>
      <c r="I2548" s="8"/>
      <c r="J2548" s="8"/>
      <c r="K2548" s="8"/>
      <c r="L2548" s="8"/>
      <c r="M2548" s="8"/>
      <c r="N2548" s="8"/>
      <c r="O2548" s="8"/>
      <c r="P2548" s="8"/>
      <c r="Q2548" s="8"/>
      <c r="R2548" s="8"/>
      <c r="S2548" s="8"/>
      <c r="T2548" s="8"/>
      <c r="U2548" s="8"/>
      <c r="V2548" s="8"/>
      <c r="W2548" s="8"/>
      <c r="X2548" s="771"/>
      <c r="Y2548" s="771"/>
      <c r="Z2548" s="771"/>
      <c r="AA2548" s="771"/>
      <c r="AB2548" s="771"/>
      <c r="AC2548" s="771"/>
      <c r="AD2548" s="771"/>
      <c r="AE2548" s="771"/>
      <c r="AF2548" s="771"/>
      <c r="AG2548" s="771"/>
      <c r="AH2548" s="771"/>
      <c r="AI2548" s="771"/>
      <c r="AJ2548" s="771"/>
      <c r="AK2548" s="771"/>
      <c r="AL2548" s="771"/>
      <c r="AM2548" s="771"/>
      <c r="AN2548" s="771"/>
      <c r="AO2548" s="771"/>
      <c r="AP2548" s="771"/>
      <c r="AQ2548" s="771"/>
      <c r="AR2548" s="771"/>
      <c r="AS2548" s="771"/>
      <c r="AT2548" s="771"/>
      <c r="AU2548" s="771"/>
    </row>
    <row r="2549" spans="1:47" s="1418" customFormat="1" outlineLevel="1" x14ac:dyDescent="0.2">
      <c r="A2549" s="8"/>
      <c r="B2549" s="8"/>
      <c r="C2549" s="1989" t="s">
        <v>4816</v>
      </c>
      <c r="D2549" s="1989" t="s">
        <v>5136</v>
      </c>
      <c r="E2549" s="1989">
        <v>0.94</v>
      </c>
      <c r="F2549" s="38">
        <f t="shared" si="39"/>
        <v>76.441965600000003</v>
      </c>
      <c r="G2549" s="1547"/>
      <c r="H2549" s="8"/>
      <c r="I2549" s="8"/>
      <c r="J2549" s="8"/>
      <c r="K2549" s="8"/>
      <c r="L2549" s="8"/>
      <c r="M2549" s="8"/>
      <c r="N2549" s="8"/>
      <c r="O2549" s="8"/>
      <c r="P2549" s="8"/>
      <c r="Q2549" s="8"/>
      <c r="R2549" s="8"/>
      <c r="S2549" s="8"/>
      <c r="T2549" s="8"/>
      <c r="U2549" s="8"/>
      <c r="V2549" s="8"/>
      <c r="W2549" s="8"/>
      <c r="X2549" s="771"/>
      <c r="Y2549" s="771"/>
      <c r="Z2549" s="771"/>
      <c r="AA2549" s="771"/>
      <c r="AB2549" s="771"/>
      <c r="AC2549" s="771"/>
      <c r="AD2549" s="771"/>
      <c r="AE2549" s="771"/>
      <c r="AF2549" s="771"/>
      <c r="AG2549" s="771"/>
      <c r="AH2549" s="771"/>
      <c r="AI2549" s="771"/>
      <c r="AJ2549" s="771"/>
      <c r="AK2549" s="771"/>
      <c r="AL2549" s="771"/>
      <c r="AM2549" s="771"/>
      <c r="AN2549" s="771"/>
      <c r="AO2549" s="771"/>
      <c r="AP2549" s="771"/>
      <c r="AQ2549" s="771"/>
      <c r="AR2549" s="771"/>
      <c r="AS2549" s="771"/>
      <c r="AT2549" s="771"/>
      <c r="AU2549" s="771"/>
    </row>
    <row r="2550" spans="1:47" s="1418" customFormat="1" outlineLevel="1" x14ac:dyDescent="0.2">
      <c r="A2550" s="8"/>
      <c r="B2550" s="8"/>
      <c r="C2550" s="1989" t="s">
        <v>4817</v>
      </c>
      <c r="D2550" s="1989" t="s">
        <v>5137</v>
      </c>
      <c r="E2550" s="1989">
        <v>1.07</v>
      </c>
      <c r="F2550" s="38">
        <f t="shared" si="39"/>
        <v>87.013726800000015</v>
      </c>
      <c r="G2550" s="1547"/>
      <c r="H2550" s="8"/>
      <c r="I2550" s="8"/>
      <c r="J2550" s="8"/>
      <c r="K2550" s="8"/>
      <c r="L2550" s="8"/>
      <c r="M2550" s="8"/>
      <c r="N2550" s="8"/>
      <c r="O2550" s="8"/>
      <c r="P2550" s="8"/>
      <c r="Q2550" s="8"/>
      <c r="R2550" s="8"/>
      <c r="S2550" s="8"/>
      <c r="T2550" s="8"/>
      <c r="U2550" s="8"/>
      <c r="V2550" s="8"/>
      <c r="W2550" s="8"/>
      <c r="X2550" s="771"/>
      <c r="Y2550" s="771"/>
      <c r="Z2550" s="771"/>
      <c r="AA2550" s="771"/>
      <c r="AB2550" s="771"/>
      <c r="AC2550" s="771"/>
      <c r="AD2550" s="771"/>
      <c r="AE2550" s="771"/>
      <c r="AF2550" s="771"/>
      <c r="AG2550" s="771"/>
      <c r="AH2550" s="771"/>
      <c r="AI2550" s="771"/>
      <c r="AJ2550" s="771"/>
      <c r="AK2550" s="771"/>
      <c r="AL2550" s="771"/>
      <c r="AM2550" s="771"/>
      <c r="AN2550" s="771"/>
      <c r="AO2550" s="771"/>
      <c r="AP2550" s="771"/>
      <c r="AQ2550" s="771"/>
      <c r="AR2550" s="771"/>
      <c r="AS2550" s="771"/>
      <c r="AT2550" s="771"/>
      <c r="AU2550" s="771"/>
    </row>
    <row r="2551" spans="1:47" s="1418" customFormat="1" outlineLevel="1" x14ac:dyDescent="0.2">
      <c r="A2551" s="8"/>
      <c r="B2551" s="8"/>
      <c r="C2551" s="1989" t="s">
        <v>4818</v>
      </c>
      <c r="D2551" s="1989" t="s">
        <v>5138</v>
      </c>
      <c r="E2551" s="1989">
        <v>1.18</v>
      </c>
      <c r="F2551" s="38">
        <f t="shared" si="39"/>
        <v>95.959063200000003</v>
      </c>
      <c r="G2551" s="1547"/>
      <c r="H2551" s="8"/>
      <c r="I2551" s="8"/>
      <c r="J2551" s="8"/>
      <c r="K2551" s="8"/>
      <c r="L2551" s="8"/>
      <c r="M2551" s="8"/>
      <c r="N2551" s="8"/>
      <c r="O2551" s="8"/>
      <c r="P2551" s="8"/>
      <c r="Q2551" s="8"/>
      <c r="R2551" s="8"/>
      <c r="S2551" s="8"/>
      <c r="T2551" s="8"/>
      <c r="U2551" s="8"/>
      <c r="V2551" s="8"/>
      <c r="W2551" s="8"/>
      <c r="X2551" s="771"/>
      <c r="Y2551" s="771"/>
      <c r="Z2551" s="771"/>
      <c r="AA2551" s="771"/>
      <c r="AB2551" s="771"/>
      <c r="AC2551" s="771"/>
      <c r="AD2551" s="771"/>
      <c r="AE2551" s="771"/>
      <c r="AF2551" s="771"/>
      <c r="AG2551" s="771"/>
      <c r="AH2551" s="771"/>
      <c r="AI2551" s="771"/>
      <c r="AJ2551" s="771"/>
      <c r="AK2551" s="771"/>
      <c r="AL2551" s="771"/>
      <c r="AM2551" s="771"/>
      <c r="AN2551" s="771"/>
      <c r="AO2551" s="771"/>
      <c r="AP2551" s="771"/>
      <c r="AQ2551" s="771"/>
      <c r="AR2551" s="771"/>
      <c r="AS2551" s="771"/>
      <c r="AT2551" s="771"/>
      <c r="AU2551" s="771"/>
    </row>
    <row r="2552" spans="1:47" s="1418" customFormat="1" outlineLevel="1" x14ac:dyDescent="0.2">
      <c r="A2552" s="8"/>
      <c r="B2552" s="8"/>
      <c r="C2552" s="1989" t="s">
        <v>4819</v>
      </c>
      <c r="D2552" s="1989" t="s">
        <v>4820</v>
      </c>
      <c r="E2552" s="1989">
        <v>1.3</v>
      </c>
      <c r="F2552" s="38">
        <f t="shared" si="39"/>
        <v>105.71761200000002</v>
      </c>
      <c r="G2552" s="1547"/>
      <c r="H2552" s="8"/>
      <c r="I2552" s="8"/>
      <c r="J2552" s="8"/>
      <c r="K2552" s="8"/>
      <c r="L2552" s="8"/>
      <c r="M2552" s="8"/>
      <c r="N2552" s="8"/>
      <c r="O2552" s="8"/>
      <c r="P2552" s="8"/>
      <c r="Q2552" s="8"/>
      <c r="R2552" s="8"/>
      <c r="S2552" s="8"/>
      <c r="T2552" s="8"/>
      <c r="U2552" s="8"/>
      <c r="V2552" s="8"/>
      <c r="W2552" s="8"/>
      <c r="X2552" s="771"/>
      <c r="Y2552" s="771"/>
      <c r="Z2552" s="771"/>
      <c r="AA2552" s="771"/>
      <c r="AB2552" s="771"/>
      <c r="AC2552" s="771"/>
      <c r="AD2552" s="771"/>
      <c r="AE2552" s="771"/>
      <c r="AF2552" s="771"/>
      <c r="AG2552" s="771"/>
      <c r="AH2552" s="771"/>
      <c r="AI2552" s="771"/>
      <c r="AJ2552" s="771"/>
      <c r="AK2552" s="771"/>
      <c r="AL2552" s="771"/>
      <c r="AM2552" s="771"/>
      <c r="AN2552" s="771"/>
      <c r="AO2552" s="771"/>
      <c r="AP2552" s="771"/>
      <c r="AQ2552" s="771"/>
      <c r="AR2552" s="771"/>
      <c r="AS2552" s="771"/>
      <c r="AT2552" s="771"/>
      <c r="AU2552" s="771"/>
    </row>
    <row r="2553" spans="1:47" s="1418" customFormat="1" outlineLevel="1" x14ac:dyDescent="0.2">
      <c r="A2553" s="8"/>
      <c r="B2553" s="8"/>
      <c r="C2553" s="1989" t="s">
        <v>4821</v>
      </c>
      <c r="D2553" s="1989" t="s">
        <v>4822</v>
      </c>
      <c r="E2553" s="1989">
        <v>1.52</v>
      </c>
      <c r="F2553" s="38">
        <f t="shared" si="39"/>
        <v>123.60828479999999</v>
      </c>
      <c r="G2553" s="1547"/>
      <c r="H2553" s="8"/>
      <c r="I2553" s="8"/>
      <c r="J2553" s="8"/>
      <c r="K2553" s="8"/>
      <c r="L2553" s="8"/>
      <c r="M2553" s="8"/>
      <c r="N2553" s="8"/>
      <c r="O2553" s="8"/>
      <c r="P2553" s="8"/>
      <c r="Q2553" s="8"/>
      <c r="R2553" s="8"/>
      <c r="S2553" s="8"/>
      <c r="T2553" s="8"/>
      <c r="U2553" s="8"/>
      <c r="V2553" s="8"/>
      <c r="W2553" s="8"/>
      <c r="X2553" s="771"/>
      <c r="Y2553" s="771"/>
      <c r="Z2553" s="771"/>
      <c r="AA2553" s="771"/>
      <c r="AB2553" s="771"/>
      <c r="AC2553" s="771"/>
      <c r="AD2553" s="771"/>
      <c r="AE2553" s="771"/>
      <c r="AF2553" s="771"/>
      <c r="AG2553" s="771"/>
      <c r="AH2553" s="771"/>
      <c r="AI2553" s="771"/>
      <c r="AJ2553" s="771"/>
      <c r="AK2553" s="771"/>
      <c r="AL2553" s="771"/>
      <c r="AM2553" s="771"/>
      <c r="AN2553" s="771"/>
      <c r="AO2553" s="771"/>
      <c r="AP2553" s="771"/>
      <c r="AQ2553" s="771"/>
      <c r="AR2553" s="771"/>
      <c r="AS2553" s="771"/>
      <c r="AT2553" s="771"/>
      <c r="AU2553" s="771"/>
    </row>
    <row r="2554" spans="1:47" s="1418" customFormat="1" outlineLevel="1" x14ac:dyDescent="0.2">
      <c r="A2554" s="8"/>
      <c r="B2554" s="8"/>
      <c r="C2554" s="1989" t="s">
        <v>4823</v>
      </c>
      <c r="D2554" s="1989" t="s">
        <v>5139</v>
      </c>
      <c r="E2554" s="1989">
        <v>0.33</v>
      </c>
      <c r="F2554" s="38">
        <f t="shared" si="39"/>
        <v>26.836009200000003</v>
      </c>
      <c r="G2554" s="1547"/>
      <c r="H2554" s="8"/>
      <c r="I2554" s="8"/>
      <c r="J2554" s="8"/>
      <c r="K2554" s="8"/>
      <c r="L2554" s="8"/>
      <c r="M2554" s="8"/>
      <c r="N2554" s="8"/>
      <c r="O2554" s="8"/>
      <c r="P2554" s="8"/>
      <c r="Q2554" s="8"/>
      <c r="R2554" s="8"/>
      <c r="S2554" s="8"/>
      <c r="T2554" s="8"/>
      <c r="U2554" s="8"/>
      <c r="V2554" s="8"/>
      <c r="W2554" s="8"/>
      <c r="X2554" s="771"/>
      <c r="Y2554" s="771"/>
      <c r="Z2554" s="771"/>
      <c r="AA2554" s="771"/>
      <c r="AB2554" s="771"/>
      <c r="AC2554" s="771"/>
      <c r="AD2554" s="771"/>
      <c r="AE2554" s="771"/>
      <c r="AF2554" s="771"/>
      <c r="AG2554" s="771"/>
      <c r="AH2554" s="771"/>
      <c r="AI2554" s="771"/>
      <c r="AJ2554" s="771"/>
      <c r="AK2554" s="771"/>
      <c r="AL2554" s="771"/>
      <c r="AM2554" s="771"/>
      <c r="AN2554" s="771"/>
      <c r="AO2554" s="771"/>
      <c r="AP2554" s="771"/>
      <c r="AQ2554" s="771"/>
      <c r="AR2554" s="771"/>
      <c r="AS2554" s="771"/>
      <c r="AT2554" s="771"/>
      <c r="AU2554" s="771"/>
    </row>
    <row r="2555" spans="1:47" s="1418" customFormat="1" outlineLevel="1" x14ac:dyDescent="0.2">
      <c r="A2555" s="8"/>
      <c r="B2555" s="8"/>
      <c r="C2555" s="1989" t="s">
        <v>4824</v>
      </c>
      <c r="D2555" s="1989" t="s">
        <v>5140</v>
      </c>
      <c r="E2555" s="1989">
        <v>0.37</v>
      </c>
      <c r="F2555" s="38">
        <f t="shared" si="39"/>
        <v>30.088858800000004</v>
      </c>
      <c r="G2555" s="1547"/>
      <c r="H2555" s="8"/>
      <c r="I2555" s="8"/>
      <c r="J2555" s="8"/>
      <c r="K2555" s="8"/>
      <c r="L2555" s="8"/>
      <c r="M2555" s="8"/>
      <c r="N2555" s="8"/>
      <c r="O2555" s="8"/>
      <c r="P2555" s="8"/>
      <c r="Q2555" s="8"/>
      <c r="R2555" s="8"/>
      <c r="S2555" s="8"/>
      <c r="T2555" s="8"/>
      <c r="U2555" s="8"/>
      <c r="V2555" s="8"/>
      <c r="W2555" s="8"/>
      <c r="X2555" s="771"/>
      <c r="Y2555" s="771"/>
      <c r="Z2555" s="771"/>
      <c r="AA2555" s="771"/>
      <c r="AB2555" s="771"/>
      <c r="AC2555" s="771"/>
      <c r="AD2555" s="771"/>
      <c r="AE2555" s="771"/>
      <c r="AF2555" s="771"/>
      <c r="AG2555" s="771"/>
      <c r="AH2555" s="771"/>
      <c r="AI2555" s="771"/>
      <c r="AJ2555" s="771"/>
      <c r="AK2555" s="771"/>
      <c r="AL2555" s="771"/>
      <c r="AM2555" s="771"/>
      <c r="AN2555" s="771"/>
      <c r="AO2555" s="771"/>
      <c r="AP2555" s="771"/>
      <c r="AQ2555" s="771"/>
      <c r="AR2555" s="771"/>
      <c r="AS2555" s="771"/>
      <c r="AT2555" s="771"/>
      <c r="AU2555" s="771"/>
    </row>
    <row r="2556" spans="1:47" s="1418" customFormat="1" outlineLevel="1" x14ac:dyDescent="0.2">
      <c r="A2556" s="8"/>
      <c r="B2556" s="8"/>
      <c r="C2556" s="1989" t="s">
        <v>4825</v>
      </c>
      <c r="D2556" s="1989" t="s">
        <v>5141</v>
      </c>
      <c r="E2556" s="1989">
        <v>0.39</v>
      </c>
      <c r="F2556" s="38">
        <f t="shared" si="39"/>
        <v>31.715283599999999</v>
      </c>
      <c r="G2556" s="1547"/>
      <c r="H2556" s="8"/>
      <c r="I2556" s="8"/>
      <c r="J2556" s="8"/>
      <c r="K2556" s="8"/>
      <c r="L2556" s="8"/>
      <c r="M2556" s="8"/>
      <c r="N2556" s="8"/>
      <c r="O2556" s="8"/>
      <c r="P2556" s="8"/>
      <c r="Q2556" s="8"/>
      <c r="R2556" s="8"/>
      <c r="S2556" s="8"/>
      <c r="T2556" s="8"/>
      <c r="U2556" s="8"/>
      <c r="V2556" s="8"/>
      <c r="W2556" s="8"/>
      <c r="X2556" s="771"/>
      <c r="Y2556" s="771"/>
      <c r="Z2556" s="771"/>
      <c r="AA2556" s="771"/>
      <c r="AB2556" s="771"/>
      <c r="AC2556" s="771"/>
      <c r="AD2556" s="771"/>
      <c r="AE2556" s="771"/>
      <c r="AF2556" s="771"/>
      <c r="AG2556" s="771"/>
      <c r="AH2556" s="771"/>
      <c r="AI2556" s="771"/>
      <c r="AJ2556" s="771"/>
      <c r="AK2556" s="771"/>
      <c r="AL2556" s="771"/>
      <c r="AM2556" s="771"/>
      <c r="AN2556" s="771"/>
      <c r="AO2556" s="771"/>
      <c r="AP2556" s="771"/>
      <c r="AQ2556" s="771"/>
      <c r="AR2556" s="771"/>
      <c r="AS2556" s="771"/>
      <c r="AT2556" s="771"/>
      <c r="AU2556" s="771"/>
    </row>
    <row r="2557" spans="1:47" s="1418" customFormat="1" outlineLevel="1" x14ac:dyDescent="0.2">
      <c r="A2557" s="8"/>
      <c r="B2557" s="8"/>
      <c r="C2557" s="1989" t="s">
        <v>4826</v>
      </c>
      <c r="D2557" s="1989" t="s">
        <v>5142</v>
      </c>
      <c r="E2557" s="1989">
        <v>0.4</v>
      </c>
      <c r="F2557" s="38">
        <f t="shared" si="39"/>
        <v>32.528496000000004</v>
      </c>
      <c r="G2557" s="1547"/>
      <c r="H2557" s="8"/>
      <c r="I2557" s="8"/>
      <c r="J2557" s="8"/>
      <c r="K2557" s="8"/>
      <c r="L2557" s="8"/>
      <c r="M2557" s="8"/>
      <c r="N2557" s="8"/>
      <c r="O2557" s="8"/>
      <c r="P2557" s="8"/>
      <c r="Q2557" s="8"/>
      <c r="R2557" s="8"/>
      <c r="S2557" s="8"/>
      <c r="T2557" s="8"/>
      <c r="U2557" s="8"/>
      <c r="V2557" s="8"/>
      <c r="W2557" s="8"/>
      <c r="X2557" s="771"/>
      <c r="Y2557" s="771"/>
      <c r="Z2557" s="771"/>
      <c r="AA2557" s="771"/>
      <c r="AB2557" s="771"/>
      <c r="AC2557" s="771"/>
      <c r="AD2557" s="771"/>
      <c r="AE2557" s="771"/>
      <c r="AF2557" s="771"/>
      <c r="AG2557" s="771"/>
      <c r="AH2557" s="771"/>
      <c r="AI2557" s="771"/>
      <c r="AJ2557" s="771"/>
      <c r="AK2557" s="771"/>
      <c r="AL2557" s="771"/>
      <c r="AM2557" s="771"/>
      <c r="AN2557" s="771"/>
      <c r="AO2557" s="771"/>
      <c r="AP2557" s="771"/>
      <c r="AQ2557" s="771"/>
      <c r="AR2557" s="771"/>
      <c r="AS2557" s="771"/>
      <c r="AT2557" s="771"/>
      <c r="AU2557" s="771"/>
    </row>
    <row r="2558" spans="1:47" s="1418" customFormat="1" outlineLevel="1" x14ac:dyDescent="0.2">
      <c r="A2558" s="8"/>
      <c r="B2558" s="8"/>
      <c r="C2558" s="1989" t="s">
        <v>4827</v>
      </c>
      <c r="D2558" s="1989" t="s">
        <v>5143</v>
      </c>
      <c r="E2558" s="1989">
        <v>0.45</v>
      </c>
      <c r="F2558" s="38">
        <f t="shared" si="39"/>
        <v>36.594558000000006</v>
      </c>
      <c r="G2558" s="1547"/>
      <c r="H2558" s="8"/>
      <c r="I2558" s="8"/>
      <c r="J2558" s="8"/>
      <c r="K2558" s="8"/>
      <c r="L2558" s="8"/>
      <c r="M2558" s="8"/>
      <c r="N2558" s="8"/>
      <c r="O2558" s="8"/>
      <c r="P2558" s="8"/>
      <c r="Q2558" s="8"/>
      <c r="R2558" s="8"/>
      <c r="S2558" s="8"/>
      <c r="T2558" s="8"/>
      <c r="U2558" s="8"/>
      <c r="V2558" s="8"/>
      <c r="W2558" s="8"/>
      <c r="X2558" s="771"/>
      <c r="Y2558" s="771"/>
      <c r="Z2558" s="771"/>
      <c r="AA2558" s="771"/>
      <c r="AB2558" s="771"/>
      <c r="AC2558" s="771"/>
      <c r="AD2558" s="771"/>
      <c r="AE2558" s="771"/>
      <c r="AF2558" s="771"/>
      <c r="AG2558" s="771"/>
      <c r="AH2558" s="771"/>
      <c r="AI2558" s="771"/>
      <c r="AJ2558" s="771"/>
      <c r="AK2558" s="771"/>
      <c r="AL2558" s="771"/>
      <c r="AM2558" s="771"/>
      <c r="AN2558" s="771"/>
      <c r="AO2558" s="771"/>
      <c r="AP2558" s="771"/>
      <c r="AQ2558" s="771"/>
      <c r="AR2558" s="771"/>
      <c r="AS2558" s="771"/>
      <c r="AT2558" s="771"/>
      <c r="AU2558" s="771"/>
    </row>
    <row r="2559" spans="1:47" s="1418" customFormat="1" outlineLevel="1" x14ac:dyDescent="0.2">
      <c r="A2559" s="8"/>
      <c r="B2559" s="8"/>
      <c r="C2559" s="1989" t="s">
        <v>4828</v>
      </c>
      <c r="D2559" s="1989" t="s">
        <v>5144</v>
      </c>
      <c r="E2559" s="1989">
        <v>0.48</v>
      </c>
      <c r="F2559" s="38">
        <f t="shared" si="39"/>
        <v>39.034195199999999</v>
      </c>
      <c r="G2559" s="1547"/>
      <c r="H2559" s="8"/>
      <c r="I2559" s="8"/>
      <c r="J2559" s="8"/>
      <c r="K2559" s="8"/>
      <c r="L2559" s="8"/>
      <c r="M2559" s="8"/>
      <c r="N2559" s="8"/>
      <c r="O2559" s="8"/>
      <c r="P2559" s="8"/>
      <c r="Q2559" s="8"/>
      <c r="R2559" s="8"/>
      <c r="S2559" s="8"/>
      <c r="T2559" s="8"/>
      <c r="U2559" s="8"/>
      <c r="V2559" s="8"/>
      <c r="W2559" s="8"/>
      <c r="X2559" s="771"/>
      <c r="Y2559" s="771"/>
      <c r="Z2559" s="771"/>
      <c r="AA2559" s="771"/>
      <c r="AB2559" s="771"/>
      <c r="AC2559" s="771"/>
      <c r="AD2559" s="771"/>
      <c r="AE2559" s="771"/>
      <c r="AF2559" s="771"/>
      <c r="AG2559" s="771"/>
      <c r="AH2559" s="771"/>
      <c r="AI2559" s="771"/>
      <c r="AJ2559" s="771"/>
      <c r="AK2559" s="771"/>
      <c r="AL2559" s="771"/>
      <c r="AM2559" s="771"/>
      <c r="AN2559" s="771"/>
      <c r="AO2559" s="771"/>
      <c r="AP2559" s="771"/>
      <c r="AQ2559" s="771"/>
      <c r="AR2559" s="771"/>
      <c r="AS2559" s="771"/>
      <c r="AT2559" s="771"/>
      <c r="AU2559" s="771"/>
    </row>
    <row r="2560" spans="1:47" s="1418" customFormat="1" outlineLevel="1" x14ac:dyDescent="0.2">
      <c r="A2560" s="8"/>
      <c r="B2560" s="8"/>
      <c r="C2560" s="1989" t="s">
        <v>4829</v>
      </c>
      <c r="D2560" s="1989" t="s">
        <v>5145</v>
      </c>
      <c r="E2560" s="1989">
        <v>0.54</v>
      </c>
      <c r="F2560" s="38">
        <f t="shared" si="39"/>
        <v>43.913469600000006</v>
      </c>
      <c r="G2560" s="1547"/>
      <c r="H2560" s="8"/>
      <c r="I2560" s="8"/>
      <c r="J2560" s="8"/>
      <c r="K2560" s="8"/>
      <c r="L2560" s="8"/>
      <c r="M2560" s="8"/>
      <c r="N2560" s="8"/>
      <c r="O2560" s="8"/>
      <c r="P2560" s="8"/>
      <c r="Q2560" s="8"/>
      <c r="R2560" s="8"/>
      <c r="S2560" s="8"/>
      <c r="T2560" s="8"/>
      <c r="U2560" s="8"/>
      <c r="V2560" s="8"/>
      <c r="W2560" s="8"/>
      <c r="X2560" s="771"/>
      <c r="Y2560" s="771"/>
      <c r="Z2560" s="771"/>
      <c r="AA2560" s="771"/>
      <c r="AB2560" s="771"/>
      <c r="AC2560" s="771"/>
      <c r="AD2560" s="771"/>
      <c r="AE2560" s="771"/>
      <c r="AF2560" s="771"/>
      <c r="AG2560" s="771"/>
      <c r="AH2560" s="771"/>
      <c r="AI2560" s="771"/>
      <c r="AJ2560" s="771"/>
      <c r="AK2560" s="771"/>
      <c r="AL2560" s="771"/>
      <c r="AM2560" s="771"/>
      <c r="AN2560" s="771"/>
      <c r="AO2560" s="771"/>
      <c r="AP2560" s="771"/>
      <c r="AQ2560" s="771"/>
      <c r="AR2560" s="771"/>
      <c r="AS2560" s="771"/>
      <c r="AT2560" s="771"/>
      <c r="AU2560" s="771"/>
    </row>
    <row r="2561" spans="1:47" s="1418" customFormat="1" outlineLevel="1" x14ac:dyDescent="0.2">
      <c r="A2561" s="8"/>
      <c r="B2561" s="8"/>
      <c r="C2561" s="1989" t="s">
        <v>4830</v>
      </c>
      <c r="D2561" s="1989" t="s">
        <v>5146</v>
      </c>
      <c r="E2561" s="1989">
        <v>0.57999999999999996</v>
      </c>
      <c r="F2561" s="38">
        <f t="shared" si="39"/>
        <v>47.166319199999997</v>
      </c>
      <c r="G2561" s="1547"/>
      <c r="H2561" s="8"/>
      <c r="I2561" s="8"/>
      <c r="J2561" s="8"/>
      <c r="K2561" s="8"/>
      <c r="L2561" s="8"/>
      <c r="M2561" s="8"/>
      <c r="N2561" s="8"/>
      <c r="O2561" s="8"/>
      <c r="P2561" s="8"/>
      <c r="Q2561" s="8"/>
      <c r="R2561" s="8"/>
      <c r="S2561" s="8"/>
      <c r="T2561" s="8"/>
      <c r="U2561" s="8"/>
      <c r="V2561" s="8"/>
      <c r="W2561" s="8"/>
      <c r="X2561" s="771"/>
      <c r="Y2561" s="771"/>
      <c r="Z2561" s="771"/>
      <c r="AA2561" s="771"/>
      <c r="AB2561" s="771"/>
      <c r="AC2561" s="771"/>
      <c r="AD2561" s="771"/>
      <c r="AE2561" s="771"/>
      <c r="AF2561" s="771"/>
      <c r="AG2561" s="771"/>
      <c r="AH2561" s="771"/>
      <c r="AI2561" s="771"/>
      <c r="AJ2561" s="771"/>
      <c r="AK2561" s="771"/>
      <c r="AL2561" s="771"/>
      <c r="AM2561" s="771"/>
      <c r="AN2561" s="771"/>
      <c r="AO2561" s="771"/>
      <c r="AP2561" s="771"/>
      <c r="AQ2561" s="771"/>
      <c r="AR2561" s="771"/>
      <c r="AS2561" s="771"/>
      <c r="AT2561" s="771"/>
      <c r="AU2561" s="771"/>
    </row>
    <row r="2562" spans="1:47" s="1418" customFormat="1" outlineLevel="1" x14ac:dyDescent="0.2">
      <c r="A2562" s="8"/>
      <c r="B2562" s="8"/>
      <c r="C2562" s="1989" t="s">
        <v>4831</v>
      </c>
      <c r="D2562" s="1989" t="s">
        <v>4832</v>
      </c>
      <c r="E2562" s="1989">
        <v>0.61</v>
      </c>
      <c r="F2562" s="38">
        <f t="shared" si="39"/>
        <v>49.605956400000004</v>
      </c>
      <c r="G2562" s="1547"/>
      <c r="H2562" s="8"/>
      <c r="I2562" s="8"/>
      <c r="J2562" s="8"/>
      <c r="K2562" s="8"/>
      <c r="L2562" s="8"/>
      <c r="M2562" s="8"/>
      <c r="N2562" s="8"/>
      <c r="O2562" s="8"/>
      <c r="P2562" s="8"/>
      <c r="Q2562" s="8"/>
      <c r="R2562" s="8"/>
      <c r="S2562" s="8"/>
      <c r="T2562" s="8"/>
      <c r="U2562" s="8"/>
      <c r="V2562" s="8"/>
      <c r="W2562" s="8"/>
      <c r="X2562" s="771"/>
      <c r="Y2562" s="771"/>
      <c r="Z2562" s="771"/>
      <c r="AA2562" s="771"/>
      <c r="AB2562" s="771"/>
      <c r="AC2562" s="771"/>
      <c r="AD2562" s="771"/>
      <c r="AE2562" s="771"/>
      <c r="AF2562" s="771"/>
      <c r="AG2562" s="771"/>
      <c r="AH2562" s="771"/>
      <c r="AI2562" s="771"/>
      <c r="AJ2562" s="771"/>
      <c r="AK2562" s="771"/>
      <c r="AL2562" s="771"/>
      <c r="AM2562" s="771"/>
      <c r="AN2562" s="771"/>
      <c r="AO2562" s="771"/>
      <c r="AP2562" s="771"/>
      <c r="AQ2562" s="771"/>
      <c r="AR2562" s="771"/>
      <c r="AS2562" s="771"/>
      <c r="AT2562" s="771"/>
      <c r="AU2562" s="771"/>
    </row>
    <row r="2563" spans="1:47" s="1418" customFormat="1" outlineLevel="1" x14ac:dyDescent="0.2">
      <c r="A2563" s="8"/>
      <c r="B2563" s="8"/>
      <c r="C2563" s="1989" t="s">
        <v>4833</v>
      </c>
      <c r="D2563" s="1989" t="s">
        <v>4834</v>
      </c>
      <c r="E2563" s="1989">
        <v>0.7</v>
      </c>
      <c r="F2563" s="38">
        <f t="shared" si="39"/>
        <v>56.924868000000004</v>
      </c>
      <c r="G2563" s="1547"/>
      <c r="H2563" s="8"/>
      <c r="I2563" s="8"/>
      <c r="J2563" s="8"/>
      <c r="K2563" s="8"/>
      <c r="L2563" s="8"/>
      <c r="M2563" s="8"/>
      <c r="N2563" s="8"/>
      <c r="O2563" s="8"/>
      <c r="P2563" s="8"/>
      <c r="Q2563" s="8"/>
      <c r="R2563" s="8"/>
      <c r="S2563" s="8"/>
      <c r="T2563" s="8"/>
      <c r="U2563" s="8"/>
      <c r="V2563" s="8"/>
      <c r="W2563" s="8"/>
      <c r="X2563" s="771"/>
      <c r="Y2563" s="771"/>
      <c r="Z2563" s="771"/>
      <c r="AA2563" s="771"/>
      <c r="AB2563" s="771"/>
      <c r="AC2563" s="771"/>
      <c r="AD2563" s="771"/>
      <c r="AE2563" s="771"/>
      <c r="AF2563" s="771"/>
      <c r="AG2563" s="771"/>
      <c r="AH2563" s="771"/>
      <c r="AI2563" s="771"/>
      <c r="AJ2563" s="771"/>
      <c r="AK2563" s="771"/>
      <c r="AL2563" s="771"/>
      <c r="AM2563" s="771"/>
      <c r="AN2563" s="771"/>
      <c r="AO2563" s="771"/>
      <c r="AP2563" s="771"/>
      <c r="AQ2563" s="771"/>
      <c r="AR2563" s="771"/>
      <c r="AS2563" s="771"/>
      <c r="AT2563" s="771"/>
      <c r="AU2563" s="771"/>
    </row>
    <row r="2564" spans="1:47" s="1418" customFormat="1" outlineLevel="1" x14ac:dyDescent="0.2">
      <c r="A2564" s="8"/>
      <c r="B2564" s="8"/>
      <c r="C2564" s="1989" t="s">
        <v>4835</v>
      </c>
      <c r="D2564" s="1989" t="s">
        <v>5147</v>
      </c>
      <c r="E2564" s="1989">
        <v>0.42</v>
      </c>
      <c r="F2564" s="38">
        <f t="shared" si="39"/>
        <v>34.154920799999999</v>
      </c>
      <c r="G2564" s="1547"/>
      <c r="H2564" s="8"/>
      <c r="I2564" s="8"/>
      <c r="J2564" s="8"/>
      <c r="K2564" s="8"/>
      <c r="L2564" s="8"/>
      <c r="M2564" s="8"/>
      <c r="N2564" s="8"/>
      <c r="O2564" s="8"/>
      <c r="P2564" s="8"/>
      <c r="Q2564" s="8"/>
      <c r="R2564" s="8"/>
      <c r="S2564" s="8"/>
      <c r="T2564" s="8"/>
      <c r="U2564" s="8"/>
      <c r="V2564" s="8"/>
      <c r="W2564" s="8"/>
      <c r="X2564" s="771"/>
      <c r="Y2564" s="771"/>
      <c r="Z2564" s="771"/>
      <c r="AA2564" s="771"/>
      <c r="AB2564" s="771"/>
      <c r="AC2564" s="771"/>
      <c r="AD2564" s="771"/>
      <c r="AE2564" s="771"/>
      <c r="AF2564" s="771"/>
      <c r="AG2564" s="771"/>
      <c r="AH2564" s="771"/>
      <c r="AI2564" s="771"/>
      <c r="AJ2564" s="771"/>
      <c r="AK2564" s="771"/>
      <c r="AL2564" s="771"/>
      <c r="AM2564" s="771"/>
      <c r="AN2564" s="771"/>
      <c r="AO2564" s="771"/>
      <c r="AP2564" s="771"/>
      <c r="AQ2564" s="771"/>
      <c r="AR2564" s="771"/>
      <c r="AS2564" s="771"/>
      <c r="AT2564" s="771"/>
      <c r="AU2564" s="771"/>
    </row>
    <row r="2565" spans="1:47" s="1418" customFormat="1" outlineLevel="1" x14ac:dyDescent="0.2">
      <c r="A2565" s="8"/>
      <c r="B2565" s="8"/>
      <c r="C2565" s="1989" t="s">
        <v>4836</v>
      </c>
      <c r="D2565" s="1989" t="s">
        <v>5148</v>
      </c>
      <c r="E2565" s="1989">
        <v>0.51</v>
      </c>
      <c r="F2565" s="38">
        <f t="shared" si="39"/>
        <v>41.473832399999999</v>
      </c>
      <c r="G2565" s="1547"/>
      <c r="H2565" s="8"/>
      <c r="I2565" s="8"/>
      <c r="J2565" s="8"/>
      <c r="K2565" s="8"/>
      <c r="L2565" s="8"/>
      <c r="M2565" s="8"/>
      <c r="N2565" s="8"/>
      <c r="O2565" s="8"/>
      <c r="P2565" s="8"/>
      <c r="Q2565" s="8"/>
      <c r="R2565" s="8"/>
      <c r="S2565" s="8"/>
      <c r="T2565" s="8"/>
      <c r="U2565" s="8"/>
      <c r="V2565" s="8"/>
      <c r="W2565" s="8"/>
      <c r="X2565" s="771"/>
      <c r="Y2565" s="771"/>
      <c r="Z2565" s="771"/>
      <c r="AA2565" s="771"/>
      <c r="AB2565" s="771"/>
      <c r="AC2565" s="771"/>
      <c r="AD2565" s="771"/>
      <c r="AE2565" s="771"/>
      <c r="AF2565" s="771"/>
      <c r="AG2565" s="771"/>
      <c r="AH2565" s="771"/>
      <c r="AI2565" s="771"/>
      <c r="AJ2565" s="771"/>
      <c r="AK2565" s="771"/>
      <c r="AL2565" s="771"/>
      <c r="AM2565" s="771"/>
      <c r="AN2565" s="771"/>
      <c r="AO2565" s="771"/>
      <c r="AP2565" s="771"/>
      <c r="AQ2565" s="771"/>
      <c r="AR2565" s="771"/>
      <c r="AS2565" s="771"/>
      <c r="AT2565" s="771"/>
      <c r="AU2565" s="771"/>
    </row>
    <row r="2566" spans="1:47" s="1418" customFormat="1" outlineLevel="1" x14ac:dyDescent="0.2">
      <c r="A2566" s="8"/>
      <c r="B2566" s="8"/>
      <c r="C2566" s="1989" t="s">
        <v>4837</v>
      </c>
      <c r="D2566" s="1989" t="s">
        <v>5149</v>
      </c>
      <c r="E2566" s="1989">
        <v>0.54</v>
      </c>
      <c r="F2566" s="38">
        <f t="shared" si="39"/>
        <v>43.913469600000006</v>
      </c>
      <c r="G2566" s="1547"/>
      <c r="H2566" s="8"/>
      <c r="I2566" s="8"/>
      <c r="J2566" s="8"/>
      <c r="K2566" s="8"/>
      <c r="L2566" s="8"/>
      <c r="M2566" s="8"/>
      <c r="N2566" s="8"/>
      <c r="O2566" s="8"/>
      <c r="P2566" s="8"/>
      <c r="Q2566" s="8"/>
      <c r="R2566" s="8"/>
      <c r="S2566" s="8"/>
      <c r="T2566" s="8"/>
      <c r="U2566" s="8"/>
      <c r="V2566" s="8"/>
      <c r="W2566" s="8"/>
      <c r="X2566" s="771"/>
      <c r="Y2566" s="771"/>
      <c r="Z2566" s="771"/>
      <c r="AA2566" s="771"/>
      <c r="AB2566" s="771"/>
      <c r="AC2566" s="771"/>
      <c r="AD2566" s="771"/>
      <c r="AE2566" s="771"/>
      <c r="AF2566" s="771"/>
      <c r="AG2566" s="771"/>
      <c r="AH2566" s="771"/>
      <c r="AI2566" s="771"/>
      <c r="AJ2566" s="771"/>
      <c r="AK2566" s="771"/>
      <c r="AL2566" s="771"/>
      <c r="AM2566" s="771"/>
      <c r="AN2566" s="771"/>
      <c r="AO2566" s="771"/>
      <c r="AP2566" s="771"/>
      <c r="AQ2566" s="771"/>
      <c r="AR2566" s="771"/>
      <c r="AS2566" s="771"/>
      <c r="AT2566" s="771"/>
      <c r="AU2566" s="771"/>
    </row>
    <row r="2567" spans="1:47" s="1418" customFormat="1" outlineLevel="1" x14ac:dyDescent="0.2">
      <c r="A2567" s="8"/>
      <c r="B2567" s="8"/>
      <c r="C2567" s="1989" t="s">
        <v>4838</v>
      </c>
      <c r="D2567" s="1989" t="s">
        <v>5150</v>
      </c>
      <c r="E2567" s="1989">
        <v>0.59</v>
      </c>
      <c r="F2567" s="38">
        <f t="shared" si="39"/>
        <v>47.979531600000001</v>
      </c>
      <c r="G2567" s="1547"/>
      <c r="H2567" s="8"/>
      <c r="I2567" s="8"/>
      <c r="J2567" s="8"/>
      <c r="K2567" s="8"/>
      <c r="L2567" s="8"/>
      <c r="M2567" s="8"/>
      <c r="N2567" s="8"/>
      <c r="O2567" s="8"/>
      <c r="P2567" s="8"/>
      <c r="Q2567" s="8"/>
      <c r="R2567" s="8"/>
      <c r="S2567" s="8"/>
      <c r="T2567" s="8"/>
      <c r="U2567" s="8"/>
      <c r="V2567" s="8"/>
      <c r="W2567" s="8"/>
      <c r="X2567" s="771"/>
      <c r="Y2567" s="771"/>
      <c r="Z2567" s="771"/>
      <c r="AA2567" s="771"/>
      <c r="AB2567" s="771"/>
      <c r="AC2567" s="771"/>
      <c r="AD2567" s="771"/>
      <c r="AE2567" s="771"/>
      <c r="AF2567" s="771"/>
      <c r="AG2567" s="771"/>
      <c r="AH2567" s="771"/>
      <c r="AI2567" s="771"/>
      <c r="AJ2567" s="771"/>
      <c r="AK2567" s="771"/>
      <c r="AL2567" s="771"/>
      <c r="AM2567" s="771"/>
      <c r="AN2567" s="771"/>
      <c r="AO2567" s="771"/>
      <c r="AP2567" s="771"/>
      <c r="AQ2567" s="771"/>
      <c r="AR2567" s="771"/>
      <c r="AS2567" s="771"/>
      <c r="AT2567" s="771"/>
      <c r="AU2567" s="771"/>
    </row>
    <row r="2568" spans="1:47" s="1418" customFormat="1" outlineLevel="1" x14ac:dyDescent="0.2">
      <c r="A2568" s="8"/>
      <c r="B2568" s="8"/>
      <c r="C2568" s="1989" t="s">
        <v>4839</v>
      </c>
      <c r="D2568" s="1989" t="s">
        <v>5151</v>
      </c>
      <c r="E2568" s="1989">
        <v>0.66</v>
      </c>
      <c r="F2568" s="38">
        <f t="shared" ref="F2568:F2631" si="40">E2568*$G$4*$J$4</f>
        <v>53.672018400000006</v>
      </c>
      <c r="G2568" s="1547"/>
      <c r="H2568" s="8"/>
      <c r="I2568" s="8"/>
      <c r="J2568" s="8"/>
      <c r="K2568" s="8"/>
      <c r="L2568" s="8"/>
      <c r="M2568" s="8"/>
      <c r="N2568" s="8"/>
      <c r="O2568" s="8"/>
      <c r="P2568" s="8"/>
      <c r="Q2568" s="8"/>
      <c r="R2568" s="8"/>
      <c r="S2568" s="8"/>
      <c r="T2568" s="8"/>
      <c r="U2568" s="8"/>
      <c r="V2568" s="8"/>
      <c r="W2568" s="8"/>
      <c r="X2568" s="771"/>
      <c r="Y2568" s="771"/>
      <c r="Z2568" s="771"/>
      <c r="AA2568" s="771"/>
      <c r="AB2568" s="771"/>
      <c r="AC2568" s="771"/>
      <c r="AD2568" s="771"/>
      <c r="AE2568" s="771"/>
      <c r="AF2568" s="771"/>
      <c r="AG2568" s="771"/>
      <c r="AH2568" s="771"/>
      <c r="AI2568" s="771"/>
      <c r="AJ2568" s="771"/>
      <c r="AK2568" s="771"/>
      <c r="AL2568" s="771"/>
      <c r="AM2568" s="771"/>
      <c r="AN2568" s="771"/>
      <c r="AO2568" s="771"/>
      <c r="AP2568" s="771"/>
      <c r="AQ2568" s="771"/>
      <c r="AR2568" s="771"/>
      <c r="AS2568" s="771"/>
      <c r="AT2568" s="771"/>
      <c r="AU2568" s="771"/>
    </row>
    <row r="2569" spans="1:47" s="1418" customFormat="1" outlineLevel="1" x14ac:dyDescent="0.2">
      <c r="A2569" s="8"/>
      <c r="B2569" s="8"/>
      <c r="C2569" s="1989" t="s">
        <v>4840</v>
      </c>
      <c r="D2569" s="1989" t="s">
        <v>5152</v>
      </c>
      <c r="E2569" s="1989">
        <v>0.74</v>
      </c>
      <c r="F2569" s="38">
        <f t="shared" si="40"/>
        <v>60.177717600000008</v>
      </c>
      <c r="G2569" s="1547"/>
      <c r="H2569" s="8"/>
      <c r="I2569" s="8"/>
      <c r="J2569" s="8"/>
      <c r="K2569" s="8"/>
      <c r="L2569" s="8"/>
      <c r="M2569" s="8"/>
      <c r="N2569" s="8"/>
      <c r="O2569" s="8"/>
      <c r="P2569" s="8"/>
      <c r="Q2569" s="8"/>
      <c r="R2569" s="8"/>
      <c r="S2569" s="8"/>
      <c r="T2569" s="8"/>
      <c r="U2569" s="8"/>
      <c r="V2569" s="8"/>
      <c r="W2569" s="8"/>
      <c r="X2569" s="771"/>
      <c r="Y2569" s="771"/>
      <c r="Z2569" s="771"/>
      <c r="AA2569" s="771"/>
      <c r="AB2569" s="771"/>
      <c r="AC2569" s="771"/>
      <c r="AD2569" s="771"/>
      <c r="AE2569" s="771"/>
      <c r="AF2569" s="771"/>
      <c r="AG2569" s="771"/>
      <c r="AH2569" s="771"/>
      <c r="AI2569" s="771"/>
      <c r="AJ2569" s="771"/>
      <c r="AK2569" s="771"/>
      <c r="AL2569" s="771"/>
      <c r="AM2569" s="771"/>
      <c r="AN2569" s="771"/>
      <c r="AO2569" s="771"/>
      <c r="AP2569" s="771"/>
      <c r="AQ2569" s="771"/>
      <c r="AR2569" s="771"/>
      <c r="AS2569" s="771"/>
      <c r="AT2569" s="771"/>
      <c r="AU2569" s="771"/>
    </row>
    <row r="2570" spans="1:47" s="1418" customFormat="1" outlineLevel="1" x14ac:dyDescent="0.2">
      <c r="A2570" s="8"/>
      <c r="B2570" s="8"/>
      <c r="C2570" s="1989" t="s">
        <v>4841</v>
      </c>
      <c r="D2570" s="1989" t="s">
        <v>5153</v>
      </c>
      <c r="E2570" s="1989">
        <v>0.85</v>
      </c>
      <c r="F2570" s="38">
        <f t="shared" si="40"/>
        <v>69.12305400000001</v>
      </c>
      <c r="G2570" s="1547"/>
      <c r="H2570" s="8"/>
      <c r="I2570" s="8"/>
      <c r="J2570" s="8"/>
      <c r="K2570" s="8"/>
      <c r="L2570" s="8"/>
      <c r="M2570" s="8"/>
      <c r="N2570" s="8"/>
      <c r="O2570" s="8"/>
      <c r="P2570" s="8"/>
      <c r="Q2570" s="8"/>
      <c r="R2570" s="8"/>
      <c r="S2570" s="8"/>
      <c r="T2570" s="8"/>
      <c r="U2570" s="8"/>
      <c r="V2570" s="8"/>
      <c r="W2570" s="8"/>
      <c r="X2570" s="771"/>
      <c r="Y2570" s="771"/>
      <c r="Z2570" s="771"/>
      <c r="AA2570" s="771"/>
      <c r="AB2570" s="771"/>
      <c r="AC2570" s="771"/>
      <c r="AD2570" s="771"/>
      <c r="AE2570" s="771"/>
      <c r="AF2570" s="771"/>
      <c r="AG2570" s="771"/>
      <c r="AH2570" s="771"/>
      <c r="AI2570" s="771"/>
      <c r="AJ2570" s="771"/>
      <c r="AK2570" s="771"/>
      <c r="AL2570" s="771"/>
      <c r="AM2570" s="771"/>
      <c r="AN2570" s="771"/>
      <c r="AO2570" s="771"/>
      <c r="AP2570" s="771"/>
      <c r="AQ2570" s="771"/>
      <c r="AR2570" s="771"/>
      <c r="AS2570" s="771"/>
      <c r="AT2570" s="771"/>
      <c r="AU2570" s="771"/>
    </row>
    <row r="2571" spans="1:47" s="1418" customFormat="1" outlineLevel="1" x14ac:dyDescent="0.2">
      <c r="A2571" s="8"/>
      <c r="B2571" s="8"/>
      <c r="C2571" s="1989" t="s">
        <v>4842</v>
      </c>
      <c r="D2571" s="1989" t="s">
        <v>5154</v>
      </c>
      <c r="E2571" s="1989">
        <v>0.93</v>
      </c>
      <c r="F2571" s="38">
        <f t="shared" si="40"/>
        <v>75.628753200000006</v>
      </c>
      <c r="G2571" s="1547"/>
      <c r="H2571" s="8"/>
      <c r="I2571" s="8"/>
      <c r="J2571" s="8"/>
      <c r="K2571" s="8"/>
      <c r="L2571" s="8"/>
      <c r="M2571" s="8"/>
      <c r="N2571" s="8"/>
      <c r="O2571" s="8"/>
      <c r="P2571" s="8"/>
      <c r="Q2571" s="8"/>
      <c r="R2571" s="8"/>
      <c r="S2571" s="8"/>
      <c r="T2571" s="8"/>
      <c r="U2571" s="8"/>
      <c r="V2571" s="8"/>
      <c r="W2571" s="8"/>
      <c r="X2571" s="771"/>
      <c r="Y2571" s="771"/>
      <c r="Z2571" s="771"/>
      <c r="AA2571" s="771"/>
      <c r="AB2571" s="771"/>
      <c r="AC2571" s="771"/>
      <c r="AD2571" s="771"/>
      <c r="AE2571" s="771"/>
      <c r="AF2571" s="771"/>
      <c r="AG2571" s="771"/>
      <c r="AH2571" s="771"/>
      <c r="AI2571" s="771"/>
      <c r="AJ2571" s="771"/>
      <c r="AK2571" s="771"/>
      <c r="AL2571" s="771"/>
      <c r="AM2571" s="771"/>
      <c r="AN2571" s="771"/>
      <c r="AO2571" s="771"/>
      <c r="AP2571" s="771"/>
      <c r="AQ2571" s="771"/>
      <c r="AR2571" s="771"/>
      <c r="AS2571" s="771"/>
      <c r="AT2571" s="771"/>
      <c r="AU2571" s="771"/>
    </row>
    <row r="2572" spans="1:47" s="1418" customFormat="1" outlineLevel="1" x14ac:dyDescent="0.2">
      <c r="A2572" s="8"/>
      <c r="B2572" s="8"/>
      <c r="C2572" s="1989" t="s">
        <v>4843</v>
      </c>
      <c r="D2572" s="1989" t="s">
        <v>4844</v>
      </c>
      <c r="E2572" s="1989">
        <v>1</v>
      </c>
      <c r="F2572" s="38">
        <f t="shared" si="40"/>
        <v>81.321240000000003</v>
      </c>
      <c r="G2572" s="1547"/>
      <c r="H2572" s="8"/>
      <c r="I2572" s="8"/>
      <c r="J2572" s="8"/>
      <c r="K2572" s="8"/>
      <c r="L2572" s="8"/>
      <c r="M2572" s="8"/>
      <c r="N2572" s="8"/>
      <c r="O2572" s="8"/>
      <c r="P2572" s="8"/>
      <c r="Q2572" s="8"/>
      <c r="R2572" s="8"/>
      <c r="S2572" s="8"/>
      <c r="T2572" s="8"/>
      <c r="U2572" s="8"/>
      <c r="V2572" s="8"/>
      <c r="W2572" s="8"/>
      <c r="X2572" s="771"/>
      <c r="Y2572" s="771"/>
      <c r="Z2572" s="771"/>
      <c r="AA2572" s="771"/>
      <c r="AB2572" s="771"/>
      <c r="AC2572" s="771"/>
      <c r="AD2572" s="771"/>
      <c r="AE2572" s="771"/>
      <c r="AF2572" s="771"/>
      <c r="AG2572" s="771"/>
      <c r="AH2572" s="771"/>
      <c r="AI2572" s="771"/>
      <c r="AJ2572" s="771"/>
      <c r="AK2572" s="771"/>
      <c r="AL2572" s="771"/>
      <c r="AM2572" s="771"/>
      <c r="AN2572" s="771"/>
      <c r="AO2572" s="771"/>
      <c r="AP2572" s="771"/>
      <c r="AQ2572" s="771"/>
      <c r="AR2572" s="771"/>
      <c r="AS2572" s="771"/>
      <c r="AT2572" s="771"/>
      <c r="AU2572" s="771"/>
    </row>
    <row r="2573" spans="1:47" s="1418" customFormat="1" outlineLevel="1" x14ac:dyDescent="0.2">
      <c r="A2573" s="8"/>
      <c r="B2573" s="8"/>
      <c r="C2573" s="1989" t="s">
        <v>4845</v>
      </c>
      <c r="D2573" s="1989" t="s">
        <v>4846</v>
      </c>
      <c r="E2573" s="1989">
        <v>1.17</v>
      </c>
      <c r="F2573" s="38">
        <f t="shared" si="40"/>
        <v>95.145850800000005</v>
      </c>
      <c r="G2573" s="1547"/>
      <c r="H2573" s="8"/>
      <c r="I2573" s="8"/>
      <c r="J2573" s="8"/>
      <c r="K2573" s="8"/>
      <c r="L2573" s="8"/>
      <c r="M2573" s="8"/>
      <c r="N2573" s="8"/>
      <c r="O2573" s="8"/>
      <c r="P2573" s="8"/>
      <c r="Q2573" s="8"/>
      <c r="R2573" s="8"/>
      <c r="S2573" s="8"/>
      <c r="T2573" s="8"/>
      <c r="U2573" s="8"/>
      <c r="V2573" s="8"/>
      <c r="W2573" s="8"/>
      <c r="X2573" s="771"/>
      <c r="Y2573" s="771"/>
      <c r="Z2573" s="771"/>
      <c r="AA2573" s="771"/>
      <c r="AB2573" s="771"/>
      <c r="AC2573" s="771"/>
      <c r="AD2573" s="771"/>
      <c r="AE2573" s="771"/>
      <c r="AF2573" s="771"/>
      <c r="AG2573" s="771"/>
      <c r="AH2573" s="771"/>
      <c r="AI2573" s="771"/>
      <c r="AJ2573" s="771"/>
      <c r="AK2573" s="771"/>
      <c r="AL2573" s="771"/>
      <c r="AM2573" s="771"/>
      <c r="AN2573" s="771"/>
      <c r="AO2573" s="771"/>
      <c r="AP2573" s="771"/>
      <c r="AQ2573" s="771"/>
      <c r="AR2573" s="771"/>
      <c r="AS2573" s="771"/>
      <c r="AT2573" s="771"/>
      <c r="AU2573" s="771"/>
    </row>
    <row r="2574" spans="1:47" s="1418" customFormat="1" outlineLevel="1" x14ac:dyDescent="0.2">
      <c r="A2574" s="8"/>
      <c r="B2574" s="8"/>
      <c r="C2574" s="1989" t="s">
        <v>4847</v>
      </c>
      <c r="D2574" s="1989" t="s">
        <v>5155</v>
      </c>
      <c r="E2574" s="1989">
        <v>0.84</v>
      </c>
      <c r="F2574" s="38">
        <f t="shared" si="40"/>
        <v>68.309841599999999</v>
      </c>
      <c r="G2574" s="1547"/>
      <c r="H2574" s="8"/>
      <c r="I2574" s="8"/>
      <c r="J2574" s="8"/>
      <c r="K2574" s="8"/>
      <c r="L2574" s="8"/>
      <c r="M2574" s="8"/>
      <c r="N2574" s="8"/>
      <c r="O2574" s="8"/>
      <c r="P2574" s="8"/>
      <c r="Q2574" s="8"/>
      <c r="R2574" s="8"/>
      <c r="S2574" s="8"/>
      <c r="T2574" s="8"/>
      <c r="U2574" s="8"/>
      <c r="V2574" s="8"/>
      <c r="W2574" s="8"/>
      <c r="X2574" s="771"/>
      <c r="Y2574" s="771"/>
      <c r="Z2574" s="771"/>
      <c r="AA2574" s="771"/>
      <c r="AB2574" s="771"/>
      <c r="AC2574" s="771"/>
      <c r="AD2574" s="771"/>
      <c r="AE2574" s="771"/>
      <c r="AF2574" s="771"/>
      <c r="AG2574" s="771"/>
      <c r="AH2574" s="771"/>
      <c r="AI2574" s="771"/>
      <c r="AJ2574" s="771"/>
      <c r="AK2574" s="771"/>
      <c r="AL2574" s="771"/>
      <c r="AM2574" s="771"/>
      <c r="AN2574" s="771"/>
      <c r="AO2574" s="771"/>
      <c r="AP2574" s="771"/>
      <c r="AQ2574" s="771"/>
      <c r="AR2574" s="771"/>
      <c r="AS2574" s="771"/>
      <c r="AT2574" s="771"/>
      <c r="AU2574" s="771"/>
    </row>
    <row r="2575" spans="1:47" s="1418" customFormat="1" outlineLevel="1" x14ac:dyDescent="0.2">
      <c r="A2575" s="8"/>
      <c r="B2575" s="8"/>
      <c r="C2575" s="1989" t="s">
        <v>4848</v>
      </c>
      <c r="D2575" s="1989" t="s">
        <v>5156</v>
      </c>
      <c r="E2575" s="1989">
        <v>0.94</v>
      </c>
      <c r="F2575" s="38">
        <f t="shared" si="40"/>
        <v>76.441965600000003</v>
      </c>
      <c r="G2575" s="1547"/>
      <c r="H2575" s="8"/>
      <c r="I2575" s="8"/>
      <c r="J2575" s="8"/>
      <c r="K2575" s="8"/>
      <c r="L2575" s="8"/>
      <c r="M2575" s="8"/>
      <c r="N2575" s="8"/>
      <c r="O2575" s="8"/>
      <c r="P2575" s="8"/>
      <c r="Q2575" s="8"/>
      <c r="R2575" s="8"/>
      <c r="S2575" s="8"/>
      <c r="T2575" s="8"/>
      <c r="U2575" s="8"/>
      <c r="V2575" s="8"/>
      <c r="W2575" s="8"/>
      <c r="X2575" s="771"/>
      <c r="Y2575" s="771"/>
      <c r="Z2575" s="771"/>
      <c r="AA2575" s="771"/>
      <c r="AB2575" s="771"/>
      <c r="AC2575" s="771"/>
      <c r="AD2575" s="771"/>
      <c r="AE2575" s="771"/>
      <c r="AF2575" s="771"/>
      <c r="AG2575" s="771"/>
      <c r="AH2575" s="771"/>
      <c r="AI2575" s="771"/>
      <c r="AJ2575" s="771"/>
      <c r="AK2575" s="771"/>
      <c r="AL2575" s="771"/>
      <c r="AM2575" s="771"/>
      <c r="AN2575" s="771"/>
      <c r="AO2575" s="771"/>
      <c r="AP2575" s="771"/>
      <c r="AQ2575" s="771"/>
      <c r="AR2575" s="771"/>
      <c r="AS2575" s="771"/>
      <c r="AT2575" s="771"/>
      <c r="AU2575" s="771"/>
    </row>
    <row r="2576" spans="1:47" s="1418" customFormat="1" outlineLevel="1" x14ac:dyDescent="0.2">
      <c r="A2576" s="8"/>
      <c r="B2576" s="8"/>
      <c r="C2576" s="1989" t="s">
        <v>4849</v>
      </c>
      <c r="D2576" s="1989" t="s">
        <v>5157</v>
      </c>
      <c r="E2576" s="1989">
        <v>1.07</v>
      </c>
      <c r="F2576" s="38">
        <f t="shared" si="40"/>
        <v>87.013726800000015</v>
      </c>
      <c r="G2576" s="1547"/>
      <c r="H2576" s="8"/>
      <c r="I2576" s="8"/>
      <c r="J2576" s="8"/>
      <c r="K2576" s="8"/>
      <c r="L2576" s="8"/>
      <c r="M2576" s="8"/>
      <c r="N2576" s="8"/>
      <c r="O2576" s="8"/>
      <c r="P2576" s="8"/>
      <c r="Q2576" s="8"/>
      <c r="R2576" s="8"/>
      <c r="S2576" s="8"/>
      <c r="T2576" s="8"/>
      <c r="U2576" s="8"/>
      <c r="V2576" s="8"/>
      <c r="W2576" s="8"/>
      <c r="X2576" s="771"/>
      <c r="Y2576" s="771"/>
      <c r="Z2576" s="771"/>
      <c r="AA2576" s="771"/>
      <c r="AB2576" s="771"/>
      <c r="AC2576" s="771"/>
      <c r="AD2576" s="771"/>
      <c r="AE2576" s="771"/>
      <c r="AF2576" s="771"/>
      <c r="AG2576" s="771"/>
      <c r="AH2576" s="771"/>
      <c r="AI2576" s="771"/>
      <c r="AJ2576" s="771"/>
      <c r="AK2576" s="771"/>
      <c r="AL2576" s="771"/>
      <c r="AM2576" s="771"/>
      <c r="AN2576" s="771"/>
      <c r="AO2576" s="771"/>
      <c r="AP2576" s="771"/>
      <c r="AQ2576" s="771"/>
      <c r="AR2576" s="771"/>
      <c r="AS2576" s="771"/>
      <c r="AT2576" s="771"/>
      <c r="AU2576" s="771"/>
    </row>
    <row r="2577" spans="1:47" s="1418" customFormat="1" outlineLevel="1" x14ac:dyDescent="0.2">
      <c r="A2577" s="8"/>
      <c r="B2577" s="8"/>
      <c r="C2577" s="1989" t="s">
        <v>4850</v>
      </c>
      <c r="D2577" s="1989" t="s">
        <v>5158</v>
      </c>
      <c r="E2577" s="1989">
        <v>1.18</v>
      </c>
      <c r="F2577" s="38">
        <f t="shared" si="40"/>
        <v>95.959063200000003</v>
      </c>
      <c r="G2577" s="1547"/>
      <c r="H2577" s="8"/>
      <c r="I2577" s="8"/>
      <c r="J2577" s="8"/>
      <c r="K2577" s="8"/>
      <c r="L2577" s="8"/>
      <c r="M2577" s="8"/>
      <c r="N2577" s="8"/>
      <c r="O2577" s="8"/>
      <c r="P2577" s="8"/>
      <c r="Q2577" s="8"/>
      <c r="R2577" s="8"/>
      <c r="S2577" s="8"/>
      <c r="T2577" s="8"/>
      <c r="U2577" s="8"/>
      <c r="V2577" s="8"/>
      <c r="W2577" s="8"/>
      <c r="X2577" s="771"/>
      <c r="Y2577" s="771"/>
      <c r="Z2577" s="771"/>
      <c r="AA2577" s="771"/>
      <c r="AB2577" s="771"/>
      <c r="AC2577" s="771"/>
      <c r="AD2577" s="771"/>
      <c r="AE2577" s="771"/>
      <c r="AF2577" s="771"/>
      <c r="AG2577" s="771"/>
      <c r="AH2577" s="771"/>
      <c r="AI2577" s="771"/>
      <c r="AJ2577" s="771"/>
      <c r="AK2577" s="771"/>
      <c r="AL2577" s="771"/>
      <c r="AM2577" s="771"/>
      <c r="AN2577" s="771"/>
      <c r="AO2577" s="771"/>
      <c r="AP2577" s="771"/>
      <c r="AQ2577" s="771"/>
      <c r="AR2577" s="771"/>
      <c r="AS2577" s="771"/>
      <c r="AT2577" s="771"/>
      <c r="AU2577" s="771"/>
    </row>
    <row r="2578" spans="1:47" s="1418" customFormat="1" outlineLevel="1" x14ac:dyDescent="0.2">
      <c r="A2578" s="8"/>
      <c r="B2578" s="8"/>
      <c r="C2578" s="1989" t="s">
        <v>4851</v>
      </c>
      <c r="D2578" s="1989" t="s">
        <v>4852</v>
      </c>
      <c r="E2578" s="1989">
        <v>1.3</v>
      </c>
      <c r="F2578" s="38">
        <f t="shared" si="40"/>
        <v>105.71761200000002</v>
      </c>
      <c r="G2578" s="1547"/>
      <c r="H2578" s="8"/>
      <c r="I2578" s="8"/>
      <c r="J2578" s="8"/>
      <c r="K2578" s="8"/>
      <c r="L2578" s="8"/>
      <c r="M2578" s="8"/>
      <c r="N2578" s="8"/>
      <c r="O2578" s="8"/>
      <c r="P2578" s="8"/>
      <c r="Q2578" s="8"/>
      <c r="R2578" s="8"/>
      <c r="S2578" s="8"/>
      <c r="T2578" s="8"/>
      <c r="U2578" s="8"/>
      <c r="V2578" s="8"/>
      <c r="W2578" s="8"/>
      <c r="X2578" s="771"/>
      <c r="Y2578" s="771"/>
      <c r="Z2578" s="771"/>
      <c r="AA2578" s="771"/>
      <c r="AB2578" s="771"/>
      <c r="AC2578" s="771"/>
      <c r="AD2578" s="771"/>
      <c r="AE2578" s="771"/>
      <c r="AF2578" s="771"/>
      <c r="AG2578" s="771"/>
      <c r="AH2578" s="771"/>
      <c r="AI2578" s="771"/>
      <c r="AJ2578" s="771"/>
      <c r="AK2578" s="771"/>
      <c r="AL2578" s="771"/>
      <c r="AM2578" s="771"/>
      <c r="AN2578" s="771"/>
      <c r="AO2578" s="771"/>
      <c r="AP2578" s="771"/>
      <c r="AQ2578" s="771"/>
      <c r="AR2578" s="771"/>
      <c r="AS2578" s="771"/>
      <c r="AT2578" s="771"/>
      <c r="AU2578" s="771"/>
    </row>
    <row r="2579" spans="1:47" s="1418" customFormat="1" outlineLevel="1" x14ac:dyDescent="0.2">
      <c r="A2579" s="8"/>
      <c r="B2579" s="8"/>
      <c r="C2579" s="1989" t="s">
        <v>4853</v>
      </c>
      <c r="D2579" s="1989" t="s">
        <v>4854</v>
      </c>
      <c r="E2579" s="1989">
        <v>1.52</v>
      </c>
      <c r="F2579" s="38">
        <f t="shared" si="40"/>
        <v>123.60828479999999</v>
      </c>
      <c r="G2579" s="1547"/>
      <c r="H2579" s="8"/>
      <c r="I2579" s="8"/>
      <c r="J2579" s="8"/>
      <c r="K2579" s="8"/>
      <c r="L2579" s="8"/>
      <c r="M2579" s="8"/>
      <c r="N2579" s="8"/>
      <c r="O2579" s="8"/>
      <c r="P2579" s="8"/>
      <c r="Q2579" s="8"/>
      <c r="R2579" s="8"/>
      <c r="S2579" s="8"/>
      <c r="T2579" s="8"/>
      <c r="U2579" s="8"/>
      <c r="V2579" s="8"/>
      <c r="W2579" s="8"/>
      <c r="X2579" s="771"/>
      <c r="Y2579" s="771"/>
      <c r="Z2579" s="771"/>
      <c r="AA2579" s="771"/>
      <c r="AB2579" s="771"/>
      <c r="AC2579" s="771"/>
      <c r="AD2579" s="771"/>
      <c r="AE2579" s="771"/>
      <c r="AF2579" s="771"/>
      <c r="AG2579" s="771"/>
      <c r="AH2579" s="771"/>
      <c r="AI2579" s="771"/>
      <c r="AJ2579" s="771"/>
      <c r="AK2579" s="771"/>
      <c r="AL2579" s="771"/>
      <c r="AM2579" s="771"/>
      <c r="AN2579" s="771"/>
      <c r="AO2579" s="771"/>
      <c r="AP2579" s="771"/>
      <c r="AQ2579" s="771"/>
      <c r="AR2579" s="771"/>
      <c r="AS2579" s="771"/>
      <c r="AT2579" s="771"/>
      <c r="AU2579" s="771"/>
    </row>
    <row r="2580" spans="1:47" s="1418" customFormat="1" outlineLevel="1" x14ac:dyDescent="0.2">
      <c r="A2580" s="8"/>
      <c r="B2580" s="8"/>
      <c r="C2580" s="1989" t="s">
        <v>3336</v>
      </c>
      <c r="D2580" s="1989" t="s">
        <v>8094</v>
      </c>
      <c r="E2580" s="1989">
        <v>0.22</v>
      </c>
      <c r="F2580" s="38">
        <f t="shared" si="40"/>
        <v>17.890672800000001</v>
      </c>
      <c r="G2580" s="1547"/>
      <c r="H2580" s="8"/>
      <c r="I2580" s="8"/>
      <c r="J2580" s="8"/>
      <c r="K2580" s="8"/>
      <c r="L2580" s="8"/>
      <c r="M2580" s="8"/>
      <c r="N2580" s="8"/>
      <c r="O2580" s="8"/>
      <c r="P2580" s="8"/>
      <c r="Q2580" s="8"/>
      <c r="R2580" s="8"/>
      <c r="S2580" s="8"/>
      <c r="T2580" s="8"/>
      <c r="U2580" s="8"/>
      <c r="V2580" s="8"/>
      <c r="W2580" s="8"/>
      <c r="X2580" s="771"/>
      <c r="Y2580" s="771"/>
      <c r="Z2580" s="771"/>
      <c r="AA2580" s="771"/>
      <c r="AB2580" s="771"/>
      <c r="AC2580" s="771"/>
      <c r="AD2580" s="771"/>
      <c r="AE2580" s="771"/>
      <c r="AF2580" s="771"/>
      <c r="AG2580" s="771"/>
      <c r="AH2580" s="771"/>
      <c r="AI2580" s="771"/>
      <c r="AJ2580" s="771"/>
      <c r="AK2580" s="771"/>
      <c r="AL2580" s="771"/>
      <c r="AM2580" s="771"/>
      <c r="AN2580" s="771"/>
      <c r="AO2580" s="771"/>
      <c r="AP2580" s="771"/>
      <c r="AQ2580" s="771"/>
      <c r="AR2580" s="771"/>
      <c r="AS2580" s="771"/>
      <c r="AT2580" s="771"/>
      <c r="AU2580" s="771"/>
    </row>
    <row r="2581" spans="1:47" s="1418" customFormat="1" outlineLevel="1" x14ac:dyDescent="0.2">
      <c r="A2581" s="8"/>
      <c r="B2581" s="8"/>
      <c r="C2581" s="1989" t="s">
        <v>4855</v>
      </c>
      <c r="D2581" s="1989" t="s">
        <v>6244</v>
      </c>
      <c r="E2581" s="1989">
        <v>0.46</v>
      </c>
      <c r="F2581" s="38">
        <f t="shared" si="40"/>
        <v>37.407770400000004</v>
      </c>
      <c r="G2581" s="1547"/>
      <c r="H2581" s="8"/>
      <c r="I2581" s="8"/>
      <c r="J2581" s="8"/>
      <c r="K2581" s="8"/>
      <c r="L2581" s="8"/>
      <c r="M2581" s="8"/>
      <c r="N2581" s="8"/>
      <c r="O2581" s="8"/>
      <c r="P2581" s="8"/>
      <c r="Q2581" s="8"/>
      <c r="R2581" s="8"/>
      <c r="S2581" s="8"/>
      <c r="T2581" s="8"/>
      <c r="U2581" s="8"/>
      <c r="V2581" s="8"/>
      <c r="W2581" s="8"/>
      <c r="X2581" s="771"/>
      <c r="Y2581" s="771"/>
      <c r="Z2581" s="771"/>
      <c r="AA2581" s="771"/>
      <c r="AB2581" s="771"/>
      <c r="AC2581" s="771"/>
      <c r="AD2581" s="771"/>
      <c r="AE2581" s="771"/>
      <c r="AF2581" s="771"/>
      <c r="AG2581" s="771"/>
      <c r="AH2581" s="771"/>
      <c r="AI2581" s="771"/>
      <c r="AJ2581" s="771"/>
      <c r="AK2581" s="771"/>
      <c r="AL2581" s="771"/>
      <c r="AM2581" s="771"/>
      <c r="AN2581" s="771"/>
      <c r="AO2581" s="771"/>
      <c r="AP2581" s="771"/>
      <c r="AQ2581" s="771"/>
      <c r="AR2581" s="771"/>
      <c r="AS2581" s="771"/>
      <c r="AT2581" s="771"/>
      <c r="AU2581" s="771"/>
    </row>
    <row r="2582" spans="1:47" s="1418" customFormat="1" outlineLevel="1" x14ac:dyDescent="0.2">
      <c r="A2582" s="8"/>
      <c r="B2582" s="8"/>
      <c r="C2582" s="1989" t="s">
        <v>4856</v>
      </c>
      <c r="D2582" s="1989" t="s">
        <v>6245</v>
      </c>
      <c r="E2582" s="1989">
        <v>0.12</v>
      </c>
      <c r="F2582" s="38">
        <f t="shared" si="40"/>
        <v>9.7585487999999998</v>
      </c>
      <c r="G2582" s="1547"/>
      <c r="H2582" s="8"/>
      <c r="I2582" s="8"/>
      <c r="J2582" s="8"/>
      <c r="K2582" s="8"/>
      <c r="L2582" s="8"/>
      <c r="M2582" s="8"/>
      <c r="N2582" s="8"/>
      <c r="O2582" s="8"/>
      <c r="P2582" s="8"/>
      <c r="Q2582" s="8"/>
      <c r="R2582" s="8"/>
      <c r="S2582" s="8"/>
      <c r="T2582" s="8"/>
      <c r="U2582" s="8"/>
      <c r="V2582" s="8"/>
      <c r="W2582" s="8"/>
      <c r="X2582" s="771"/>
      <c r="Y2582" s="771"/>
      <c r="Z2582" s="771"/>
      <c r="AA2582" s="771"/>
      <c r="AB2582" s="771"/>
      <c r="AC2582" s="771"/>
      <c r="AD2582" s="771"/>
      <c r="AE2582" s="771"/>
      <c r="AF2582" s="771"/>
      <c r="AG2582" s="771"/>
      <c r="AH2582" s="771"/>
      <c r="AI2582" s="771"/>
      <c r="AJ2582" s="771"/>
      <c r="AK2582" s="771"/>
      <c r="AL2582" s="771"/>
      <c r="AM2582" s="771"/>
      <c r="AN2582" s="771"/>
      <c r="AO2582" s="771"/>
      <c r="AP2582" s="771"/>
      <c r="AQ2582" s="771"/>
      <c r="AR2582" s="771"/>
      <c r="AS2582" s="771"/>
      <c r="AT2582" s="771"/>
      <c r="AU2582" s="771"/>
    </row>
    <row r="2583" spans="1:47" s="1418" customFormat="1" outlineLevel="1" x14ac:dyDescent="0.2">
      <c r="A2583" s="8"/>
      <c r="B2583" s="8"/>
      <c r="C2583" s="1989" t="s">
        <v>2647</v>
      </c>
      <c r="D2583" s="1989" t="s">
        <v>2648</v>
      </c>
      <c r="E2583" s="1989">
        <v>0.25</v>
      </c>
      <c r="F2583" s="38">
        <f t="shared" si="40"/>
        <v>20.330310000000001</v>
      </c>
      <c r="G2583" s="1547"/>
      <c r="H2583" s="8"/>
      <c r="I2583" s="8"/>
      <c r="J2583" s="8"/>
      <c r="K2583" s="8"/>
      <c r="L2583" s="8"/>
      <c r="M2583" s="8"/>
      <c r="N2583" s="8"/>
      <c r="O2583" s="8"/>
      <c r="P2583" s="8"/>
      <c r="Q2583" s="8"/>
      <c r="R2583" s="8"/>
      <c r="S2583" s="8"/>
      <c r="T2583" s="8"/>
      <c r="U2583" s="8"/>
      <c r="V2583" s="8"/>
      <c r="W2583" s="8"/>
      <c r="X2583" s="771"/>
      <c r="Y2583" s="771"/>
      <c r="Z2583" s="771"/>
      <c r="AA2583" s="771"/>
      <c r="AB2583" s="771"/>
      <c r="AC2583" s="771"/>
      <c r="AD2583" s="771"/>
      <c r="AE2583" s="771"/>
      <c r="AF2583" s="771"/>
      <c r="AG2583" s="771"/>
      <c r="AH2583" s="771"/>
      <c r="AI2583" s="771"/>
      <c r="AJ2583" s="771"/>
      <c r="AK2583" s="771"/>
      <c r="AL2583" s="771"/>
      <c r="AM2583" s="771"/>
      <c r="AN2583" s="771"/>
      <c r="AO2583" s="771"/>
      <c r="AP2583" s="771"/>
      <c r="AQ2583" s="771"/>
      <c r="AR2583" s="771"/>
      <c r="AS2583" s="771"/>
      <c r="AT2583" s="771"/>
      <c r="AU2583" s="771"/>
    </row>
    <row r="2584" spans="1:47" s="1418" customFormat="1" outlineLevel="1" x14ac:dyDescent="0.2">
      <c r="A2584" s="8"/>
      <c r="B2584" s="8"/>
      <c r="C2584" s="1989" t="s">
        <v>1664</v>
      </c>
      <c r="D2584" s="1989" t="s">
        <v>8095</v>
      </c>
      <c r="E2584" s="1989">
        <v>0.19</v>
      </c>
      <c r="F2584" s="38">
        <f t="shared" si="40"/>
        <v>15.451035599999999</v>
      </c>
      <c r="G2584" s="1547"/>
      <c r="H2584" s="8"/>
      <c r="I2584" s="8"/>
      <c r="J2584" s="8"/>
      <c r="K2584" s="8"/>
      <c r="L2584" s="8"/>
      <c r="M2584" s="8"/>
      <c r="N2584" s="8"/>
      <c r="O2584" s="8"/>
      <c r="P2584" s="8"/>
      <c r="Q2584" s="8"/>
      <c r="R2584" s="8"/>
      <c r="S2584" s="8"/>
      <c r="T2584" s="8"/>
      <c r="U2584" s="8"/>
      <c r="V2584" s="8"/>
      <c r="W2584" s="8"/>
      <c r="X2584" s="771"/>
      <c r="Y2584" s="771"/>
      <c r="Z2584" s="771"/>
      <c r="AA2584" s="771"/>
      <c r="AB2584" s="771"/>
      <c r="AC2584" s="771"/>
      <c r="AD2584" s="771"/>
      <c r="AE2584" s="771"/>
      <c r="AF2584" s="771"/>
      <c r="AG2584" s="771"/>
      <c r="AH2584" s="771"/>
      <c r="AI2584" s="771"/>
      <c r="AJ2584" s="771"/>
      <c r="AK2584" s="771"/>
      <c r="AL2584" s="771"/>
      <c r="AM2584" s="771"/>
      <c r="AN2584" s="771"/>
      <c r="AO2584" s="771"/>
      <c r="AP2584" s="771"/>
      <c r="AQ2584" s="771"/>
      <c r="AR2584" s="771"/>
      <c r="AS2584" s="771"/>
      <c r="AT2584" s="771"/>
      <c r="AU2584" s="771"/>
    </row>
    <row r="2585" spans="1:47" s="1418" customFormat="1" outlineLevel="1" x14ac:dyDescent="0.2">
      <c r="A2585" s="8"/>
      <c r="B2585" s="8"/>
      <c r="C2585" s="1989" t="s">
        <v>1027</v>
      </c>
      <c r="D2585" s="1989" t="s">
        <v>8096</v>
      </c>
      <c r="E2585" s="1989">
        <v>0.28000000000000003</v>
      </c>
      <c r="F2585" s="38">
        <f t="shared" si="40"/>
        <v>22.769947200000004</v>
      </c>
      <c r="G2585" s="1547"/>
      <c r="H2585" s="8"/>
      <c r="I2585" s="8"/>
      <c r="J2585" s="8"/>
      <c r="K2585" s="8"/>
      <c r="L2585" s="8"/>
      <c r="M2585" s="8"/>
      <c r="N2585" s="8"/>
      <c r="O2585" s="8"/>
      <c r="P2585" s="8"/>
      <c r="Q2585" s="8"/>
      <c r="R2585" s="8"/>
      <c r="S2585" s="8"/>
      <c r="T2585" s="8"/>
      <c r="U2585" s="8"/>
      <c r="V2585" s="8"/>
      <c r="W2585" s="8"/>
      <c r="X2585" s="771"/>
      <c r="Y2585" s="771"/>
      <c r="Z2585" s="771"/>
      <c r="AA2585" s="771"/>
      <c r="AB2585" s="771"/>
      <c r="AC2585" s="771"/>
      <c r="AD2585" s="771"/>
      <c r="AE2585" s="771"/>
      <c r="AF2585" s="771"/>
      <c r="AG2585" s="771"/>
      <c r="AH2585" s="771"/>
      <c r="AI2585" s="771"/>
      <c r="AJ2585" s="771"/>
      <c r="AK2585" s="771"/>
      <c r="AL2585" s="771"/>
      <c r="AM2585" s="771"/>
      <c r="AN2585" s="771"/>
      <c r="AO2585" s="771"/>
      <c r="AP2585" s="771"/>
      <c r="AQ2585" s="771"/>
      <c r="AR2585" s="771"/>
      <c r="AS2585" s="771"/>
      <c r="AT2585" s="771"/>
      <c r="AU2585" s="771"/>
    </row>
    <row r="2586" spans="1:47" s="1418" customFormat="1" outlineLevel="1" x14ac:dyDescent="0.2">
      <c r="A2586" s="8"/>
      <c r="B2586" s="8"/>
      <c r="C2586" s="1989" t="s">
        <v>1028</v>
      </c>
      <c r="D2586" s="1989" t="s">
        <v>8097</v>
      </c>
      <c r="E2586" s="1989">
        <v>0.14000000000000001</v>
      </c>
      <c r="F2586" s="38">
        <f t="shared" si="40"/>
        <v>11.384973600000002</v>
      </c>
      <c r="G2586" s="1547"/>
      <c r="H2586" s="8"/>
      <c r="I2586" s="8"/>
      <c r="J2586" s="8"/>
      <c r="K2586" s="8"/>
      <c r="L2586" s="8"/>
      <c r="M2586" s="8"/>
      <c r="N2586" s="8"/>
      <c r="O2586" s="8"/>
      <c r="P2586" s="8"/>
      <c r="Q2586" s="8"/>
      <c r="R2586" s="8"/>
      <c r="S2586" s="8"/>
      <c r="T2586" s="8"/>
      <c r="U2586" s="8"/>
      <c r="V2586" s="8"/>
      <c r="W2586" s="8"/>
      <c r="X2586" s="771"/>
      <c r="Y2586" s="771"/>
      <c r="Z2586" s="771"/>
      <c r="AA2586" s="771"/>
      <c r="AB2586" s="771"/>
      <c r="AC2586" s="771"/>
      <c r="AD2586" s="771"/>
      <c r="AE2586" s="771"/>
      <c r="AF2586" s="771"/>
      <c r="AG2586" s="771"/>
      <c r="AH2586" s="771"/>
      <c r="AI2586" s="771"/>
      <c r="AJ2586" s="771"/>
      <c r="AK2586" s="771"/>
      <c r="AL2586" s="771"/>
      <c r="AM2586" s="771"/>
      <c r="AN2586" s="771"/>
      <c r="AO2586" s="771"/>
      <c r="AP2586" s="771"/>
      <c r="AQ2586" s="771"/>
      <c r="AR2586" s="771"/>
      <c r="AS2586" s="771"/>
      <c r="AT2586" s="771"/>
      <c r="AU2586" s="771"/>
    </row>
    <row r="2587" spans="1:47" s="1418" customFormat="1" outlineLevel="1" x14ac:dyDescent="0.2">
      <c r="A2587" s="8"/>
      <c r="B2587" s="8"/>
      <c r="C2587" s="1989" t="s">
        <v>1703</v>
      </c>
      <c r="D2587" s="1989" t="s">
        <v>8098</v>
      </c>
      <c r="E2587" s="1989">
        <v>0.94</v>
      </c>
      <c r="F2587" s="38">
        <f t="shared" si="40"/>
        <v>76.441965600000003</v>
      </c>
      <c r="G2587" s="1547"/>
      <c r="H2587" s="8"/>
      <c r="I2587" s="8"/>
      <c r="J2587" s="8"/>
      <c r="K2587" s="8"/>
      <c r="L2587" s="8"/>
      <c r="M2587" s="8"/>
      <c r="N2587" s="8"/>
      <c r="O2587" s="8"/>
      <c r="P2587" s="8"/>
      <c r="Q2587" s="8"/>
      <c r="R2587" s="8"/>
      <c r="S2587" s="8"/>
      <c r="T2587" s="8"/>
      <c r="U2587" s="8"/>
      <c r="V2587" s="8"/>
      <c r="W2587" s="8"/>
      <c r="X2587" s="771"/>
      <c r="Y2587" s="771"/>
      <c r="Z2587" s="771"/>
      <c r="AA2587" s="771"/>
      <c r="AB2587" s="771"/>
      <c r="AC2587" s="771"/>
      <c r="AD2587" s="771"/>
      <c r="AE2587" s="771"/>
      <c r="AF2587" s="771"/>
      <c r="AG2587" s="771"/>
      <c r="AH2587" s="771"/>
      <c r="AI2587" s="771"/>
      <c r="AJ2587" s="771"/>
      <c r="AK2587" s="771"/>
      <c r="AL2587" s="771"/>
      <c r="AM2587" s="771"/>
      <c r="AN2587" s="771"/>
      <c r="AO2587" s="771"/>
      <c r="AP2587" s="771"/>
      <c r="AQ2587" s="771"/>
      <c r="AR2587" s="771"/>
      <c r="AS2587" s="771"/>
      <c r="AT2587" s="771"/>
      <c r="AU2587" s="771"/>
    </row>
    <row r="2588" spans="1:47" s="1418" customFormat="1" outlineLevel="1" x14ac:dyDescent="0.2">
      <c r="A2588" s="8"/>
      <c r="B2588" s="8"/>
      <c r="C2588" s="1989" t="s">
        <v>823</v>
      </c>
      <c r="D2588" s="1989" t="s">
        <v>6246</v>
      </c>
      <c r="E2588" s="1989">
        <v>1.37</v>
      </c>
      <c r="F2588" s="38">
        <f t="shared" si="40"/>
        <v>111.41009880000001</v>
      </c>
      <c r="G2588" s="1547"/>
      <c r="H2588" s="8"/>
      <c r="I2588" s="8"/>
      <c r="J2588" s="8"/>
      <c r="K2588" s="8"/>
      <c r="L2588" s="8"/>
      <c r="M2588" s="8"/>
      <c r="N2588" s="8"/>
      <c r="O2588" s="8"/>
      <c r="P2588" s="8"/>
      <c r="Q2588" s="8"/>
      <c r="R2588" s="8"/>
      <c r="S2588" s="8"/>
      <c r="T2588" s="8"/>
      <c r="U2588" s="8"/>
      <c r="V2588" s="8"/>
      <c r="W2588" s="8"/>
      <c r="X2588" s="771"/>
      <c r="Y2588" s="771"/>
      <c r="Z2588" s="771"/>
      <c r="AA2588" s="771"/>
      <c r="AB2588" s="771"/>
      <c r="AC2588" s="771"/>
      <c r="AD2588" s="771"/>
      <c r="AE2588" s="771"/>
      <c r="AF2588" s="771"/>
      <c r="AG2588" s="771"/>
      <c r="AH2588" s="771"/>
      <c r="AI2588" s="771"/>
      <c r="AJ2588" s="771"/>
      <c r="AK2588" s="771"/>
      <c r="AL2588" s="771"/>
      <c r="AM2588" s="771"/>
      <c r="AN2588" s="771"/>
      <c r="AO2588" s="771"/>
      <c r="AP2588" s="771"/>
      <c r="AQ2588" s="771"/>
      <c r="AR2588" s="771"/>
      <c r="AS2588" s="771"/>
      <c r="AT2588" s="771"/>
      <c r="AU2588" s="771"/>
    </row>
    <row r="2589" spans="1:47" s="1418" customFormat="1" outlineLevel="1" x14ac:dyDescent="0.2">
      <c r="A2589" s="8"/>
      <c r="B2589" s="8"/>
      <c r="C2589" s="1989" t="s">
        <v>825</v>
      </c>
      <c r="D2589" s="1989" t="s">
        <v>3337</v>
      </c>
      <c r="E2589" s="1989">
        <v>7.0000000000000007E-2</v>
      </c>
      <c r="F2589" s="38">
        <f t="shared" si="40"/>
        <v>5.6924868000000011</v>
      </c>
      <c r="G2589" s="1547"/>
      <c r="H2589" s="8"/>
      <c r="I2589" s="8"/>
      <c r="J2589" s="8"/>
      <c r="K2589" s="8"/>
      <c r="L2589" s="8"/>
      <c r="M2589" s="8"/>
      <c r="N2589" s="8"/>
      <c r="O2589" s="8"/>
      <c r="P2589" s="8"/>
      <c r="Q2589" s="8"/>
      <c r="R2589" s="8"/>
      <c r="S2589" s="8"/>
      <c r="T2589" s="8"/>
      <c r="U2589" s="8"/>
      <c r="V2589" s="8"/>
      <c r="W2589" s="8"/>
      <c r="X2589" s="771"/>
      <c r="Y2589" s="771"/>
      <c r="Z2589" s="771"/>
      <c r="AA2589" s="771"/>
      <c r="AB2589" s="771"/>
      <c r="AC2589" s="771"/>
      <c r="AD2589" s="771"/>
      <c r="AE2589" s="771"/>
      <c r="AF2589" s="771"/>
      <c r="AG2589" s="771"/>
      <c r="AH2589" s="771"/>
      <c r="AI2589" s="771"/>
      <c r="AJ2589" s="771"/>
      <c r="AK2589" s="771"/>
      <c r="AL2589" s="771"/>
      <c r="AM2589" s="771"/>
      <c r="AN2589" s="771"/>
      <c r="AO2589" s="771"/>
      <c r="AP2589" s="771"/>
      <c r="AQ2589" s="771"/>
      <c r="AR2589" s="771"/>
      <c r="AS2589" s="771"/>
      <c r="AT2589" s="771"/>
      <c r="AU2589" s="771"/>
    </row>
    <row r="2590" spans="1:47" s="1418" customFormat="1" outlineLevel="1" x14ac:dyDescent="0.2">
      <c r="A2590" s="8"/>
      <c r="B2590" s="8"/>
      <c r="C2590" s="1989" t="s">
        <v>827</v>
      </c>
      <c r="D2590" s="1989" t="s">
        <v>8099</v>
      </c>
      <c r="E2590" s="1989">
        <v>0.42</v>
      </c>
      <c r="F2590" s="38">
        <f t="shared" si="40"/>
        <v>34.154920799999999</v>
      </c>
      <c r="G2590" s="1547"/>
      <c r="H2590" s="8"/>
      <c r="I2590" s="8"/>
      <c r="J2590" s="8"/>
      <c r="K2590" s="8"/>
      <c r="L2590" s="8"/>
      <c r="M2590" s="8"/>
      <c r="N2590" s="8"/>
      <c r="O2590" s="8"/>
      <c r="P2590" s="8"/>
      <c r="Q2590" s="8"/>
      <c r="R2590" s="8"/>
      <c r="S2590" s="8"/>
      <c r="T2590" s="8"/>
      <c r="U2590" s="8"/>
      <c r="V2590" s="8"/>
      <c r="W2590" s="8"/>
      <c r="X2590" s="771"/>
      <c r="Y2590" s="771"/>
      <c r="Z2590" s="771"/>
      <c r="AA2590" s="771"/>
      <c r="AB2590" s="771"/>
      <c r="AC2590" s="771"/>
      <c r="AD2590" s="771"/>
      <c r="AE2590" s="771"/>
      <c r="AF2590" s="771"/>
      <c r="AG2590" s="771"/>
      <c r="AH2590" s="771"/>
      <c r="AI2590" s="771"/>
      <c r="AJ2590" s="771"/>
      <c r="AK2590" s="771"/>
      <c r="AL2590" s="771"/>
      <c r="AM2590" s="771"/>
      <c r="AN2590" s="771"/>
      <c r="AO2590" s="771"/>
      <c r="AP2590" s="771"/>
      <c r="AQ2590" s="771"/>
      <c r="AR2590" s="771"/>
      <c r="AS2590" s="771"/>
      <c r="AT2590" s="771"/>
      <c r="AU2590" s="771"/>
    </row>
    <row r="2591" spans="1:47" s="1418" customFormat="1" outlineLevel="1" x14ac:dyDescent="0.2">
      <c r="A2591" s="8"/>
      <c r="B2591" s="8"/>
      <c r="C2591" s="1989" t="s">
        <v>2655</v>
      </c>
      <c r="D2591" s="1989" t="s">
        <v>2656</v>
      </c>
      <c r="E2591" s="1989">
        <v>0.48</v>
      </c>
      <c r="F2591" s="38">
        <f t="shared" si="40"/>
        <v>39.034195199999999</v>
      </c>
      <c r="G2591" s="1547"/>
      <c r="H2591" s="8"/>
      <c r="I2591" s="8"/>
      <c r="J2591" s="8"/>
      <c r="K2591" s="8"/>
      <c r="L2591" s="8"/>
      <c r="M2591" s="8"/>
      <c r="N2591" s="8"/>
      <c r="O2591" s="8"/>
      <c r="P2591" s="8"/>
      <c r="Q2591" s="8"/>
      <c r="R2591" s="8"/>
      <c r="S2591" s="8"/>
      <c r="T2591" s="8"/>
      <c r="U2591" s="8"/>
      <c r="V2591" s="8"/>
      <c r="W2591" s="8"/>
      <c r="X2591" s="771"/>
      <c r="Y2591" s="771"/>
      <c r="Z2591" s="771"/>
      <c r="AA2591" s="771"/>
      <c r="AB2591" s="771"/>
      <c r="AC2591" s="771"/>
      <c r="AD2591" s="771"/>
      <c r="AE2591" s="771"/>
      <c r="AF2591" s="771"/>
      <c r="AG2591" s="771"/>
      <c r="AH2591" s="771"/>
      <c r="AI2591" s="771"/>
      <c r="AJ2591" s="771"/>
      <c r="AK2591" s="771"/>
      <c r="AL2591" s="771"/>
      <c r="AM2591" s="771"/>
      <c r="AN2591" s="771"/>
      <c r="AO2591" s="771"/>
      <c r="AP2591" s="771"/>
      <c r="AQ2591" s="771"/>
      <c r="AR2591" s="771"/>
      <c r="AS2591" s="771"/>
      <c r="AT2591" s="771"/>
      <c r="AU2591" s="771"/>
    </row>
    <row r="2592" spans="1:47" s="1418" customFormat="1" outlineLevel="1" x14ac:dyDescent="0.2">
      <c r="A2592" s="8"/>
      <c r="B2592" s="8"/>
      <c r="C2592" s="1989" t="s">
        <v>6836</v>
      </c>
      <c r="D2592" s="1989" t="s">
        <v>6247</v>
      </c>
      <c r="E2592" s="1989">
        <v>0.52</v>
      </c>
      <c r="F2592" s="38">
        <f t="shared" si="40"/>
        <v>42.287044800000004</v>
      </c>
      <c r="G2592" s="1547"/>
      <c r="H2592" s="8"/>
      <c r="I2592" s="8"/>
      <c r="J2592" s="8"/>
      <c r="K2592" s="8"/>
      <c r="L2592" s="8"/>
      <c r="M2592" s="8"/>
      <c r="N2592" s="8"/>
      <c r="O2592" s="8"/>
      <c r="P2592" s="8"/>
      <c r="Q2592" s="8"/>
      <c r="R2592" s="8"/>
      <c r="S2592" s="8"/>
      <c r="T2592" s="8"/>
      <c r="U2592" s="8"/>
      <c r="V2592" s="8"/>
      <c r="W2592" s="8"/>
      <c r="X2592" s="771"/>
      <c r="Y2592" s="771"/>
      <c r="Z2592" s="771"/>
      <c r="AA2592" s="771"/>
      <c r="AB2592" s="771"/>
      <c r="AC2592" s="771"/>
      <c r="AD2592" s="771"/>
      <c r="AE2592" s="771"/>
      <c r="AF2592" s="771"/>
      <c r="AG2592" s="771"/>
      <c r="AH2592" s="771"/>
      <c r="AI2592" s="771"/>
      <c r="AJ2592" s="771"/>
      <c r="AK2592" s="771"/>
      <c r="AL2592" s="771"/>
      <c r="AM2592" s="771"/>
      <c r="AN2592" s="771"/>
      <c r="AO2592" s="771"/>
      <c r="AP2592" s="771"/>
      <c r="AQ2592" s="771"/>
      <c r="AR2592" s="771"/>
      <c r="AS2592" s="771"/>
      <c r="AT2592" s="771"/>
      <c r="AU2592" s="771"/>
    </row>
    <row r="2593" spans="1:47" s="1418" customFormat="1" outlineLevel="1" x14ac:dyDescent="0.2">
      <c r="A2593" s="8"/>
      <c r="B2593" s="8"/>
      <c r="C2593" s="1989" t="s">
        <v>6837</v>
      </c>
      <c r="D2593" s="1989" t="s">
        <v>6248</v>
      </c>
      <c r="E2593" s="1989">
        <v>0.57999999999999996</v>
      </c>
      <c r="F2593" s="38">
        <f t="shared" si="40"/>
        <v>47.166319199999997</v>
      </c>
      <c r="G2593" s="1547"/>
      <c r="H2593" s="8"/>
      <c r="I2593" s="8"/>
      <c r="J2593" s="8"/>
      <c r="K2593" s="8"/>
      <c r="L2593" s="8"/>
      <c r="M2593" s="8"/>
      <c r="N2593" s="8"/>
      <c r="O2593" s="8"/>
      <c r="P2593" s="8"/>
      <c r="Q2593" s="8"/>
      <c r="R2593" s="8"/>
      <c r="S2593" s="8"/>
      <c r="T2593" s="8"/>
      <c r="U2593" s="8"/>
      <c r="V2593" s="8"/>
      <c r="W2593" s="8"/>
      <c r="X2593" s="771"/>
      <c r="Y2593" s="771"/>
      <c r="Z2593" s="771"/>
      <c r="AA2593" s="771"/>
      <c r="AB2593" s="771"/>
      <c r="AC2593" s="771"/>
      <c r="AD2593" s="771"/>
      <c r="AE2593" s="771"/>
      <c r="AF2593" s="771"/>
      <c r="AG2593" s="771"/>
      <c r="AH2593" s="771"/>
      <c r="AI2593" s="771"/>
      <c r="AJ2593" s="771"/>
      <c r="AK2593" s="771"/>
      <c r="AL2593" s="771"/>
      <c r="AM2593" s="771"/>
      <c r="AN2593" s="771"/>
      <c r="AO2593" s="771"/>
      <c r="AP2593" s="771"/>
      <c r="AQ2593" s="771"/>
      <c r="AR2593" s="771"/>
      <c r="AS2593" s="771"/>
      <c r="AT2593" s="771"/>
      <c r="AU2593" s="771"/>
    </row>
    <row r="2594" spans="1:47" s="1418" customFormat="1" outlineLevel="1" x14ac:dyDescent="0.2">
      <c r="A2594" s="8"/>
      <c r="B2594" s="8"/>
      <c r="C2594" s="1989" t="s">
        <v>6838</v>
      </c>
      <c r="D2594" s="1989" t="s">
        <v>6249</v>
      </c>
      <c r="E2594" s="1989">
        <v>0.54</v>
      </c>
      <c r="F2594" s="38">
        <f t="shared" si="40"/>
        <v>43.913469600000006</v>
      </c>
      <c r="G2594" s="1547"/>
      <c r="H2594" s="8"/>
      <c r="I2594" s="8"/>
      <c r="J2594" s="8"/>
      <c r="K2594" s="8"/>
      <c r="L2594" s="8"/>
      <c r="M2594" s="8"/>
      <c r="N2594" s="8"/>
      <c r="O2594" s="8"/>
      <c r="P2594" s="8"/>
      <c r="Q2594" s="8"/>
      <c r="R2594" s="8"/>
      <c r="S2594" s="8"/>
      <c r="T2594" s="8"/>
      <c r="U2594" s="8"/>
      <c r="V2594" s="8"/>
      <c r="W2594" s="8"/>
      <c r="X2594" s="771"/>
      <c r="Y2594" s="771"/>
      <c r="Z2594" s="771"/>
      <c r="AA2594" s="771"/>
      <c r="AB2594" s="771"/>
      <c r="AC2594" s="771"/>
      <c r="AD2594" s="771"/>
      <c r="AE2594" s="771"/>
      <c r="AF2594" s="771"/>
      <c r="AG2594" s="771"/>
      <c r="AH2594" s="771"/>
      <c r="AI2594" s="771"/>
      <c r="AJ2594" s="771"/>
      <c r="AK2594" s="771"/>
      <c r="AL2594" s="771"/>
      <c r="AM2594" s="771"/>
      <c r="AN2594" s="771"/>
      <c r="AO2594" s="771"/>
      <c r="AP2594" s="771"/>
      <c r="AQ2594" s="771"/>
      <c r="AR2594" s="771"/>
      <c r="AS2594" s="771"/>
      <c r="AT2594" s="771"/>
      <c r="AU2594" s="771"/>
    </row>
    <row r="2595" spans="1:47" s="1418" customFormat="1" outlineLevel="1" x14ac:dyDescent="0.2">
      <c r="A2595" s="8"/>
      <c r="B2595" s="8"/>
      <c r="C2595" s="1989" t="s">
        <v>934</v>
      </c>
      <c r="D2595" s="1989" t="s">
        <v>6250</v>
      </c>
      <c r="E2595" s="1989">
        <v>3.63</v>
      </c>
      <c r="F2595" s="38">
        <f t="shared" si="40"/>
        <v>295.19610119999999</v>
      </c>
      <c r="G2595" s="1547"/>
      <c r="H2595" s="8"/>
      <c r="I2595" s="8"/>
      <c r="J2595" s="8"/>
      <c r="K2595" s="8"/>
      <c r="L2595" s="8"/>
      <c r="M2595" s="8"/>
      <c r="N2595" s="8"/>
      <c r="O2595" s="8"/>
      <c r="P2595" s="8"/>
      <c r="Q2595" s="8"/>
      <c r="R2595" s="8"/>
      <c r="S2595" s="8"/>
      <c r="T2595" s="8"/>
      <c r="U2595" s="8"/>
      <c r="V2595" s="8"/>
      <c r="W2595" s="8"/>
      <c r="X2595" s="771"/>
      <c r="Y2595" s="771"/>
      <c r="Z2595" s="771"/>
      <c r="AA2595" s="771"/>
      <c r="AB2595" s="771"/>
      <c r="AC2595" s="771"/>
      <c r="AD2595" s="771"/>
      <c r="AE2595" s="771"/>
      <c r="AF2595" s="771"/>
      <c r="AG2595" s="771"/>
      <c r="AH2595" s="771"/>
      <c r="AI2595" s="771"/>
      <c r="AJ2595" s="771"/>
      <c r="AK2595" s="771"/>
      <c r="AL2595" s="771"/>
      <c r="AM2595" s="771"/>
      <c r="AN2595" s="771"/>
      <c r="AO2595" s="771"/>
      <c r="AP2595" s="771"/>
      <c r="AQ2595" s="771"/>
      <c r="AR2595" s="771"/>
      <c r="AS2595" s="771"/>
      <c r="AT2595" s="771"/>
      <c r="AU2595" s="771"/>
    </row>
    <row r="2596" spans="1:47" s="1418" customFormat="1" outlineLevel="1" x14ac:dyDescent="0.2">
      <c r="A2596" s="8"/>
      <c r="B2596" s="8"/>
      <c r="C2596" s="1989" t="s">
        <v>659</v>
      </c>
      <c r="D2596" s="1989" t="s">
        <v>8100</v>
      </c>
      <c r="E2596" s="1989">
        <v>0.52</v>
      </c>
      <c r="F2596" s="38">
        <f t="shared" si="40"/>
        <v>42.287044800000004</v>
      </c>
      <c r="G2596" s="1547"/>
      <c r="H2596" s="8"/>
      <c r="I2596" s="8"/>
      <c r="J2596" s="8"/>
      <c r="K2596" s="8"/>
      <c r="L2596" s="8"/>
      <c r="M2596" s="8"/>
      <c r="N2596" s="8"/>
      <c r="O2596" s="8"/>
      <c r="P2596" s="8"/>
      <c r="Q2596" s="8"/>
      <c r="R2596" s="8"/>
      <c r="S2596" s="8"/>
      <c r="T2596" s="8"/>
      <c r="U2596" s="8"/>
      <c r="V2596" s="8"/>
      <c r="W2596" s="8"/>
      <c r="X2596" s="771"/>
      <c r="Y2596" s="771"/>
      <c r="Z2596" s="771"/>
      <c r="AA2596" s="771"/>
      <c r="AB2596" s="771"/>
      <c r="AC2596" s="771"/>
      <c r="AD2596" s="771"/>
      <c r="AE2596" s="771"/>
      <c r="AF2596" s="771"/>
      <c r="AG2596" s="771"/>
      <c r="AH2596" s="771"/>
      <c r="AI2596" s="771"/>
      <c r="AJ2596" s="771"/>
      <c r="AK2596" s="771"/>
      <c r="AL2596" s="771"/>
      <c r="AM2596" s="771"/>
      <c r="AN2596" s="771"/>
      <c r="AO2596" s="771"/>
      <c r="AP2596" s="771"/>
      <c r="AQ2596" s="771"/>
      <c r="AR2596" s="771"/>
      <c r="AS2596" s="771"/>
      <c r="AT2596" s="771"/>
      <c r="AU2596" s="771"/>
    </row>
    <row r="2597" spans="1:47" s="1418" customFormat="1" outlineLevel="1" x14ac:dyDescent="0.2">
      <c r="A2597" s="8"/>
      <c r="B2597" s="8"/>
      <c r="C2597" s="1989" t="s">
        <v>1074</v>
      </c>
      <c r="D2597" s="1989" t="s">
        <v>6251</v>
      </c>
      <c r="E2597" s="1989">
        <v>0.85</v>
      </c>
      <c r="F2597" s="38">
        <f t="shared" si="40"/>
        <v>69.12305400000001</v>
      </c>
      <c r="G2597" s="1547"/>
      <c r="H2597" s="8"/>
      <c r="I2597" s="8"/>
      <c r="J2597" s="8"/>
      <c r="K2597" s="8"/>
      <c r="L2597" s="8"/>
      <c r="M2597" s="8"/>
      <c r="N2597" s="8"/>
      <c r="O2597" s="8"/>
      <c r="P2597" s="8"/>
      <c r="Q2597" s="8"/>
      <c r="R2597" s="8"/>
      <c r="S2597" s="8"/>
      <c r="T2597" s="8"/>
      <c r="U2597" s="8"/>
      <c r="V2597" s="8"/>
      <c r="W2597" s="8"/>
      <c r="X2597" s="771"/>
      <c r="Y2597" s="771"/>
      <c r="Z2597" s="771"/>
      <c r="AA2597" s="771"/>
      <c r="AB2597" s="771"/>
      <c r="AC2597" s="771"/>
      <c r="AD2597" s="771"/>
      <c r="AE2597" s="771"/>
      <c r="AF2597" s="771"/>
      <c r="AG2597" s="771"/>
      <c r="AH2597" s="771"/>
      <c r="AI2597" s="771"/>
      <c r="AJ2597" s="771"/>
      <c r="AK2597" s="771"/>
      <c r="AL2597" s="771"/>
      <c r="AM2597" s="771"/>
      <c r="AN2597" s="771"/>
      <c r="AO2597" s="771"/>
      <c r="AP2597" s="771"/>
      <c r="AQ2597" s="771"/>
      <c r="AR2597" s="771"/>
      <c r="AS2597" s="771"/>
      <c r="AT2597" s="771"/>
      <c r="AU2597" s="771"/>
    </row>
    <row r="2598" spans="1:47" s="1418" customFormat="1" outlineLevel="1" x14ac:dyDescent="0.2">
      <c r="A2598" s="8"/>
      <c r="B2598" s="8"/>
      <c r="C2598" s="1989" t="s">
        <v>1075</v>
      </c>
      <c r="D2598" s="1989" t="s">
        <v>6252</v>
      </c>
      <c r="E2598" s="1989">
        <v>0.87</v>
      </c>
      <c r="F2598" s="38">
        <f t="shared" si="40"/>
        <v>70.749478800000006</v>
      </c>
      <c r="G2598" s="1547"/>
      <c r="H2598" s="8"/>
      <c r="I2598" s="8"/>
      <c r="J2598" s="8"/>
      <c r="K2598" s="8"/>
      <c r="L2598" s="8"/>
      <c r="M2598" s="8"/>
      <c r="N2598" s="8"/>
      <c r="O2598" s="8"/>
      <c r="P2598" s="8"/>
      <c r="Q2598" s="8"/>
      <c r="R2598" s="8"/>
      <c r="S2598" s="8"/>
      <c r="T2598" s="8"/>
      <c r="U2598" s="8"/>
      <c r="V2598" s="8"/>
      <c r="W2598" s="8"/>
      <c r="X2598" s="771"/>
      <c r="Y2598" s="771"/>
      <c r="Z2598" s="771"/>
      <c r="AA2598" s="771"/>
      <c r="AB2598" s="771"/>
      <c r="AC2598" s="771"/>
      <c r="AD2598" s="771"/>
      <c r="AE2598" s="771"/>
      <c r="AF2598" s="771"/>
      <c r="AG2598" s="771"/>
      <c r="AH2598" s="771"/>
      <c r="AI2598" s="771"/>
      <c r="AJ2598" s="771"/>
      <c r="AK2598" s="771"/>
      <c r="AL2598" s="771"/>
      <c r="AM2598" s="771"/>
      <c r="AN2598" s="771"/>
      <c r="AO2598" s="771"/>
      <c r="AP2598" s="771"/>
      <c r="AQ2598" s="771"/>
      <c r="AR2598" s="771"/>
      <c r="AS2598" s="771"/>
      <c r="AT2598" s="771"/>
      <c r="AU2598" s="771"/>
    </row>
    <row r="2599" spans="1:47" s="1418" customFormat="1" outlineLevel="1" x14ac:dyDescent="0.2">
      <c r="A2599" s="8"/>
      <c r="B2599" s="8"/>
      <c r="C2599" s="1989" t="s">
        <v>2671</v>
      </c>
      <c r="D2599" s="1989" t="s">
        <v>2672</v>
      </c>
      <c r="E2599" s="1989">
        <v>1.17</v>
      </c>
      <c r="F2599" s="38">
        <f t="shared" si="40"/>
        <v>95.145850800000005</v>
      </c>
      <c r="G2599" s="1547"/>
      <c r="H2599" s="8"/>
      <c r="I2599" s="8"/>
      <c r="J2599" s="8"/>
      <c r="K2599" s="8"/>
      <c r="L2599" s="8"/>
      <c r="M2599" s="8"/>
      <c r="N2599" s="8"/>
      <c r="O2599" s="8"/>
      <c r="P2599" s="8"/>
      <c r="Q2599" s="8"/>
      <c r="R2599" s="8"/>
      <c r="S2599" s="8"/>
      <c r="T2599" s="8"/>
      <c r="U2599" s="8"/>
      <c r="V2599" s="8"/>
      <c r="W2599" s="8"/>
      <c r="X2599" s="771"/>
      <c r="Y2599" s="771"/>
      <c r="Z2599" s="771"/>
      <c r="AA2599" s="771"/>
      <c r="AB2599" s="771"/>
      <c r="AC2599" s="771"/>
      <c r="AD2599" s="771"/>
      <c r="AE2599" s="771"/>
      <c r="AF2599" s="771"/>
      <c r="AG2599" s="771"/>
      <c r="AH2599" s="771"/>
      <c r="AI2599" s="771"/>
      <c r="AJ2599" s="771"/>
      <c r="AK2599" s="771"/>
      <c r="AL2599" s="771"/>
      <c r="AM2599" s="771"/>
      <c r="AN2599" s="771"/>
      <c r="AO2599" s="771"/>
      <c r="AP2599" s="771"/>
      <c r="AQ2599" s="771"/>
      <c r="AR2599" s="771"/>
      <c r="AS2599" s="771"/>
      <c r="AT2599" s="771"/>
      <c r="AU2599" s="771"/>
    </row>
    <row r="2600" spans="1:47" s="1418" customFormat="1" outlineLevel="1" x14ac:dyDescent="0.2">
      <c r="A2600" s="8"/>
      <c r="B2600" s="8"/>
      <c r="C2600" s="1989" t="s">
        <v>6839</v>
      </c>
      <c r="D2600" s="1989" t="s">
        <v>8101</v>
      </c>
      <c r="E2600" s="1989">
        <v>7.0000000000000007E-2</v>
      </c>
      <c r="F2600" s="38">
        <f t="shared" si="40"/>
        <v>5.6924868000000011</v>
      </c>
      <c r="G2600" s="1547"/>
      <c r="H2600" s="8"/>
      <c r="I2600" s="8"/>
      <c r="J2600" s="8"/>
      <c r="K2600" s="8"/>
      <c r="L2600" s="8"/>
      <c r="M2600" s="8"/>
      <c r="N2600" s="8"/>
      <c r="O2600" s="8"/>
      <c r="P2600" s="8"/>
      <c r="Q2600" s="8"/>
      <c r="R2600" s="8"/>
      <c r="S2600" s="8"/>
      <c r="T2600" s="8"/>
      <c r="U2600" s="8"/>
      <c r="V2600" s="8"/>
      <c r="W2600" s="8"/>
      <c r="X2600" s="771"/>
      <c r="Y2600" s="771"/>
      <c r="Z2600" s="771"/>
      <c r="AA2600" s="771"/>
      <c r="AB2600" s="771"/>
      <c r="AC2600" s="771"/>
      <c r="AD2600" s="771"/>
      <c r="AE2600" s="771"/>
      <c r="AF2600" s="771"/>
      <c r="AG2600" s="771"/>
      <c r="AH2600" s="771"/>
      <c r="AI2600" s="771"/>
      <c r="AJ2600" s="771"/>
      <c r="AK2600" s="771"/>
      <c r="AL2600" s="771"/>
      <c r="AM2600" s="771"/>
      <c r="AN2600" s="771"/>
      <c r="AO2600" s="771"/>
      <c r="AP2600" s="771"/>
      <c r="AQ2600" s="771"/>
      <c r="AR2600" s="771"/>
      <c r="AS2600" s="771"/>
      <c r="AT2600" s="771"/>
      <c r="AU2600" s="771"/>
    </row>
    <row r="2601" spans="1:47" s="1418" customFormat="1" outlineLevel="1" x14ac:dyDescent="0.2">
      <c r="A2601" s="8"/>
      <c r="B2601" s="8"/>
      <c r="C2601" s="1989" t="s">
        <v>1210</v>
      </c>
      <c r="D2601" s="1989" t="s">
        <v>8102</v>
      </c>
      <c r="E2601" s="1989">
        <v>0.91</v>
      </c>
      <c r="F2601" s="38">
        <f t="shared" si="40"/>
        <v>74.00232840000001</v>
      </c>
      <c r="G2601" s="1547"/>
      <c r="H2601" s="8"/>
      <c r="I2601" s="8"/>
      <c r="J2601" s="8"/>
      <c r="K2601" s="8"/>
      <c r="L2601" s="8"/>
      <c r="M2601" s="8"/>
      <c r="N2601" s="8"/>
      <c r="O2601" s="8"/>
      <c r="P2601" s="8"/>
      <c r="Q2601" s="8"/>
      <c r="R2601" s="8"/>
      <c r="S2601" s="8"/>
      <c r="T2601" s="8"/>
      <c r="U2601" s="8"/>
      <c r="V2601" s="8"/>
      <c r="W2601" s="8"/>
      <c r="X2601" s="771"/>
      <c r="Y2601" s="771"/>
      <c r="Z2601" s="771"/>
      <c r="AA2601" s="771"/>
      <c r="AB2601" s="771"/>
      <c r="AC2601" s="771"/>
      <c r="AD2601" s="771"/>
      <c r="AE2601" s="771"/>
      <c r="AF2601" s="771"/>
      <c r="AG2601" s="771"/>
      <c r="AH2601" s="771"/>
      <c r="AI2601" s="771"/>
      <c r="AJ2601" s="771"/>
      <c r="AK2601" s="771"/>
      <c r="AL2601" s="771"/>
      <c r="AM2601" s="771"/>
      <c r="AN2601" s="771"/>
      <c r="AO2601" s="771"/>
      <c r="AP2601" s="771"/>
      <c r="AQ2601" s="771"/>
      <c r="AR2601" s="771"/>
      <c r="AS2601" s="771"/>
      <c r="AT2601" s="771"/>
      <c r="AU2601" s="771"/>
    </row>
    <row r="2602" spans="1:47" s="1418" customFormat="1" outlineLevel="1" x14ac:dyDescent="0.2">
      <c r="A2602" s="8"/>
      <c r="B2602" s="8"/>
      <c r="C2602" s="1989" t="s">
        <v>2006</v>
      </c>
      <c r="D2602" s="1989" t="s">
        <v>4857</v>
      </c>
      <c r="E2602" s="1989">
        <v>7.0000000000000007E-2</v>
      </c>
      <c r="F2602" s="38">
        <f t="shared" si="40"/>
        <v>5.6924868000000011</v>
      </c>
      <c r="G2602" s="1547"/>
      <c r="H2602" s="8"/>
      <c r="I2602" s="8"/>
      <c r="J2602" s="8"/>
      <c r="K2602" s="8"/>
      <c r="L2602" s="8"/>
      <c r="M2602" s="8"/>
      <c r="N2602" s="8"/>
      <c r="O2602" s="8"/>
      <c r="P2602" s="8"/>
      <c r="Q2602" s="8"/>
      <c r="R2602" s="8"/>
      <c r="S2602" s="8"/>
      <c r="T2602" s="8"/>
      <c r="U2602" s="8"/>
      <c r="V2602" s="8"/>
      <c r="W2602" s="8"/>
      <c r="X2602" s="771"/>
      <c r="Y2602" s="771"/>
      <c r="Z2602" s="771"/>
      <c r="AA2602" s="771"/>
      <c r="AB2602" s="771"/>
      <c r="AC2602" s="771"/>
      <c r="AD2602" s="771"/>
      <c r="AE2602" s="771"/>
      <c r="AF2602" s="771"/>
      <c r="AG2602" s="771"/>
      <c r="AH2602" s="771"/>
      <c r="AI2602" s="771"/>
      <c r="AJ2602" s="771"/>
      <c r="AK2602" s="771"/>
      <c r="AL2602" s="771"/>
      <c r="AM2602" s="771"/>
      <c r="AN2602" s="771"/>
      <c r="AO2602" s="771"/>
      <c r="AP2602" s="771"/>
      <c r="AQ2602" s="771"/>
      <c r="AR2602" s="771"/>
      <c r="AS2602" s="771"/>
      <c r="AT2602" s="771"/>
      <c r="AU2602" s="771"/>
    </row>
    <row r="2603" spans="1:47" s="1418" customFormat="1" outlineLevel="1" x14ac:dyDescent="0.2">
      <c r="A2603" s="8"/>
      <c r="B2603" s="8"/>
      <c r="C2603" s="1989" t="s">
        <v>1211</v>
      </c>
      <c r="D2603" s="1989" t="s">
        <v>6253</v>
      </c>
      <c r="E2603" s="1989">
        <v>0.09</v>
      </c>
      <c r="F2603" s="38">
        <f t="shared" si="40"/>
        <v>7.3189116000000007</v>
      </c>
      <c r="G2603" s="1547"/>
      <c r="H2603" s="8"/>
      <c r="I2603" s="8"/>
      <c r="J2603" s="8"/>
      <c r="K2603" s="8"/>
      <c r="L2603" s="8"/>
      <c r="M2603" s="8"/>
      <c r="N2603" s="8"/>
      <c r="O2603" s="8"/>
      <c r="P2603" s="8"/>
      <c r="Q2603" s="8"/>
      <c r="R2603" s="8"/>
      <c r="S2603" s="8"/>
      <c r="T2603" s="8"/>
      <c r="U2603" s="8"/>
      <c r="V2603" s="8"/>
      <c r="W2603" s="8"/>
      <c r="X2603" s="771"/>
      <c r="Y2603" s="771"/>
      <c r="Z2603" s="771"/>
      <c r="AA2603" s="771"/>
      <c r="AB2603" s="771"/>
      <c r="AC2603" s="771"/>
      <c r="AD2603" s="771"/>
      <c r="AE2603" s="771"/>
      <c r="AF2603" s="771"/>
      <c r="AG2603" s="771"/>
      <c r="AH2603" s="771"/>
      <c r="AI2603" s="771"/>
      <c r="AJ2603" s="771"/>
      <c r="AK2603" s="771"/>
      <c r="AL2603" s="771"/>
      <c r="AM2603" s="771"/>
      <c r="AN2603" s="771"/>
      <c r="AO2603" s="771"/>
      <c r="AP2603" s="771"/>
      <c r="AQ2603" s="771"/>
      <c r="AR2603" s="771"/>
      <c r="AS2603" s="771"/>
      <c r="AT2603" s="771"/>
      <c r="AU2603" s="771"/>
    </row>
    <row r="2604" spans="1:47" s="1418" customFormat="1" outlineLevel="1" x14ac:dyDescent="0.2">
      <c r="A2604" s="8"/>
      <c r="B2604" s="8"/>
      <c r="C2604" s="1989" t="s">
        <v>1212</v>
      </c>
      <c r="D2604" s="1989" t="s">
        <v>6254</v>
      </c>
      <c r="E2604" s="1989">
        <v>7.0000000000000007E-2</v>
      </c>
      <c r="F2604" s="38">
        <f t="shared" si="40"/>
        <v>5.6924868000000011</v>
      </c>
      <c r="G2604" s="1547"/>
      <c r="H2604" s="8"/>
      <c r="I2604" s="8"/>
      <c r="J2604" s="8"/>
      <c r="K2604" s="8"/>
      <c r="L2604" s="8"/>
      <c r="M2604" s="8"/>
      <c r="N2604" s="8"/>
      <c r="O2604" s="8"/>
      <c r="P2604" s="8"/>
      <c r="Q2604" s="8"/>
      <c r="R2604" s="8"/>
      <c r="S2604" s="8"/>
      <c r="T2604" s="8"/>
      <c r="U2604" s="8"/>
      <c r="V2604" s="8"/>
      <c r="W2604" s="8"/>
      <c r="X2604" s="771"/>
      <c r="Y2604" s="771"/>
      <c r="Z2604" s="771"/>
      <c r="AA2604" s="771"/>
      <c r="AB2604" s="771"/>
      <c r="AC2604" s="771"/>
      <c r="AD2604" s="771"/>
      <c r="AE2604" s="771"/>
      <c r="AF2604" s="771"/>
      <c r="AG2604" s="771"/>
      <c r="AH2604" s="771"/>
      <c r="AI2604" s="771"/>
      <c r="AJ2604" s="771"/>
      <c r="AK2604" s="771"/>
      <c r="AL2604" s="771"/>
      <c r="AM2604" s="771"/>
      <c r="AN2604" s="771"/>
      <c r="AO2604" s="771"/>
      <c r="AP2604" s="771"/>
      <c r="AQ2604" s="771"/>
      <c r="AR2604" s="771"/>
      <c r="AS2604" s="771"/>
      <c r="AT2604" s="771"/>
      <c r="AU2604" s="771"/>
    </row>
    <row r="2605" spans="1:47" s="1418" customFormat="1" outlineLevel="1" x14ac:dyDescent="0.2">
      <c r="A2605" s="8"/>
      <c r="B2605" s="8"/>
      <c r="C2605" s="1989" t="s">
        <v>2673</v>
      </c>
      <c r="D2605" s="1989" t="s">
        <v>4158</v>
      </c>
      <c r="E2605" s="1989">
        <v>7.0000000000000007E-2</v>
      </c>
      <c r="F2605" s="38">
        <f t="shared" si="40"/>
        <v>5.6924868000000011</v>
      </c>
      <c r="G2605" s="1547"/>
      <c r="H2605" s="8"/>
      <c r="I2605" s="8"/>
      <c r="J2605" s="8"/>
      <c r="K2605" s="8"/>
      <c r="L2605" s="8"/>
      <c r="M2605" s="8"/>
      <c r="N2605" s="8"/>
      <c r="O2605" s="8"/>
      <c r="P2605" s="8"/>
      <c r="Q2605" s="8"/>
      <c r="R2605" s="8"/>
      <c r="S2605" s="8"/>
      <c r="T2605" s="8"/>
      <c r="U2605" s="8"/>
      <c r="V2605" s="8"/>
      <c r="W2605" s="8"/>
      <c r="X2605" s="771"/>
      <c r="Y2605" s="771"/>
      <c r="Z2605" s="771"/>
      <c r="AA2605" s="771"/>
      <c r="AB2605" s="771"/>
      <c r="AC2605" s="771"/>
      <c r="AD2605" s="771"/>
      <c r="AE2605" s="771"/>
      <c r="AF2605" s="771"/>
      <c r="AG2605" s="771"/>
      <c r="AH2605" s="771"/>
      <c r="AI2605" s="771"/>
      <c r="AJ2605" s="771"/>
      <c r="AK2605" s="771"/>
      <c r="AL2605" s="771"/>
      <c r="AM2605" s="771"/>
      <c r="AN2605" s="771"/>
      <c r="AO2605" s="771"/>
      <c r="AP2605" s="771"/>
      <c r="AQ2605" s="771"/>
      <c r="AR2605" s="771"/>
      <c r="AS2605" s="771"/>
      <c r="AT2605" s="771"/>
      <c r="AU2605" s="771"/>
    </row>
    <row r="2606" spans="1:47" s="1418" customFormat="1" outlineLevel="1" x14ac:dyDescent="0.2">
      <c r="A2606" s="8"/>
      <c r="B2606" s="8"/>
      <c r="C2606" s="1989" t="s">
        <v>1215</v>
      </c>
      <c r="D2606" s="1989" t="s">
        <v>6255</v>
      </c>
      <c r="E2606" s="1989">
        <v>0.98</v>
      </c>
      <c r="F2606" s="38">
        <f t="shared" si="40"/>
        <v>79.694815200000008</v>
      </c>
      <c r="G2606" s="1547"/>
      <c r="H2606" s="8"/>
      <c r="I2606" s="8"/>
      <c r="J2606" s="8"/>
      <c r="K2606" s="8"/>
      <c r="L2606" s="8"/>
      <c r="M2606" s="8"/>
      <c r="N2606" s="8"/>
      <c r="O2606" s="8"/>
      <c r="P2606" s="8"/>
      <c r="Q2606" s="8"/>
      <c r="R2606" s="8"/>
      <c r="S2606" s="8"/>
      <c r="T2606" s="8"/>
      <c r="U2606" s="8"/>
      <c r="V2606" s="8"/>
      <c r="W2606" s="8"/>
      <c r="X2606" s="771"/>
      <c r="Y2606" s="771"/>
      <c r="Z2606" s="771"/>
      <c r="AA2606" s="771"/>
      <c r="AB2606" s="771"/>
      <c r="AC2606" s="771"/>
      <c r="AD2606" s="771"/>
      <c r="AE2606" s="771"/>
      <c r="AF2606" s="771"/>
      <c r="AG2606" s="771"/>
      <c r="AH2606" s="771"/>
      <c r="AI2606" s="771"/>
      <c r="AJ2606" s="771"/>
      <c r="AK2606" s="771"/>
      <c r="AL2606" s="771"/>
      <c r="AM2606" s="771"/>
      <c r="AN2606" s="771"/>
      <c r="AO2606" s="771"/>
      <c r="AP2606" s="771"/>
      <c r="AQ2606" s="771"/>
      <c r="AR2606" s="771"/>
      <c r="AS2606" s="771"/>
      <c r="AT2606" s="771"/>
      <c r="AU2606" s="771"/>
    </row>
    <row r="2607" spans="1:47" s="1418" customFormat="1" outlineLevel="1" x14ac:dyDescent="0.2">
      <c r="A2607" s="8"/>
      <c r="B2607" s="8"/>
      <c r="C2607" s="1989" t="s">
        <v>1216</v>
      </c>
      <c r="D2607" s="1989" t="s">
        <v>8103</v>
      </c>
      <c r="E2607" s="1989">
        <v>1.17</v>
      </c>
      <c r="F2607" s="38">
        <f t="shared" si="40"/>
        <v>95.145850800000005</v>
      </c>
      <c r="G2607" s="1547"/>
      <c r="H2607" s="8"/>
      <c r="I2607" s="8"/>
      <c r="J2607" s="8"/>
      <c r="K2607" s="8"/>
      <c r="L2607" s="8"/>
      <c r="M2607" s="8"/>
      <c r="N2607" s="8"/>
      <c r="O2607" s="8"/>
      <c r="P2607" s="8"/>
      <c r="Q2607" s="8"/>
      <c r="R2607" s="8"/>
      <c r="S2607" s="8"/>
      <c r="T2607" s="8"/>
      <c r="U2607" s="8"/>
      <c r="V2607" s="8"/>
      <c r="W2607" s="8"/>
      <c r="X2607" s="771"/>
      <c r="Y2607" s="771"/>
      <c r="Z2607" s="771"/>
      <c r="AA2607" s="771"/>
      <c r="AB2607" s="771"/>
      <c r="AC2607" s="771"/>
      <c r="AD2607" s="771"/>
      <c r="AE2607" s="771"/>
      <c r="AF2607" s="771"/>
      <c r="AG2607" s="771"/>
      <c r="AH2607" s="771"/>
      <c r="AI2607" s="771"/>
      <c r="AJ2607" s="771"/>
      <c r="AK2607" s="771"/>
      <c r="AL2607" s="771"/>
      <c r="AM2607" s="771"/>
      <c r="AN2607" s="771"/>
      <c r="AO2607" s="771"/>
      <c r="AP2607" s="771"/>
      <c r="AQ2607" s="771"/>
      <c r="AR2607" s="771"/>
      <c r="AS2607" s="771"/>
      <c r="AT2607" s="771"/>
      <c r="AU2607" s="771"/>
    </row>
    <row r="2608" spans="1:47" s="1418" customFormat="1" outlineLevel="1" x14ac:dyDescent="0.2">
      <c r="A2608" s="8"/>
      <c r="B2608" s="8"/>
      <c r="C2608" s="1989" t="s">
        <v>903</v>
      </c>
      <c r="D2608" s="1989" t="s">
        <v>8104</v>
      </c>
      <c r="E2608" s="1989">
        <v>1.25</v>
      </c>
      <c r="F2608" s="38">
        <f t="shared" si="40"/>
        <v>101.65155000000001</v>
      </c>
      <c r="G2608" s="1547"/>
      <c r="H2608" s="8"/>
      <c r="I2608" s="8"/>
      <c r="J2608" s="8"/>
      <c r="K2608" s="8"/>
      <c r="L2608" s="8"/>
      <c r="M2608" s="8"/>
      <c r="N2608" s="8"/>
      <c r="O2608" s="8"/>
      <c r="P2608" s="8"/>
      <c r="Q2608" s="8"/>
      <c r="R2608" s="8"/>
      <c r="S2608" s="8"/>
      <c r="T2608" s="8"/>
      <c r="U2608" s="8"/>
      <c r="V2608" s="8"/>
      <c r="W2608" s="8"/>
      <c r="X2608" s="771"/>
      <c r="Y2608" s="771"/>
      <c r="Z2608" s="771"/>
      <c r="AA2608" s="771"/>
      <c r="AB2608" s="771"/>
      <c r="AC2608" s="771"/>
      <c r="AD2608" s="771"/>
      <c r="AE2608" s="771"/>
      <c r="AF2608" s="771"/>
      <c r="AG2608" s="771"/>
      <c r="AH2608" s="771"/>
      <c r="AI2608" s="771"/>
      <c r="AJ2608" s="771"/>
      <c r="AK2608" s="771"/>
      <c r="AL2608" s="771"/>
      <c r="AM2608" s="771"/>
      <c r="AN2608" s="771"/>
      <c r="AO2608" s="771"/>
      <c r="AP2608" s="771"/>
      <c r="AQ2608" s="771"/>
      <c r="AR2608" s="771"/>
      <c r="AS2608" s="771"/>
      <c r="AT2608" s="771"/>
      <c r="AU2608" s="771"/>
    </row>
    <row r="2609" spans="1:47" s="1418" customFormat="1" outlineLevel="1" x14ac:dyDescent="0.2">
      <c r="A2609" s="8"/>
      <c r="B2609" s="8"/>
      <c r="C2609" s="1989" t="s">
        <v>1321</v>
      </c>
      <c r="D2609" s="1989" t="s">
        <v>8105</v>
      </c>
      <c r="E2609" s="1989">
        <v>0.21</v>
      </c>
      <c r="F2609" s="38">
        <f t="shared" si="40"/>
        <v>17.0774604</v>
      </c>
      <c r="G2609" s="1547"/>
      <c r="H2609" s="8"/>
      <c r="I2609" s="8"/>
      <c r="J2609" s="8"/>
      <c r="K2609" s="8"/>
      <c r="L2609" s="8"/>
      <c r="M2609" s="8"/>
      <c r="N2609" s="8"/>
      <c r="O2609" s="8"/>
      <c r="P2609" s="8"/>
      <c r="Q2609" s="8"/>
      <c r="R2609" s="8"/>
      <c r="S2609" s="8"/>
      <c r="T2609" s="8"/>
      <c r="U2609" s="8"/>
      <c r="V2609" s="8"/>
      <c r="W2609" s="8"/>
      <c r="X2609" s="771"/>
      <c r="Y2609" s="771"/>
      <c r="Z2609" s="771"/>
      <c r="AA2609" s="771"/>
      <c r="AB2609" s="771"/>
      <c r="AC2609" s="771"/>
      <c r="AD2609" s="771"/>
      <c r="AE2609" s="771"/>
      <c r="AF2609" s="771"/>
      <c r="AG2609" s="771"/>
      <c r="AH2609" s="771"/>
      <c r="AI2609" s="771"/>
      <c r="AJ2609" s="771"/>
      <c r="AK2609" s="771"/>
      <c r="AL2609" s="771"/>
      <c r="AM2609" s="771"/>
      <c r="AN2609" s="771"/>
      <c r="AO2609" s="771"/>
      <c r="AP2609" s="771"/>
      <c r="AQ2609" s="771"/>
      <c r="AR2609" s="771"/>
      <c r="AS2609" s="771"/>
      <c r="AT2609" s="771"/>
      <c r="AU2609" s="771"/>
    </row>
    <row r="2610" spans="1:47" s="1418" customFormat="1" outlineLevel="1" x14ac:dyDescent="0.2">
      <c r="A2610" s="8"/>
      <c r="B2610" s="8"/>
      <c r="C2610" s="1989" t="s">
        <v>1323</v>
      </c>
      <c r="D2610" s="1989" t="s">
        <v>8106</v>
      </c>
      <c r="E2610" s="1989">
        <v>4.45</v>
      </c>
      <c r="F2610" s="38">
        <f t="shared" si="40"/>
        <v>361.87951800000002</v>
      </c>
      <c r="G2610" s="1547"/>
      <c r="H2610" s="8"/>
      <c r="I2610" s="8"/>
      <c r="J2610" s="8"/>
      <c r="K2610" s="8"/>
      <c r="L2610" s="8"/>
      <c r="M2610" s="8"/>
      <c r="N2610" s="8"/>
      <c r="O2610" s="8"/>
      <c r="P2610" s="8"/>
      <c r="Q2610" s="8"/>
      <c r="R2610" s="8"/>
      <c r="S2610" s="8"/>
      <c r="T2610" s="8"/>
      <c r="U2610" s="8"/>
      <c r="V2610" s="8"/>
      <c r="W2610" s="8"/>
      <c r="X2610" s="771"/>
      <c r="Y2610" s="771"/>
      <c r="Z2610" s="771"/>
      <c r="AA2610" s="771"/>
      <c r="AB2610" s="771"/>
      <c r="AC2610" s="771"/>
      <c r="AD2610" s="771"/>
      <c r="AE2610" s="771"/>
      <c r="AF2610" s="771"/>
      <c r="AG2610" s="771"/>
      <c r="AH2610" s="771"/>
      <c r="AI2610" s="771"/>
      <c r="AJ2610" s="771"/>
      <c r="AK2610" s="771"/>
      <c r="AL2610" s="771"/>
      <c r="AM2610" s="771"/>
      <c r="AN2610" s="771"/>
      <c r="AO2610" s="771"/>
      <c r="AP2610" s="771"/>
      <c r="AQ2610" s="771"/>
      <c r="AR2610" s="771"/>
      <c r="AS2610" s="771"/>
      <c r="AT2610" s="771"/>
      <c r="AU2610" s="771"/>
    </row>
    <row r="2611" spans="1:47" s="1418" customFormat="1" outlineLevel="1" x14ac:dyDescent="0.2">
      <c r="A2611" s="8"/>
      <c r="B2611" s="8"/>
      <c r="C2611" s="1989" t="s">
        <v>1324</v>
      </c>
      <c r="D2611" s="1989" t="s">
        <v>8107</v>
      </c>
      <c r="E2611" s="1989">
        <v>2.64</v>
      </c>
      <c r="F2611" s="38">
        <f t="shared" si="40"/>
        <v>214.68807360000002</v>
      </c>
      <c r="G2611" s="1547"/>
      <c r="H2611" s="8"/>
      <c r="I2611" s="8"/>
      <c r="J2611" s="8"/>
      <c r="K2611" s="8"/>
      <c r="L2611" s="8"/>
      <c r="M2611" s="8"/>
      <c r="N2611" s="8"/>
      <c r="O2611" s="8"/>
      <c r="P2611" s="8"/>
      <c r="Q2611" s="8"/>
      <c r="R2611" s="8"/>
      <c r="S2611" s="8"/>
      <c r="T2611" s="8"/>
      <c r="U2611" s="8"/>
      <c r="V2611" s="8"/>
      <c r="W2611" s="8"/>
      <c r="X2611" s="771"/>
      <c r="Y2611" s="771"/>
      <c r="Z2611" s="771"/>
      <c r="AA2611" s="771"/>
      <c r="AB2611" s="771"/>
      <c r="AC2611" s="771"/>
      <c r="AD2611" s="771"/>
      <c r="AE2611" s="771"/>
      <c r="AF2611" s="771"/>
      <c r="AG2611" s="771"/>
      <c r="AH2611" s="771"/>
      <c r="AI2611" s="771"/>
      <c r="AJ2611" s="771"/>
      <c r="AK2611" s="771"/>
      <c r="AL2611" s="771"/>
      <c r="AM2611" s="771"/>
      <c r="AN2611" s="771"/>
      <c r="AO2611" s="771"/>
      <c r="AP2611" s="771"/>
      <c r="AQ2611" s="771"/>
      <c r="AR2611" s="771"/>
      <c r="AS2611" s="771"/>
      <c r="AT2611" s="771"/>
      <c r="AU2611" s="771"/>
    </row>
    <row r="2612" spans="1:47" s="1418" customFormat="1" outlineLevel="1" x14ac:dyDescent="0.2">
      <c r="A2612" s="8"/>
      <c r="B2612" s="8"/>
      <c r="C2612" s="1989" t="s">
        <v>1101</v>
      </c>
      <c r="D2612" s="1989" t="s">
        <v>6256</v>
      </c>
      <c r="E2612" s="1989">
        <v>1.6</v>
      </c>
      <c r="F2612" s="38">
        <f t="shared" si="40"/>
        <v>130.11398400000002</v>
      </c>
      <c r="G2612" s="1547"/>
      <c r="H2612" s="8"/>
      <c r="I2612" s="8"/>
      <c r="J2612" s="8"/>
      <c r="K2612" s="8"/>
      <c r="L2612" s="8"/>
      <c r="M2612" s="8"/>
      <c r="N2612" s="8"/>
      <c r="O2612" s="8"/>
      <c r="P2612" s="8"/>
      <c r="Q2612" s="8"/>
      <c r="R2612" s="8"/>
      <c r="S2612" s="8"/>
      <c r="T2612" s="8"/>
      <c r="U2612" s="8"/>
      <c r="V2612" s="8"/>
      <c r="W2612" s="8"/>
      <c r="X2612" s="771"/>
      <c r="Y2612" s="771"/>
      <c r="Z2612" s="771"/>
      <c r="AA2612" s="771"/>
      <c r="AB2612" s="771"/>
      <c r="AC2612" s="771"/>
      <c r="AD2612" s="771"/>
      <c r="AE2612" s="771"/>
      <c r="AF2612" s="771"/>
      <c r="AG2612" s="771"/>
      <c r="AH2612" s="771"/>
      <c r="AI2612" s="771"/>
      <c r="AJ2612" s="771"/>
      <c r="AK2612" s="771"/>
      <c r="AL2612" s="771"/>
      <c r="AM2612" s="771"/>
      <c r="AN2612" s="771"/>
      <c r="AO2612" s="771"/>
      <c r="AP2612" s="771"/>
      <c r="AQ2612" s="771"/>
      <c r="AR2612" s="771"/>
      <c r="AS2612" s="771"/>
      <c r="AT2612" s="771"/>
      <c r="AU2612" s="771"/>
    </row>
    <row r="2613" spans="1:47" s="1418" customFormat="1" outlineLevel="1" x14ac:dyDescent="0.2">
      <c r="A2613" s="8"/>
      <c r="B2613" s="8"/>
      <c r="C2613" s="1989" t="s">
        <v>1102</v>
      </c>
      <c r="D2613" s="1989" t="s">
        <v>8108</v>
      </c>
      <c r="E2613" s="1989">
        <v>1.88</v>
      </c>
      <c r="F2613" s="38">
        <f t="shared" si="40"/>
        <v>152.88393120000001</v>
      </c>
      <c r="G2613" s="1547"/>
      <c r="H2613" s="8"/>
      <c r="I2613" s="8"/>
      <c r="J2613" s="8"/>
      <c r="K2613" s="8"/>
      <c r="L2613" s="8"/>
      <c r="M2613" s="8"/>
      <c r="N2613" s="8"/>
      <c r="O2613" s="8"/>
      <c r="P2613" s="8"/>
      <c r="Q2613" s="8"/>
      <c r="R2613" s="8"/>
      <c r="S2613" s="8"/>
      <c r="T2613" s="8"/>
      <c r="U2613" s="8"/>
      <c r="V2613" s="8"/>
      <c r="W2613" s="8"/>
      <c r="X2613" s="771"/>
      <c r="Y2613" s="771"/>
      <c r="Z2613" s="771"/>
      <c r="AA2613" s="771"/>
      <c r="AB2613" s="771"/>
      <c r="AC2613" s="771"/>
      <c r="AD2613" s="771"/>
      <c r="AE2613" s="771"/>
      <c r="AF2613" s="771"/>
      <c r="AG2613" s="771"/>
      <c r="AH2613" s="771"/>
      <c r="AI2613" s="771"/>
      <c r="AJ2613" s="771"/>
      <c r="AK2613" s="771"/>
      <c r="AL2613" s="771"/>
      <c r="AM2613" s="771"/>
      <c r="AN2613" s="771"/>
      <c r="AO2613" s="771"/>
      <c r="AP2613" s="771"/>
      <c r="AQ2613" s="771"/>
      <c r="AR2613" s="771"/>
      <c r="AS2613" s="771"/>
      <c r="AT2613" s="771"/>
      <c r="AU2613" s="771"/>
    </row>
    <row r="2614" spans="1:47" s="1418" customFormat="1" outlineLevel="1" x14ac:dyDescent="0.2">
      <c r="A2614" s="8"/>
      <c r="B2614" s="8"/>
      <c r="C2614" s="1989" t="s">
        <v>1832</v>
      </c>
      <c r="D2614" s="1989" t="s">
        <v>6257</v>
      </c>
      <c r="E2614" s="1989">
        <v>1.91</v>
      </c>
      <c r="F2614" s="38">
        <f t="shared" si="40"/>
        <v>155.3235684</v>
      </c>
      <c r="G2614" s="1547"/>
      <c r="H2614" s="8"/>
      <c r="I2614" s="8"/>
      <c r="J2614" s="8"/>
      <c r="K2614" s="8"/>
      <c r="L2614" s="8"/>
      <c r="M2614" s="8"/>
      <c r="N2614" s="8"/>
      <c r="O2614" s="8"/>
      <c r="P2614" s="8"/>
      <c r="Q2614" s="8"/>
      <c r="R2614" s="8"/>
      <c r="S2614" s="8"/>
      <c r="T2614" s="8"/>
      <c r="U2614" s="8"/>
      <c r="V2614" s="8"/>
      <c r="W2614" s="8"/>
      <c r="X2614" s="771"/>
      <c r="Y2614" s="771"/>
      <c r="Z2614" s="771"/>
      <c r="AA2614" s="771"/>
      <c r="AB2614" s="771"/>
      <c r="AC2614" s="771"/>
      <c r="AD2614" s="771"/>
      <c r="AE2614" s="771"/>
      <c r="AF2614" s="771"/>
      <c r="AG2614" s="771"/>
      <c r="AH2614" s="771"/>
      <c r="AI2614" s="771"/>
      <c r="AJ2614" s="771"/>
      <c r="AK2614" s="771"/>
      <c r="AL2614" s="771"/>
      <c r="AM2614" s="771"/>
      <c r="AN2614" s="771"/>
      <c r="AO2614" s="771"/>
      <c r="AP2614" s="771"/>
      <c r="AQ2614" s="771"/>
      <c r="AR2614" s="771"/>
      <c r="AS2614" s="771"/>
      <c r="AT2614" s="771"/>
      <c r="AU2614" s="771"/>
    </row>
    <row r="2615" spans="1:47" s="1418" customFormat="1" outlineLevel="1" x14ac:dyDescent="0.2">
      <c r="A2615" s="8"/>
      <c r="B2615" s="8"/>
      <c r="C2615" s="1989" t="s">
        <v>1833</v>
      </c>
      <c r="D2615" s="1989" t="s">
        <v>6258</v>
      </c>
      <c r="E2615" s="1989">
        <v>2.34</v>
      </c>
      <c r="F2615" s="38">
        <f t="shared" si="40"/>
        <v>190.29170160000001</v>
      </c>
      <c r="G2615" s="1547"/>
      <c r="H2615" s="8"/>
      <c r="I2615" s="8"/>
      <c r="J2615" s="8"/>
      <c r="K2615" s="8"/>
      <c r="L2615" s="8"/>
      <c r="M2615" s="8"/>
      <c r="N2615" s="8"/>
      <c r="O2615" s="8"/>
      <c r="P2615" s="8"/>
      <c r="Q2615" s="8"/>
      <c r="R2615" s="8"/>
      <c r="S2615" s="8"/>
      <c r="T2615" s="8"/>
      <c r="U2615" s="8"/>
      <c r="V2615" s="8"/>
      <c r="W2615" s="8"/>
      <c r="X2615" s="771"/>
      <c r="Y2615" s="771"/>
      <c r="Z2615" s="771"/>
      <c r="AA2615" s="771"/>
      <c r="AB2615" s="771"/>
      <c r="AC2615" s="771"/>
      <c r="AD2615" s="771"/>
      <c r="AE2615" s="771"/>
      <c r="AF2615" s="771"/>
      <c r="AG2615" s="771"/>
      <c r="AH2615" s="771"/>
      <c r="AI2615" s="771"/>
      <c r="AJ2615" s="771"/>
      <c r="AK2615" s="771"/>
      <c r="AL2615" s="771"/>
      <c r="AM2615" s="771"/>
      <c r="AN2615" s="771"/>
      <c r="AO2615" s="771"/>
      <c r="AP2615" s="771"/>
      <c r="AQ2615" s="771"/>
      <c r="AR2615" s="771"/>
      <c r="AS2615" s="771"/>
      <c r="AT2615" s="771"/>
      <c r="AU2615" s="771"/>
    </row>
    <row r="2616" spans="1:47" s="1418" customFormat="1" outlineLevel="1" x14ac:dyDescent="0.2">
      <c r="A2616" s="8"/>
      <c r="B2616" s="8"/>
      <c r="C2616" s="1989" t="s">
        <v>1834</v>
      </c>
      <c r="D2616" s="1989" t="s">
        <v>6259</v>
      </c>
      <c r="E2616" s="1989">
        <v>2.2799999999999998</v>
      </c>
      <c r="F2616" s="38">
        <f t="shared" si="40"/>
        <v>185.4124272</v>
      </c>
      <c r="G2616" s="1547"/>
      <c r="H2616" s="8"/>
      <c r="I2616" s="8"/>
      <c r="J2616" s="8"/>
      <c r="K2616" s="8"/>
      <c r="L2616" s="8"/>
      <c r="M2616" s="8"/>
      <c r="N2616" s="8"/>
      <c r="O2616" s="8"/>
      <c r="P2616" s="8"/>
      <c r="Q2616" s="8"/>
      <c r="R2616" s="8"/>
      <c r="S2616" s="8"/>
      <c r="T2616" s="8"/>
      <c r="U2616" s="8"/>
      <c r="V2616" s="8"/>
      <c r="W2616" s="8"/>
      <c r="X2616" s="771"/>
      <c r="Y2616" s="771"/>
      <c r="Z2616" s="771"/>
      <c r="AA2616" s="771"/>
      <c r="AB2616" s="771"/>
      <c r="AC2616" s="771"/>
      <c r="AD2616" s="771"/>
      <c r="AE2616" s="771"/>
      <c r="AF2616" s="771"/>
      <c r="AG2616" s="771"/>
      <c r="AH2616" s="771"/>
      <c r="AI2616" s="771"/>
      <c r="AJ2616" s="771"/>
      <c r="AK2616" s="771"/>
      <c r="AL2616" s="771"/>
      <c r="AM2616" s="771"/>
      <c r="AN2616" s="771"/>
      <c r="AO2616" s="771"/>
      <c r="AP2616" s="771"/>
      <c r="AQ2616" s="771"/>
      <c r="AR2616" s="771"/>
      <c r="AS2616" s="771"/>
      <c r="AT2616" s="771"/>
      <c r="AU2616" s="771"/>
    </row>
    <row r="2617" spans="1:47" s="1418" customFormat="1" outlineLevel="1" x14ac:dyDescent="0.2">
      <c r="A2617" s="8"/>
      <c r="B2617" s="8"/>
      <c r="C2617" s="1989" t="s">
        <v>1835</v>
      </c>
      <c r="D2617" s="1989" t="s">
        <v>6260</v>
      </c>
      <c r="E2617" s="1989">
        <v>2.4900000000000002</v>
      </c>
      <c r="F2617" s="38">
        <f t="shared" si="40"/>
        <v>202.4898876</v>
      </c>
      <c r="G2617" s="1547"/>
      <c r="H2617" s="8"/>
      <c r="I2617" s="8"/>
      <c r="J2617" s="8"/>
      <c r="K2617" s="8"/>
      <c r="L2617" s="8"/>
      <c r="M2617" s="8"/>
      <c r="N2617" s="8"/>
      <c r="O2617" s="8"/>
      <c r="P2617" s="8"/>
      <c r="Q2617" s="8"/>
      <c r="R2617" s="8"/>
      <c r="S2617" s="8"/>
      <c r="T2617" s="8"/>
      <c r="U2617" s="8"/>
      <c r="V2617" s="8"/>
      <c r="W2617" s="8"/>
      <c r="X2617" s="771"/>
      <c r="Y2617" s="771"/>
      <c r="Z2617" s="771"/>
      <c r="AA2617" s="771"/>
      <c r="AB2617" s="771"/>
      <c r="AC2617" s="771"/>
      <c r="AD2617" s="771"/>
      <c r="AE2617" s="771"/>
      <c r="AF2617" s="771"/>
      <c r="AG2617" s="771"/>
      <c r="AH2617" s="771"/>
      <c r="AI2617" s="771"/>
      <c r="AJ2617" s="771"/>
      <c r="AK2617" s="771"/>
      <c r="AL2617" s="771"/>
      <c r="AM2617" s="771"/>
      <c r="AN2617" s="771"/>
      <c r="AO2617" s="771"/>
      <c r="AP2617" s="771"/>
      <c r="AQ2617" s="771"/>
      <c r="AR2617" s="771"/>
      <c r="AS2617" s="771"/>
      <c r="AT2617" s="771"/>
      <c r="AU2617" s="771"/>
    </row>
    <row r="2618" spans="1:47" s="1418" customFormat="1" outlineLevel="1" x14ac:dyDescent="0.2">
      <c r="A2618" s="8"/>
      <c r="B2618" s="8"/>
      <c r="C2618" s="1989" t="s">
        <v>1836</v>
      </c>
      <c r="D2618" s="1989" t="s">
        <v>1837</v>
      </c>
      <c r="E2618" s="1989">
        <v>2.0499999999999998</v>
      </c>
      <c r="F2618" s="38">
        <f t="shared" si="40"/>
        <v>166.70854199999997</v>
      </c>
      <c r="G2618" s="1547"/>
      <c r="H2618" s="8"/>
      <c r="I2618" s="8"/>
      <c r="J2618" s="8"/>
      <c r="K2618" s="8"/>
      <c r="L2618" s="8"/>
      <c r="M2618" s="8"/>
      <c r="N2618" s="8"/>
      <c r="O2618" s="8"/>
      <c r="P2618" s="8"/>
      <c r="Q2618" s="8"/>
      <c r="R2618" s="8"/>
      <c r="S2618" s="8"/>
      <c r="T2618" s="8"/>
      <c r="U2618" s="8"/>
      <c r="V2618" s="8"/>
      <c r="W2618" s="8"/>
      <c r="X2618" s="771"/>
      <c r="Y2618" s="771"/>
      <c r="Z2618" s="771"/>
      <c r="AA2618" s="771"/>
      <c r="AB2618" s="771"/>
      <c r="AC2618" s="771"/>
      <c r="AD2618" s="771"/>
      <c r="AE2618" s="771"/>
      <c r="AF2618" s="771"/>
      <c r="AG2618" s="771"/>
      <c r="AH2618" s="771"/>
      <c r="AI2618" s="771"/>
      <c r="AJ2618" s="771"/>
      <c r="AK2618" s="771"/>
      <c r="AL2618" s="771"/>
      <c r="AM2618" s="771"/>
      <c r="AN2618" s="771"/>
      <c r="AO2618" s="771"/>
      <c r="AP2618" s="771"/>
      <c r="AQ2618" s="771"/>
      <c r="AR2618" s="771"/>
      <c r="AS2618" s="771"/>
      <c r="AT2618" s="771"/>
      <c r="AU2618" s="771"/>
    </row>
    <row r="2619" spans="1:47" s="1418" customFormat="1" outlineLevel="1" x14ac:dyDescent="0.2">
      <c r="A2619" s="8"/>
      <c r="B2619" s="8"/>
      <c r="C2619" s="1989" t="s">
        <v>1838</v>
      </c>
      <c r="D2619" s="1989" t="s">
        <v>1839</v>
      </c>
      <c r="E2619" s="1989">
        <v>1.85</v>
      </c>
      <c r="F2619" s="38">
        <f t="shared" si="40"/>
        <v>150.44429400000001</v>
      </c>
      <c r="G2619" s="1547"/>
      <c r="H2619" s="8"/>
      <c r="I2619" s="8"/>
      <c r="J2619" s="8"/>
      <c r="K2619" s="8"/>
      <c r="L2619" s="8"/>
      <c r="M2619" s="8"/>
      <c r="N2619" s="8"/>
      <c r="O2619" s="8"/>
      <c r="P2619" s="8"/>
      <c r="Q2619" s="8"/>
      <c r="R2619" s="8"/>
      <c r="S2619" s="8"/>
      <c r="T2619" s="8"/>
      <c r="U2619" s="8"/>
      <c r="V2619" s="8"/>
      <c r="W2619" s="8"/>
      <c r="X2619" s="771"/>
      <c r="Y2619" s="771"/>
      <c r="Z2619" s="771"/>
      <c r="AA2619" s="771"/>
      <c r="AB2619" s="771"/>
      <c r="AC2619" s="771"/>
      <c r="AD2619" s="771"/>
      <c r="AE2619" s="771"/>
      <c r="AF2619" s="771"/>
      <c r="AG2619" s="771"/>
      <c r="AH2619" s="771"/>
      <c r="AI2619" s="771"/>
      <c r="AJ2619" s="771"/>
      <c r="AK2619" s="771"/>
      <c r="AL2619" s="771"/>
      <c r="AM2619" s="771"/>
      <c r="AN2619" s="771"/>
      <c r="AO2619" s="771"/>
      <c r="AP2619" s="771"/>
      <c r="AQ2619" s="771"/>
      <c r="AR2619" s="771"/>
      <c r="AS2619" s="771"/>
      <c r="AT2619" s="771"/>
      <c r="AU2619" s="771"/>
    </row>
    <row r="2620" spans="1:47" s="1418" customFormat="1" outlineLevel="1" x14ac:dyDescent="0.2">
      <c r="A2620" s="8"/>
      <c r="B2620" s="8"/>
      <c r="C2620" s="1989" t="s">
        <v>1840</v>
      </c>
      <c r="D2620" s="1989" t="s">
        <v>1841</v>
      </c>
      <c r="E2620" s="1989">
        <v>1.85</v>
      </c>
      <c r="F2620" s="38">
        <f t="shared" si="40"/>
        <v>150.44429400000001</v>
      </c>
      <c r="G2620" s="1547"/>
      <c r="H2620" s="8"/>
      <c r="I2620" s="8"/>
      <c r="J2620" s="8"/>
      <c r="K2620" s="8"/>
      <c r="L2620" s="8"/>
      <c r="M2620" s="8"/>
      <c r="N2620" s="8"/>
      <c r="O2620" s="8"/>
      <c r="P2620" s="8"/>
      <c r="Q2620" s="8"/>
      <c r="R2620" s="8"/>
      <c r="S2620" s="8"/>
      <c r="T2620" s="8"/>
      <c r="U2620" s="8"/>
      <c r="V2620" s="8"/>
      <c r="W2620" s="8"/>
      <c r="X2620" s="771"/>
      <c r="Y2620" s="771"/>
      <c r="Z2620" s="771"/>
      <c r="AA2620" s="771"/>
      <c r="AB2620" s="771"/>
      <c r="AC2620" s="771"/>
      <c r="AD2620" s="771"/>
      <c r="AE2620" s="771"/>
      <c r="AF2620" s="771"/>
      <c r="AG2620" s="771"/>
      <c r="AH2620" s="771"/>
      <c r="AI2620" s="771"/>
      <c r="AJ2620" s="771"/>
      <c r="AK2620" s="771"/>
      <c r="AL2620" s="771"/>
      <c r="AM2620" s="771"/>
      <c r="AN2620" s="771"/>
      <c r="AO2620" s="771"/>
      <c r="AP2620" s="771"/>
      <c r="AQ2620" s="771"/>
      <c r="AR2620" s="771"/>
      <c r="AS2620" s="771"/>
      <c r="AT2620" s="771"/>
      <c r="AU2620" s="771"/>
    </row>
    <row r="2621" spans="1:47" s="1418" customFormat="1" outlineLevel="1" x14ac:dyDescent="0.2">
      <c r="A2621" s="8"/>
      <c r="B2621" s="8"/>
      <c r="C2621" s="1989" t="s">
        <v>1842</v>
      </c>
      <c r="D2621" s="1989" t="s">
        <v>1843</v>
      </c>
      <c r="E2621" s="1989">
        <v>1.85</v>
      </c>
      <c r="F2621" s="38">
        <f t="shared" si="40"/>
        <v>150.44429400000001</v>
      </c>
      <c r="G2621" s="1547"/>
      <c r="H2621" s="8"/>
      <c r="I2621" s="8"/>
      <c r="J2621" s="8"/>
      <c r="K2621" s="8"/>
      <c r="L2621" s="8"/>
      <c r="M2621" s="8"/>
      <c r="N2621" s="8"/>
      <c r="O2621" s="8"/>
      <c r="P2621" s="8"/>
      <c r="Q2621" s="8"/>
      <c r="R2621" s="8"/>
      <c r="S2621" s="8"/>
      <c r="T2621" s="8"/>
      <c r="U2621" s="8"/>
      <c r="V2621" s="8"/>
      <c r="W2621" s="8"/>
      <c r="X2621" s="771"/>
      <c r="Y2621" s="771"/>
      <c r="Z2621" s="771"/>
      <c r="AA2621" s="771"/>
      <c r="AB2621" s="771"/>
      <c r="AC2621" s="771"/>
      <c r="AD2621" s="771"/>
      <c r="AE2621" s="771"/>
      <c r="AF2621" s="771"/>
      <c r="AG2621" s="771"/>
      <c r="AH2621" s="771"/>
      <c r="AI2621" s="771"/>
      <c r="AJ2621" s="771"/>
      <c r="AK2621" s="771"/>
      <c r="AL2621" s="771"/>
      <c r="AM2621" s="771"/>
      <c r="AN2621" s="771"/>
      <c r="AO2621" s="771"/>
      <c r="AP2621" s="771"/>
      <c r="AQ2621" s="771"/>
      <c r="AR2621" s="771"/>
      <c r="AS2621" s="771"/>
      <c r="AT2621" s="771"/>
      <c r="AU2621" s="771"/>
    </row>
    <row r="2622" spans="1:47" s="1418" customFormat="1" outlineLevel="1" x14ac:dyDescent="0.2">
      <c r="A2622" s="8"/>
      <c r="B2622" s="8"/>
      <c r="C2622" s="1989" t="s">
        <v>1844</v>
      </c>
      <c r="D2622" s="1989" t="s">
        <v>8109</v>
      </c>
      <c r="E2622" s="1989">
        <v>2.31</v>
      </c>
      <c r="F2622" s="38">
        <f t="shared" si="40"/>
        <v>187.85206439999999</v>
      </c>
      <c r="G2622" s="1547"/>
      <c r="H2622" s="8"/>
      <c r="I2622" s="8"/>
      <c r="J2622" s="8"/>
      <c r="K2622" s="8"/>
      <c r="L2622" s="8"/>
      <c r="M2622" s="8"/>
      <c r="N2622" s="8"/>
      <c r="O2622" s="8"/>
      <c r="P2622" s="8"/>
      <c r="Q2622" s="8"/>
      <c r="R2622" s="8"/>
      <c r="S2622" s="8"/>
      <c r="T2622" s="8"/>
      <c r="U2622" s="8"/>
      <c r="V2622" s="8"/>
      <c r="W2622" s="8"/>
      <c r="X2622" s="771"/>
      <c r="Y2622" s="771"/>
      <c r="Z2622" s="771"/>
      <c r="AA2622" s="771"/>
      <c r="AB2622" s="771"/>
      <c r="AC2622" s="771"/>
      <c r="AD2622" s="771"/>
      <c r="AE2622" s="771"/>
      <c r="AF2622" s="771"/>
      <c r="AG2622" s="771"/>
      <c r="AH2622" s="771"/>
      <c r="AI2622" s="771"/>
      <c r="AJ2622" s="771"/>
      <c r="AK2622" s="771"/>
      <c r="AL2622" s="771"/>
      <c r="AM2622" s="771"/>
      <c r="AN2622" s="771"/>
      <c r="AO2622" s="771"/>
      <c r="AP2622" s="771"/>
      <c r="AQ2622" s="771"/>
      <c r="AR2622" s="771"/>
      <c r="AS2622" s="771"/>
      <c r="AT2622" s="771"/>
      <c r="AU2622" s="771"/>
    </row>
    <row r="2623" spans="1:47" s="1418" customFormat="1" outlineLevel="1" x14ac:dyDescent="0.2">
      <c r="A2623" s="8"/>
      <c r="B2623" s="8"/>
      <c r="C2623" s="1989" t="s">
        <v>1845</v>
      </c>
      <c r="D2623" s="1989" t="s">
        <v>6261</v>
      </c>
      <c r="E2623" s="1989">
        <v>2.31</v>
      </c>
      <c r="F2623" s="38">
        <f t="shared" si="40"/>
        <v>187.85206439999999</v>
      </c>
      <c r="G2623" s="1547"/>
      <c r="H2623" s="8"/>
      <c r="I2623" s="8"/>
      <c r="J2623" s="8"/>
      <c r="K2623" s="8"/>
      <c r="L2623" s="8"/>
      <c r="M2623" s="8"/>
      <c r="N2623" s="8"/>
      <c r="O2623" s="8"/>
      <c r="P2623" s="8"/>
      <c r="Q2623" s="8"/>
      <c r="R2623" s="8"/>
      <c r="S2623" s="8"/>
      <c r="T2623" s="8"/>
      <c r="U2623" s="8"/>
      <c r="V2623" s="8"/>
      <c r="W2623" s="8"/>
      <c r="X2623" s="771"/>
      <c r="Y2623" s="771"/>
      <c r="Z2623" s="771"/>
      <c r="AA2623" s="771"/>
      <c r="AB2623" s="771"/>
      <c r="AC2623" s="771"/>
      <c r="AD2623" s="771"/>
      <c r="AE2623" s="771"/>
      <c r="AF2623" s="771"/>
      <c r="AG2623" s="771"/>
      <c r="AH2623" s="771"/>
      <c r="AI2623" s="771"/>
      <c r="AJ2623" s="771"/>
      <c r="AK2623" s="771"/>
      <c r="AL2623" s="771"/>
      <c r="AM2623" s="771"/>
      <c r="AN2623" s="771"/>
      <c r="AO2623" s="771"/>
      <c r="AP2623" s="771"/>
      <c r="AQ2623" s="771"/>
      <c r="AR2623" s="771"/>
      <c r="AS2623" s="771"/>
      <c r="AT2623" s="771"/>
      <c r="AU2623" s="771"/>
    </row>
    <row r="2624" spans="1:47" s="1418" customFormat="1" outlineLevel="1" x14ac:dyDescent="0.2">
      <c r="A2624" s="8"/>
      <c r="B2624" s="8"/>
      <c r="C2624" s="1989" t="s">
        <v>1789</v>
      </c>
      <c r="D2624" s="1989" t="s">
        <v>8110</v>
      </c>
      <c r="E2624" s="1989">
        <v>2.31</v>
      </c>
      <c r="F2624" s="38">
        <f t="shared" si="40"/>
        <v>187.85206439999999</v>
      </c>
      <c r="G2624" s="1547"/>
      <c r="H2624" s="8"/>
      <c r="I2624" s="8"/>
      <c r="J2624" s="8"/>
      <c r="K2624" s="8"/>
      <c r="L2624" s="8"/>
      <c r="M2624" s="8"/>
      <c r="N2624" s="8"/>
      <c r="O2624" s="8"/>
      <c r="P2624" s="8"/>
      <c r="Q2624" s="8"/>
      <c r="R2624" s="8"/>
      <c r="S2624" s="8"/>
      <c r="T2624" s="8"/>
      <c r="U2624" s="8"/>
      <c r="V2624" s="8"/>
      <c r="W2624" s="8"/>
      <c r="X2624" s="771"/>
      <c r="Y2624" s="771"/>
      <c r="Z2624" s="771"/>
      <c r="AA2624" s="771"/>
      <c r="AB2624" s="771"/>
      <c r="AC2624" s="771"/>
      <c r="AD2624" s="771"/>
      <c r="AE2624" s="771"/>
      <c r="AF2624" s="771"/>
      <c r="AG2624" s="771"/>
      <c r="AH2624" s="771"/>
      <c r="AI2624" s="771"/>
      <c r="AJ2624" s="771"/>
      <c r="AK2624" s="771"/>
      <c r="AL2624" s="771"/>
      <c r="AM2624" s="771"/>
      <c r="AN2624" s="771"/>
      <c r="AO2624" s="771"/>
      <c r="AP2624" s="771"/>
      <c r="AQ2624" s="771"/>
      <c r="AR2624" s="771"/>
      <c r="AS2624" s="771"/>
      <c r="AT2624" s="771"/>
      <c r="AU2624" s="771"/>
    </row>
    <row r="2625" spans="1:47" s="1418" customFormat="1" outlineLevel="1" x14ac:dyDescent="0.2">
      <c r="A2625" s="8"/>
      <c r="B2625" s="8"/>
      <c r="C2625" s="1989" t="s">
        <v>1790</v>
      </c>
      <c r="D2625" s="1989" t="s">
        <v>8111</v>
      </c>
      <c r="E2625" s="1989">
        <v>2.31</v>
      </c>
      <c r="F2625" s="38">
        <f t="shared" si="40"/>
        <v>187.85206439999999</v>
      </c>
      <c r="G2625" s="1547"/>
      <c r="H2625" s="8"/>
      <c r="I2625" s="8"/>
      <c r="J2625" s="8"/>
      <c r="K2625" s="8"/>
      <c r="L2625" s="8"/>
      <c r="M2625" s="8"/>
      <c r="N2625" s="8"/>
      <c r="O2625" s="8"/>
      <c r="P2625" s="8"/>
      <c r="Q2625" s="8"/>
      <c r="R2625" s="8"/>
      <c r="S2625" s="8"/>
      <c r="T2625" s="8"/>
      <c r="U2625" s="8"/>
      <c r="V2625" s="8"/>
      <c r="W2625" s="8"/>
      <c r="X2625" s="771"/>
      <c r="Y2625" s="771"/>
      <c r="Z2625" s="771"/>
      <c r="AA2625" s="771"/>
      <c r="AB2625" s="771"/>
      <c r="AC2625" s="771"/>
      <c r="AD2625" s="771"/>
      <c r="AE2625" s="771"/>
      <c r="AF2625" s="771"/>
      <c r="AG2625" s="771"/>
      <c r="AH2625" s="771"/>
      <c r="AI2625" s="771"/>
      <c r="AJ2625" s="771"/>
      <c r="AK2625" s="771"/>
      <c r="AL2625" s="771"/>
      <c r="AM2625" s="771"/>
      <c r="AN2625" s="771"/>
      <c r="AO2625" s="771"/>
      <c r="AP2625" s="771"/>
      <c r="AQ2625" s="771"/>
      <c r="AR2625" s="771"/>
      <c r="AS2625" s="771"/>
      <c r="AT2625" s="771"/>
      <c r="AU2625" s="771"/>
    </row>
    <row r="2626" spans="1:47" s="1418" customFormat="1" outlineLevel="1" x14ac:dyDescent="0.2">
      <c r="A2626" s="8"/>
      <c r="B2626" s="8"/>
      <c r="C2626" s="1989" t="s">
        <v>1282</v>
      </c>
      <c r="D2626" s="1989" t="s">
        <v>8112</v>
      </c>
      <c r="E2626" s="1989">
        <v>1.63</v>
      </c>
      <c r="F2626" s="38">
        <f t="shared" si="40"/>
        <v>132.55362119999998</v>
      </c>
      <c r="G2626" s="1547"/>
      <c r="H2626" s="8"/>
      <c r="I2626" s="8"/>
      <c r="J2626" s="8"/>
      <c r="K2626" s="8"/>
      <c r="L2626" s="8"/>
      <c r="M2626" s="8"/>
      <c r="N2626" s="8"/>
      <c r="O2626" s="8"/>
      <c r="P2626" s="8"/>
      <c r="Q2626" s="8"/>
      <c r="R2626" s="8"/>
      <c r="S2626" s="8"/>
      <c r="T2626" s="8"/>
      <c r="U2626" s="8"/>
      <c r="V2626" s="8"/>
      <c r="W2626" s="8"/>
      <c r="X2626" s="771"/>
      <c r="Y2626" s="771"/>
      <c r="Z2626" s="771"/>
      <c r="AA2626" s="771"/>
      <c r="AB2626" s="771"/>
      <c r="AC2626" s="771"/>
      <c r="AD2626" s="771"/>
      <c r="AE2626" s="771"/>
      <c r="AF2626" s="771"/>
      <c r="AG2626" s="771"/>
      <c r="AH2626" s="771"/>
      <c r="AI2626" s="771"/>
      <c r="AJ2626" s="771"/>
      <c r="AK2626" s="771"/>
      <c r="AL2626" s="771"/>
      <c r="AM2626" s="771"/>
      <c r="AN2626" s="771"/>
      <c r="AO2626" s="771"/>
      <c r="AP2626" s="771"/>
      <c r="AQ2626" s="771"/>
      <c r="AR2626" s="771"/>
      <c r="AS2626" s="771"/>
      <c r="AT2626" s="771"/>
      <c r="AU2626" s="771"/>
    </row>
    <row r="2627" spans="1:47" s="1418" customFormat="1" outlineLevel="1" x14ac:dyDescent="0.2">
      <c r="A2627" s="8"/>
      <c r="B2627" s="8"/>
      <c r="C2627" s="1989" t="s">
        <v>1283</v>
      </c>
      <c r="D2627" s="1989" t="s">
        <v>8113</v>
      </c>
      <c r="E2627" s="1989">
        <v>1.66</v>
      </c>
      <c r="F2627" s="38">
        <f t="shared" si="40"/>
        <v>134.9932584</v>
      </c>
      <c r="G2627" s="1547"/>
      <c r="H2627" s="8"/>
      <c r="I2627" s="8"/>
      <c r="J2627" s="8"/>
      <c r="K2627" s="8"/>
      <c r="L2627" s="8"/>
      <c r="M2627" s="8"/>
      <c r="N2627" s="8"/>
      <c r="O2627" s="8"/>
      <c r="P2627" s="8"/>
      <c r="Q2627" s="8"/>
      <c r="R2627" s="8"/>
      <c r="S2627" s="8"/>
      <c r="T2627" s="8"/>
      <c r="U2627" s="8"/>
      <c r="V2627" s="8"/>
      <c r="W2627" s="8"/>
      <c r="X2627" s="771"/>
      <c r="Y2627" s="771"/>
      <c r="Z2627" s="771"/>
      <c r="AA2627" s="771"/>
      <c r="AB2627" s="771"/>
      <c r="AC2627" s="771"/>
      <c r="AD2627" s="771"/>
      <c r="AE2627" s="771"/>
      <c r="AF2627" s="771"/>
      <c r="AG2627" s="771"/>
      <c r="AH2627" s="771"/>
      <c r="AI2627" s="771"/>
      <c r="AJ2627" s="771"/>
      <c r="AK2627" s="771"/>
      <c r="AL2627" s="771"/>
      <c r="AM2627" s="771"/>
      <c r="AN2627" s="771"/>
      <c r="AO2627" s="771"/>
      <c r="AP2627" s="771"/>
      <c r="AQ2627" s="771"/>
      <c r="AR2627" s="771"/>
      <c r="AS2627" s="771"/>
      <c r="AT2627" s="771"/>
      <c r="AU2627" s="771"/>
    </row>
    <row r="2628" spans="1:47" s="1418" customFormat="1" outlineLevel="1" x14ac:dyDescent="0.2">
      <c r="A2628" s="8"/>
      <c r="B2628" s="8"/>
      <c r="C2628" s="1989" t="s">
        <v>2680</v>
      </c>
      <c r="D2628" s="1989" t="s">
        <v>6262</v>
      </c>
      <c r="E2628" s="1989">
        <v>0</v>
      </c>
      <c r="F2628" s="38">
        <f t="shared" si="40"/>
        <v>0</v>
      </c>
      <c r="G2628" s="1547"/>
      <c r="H2628" s="8"/>
      <c r="I2628" s="8"/>
      <c r="J2628" s="8"/>
      <c r="K2628" s="8"/>
      <c r="L2628" s="8"/>
      <c r="M2628" s="8"/>
      <c r="N2628" s="8"/>
      <c r="O2628" s="8"/>
      <c r="P2628" s="8"/>
      <c r="Q2628" s="8"/>
      <c r="R2628" s="8"/>
      <c r="S2628" s="8"/>
      <c r="T2628" s="8"/>
      <c r="U2628" s="8"/>
      <c r="V2628" s="8"/>
      <c r="W2628" s="8"/>
      <c r="X2628" s="771"/>
      <c r="Y2628" s="771"/>
      <c r="Z2628" s="771"/>
      <c r="AA2628" s="771"/>
      <c r="AB2628" s="771"/>
      <c r="AC2628" s="771"/>
      <c r="AD2628" s="771"/>
      <c r="AE2628" s="771"/>
      <c r="AF2628" s="771"/>
      <c r="AG2628" s="771"/>
      <c r="AH2628" s="771"/>
      <c r="AI2628" s="771"/>
      <c r="AJ2628" s="771"/>
      <c r="AK2628" s="771"/>
      <c r="AL2628" s="771"/>
      <c r="AM2628" s="771"/>
      <c r="AN2628" s="771"/>
      <c r="AO2628" s="771"/>
      <c r="AP2628" s="771"/>
      <c r="AQ2628" s="771"/>
      <c r="AR2628" s="771"/>
      <c r="AS2628" s="771"/>
      <c r="AT2628" s="771"/>
      <c r="AU2628" s="771"/>
    </row>
    <row r="2629" spans="1:47" s="1418" customFormat="1" outlineLevel="1" x14ac:dyDescent="0.2">
      <c r="A2629" s="8"/>
      <c r="B2629" s="8"/>
      <c r="C2629" s="1989" t="s">
        <v>2681</v>
      </c>
      <c r="D2629" s="1989" t="s">
        <v>6263</v>
      </c>
      <c r="E2629" s="1989">
        <v>0</v>
      </c>
      <c r="F2629" s="38">
        <f t="shared" si="40"/>
        <v>0</v>
      </c>
      <c r="G2629" s="1547"/>
      <c r="H2629" s="8"/>
      <c r="I2629" s="8"/>
      <c r="J2629" s="8"/>
      <c r="K2629" s="8"/>
      <c r="L2629" s="8"/>
      <c r="M2629" s="8"/>
      <c r="N2629" s="8"/>
      <c r="O2629" s="8"/>
      <c r="P2629" s="8"/>
      <c r="Q2629" s="8"/>
      <c r="R2629" s="8"/>
      <c r="S2629" s="8"/>
      <c r="T2629" s="8"/>
      <c r="U2629" s="8"/>
      <c r="V2629" s="8"/>
      <c r="W2629" s="8"/>
      <c r="X2629" s="771"/>
      <c r="Y2629" s="771"/>
      <c r="Z2629" s="771"/>
      <c r="AA2629" s="771"/>
      <c r="AB2629" s="771"/>
      <c r="AC2629" s="771"/>
      <c r="AD2629" s="771"/>
      <c r="AE2629" s="771"/>
      <c r="AF2629" s="771"/>
      <c r="AG2629" s="771"/>
      <c r="AH2629" s="771"/>
      <c r="AI2629" s="771"/>
      <c r="AJ2629" s="771"/>
      <c r="AK2629" s="771"/>
      <c r="AL2629" s="771"/>
      <c r="AM2629" s="771"/>
      <c r="AN2629" s="771"/>
      <c r="AO2629" s="771"/>
      <c r="AP2629" s="771"/>
      <c r="AQ2629" s="771"/>
      <c r="AR2629" s="771"/>
      <c r="AS2629" s="771"/>
      <c r="AT2629" s="771"/>
      <c r="AU2629" s="771"/>
    </row>
    <row r="2630" spans="1:47" s="1418" customFormat="1" outlineLevel="1" x14ac:dyDescent="0.2">
      <c r="A2630" s="8"/>
      <c r="B2630" s="8"/>
      <c r="C2630" s="1989" t="s">
        <v>2007</v>
      </c>
      <c r="D2630" s="1989" t="s">
        <v>2008</v>
      </c>
      <c r="E2630" s="1989">
        <v>0.12</v>
      </c>
      <c r="F2630" s="38">
        <f t="shared" si="40"/>
        <v>9.7585487999999998</v>
      </c>
      <c r="G2630" s="1547"/>
      <c r="H2630" s="8"/>
      <c r="I2630" s="8"/>
      <c r="J2630" s="8"/>
      <c r="K2630" s="8"/>
      <c r="L2630" s="8"/>
      <c r="M2630" s="8"/>
      <c r="N2630" s="8"/>
      <c r="O2630" s="8"/>
      <c r="P2630" s="8"/>
      <c r="Q2630" s="8"/>
      <c r="R2630" s="8"/>
      <c r="S2630" s="8"/>
      <c r="T2630" s="8"/>
      <c r="U2630" s="8"/>
      <c r="V2630" s="8"/>
      <c r="W2630" s="8"/>
      <c r="X2630" s="771"/>
      <c r="Y2630" s="771"/>
      <c r="Z2630" s="771"/>
      <c r="AA2630" s="771"/>
      <c r="AB2630" s="771"/>
      <c r="AC2630" s="771"/>
      <c r="AD2630" s="771"/>
      <c r="AE2630" s="771"/>
      <c r="AF2630" s="771"/>
      <c r="AG2630" s="771"/>
      <c r="AH2630" s="771"/>
      <c r="AI2630" s="771"/>
      <c r="AJ2630" s="771"/>
      <c r="AK2630" s="771"/>
      <c r="AL2630" s="771"/>
      <c r="AM2630" s="771"/>
      <c r="AN2630" s="771"/>
      <c r="AO2630" s="771"/>
      <c r="AP2630" s="771"/>
      <c r="AQ2630" s="771"/>
      <c r="AR2630" s="771"/>
      <c r="AS2630" s="771"/>
      <c r="AT2630" s="771"/>
      <c r="AU2630" s="771"/>
    </row>
    <row r="2631" spans="1:47" s="1418" customFormat="1" outlineLevel="1" x14ac:dyDescent="0.2">
      <c r="A2631" s="8"/>
      <c r="B2631" s="8"/>
      <c r="C2631" s="1989" t="s">
        <v>2009</v>
      </c>
      <c r="D2631" s="1989" t="s">
        <v>2010</v>
      </c>
      <c r="E2631" s="1989">
        <v>0.12</v>
      </c>
      <c r="F2631" s="38">
        <f t="shared" si="40"/>
        <v>9.7585487999999998</v>
      </c>
      <c r="G2631" s="1547"/>
      <c r="H2631" s="8"/>
      <c r="I2631" s="8"/>
      <c r="J2631" s="8"/>
      <c r="K2631" s="8"/>
      <c r="L2631" s="8"/>
      <c r="M2631" s="8"/>
      <c r="N2631" s="8"/>
      <c r="O2631" s="8"/>
      <c r="P2631" s="8"/>
      <c r="Q2631" s="8"/>
      <c r="R2631" s="8"/>
      <c r="S2631" s="8"/>
      <c r="T2631" s="8"/>
      <c r="U2631" s="8"/>
      <c r="V2631" s="8"/>
      <c r="W2631" s="8"/>
      <c r="X2631" s="771"/>
      <c r="Y2631" s="771"/>
      <c r="Z2631" s="771"/>
      <c r="AA2631" s="771"/>
      <c r="AB2631" s="771"/>
      <c r="AC2631" s="771"/>
      <c r="AD2631" s="771"/>
      <c r="AE2631" s="771"/>
      <c r="AF2631" s="771"/>
      <c r="AG2631" s="771"/>
      <c r="AH2631" s="771"/>
      <c r="AI2631" s="771"/>
      <c r="AJ2631" s="771"/>
      <c r="AK2631" s="771"/>
      <c r="AL2631" s="771"/>
      <c r="AM2631" s="771"/>
      <c r="AN2631" s="771"/>
      <c r="AO2631" s="771"/>
      <c r="AP2631" s="771"/>
      <c r="AQ2631" s="771"/>
      <c r="AR2631" s="771"/>
      <c r="AS2631" s="771"/>
      <c r="AT2631" s="771"/>
      <c r="AU2631" s="771"/>
    </row>
    <row r="2632" spans="1:47" s="1418" customFormat="1" outlineLevel="1" x14ac:dyDescent="0.2">
      <c r="A2632" s="8"/>
      <c r="B2632" s="8"/>
      <c r="C2632" s="1989" t="s">
        <v>1767</v>
      </c>
      <c r="D2632" s="1989" t="s">
        <v>8114</v>
      </c>
      <c r="E2632" s="1989">
        <v>0.11</v>
      </c>
      <c r="F2632" s="38">
        <f t="shared" ref="F2632:F2695" si="41">E2632*$G$4*$J$4</f>
        <v>8.9453364000000004</v>
      </c>
      <c r="G2632" s="1547"/>
      <c r="H2632" s="8"/>
      <c r="I2632" s="8"/>
      <c r="J2632" s="8"/>
      <c r="K2632" s="8"/>
      <c r="L2632" s="8"/>
      <c r="M2632" s="8"/>
      <c r="N2632" s="8"/>
      <c r="O2632" s="8"/>
      <c r="P2632" s="8"/>
      <c r="Q2632" s="8"/>
      <c r="R2632" s="8"/>
      <c r="S2632" s="8"/>
      <c r="T2632" s="8"/>
      <c r="U2632" s="8"/>
      <c r="V2632" s="8"/>
      <c r="W2632" s="8"/>
      <c r="X2632" s="771"/>
      <c r="Y2632" s="771"/>
      <c r="Z2632" s="771"/>
      <c r="AA2632" s="771"/>
      <c r="AB2632" s="771"/>
      <c r="AC2632" s="771"/>
      <c r="AD2632" s="771"/>
      <c r="AE2632" s="771"/>
      <c r="AF2632" s="771"/>
      <c r="AG2632" s="771"/>
      <c r="AH2632" s="771"/>
      <c r="AI2632" s="771"/>
      <c r="AJ2632" s="771"/>
      <c r="AK2632" s="771"/>
      <c r="AL2632" s="771"/>
      <c r="AM2632" s="771"/>
      <c r="AN2632" s="771"/>
      <c r="AO2632" s="771"/>
      <c r="AP2632" s="771"/>
      <c r="AQ2632" s="771"/>
      <c r="AR2632" s="771"/>
      <c r="AS2632" s="771"/>
      <c r="AT2632" s="771"/>
      <c r="AU2632" s="771"/>
    </row>
    <row r="2633" spans="1:47" s="1418" customFormat="1" outlineLevel="1" x14ac:dyDescent="0.2">
      <c r="A2633" s="8"/>
      <c r="B2633" s="8"/>
      <c r="C2633" s="1989" t="s">
        <v>3095</v>
      </c>
      <c r="D2633" s="1989" t="s">
        <v>6264</v>
      </c>
      <c r="E2633" s="1989">
        <v>0.35</v>
      </c>
      <c r="F2633" s="38">
        <f t="shared" si="41"/>
        <v>28.462434000000002</v>
      </c>
      <c r="G2633" s="1547"/>
      <c r="H2633" s="8"/>
      <c r="I2633" s="8"/>
      <c r="J2633" s="8"/>
      <c r="K2633" s="8"/>
      <c r="L2633" s="8"/>
      <c r="M2633" s="8"/>
      <c r="N2633" s="8"/>
      <c r="O2633" s="8"/>
      <c r="P2633" s="8"/>
      <c r="Q2633" s="8"/>
      <c r="R2633" s="8"/>
      <c r="S2633" s="8"/>
      <c r="T2633" s="8"/>
      <c r="U2633" s="8"/>
      <c r="V2633" s="8"/>
      <c r="W2633" s="8"/>
      <c r="X2633" s="771"/>
      <c r="Y2633" s="771"/>
      <c r="Z2633" s="771"/>
      <c r="AA2633" s="771"/>
      <c r="AB2633" s="771"/>
      <c r="AC2633" s="771"/>
      <c r="AD2633" s="771"/>
      <c r="AE2633" s="771"/>
      <c r="AF2633" s="771"/>
      <c r="AG2633" s="771"/>
      <c r="AH2633" s="771"/>
      <c r="AI2633" s="771"/>
      <c r="AJ2633" s="771"/>
      <c r="AK2633" s="771"/>
      <c r="AL2633" s="771"/>
      <c r="AM2633" s="771"/>
      <c r="AN2633" s="771"/>
      <c r="AO2633" s="771"/>
      <c r="AP2633" s="771"/>
      <c r="AQ2633" s="771"/>
      <c r="AR2633" s="771"/>
      <c r="AS2633" s="771"/>
      <c r="AT2633" s="771"/>
      <c r="AU2633" s="771"/>
    </row>
    <row r="2634" spans="1:47" s="1418" customFormat="1" outlineLevel="1" x14ac:dyDescent="0.2">
      <c r="A2634" s="8"/>
      <c r="B2634" s="8"/>
      <c r="C2634" s="1989" t="s">
        <v>2690</v>
      </c>
      <c r="D2634" s="1989" t="s">
        <v>6265</v>
      </c>
      <c r="E2634" s="1989">
        <v>0</v>
      </c>
      <c r="F2634" s="38">
        <f t="shared" si="41"/>
        <v>0</v>
      </c>
      <c r="G2634" s="1547"/>
      <c r="H2634" s="8"/>
      <c r="I2634" s="8"/>
      <c r="J2634" s="8"/>
      <c r="K2634" s="8"/>
      <c r="L2634" s="8"/>
      <c r="M2634" s="8"/>
      <c r="N2634" s="8"/>
      <c r="O2634" s="8"/>
      <c r="P2634" s="8"/>
      <c r="Q2634" s="8"/>
      <c r="R2634" s="8"/>
      <c r="S2634" s="8"/>
      <c r="T2634" s="8"/>
      <c r="U2634" s="8"/>
      <c r="V2634" s="8"/>
      <c r="W2634" s="8"/>
      <c r="X2634" s="771"/>
      <c r="Y2634" s="771"/>
      <c r="Z2634" s="771"/>
      <c r="AA2634" s="771"/>
      <c r="AB2634" s="771"/>
      <c r="AC2634" s="771"/>
      <c r="AD2634" s="771"/>
      <c r="AE2634" s="771"/>
      <c r="AF2634" s="771"/>
      <c r="AG2634" s="771"/>
      <c r="AH2634" s="771"/>
      <c r="AI2634" s="771"/>
      <c r="AJ2634" s="771"/>
      <c r="AK2634" s="771"/>
      <c r="AL2634" s="771"/>
      <c r="AM2634" s="771"/>
      <c r="AN2634" s="771"/>
      <c r="AO2634" s="771"/>
      <c r="AP2634" s="771"/>
      <c r="AQ2634" s="771"/>
      <c r="AR2634" s="771"/>
      <c r="AS2634" s="771"/>
      <c r="AT2634" s="771"/>
      <c r="AU2634" s="771"/>
    </row>
    <row r="2635" spans="1:47" s="1418" customFormat="1" outlineLevel="1" x14ac:dyDescent="0.2">
      <c r="A2635" s="8"/>
      <c r="B2635" s="8"/>
      <c r="C2635" s="1989" t="s">
        <v>1772</v>
      </c>
      <c r="D2635" s="1989" t="s">
        <v>4858</v>
      </c>
      <c r="E2635" s="1989">
        <v>0.38</v>
      </c>
      <c r="F2635" s="38">
        <f t="shared" si="41"/>
        <v>30.902071199999998</v>
      </c>
      <c r="G2635" s="1547"/>
      <c r="H2635" s="8"/>
      <c r="I2635" s="8"/>
      <c r="J2635" s="8"/>
      <c r="K2635" s="8"/>
      <c r="L2635" s="8"/>
      <c r="M2635" s="8"/>
      <c r="N2635" s="8"/>
      <c r="O2635" s="8"/>
      <c r="P2635" s="8"/>
      <c r="Q2635" s="8"/>
      <c r="R2635" s="8"/>
      <c r="S2635" s="8"/>
      <c r="T2635" s="8"/>
      <c r="U2635" s="8"/>
      <c r="V2635" s="8"/>
      <c r="W2635" s="8"/>
      <c r="X2635" s="771"/>
      <c r="Y2635" s="771"/>
      <c r="Z2635" s="771"/>
      <c r="AA2635" s="771"/>
      <c r="AB2635" s="771"/>
      <c r="AC2635" s="771"/>
      <c r="AD2635" s="771"/>
      <c r="AE2635" s="771"/>
      <c r="AF2635" s="771"/>
      <c r="AG2635" s="771"/>
      <c r="AH2635" s="771"/>
      <c r="AI2635" s="771"/>
      <c r="AJ2635" s="771"/>
      <c r="AK2635" s="771"/>
      <c r="AL2635" s="771"/>
      <c r="AM2635" s="771"/>
      <c r="AN2635" s="771"/>
      <c r="AO2635" s="771"/>
      <c r="AP2635" s="771"/>
      <c r="AQ2635" s="771"/>
      <c r="AR2635" s="771"/>
      <c r="AS2635" s="771"/>
      <c r="AT2635" s="771"/>
      <c r="AU2635" s="771"/>
    </row>
    <row r="2636" spans="1:47" s="1418" customFormat="1" outlineLevel="1" x14ac:dyDescent="0.2">
      <c r="A2636" s="8"/>
      <c r="B2636" s="8"/>
      <c r="C2636" s="1989" t="s">
        <v>2692</v>
      </c>
      <c r="D2636" s="1989" t="s">
        <v>6266</v>
      </c>
      <c r="E2636" s="1989">
        <v>0.94</v>
      </c>
      <c r="F2636" s="38">
        <f t="shared" si="41"/>
        <v>76.441965600000003</v>
      </c>
      <c r="G2636" s="1547"/>
      <c r="H2636" s="8"/>
      <c r="I2636" s="8"/>
      <c r="J2636" s="8"/>
      <c r="K2636" s="8"/>
      <c r="L2636" s="8"/>
      <c r="M2636" s="8"/>
      <c r="N2636" s="8"/>
      <c r="O2636" s="8"/>
      <c r="P2636" s="8"/>
      <c r="Q2636" s="8"/>
      <c r="R2636" s="8"/>
      <c r="S2636" s="8"/>
      <c r="T2636" s="8"/>
      <c r="U2636" s="8"/>
      <c r="V2636" s="8"/>
      <c r="W2636" s="8"/>
      <c r="X2636" s="771"/>
      <c r="Y2636" s="771"/>
      <c r="Z2636" s="771"/>
      <c r="AA2636" s="771"/>
      <c r="AB2636" s="771"/>
      <c r="AC2636" s="771"/>
      <c r="AD2636" s="771"/>
      <c r="AE2636" s="771"/>
      <c r="AF2636" s="771"/>
      <c r="AG2636" s="771"/>
      <c r="AH2636" s="771"/>
      <c r="AI2636" s="771"/>
      <c r="AJ2636" s="771"/>
      <c r="AK2636" s="771"/>
      <c r="AL2636" s="771"/>
      <c r="AM2636" s="771"/>
      <c r="AN2636" s="771"/>
      <c r="AO2636" s="771"/>
      <c r="AP2636" s="771"/>
      <c r="AQ2636" s="771"/>
      <c r="AR2636" s="771"/>
      <c r="AS2636" s="771"/>
      <c r="AT2636" s="771"/>
      <c r="AU2636" s="771"/>
    </row>
    <row r="2637" spans="1:47" s="1418" customFormat="1" outlineLevel="1" x14ac:dyDescent="0.2">
      <c r="A2637" s="8"/>
      <c r="B2637" s="8"/>
      <c r="C2637" s="1989" t="s">
        <v>3340</v>
      </c>
      <c r="D2637" s="1989" t="s">
        <v>6267</v>
      </c>
      <c r="E2637" s="1989">
        <v>0.55000000000000004</v>
      </c>
      <c r="F2637" s="38">
        <f t="shared" si="41"/>
        <v>44.726682000000004</v>
      </c>
      <c r="G2637" s="1547"/>
      <c r="H2637" s="8"/>
      <c r="I2637" s="8"/>
      <c r="J2637" s="8"/>
      <c r="K2637" s="8"/>
      <c r="L2637" s="8"/>
      <c r="M2637" s="8"/>
      <c r="N2637" s="8"/>
      <c r="O2637" s="8"/>
      <c r="P2637" s="8"/>
      <c r="Q2637" s="8"/>
      <c r="R2637" s="8"/>
      <c r="S2637" s="8"/>
      <c r="T2637" s="8"/>
      <c r="U2637" s="8"/>
      <c r="V2637" s="8"/>
      <c r="W2637" s="8"/>
      <c r="X2637" s="771"/>
      <c r="Y2637" s="771"/>
      <c r="Z2637" s="771"/>
      <c r="AA2637" s="771"/>
      <c r="AB2637" s="771"/>
      <c r="AC2637" s="771"/>
      <c r="AD2637" s="771"/>
      <c r="AE2637" s="771"/>
      <c r="AF2637" s="771"/>
      <c r="AG2637" s="771"/>
      <c r="AH2637" s="771"/>
      <c r="AI2637" s="771"/>
      <c r="AJ2637" s="771"/>
      <c r="AK2637" s="771"/>
      <c r="AL2637" s="771"/>
      <c r="AM2637" s="771"/>
      <c r="AN2637" s="771"/>
      <c r="AO2637" s="771"/>
      <c r="AP2637" s="771"/>
      <c r="AQ2637" s="771"/>
      <c r="AR2637" s="771"/>
      <c r="AS2637" s="771"/>
      <c r="AT2637" s="771"/>
      <c r="AU2637" s="771"/>
    </row>
    <row r="2638" spans="1:47" s="1418" customFormat="1" outlineLevel="1" x14ac:dyDescent="0.2">
      <c r="A2638" s="8"/>
      <c r="B2638" s="8"/>
      <c r="C2638" s="1989" t="s">
        <v>1568</v>
      </c>
      <c r="D2638" s="1989" t="s">
        <v>8115</v>
      </c>
      <c r="E2638" s="1989">
        <v>0.89</v>
      </c>
      <c r="F2638" s="38">
        <f t="shared" si="41"/>
        <v>72.375903600000015</v>
      </c>
      <c r="G2638" s="1547"/>
      <c r="H2638" s="8"/>
      <c r="I2638" s="8"/>
      <c r="J2638" s="8"/>
      <c r="K2638" s="8"/>
      <c r="L2638" s="8"/>
      <c r="M2638" s="8"/>
      <c r="N2638" s="8"/>
      <c r="O2638" s="8"/>
      <c r="P2638" s="8"/>
      <c r="Q2638" s="8"/>
      <c r="R2638" s="8"/>
      <c r="S2638" s="8"/>
      <c r="T2638" s="8"/>
      <c r="U2638" s="8"/>
      <c r="V2638" s="8"/>
      <c r="W2638" s="8"/>
      <c r="X2638" s="771"/>
      <c r="Y2638" s="771"/>
      <c r="Z2638" s="771"/>
      <c r="AA2638" s="771"/>
      <c r="AB2638" s="771"/>
      <c r="AC2638" s="771"/>
      <c r="AD2638" s="771"/>
      <c r="AE2638" s="771"/>
      <c r="AF2638" s="771"/>
      <c r="AG2638" s="771"/>
      <c r="AH2638" s="771"/>
      <c r="AI2638" s="771"/>
      <c r="AJ2638" s="771"/>
      <c r="AK2638" s="771"/>
      <c r="AL2638" s="771"/>
      <c r="AM2638" s="771"/>
      <c r="AN2638" s="771"/>
      <c r="AO2638" s="771"/>
      <c r="AP2638" s="771"/>
      <c r="AQ2638" s="771"/>
      <c r="AR2638" s="771"/>
      <c r="AS2638" s="771"/>
      <c r="AT2638" s="771"/>
      <c r="AU2638" s="771"/>
    </row>
    <row r="2639" spans="1:47" s="1418" customFormat="1" outlineLevel="1" x14ac:dyDescent="0.2">
      <c r="A2639" s="8"/>
      <c r="B2639" s="8"/>
      <c r="C2639" s="1989" t="s">
        <v>3096</v>
      </c>
      <c r="D2639" s="1989" t="s">
        <v>8116</v>
      </c>
      <c r="E2639" s="1989">
        <v>10.29</v>
      </c>
      <c r="F2639" s="38">
        <f t="shared" si="41"/>
        <v>836.79555960000005</v>
      </c>
      <c r="G2639" s="1547"/>
      <c r="H2639" s="8"/>
      <c r="I2639" s="8"/>
      <c r="J2639" s="8"/>
      <c r="K2639" s="8"/>
      <c r="L2639" s="8"/>
      <c r="M2639" s="8"/>
      <c r="N2639" s="8"/>
      <c r="O2639" s="8"/>
      <c r="P2639" s="8"/>
      <c r="Q2639" s="8"/>
      <c r="R2639" s="8"/>
      <c r="S2639" s="8"/>
      <c r="T2639" s="8"/>
      <c r="U2639" s="8"/>
      <c r="V2639" s="8"/>
      <c r="W2639" s="8"/>
      <c r="X2639" s="771"/>
      <c r="Y2639" s="771"/>
      <c r="Z2639" s="771"/>
      <c r="AA2639" s="771"/>
      <c r="AB2639" s="771"/>
      <c r="AC2639" s="771"/>
      <c r="AD2639" s="771"/>
      <c r="AE2639" s="771"/>
      <c r="AF2639" s="771"/>
      <c r="AG2639" s="771"/>
      <c r="AH2639" s="771"/>
      <c r="AI2639" s="771"/>
      <c r="AJ2639" s="771"/>
      <c r="AK2639" s="771"/>
      <c r="AL2639" s="771"/>
      <c r="AM2639" s="771"/>
      <c r="AN2639" s="771"/>
      <c r="AO2639" s="771"/>
      <c r="AP2639" s="771"/>
      <c r="AQ2639" s="771"/>
      <c r="AR2639" s="771"/>
      <c r="AS2639" s="771"/>
      <c r="AT2639" s="771"/>
      <c r="AU2639" s="771"/>
    </row>
    <row r="2640" spans="1:47" s="1418" customFormat="1" outlineLevel="1" x14ac:dyDescent="0.2">
      <c r="A2640" s="8"/>
      <c r="B2640" s="8"/>
      <c r="C2640" s="1989" t="s">
        <v>652</v>
      </c>
      <c r="D2640" s="1989" t="s">
        <v>8117</v>
      </c>
      <c r="E2640" s="1989">
        <v>0.02</v>
      </c>
      <c r="F2640" s="38">
        <f t="shared" si="41"/>
        <v>1.6264248000000001</v>
      </c>
      <c r="G2640" s="1547"/>
      <c r="H2640" s="8"/>
      <c r="I2640" s="8"/>
      <c r="J2640" s="8"/>
      <c r="K2640" s="8"/>
      <c r="L2640" s="8"/>
      <c r="M2640" s="8"/>
      <c r="N2640" s="8"/>
      <c r="O2640" s="8"/>
      <c r="P2640" s="8"/>
      <c r="Q2640" s="8"/>
      <c r="R2640" s="8"/>
      <c r="S2640" s="8"/>
      <c r="T2640" s="8"/>
      <c r="U2640" s="8"/>
      <c r="V2640" s="8"/>
      <c r="W2640" s="8"/>
      <c r="X2640" s="771"/>
      <c r="Y2640" s="771"/>
      <c r="Z2640" s="771"/>
      <c r="AA2640" s="771"/>
      <c r="AB2640" s="771"/>
      <c r="AC2640" s="771"/>
      <c r="AD2640" s="771"/>
      <c r="AE2640" s="771"/>
      <c r="AF2640" s="771"/>
      <c r="AG2640" s="771"/>
      <c r="AH2640" s="771"/>
      <c r="AI2640" s="771"/>
      <c r="AJ2640" s="771"/>
      <c r="AK2640" s="771"/>
      <c r="AL2640" s="771"/>
      <c r="AM2640" s="771"/>
      <c r="AN2640" s="771"/>
      <c r="AO2640" s="771"/>
      <c r="AP2640" s="771"/>
      <c r="AQ2640" s="771"/>
      <c r="AR2640" s="771"/>
      <c r="AS2640" s="771"/>
      <c r="AT2640" s="771"/>
      <c r="AU2640" s="771"/>
    </row>
    <row r="2641" spans="1:47" s="1418" customFormat="1" outlineLevel="1" x14ac:dyDescent="0.2">
      <c r="A2641" s="8"/>
      <c r="B2641" s="8"/>
      <c r="C2641" s="1989" t="s">
        <v>1042</v>
      </c>
      <c r="D2641" s="1989" t="s">
        <v>1043</v>
      </c>
      <c r="E2641" s="1989">
        <v>4.07</v>
      </c>
      <c r="F2641" s="38">
        <f t="shared" si="41"/>
        <v>330.97744680000005</v>
      </c>
      <c r="G2641" s="1547"/>
      <c r="H2641" s="8"/>
      <c r="I2641" s="8"/>
      <c r="J2641" s="8"/>
      <c r="K2641" s="8"/>
      <c r="L2641" s="8"/>
      <c r="M2641" s="8"/>
      <c r="N2641" s="8"/>
      <c r="O2641" s="8"/>
      <c r="P2641" s="8"/>
      <c r="Q2641" s="8"/>
      <c r="R2641" s="8"/>
      <c r="S2641" s="8"/>
      <c r="T2641" s="8"/>
      <c r="U2641" s="8"/>
      <c r="V2641" s="8"/>
      <c r="W2641" s="8"/>
      <c r="X2641" s="771"/>
      <c r="Y2641" s="771"/>
      <c r="Z2641" s="771"/>
      <c r="AA2641" s="771"/>
      <c r="AB2641" s="771"/>
      <c r="AC2641" s="771"/>
      <c r="AD2641" s="771"/>
      <c r="AE2641" s="771"/>
      <c r="AF2641" s="771"/>
      <c r="AG2641" s="771"/>
      <c r="AH2641" s="771"/>
      <c r="AI2641" s="771"/>
      <c r="AJ2641" s="771"/>
      <c r="AK2641" s="771"/>
      <c r="AL2641" s="771"/>
      <c r="AM2641" s="771"/>
      <c r="AN2641" s="771"/>
      <c r="AO2641" s="771"/>
      <c r="AP2641" s="771"/>
      <c r="AQ2641" s="771"/>
      <c r="AR2641" s="771"/>
      <c r="AS2641" s="771"/>
      <c r="AT2641" s="771"/>
      <c r="AU2641" s="771"/>
    </row>
    <row r="2642" spans="1:47" s="1418" customFormat="1" outlineLevel="1" x14ac:dyDescent="0.2">
      <c r="A2642" s="8"/>
      <c r="B2642" s="8"/>
      <c r="C2642" s="1989" t="s">
        <v>852</v>
      </c>
      <c r="D2642" s="1989" t="s">
        <v>6268</v>
      </c>
      <c r="E2642" s="1989">
        <v>0.18</v>
      </c>
      <c r="F2642" s="38">
        <f t="shared" si="41"/>
        <v>14.637823200000001</v>
      </c>
      <c r="G2642" s="1547"/>
      <c r="H2642" s="8"/>
      <c r="I2642" s="8"/>
      <c r="J2642" s="8"/>
      <c r="K2642" s="8"/>
      <c r="L2642" s="8"/>
      <c r="M2642" s="8"/>
      <c r="N2642" s="8"/>
      <c r="O2642" s="8"/>
      <c r="P2642" s="8"/>
      <c r="Q2642" s="8"/>
      <c r="R2642" s="8"/>
      <c r="S2642" s="8"/>
      <c r="T2642" s="8"/>
      <c r="U2642" s="8"/>
      <c r="V2642" s="8"/>
      <c r="W2642" s="8"/>
      <c r="X2642" s="771"/>
      <c r="Y2642" s="771"/>
      <c r="Z2642" s="771"/>
      <c r="AA2642" s="771"/>
      <c r="AB2642" s="771"/>
      <c r="AC2642" s="771"/>
      <c r="AD2642" s="771"/>
      <c r="AE2642" s="771"/>
      <c r="AF2642" s="771"/>
      <c r="AG2642" s="771"/>
      <c r="AH2642" s="771"/>
      <c r="AI2642" s="771"/>
      <c r="AJ2642" s="771"/>
      <c r="AK2642" s="771"/>
      <c r="AL2642" s="771"/>
      <c r="AM2642" s="771"/>
      <c r="AN2642" s="771"/>
      <c r="AO2642" s="771"/>
      <c r="AP2642" s="771"/>
      <c r="AQ2642" s="771"/>
      <c r="AR2642" s="771"/>
      <c r="AS2642" s="771"/>
      <c r="AT2642" s="771"/>
      <c r="AU2642" s="771"/>
    </row>
    <row r="2643" spans="1:47" s="1418" customFormat="1" outlineLevel="1" x14ac:dyDescent="0.2">
      <c r="A2643" s="8"/>
      <c r="B2643" s="8"/>
      <c r="C2643" s="1989" t="s">
        <v>4159</v>
      </c>
      <c r="D2643" s="1989" t="s">
        <v>4160</v>
      </c>
      <c r="E2643" s="1989">
        <v>1.57</v>
      </c>
      <c r="F2643" s="38">
        <f t="shared" si="41"/>
        <v>127.67434680000001</v>
      </c>
      <c r="G2643" s="1547"/>
      <c r="H2643" s="8"/>
      <c r="I2643" s="8"/>
      <c r="J2643" s="8"/>
      <c r="K2643" s="8"/>
      <c r="L2643" s="8"/>
      <c r="M2643" s="8"/>
      <c r="N2643" s="8"/>
      <c r="O2643" s="8"/>
      <c r="P2643" s="8"/>
      <c r="Q2643" s="8"/>
      <c r="R2643" s="8"/>
      <c r="S2643" s="8"/>
      <c r="T2643" s="8"/>
      <c r="U2643" s="8"/>
      <c r="V2643" s="8"/>
      <c r="W2643" s="8"/>
      <c r="X2643" s="771"/>
      <c r="Y2643" s="771"/>
      <c r="Z2643" s="771"/>
      <c r="AA2643" s="771"/>
      <c r="AB2643" s="771"/>
      <c r="AC2643" s="771"/>
      <c r="AD2643" s="771"/>
      <c r="AE2643" s="771"/>
      <c r="AF2643" s="771"/>
      <c r="AG2643" s="771"/>
      <c r="AH2643" s="771"/>
      <c r="AI2643" s="771"/>
      <c r="AJ2643" s="771"/>
      <c r="AK2643" s="771"/>
      <c r="AL2643" s="771"/>
      <c r="AM2643" s="771"/>
      <c r="AN2643" s="771"/>
      <c r="AO2643" s="771"/>
      <c r="AP2643" s="771"/>
      <c r="AQ2643" s="771"/>
      <c r="AR2643" s="771"/>
      <c r="AS2643" s="771"/>
      <c r="AT2643" s="771"/>
      <c r="AU2643" s="771"/>
    </row>
    <row r="2644" spans="1:47" s="1418" customFormat="1" outlineLevel="1" x14ac:dyDescent="0.2">
      <c r="A2644" s="8"/>
      <c r="B2644" s="8"/>
      <c r="C2644" s="1989" t="s">
        <v>843</v>
      </c>
      <c r="D2644" s="1989" t="s">
        <v>6269</v>
      </c>
      <c r="E2644" s="1989">
        <v>1.86</v>
      </c>
      <c r="F2644" s="38">
        <f t="shared" si="41"/>
        <v>151.25750640000001</v>
      </c>
      <c r="G2644" s="1547"/>
      <c r="H2644" s="8"/>
      <c r="I2644" s="8"/>
      <c r="J2644" s="8"/>
      <c r="K2644" s="8"/>
      <c r="L2644" s="8"/>
      <c r="M2644" s="8"/>
      <c r="N2644" s="8"/>
      <c r="O2644" s="8"/>
      <c r="P2644" s="8"/>
      <c r="Q2644" s="8"/>
      <c r="R2644" s="8"/>
      <c r="S2644" s="8"/>
      <c r="T2644" s="8"/>
      <c r="U2644" s="8"/>
      <c r="V2644" s="8"/>
      <c r="W2644" s="8"/>
      <c r="X2644" s="771"/>
      <c r="Y2644" s="771"/>
      <c r="Z2644" s="771"/>
      <c r="AA2644" s="771"/>
      <c r="AB2644" s="771"/>
      <c r="AC2644" s="771"/>
      <c r="AD2644" s="771"/>
      <c r="AE2644" s="771"/>
      <c r="AF2644" s="771"/>
      <c r="AG2644" s="771"/>
      <c r="AH2644" s="771"/>
      <c r="AI2644" s="771"/>
      <c r="AJ2644" s="771"/>
      <c r="AK2644" s="771"/>
      <c r="AL2644" s="771"/>
      <c r="AM2644" s="771"/>
      <c r="AN2644" s="771"/>
      <c r="AO2644" s="771"/>
      <c r="AP2644" s="771"/>
      <c r="AQ2644" s="771"/>
      <c r="AR2644" s="771"/>
      <c r="AS2644" s="771"/>
      <c r="AT2644" s="771"/>
      <c r="AU2644" s="771"/>
    </row>
    <row r="2645" spans="1:47" s="1418" customFormat="1" outlineLevel="1" x14ac:dyDescent="0.2">
      <c r="A2645" s="8"/>
      <c r="B2645" s="8"/>
      <c r="C2645" s="1989" t="s">
        <v>844</v>
      </c>
      <c r="D2645" s="1989" t="s">
        <v>845</v>
      </c>
      <c r="E2645" s="1989">
        <v>1.57</v>
      </c>
      <c r="F2645" s="38">
        <f t="shared" si="41"/>
        <v>127.67434680000001</v>
      </c>
      <c r="G2645" s="1547"/>
      <c r="H2645" s="8"/>
      <c r="I2645" s="8"/>
      <c r="J2645" s="8"/>
      <c r="K2645" s="8"/>
      <c r="L2645" s="8"/>
      <c r="M2645" s="8"/>
      <c r="N2645" s="8"/>
      <c r="O2645" s="8"/>
      <c r="P2645" s="8"/>
      <c r="Q2645" s="8"/>
      <c r="R2645" s="8"/>
      <c r="S2645" s="8"/>
      <c r="T2645" s="8"/>
      <c r="U2645" s="8"/>
      <c r="V2645" s="8"/>
      <c r="W2645" s="8"/>
      <c r="X2645" s="771"/>
      <c r="Y2645" s="771"/>
      <c r="Z2645" s="771"/>
      <c r="AA2645" s="771"/>
      <c r="AB2645" s="771"/>
      <c r="AC2645" s="771"/>
      <c r="AD2645" s="771"/>
      <c r="AE2645" s="771"/>
      <c r="AF2645" s="771"/>
      <c r="AG2645" s="771"/>
      <c r="AH2645" s="771"/>
      <c r="AI2645" s="771"/>
      <c r="AJ2645" s="771"/>
      <c r="AK2645" s="771"/>
      <c r="AL2645" s="771"/>
      <c r="AM2645" s="771"/>
      <c r="AN2645" s="771"/>
      <c r="AO2645" s="771"/>
      <c r="AP2645" s="771"/>
      <c r="AQ2645" s="771"/>
      <c r="AR2645" s="771"/>
      <c r="AS2645" s="771"/>
      <c r="AT2645" s="771"/>
      <c r="AU2645" s="771"/>
    </row>
    <row r="2646" spans="1:47" s="1418" customFormat="1" outlineLevel="1" x14ac:dyDescent="0.2">
      <c r="A2646" s="8"/>
      <c r="B2646" s="8"/>
      <c r="C2646" s="1989" t="s">
        <v>846</v>
      </c>
      <c r="D2646" s="1989" t="s">
        <v>6270</v>
      </c>
      <c r="E2646" s="1989">
        <v>1.57</v>
      </c>
      <c r="F2646" s="38">
        <f t="shared" si="41"/>
        <v>127.67434680000001</v>
      </c>
      <c r="G2646" s="1547"/>
      <c r="H2646" s="8"/>
      <c r="I2646" s="8"/>
      <c r="J2646" s="8"/>
      <c r="K2646" s="8"/>
      <c r="L2646" s="8"/>
      <c r="M2646" s="8"/>
      <c r="N2646" s="8"/>
      <c r="O2646" s="8"/>
      <c r="P2646" s="8"/>
      <c r="Q2646" s="8"/>
      <c r="R2646" s="8"/>
      <c r="S2646" s="8"/>
      <c r="T2646" s="8"/>
      <c r="U2646" s="8"/>
      <c r="V2646" s="8"/>
      <c r="W2646" s="8"/>
      <c r="X2646" s="771"/>
      <c r="Y2646" s="771"/>
      <c r="Z2646" s="771"/>
      <c r="AA2646" s="771"/>
      <c r="AB2646" s="771"/>
      <c r="AC2646" s="771"/>
      <c r="AD2646" s="771"/>
      <c r="AE2646" s="771"/>
      <c r="AF2646" s="771"/>
      <c r="AG2646" s="771"/>
      <c r="AH2646" s="771"/>
      <c r="AI2646" s="771"/>
      <c r="AJ2646" s="771"/>
      <c r="AK2646" s="771"/>
      <c r="AL2646" s="771"/>
      <c r="AM2646" s="771"/>
      <c r="AN2646" s="771"/>
      <c r="AO2646" s="771"/>
      <c r="AP2646" s="771"/>
      <c r="AQ2646" s="771"/>
      <c r="AR2646" s="771"/>
      <c r="AS2646" s="771"/>
      <c r="AT2646" s="771"/>
      <c r="AU2646" s="771"/>
    </row>
    <row r="2647" spans="1:47" s="1418" customFormat="1" outlineLevel="1" x14ac:dyDescent="0.2">
      <c r="A2647" s="8"/>
      <c r="B2647" s="8"/>
      <c r="C2647" s="1989" t="s">
        <v>849</v>
      </c>
      <c r="D2647" s="1989" t="s">
        <v>850</v>
      </c>
      <c r="E2647" s="1989">
        <v>2.37</v>
      </c>
      <c r="F2647" s="38">
        <f t="shared" si="41"/>
        <v>192.7313388</v>
      </c>
      <c r="G2647" s="1547"/>
      <c r="H2647" s="8"/>
      <c r="I2647" s="8"/>
      <c r="J2647" s="8"/>
      <c r="K2647" s="8"/>
      <c r="L2647" s="8"/>
      <c r="M2647" s="8"/>
      <c r="N2647" s="8"/>
      <c r="O2647" s="8"/>
      <c r="P2647" s="8"/>
      <c r="Q2647" s="8"/>
      <c r="R2647" s="8"/>
      <c r="S2647" s="8"/>
      <c r="T2647" s="8"/>
      <c r="U2647" s="8"/>
      <c r="V2647" s="8"/>
      <c r="W2647" s="8"/>
      <c r="X2647" s="771"/>
      <c r="Y2647" s="771"/>
      <c r="Z2647" s="771"/>
      <c r="AA2647" s="771"/>
      <c r="AB2647" s="771"/>
      <c r="AC2647" s="771"/>
      <c r="AD2647" s="771"/>
      <c r="AE2647" s="771"/>
      <c r="AF2647" s="771"/>
      <c r="AG2647" s="771"/>
      <c r="AH2647" s="771"/>
      <c r="AI2647" s="771"/>
      <c r="AJ2647" s="771"/>
      <c r="AK2647" s="771"/>
      <c r="AL2647" s="771"/>
      <c r="AM2647" s="771"/>
      <c r="AN2647" s="771"/>
      <c r="AO2647" s="771"/>
      <c r="AP2647" s="771"/>
      <c r="AQ2647" s="771"/>
      <c r="AR2647" s="771"/>
      <c r="AS2647" s="771"/>
      <c r="AT2647" s="771"/>
      <c r="AU2647" s="771"/>
    </row>
    <row r="2648" spans="1:47" s="1418" customFormat="1" outlineLevel="1" x14ac:dyDescent="0.2">
      <c r="A2648" s="8"/>
      <c r="B2648" s="8"/>
      <c r="C2648" s="1989" t="s">
        <v>2709</v>
      </c>
      <c r="D2648" s="1989" t="s">
        <v>2710</v>
      </c>
      <c r="E2648" s="1989">
        <v>2.5099999999999998</v>
      </c>
      <c r="F2648" s="38">
        <f t="shared" si="41"/>
        <v>204.1163124</v>
      </c>
      <c r="G2648" s="1547"/>
      <c r="H2648" s="8"/>
      <c r="I2648" s="8"/>
      <c r="J2648" s="8"/>
      <c r="K2648" s="8"/>
      <c r="L2648" s="8"/>
      <c r="M2648" s="8"/>
      <c r="N2648" s="8"/>
      <c r="O2648" s="8"/>
      <c r="P2648" s="8"/>
      <c r="Q2648" s="8"/>
      <c r="R2648" s="8"/>
      <c r="S2648" s="8"/>
      <c r="T2648" s="8"/>
      <c r="U2648" s="8"/>
      <c r="V2648" s="8"/>
      <c r="W2648" s="8"/>
      <c r="X2648" s="771"/>
      <c r="Y2648" s="771"/>
      <c r="Z2648" s="771"/>
      <c r="AA2648" s="771"/>
      <c r="AB2648" s="771"/>
      <c r="AC2648" s="771"/>
      <c r="AD2648" s="771"/>
      <c r="AE2648" s="771"/>
      <c r="AF2648" s="771"/>
      <c r="AG2648" s="771"/>
      <c r="AH2648" s="771"/>
      <c r="AI2648" s="771"/>
      <c r="AJ2648" s="771"/>
      <c r="AK2648" s="771"/>
      <c r="AL2648" s="771"/>
      <c r="AM2648" s="771"/>
      <c r="AN2648" s="771"/>
      <c r="AO2648" s="771"/>
      <c r="AP2648" s="771"/>
      <c r="AQ2648" s="771"/>
      <c r="AR2648" s="771"/>
      <c r="AS2648" s="771"/>
      <c r="AT2648" s="771"/>
      <c r="AU2648" s="771"/>
    </row>
    <row r="2649" spans="1:47" s="1418" customFormat="1" outlineLevel="1" x14ac:dyDescent="0.2">
      <c r="A2649" s="8"/>
      <c r="B2649" s="8"/>
      <c r="C2649" s="1989" t="s">
        <v>848</v>
      </c>
      <c r="D2649" s="1989" t="s">
        <v>6271</v>
      </c>
      <c r="E2649" s="1989">
        <v>2.5299999999999998</v>
      </c>
      <c r="F2649" s="38">
        <f t="shared" si="41"/>
        <v>205.74273719999999</v>
      </c>
      <c r="G2649" s="1547"/>
      <c r="H2649" s="8"/>
      <c r="I2649" s="8"/>
      <c r="J2649" s="8"/>
      <c r="K2649" s="8"/>
      <c r="L2649" s="8"/>
      <c r="M2649" s="8"/>
      <c r="N2649" s="8"/>
      <c r="O2649" s="8"/>
      <c r="P2649" s="8"/>
      <c r="Q2649" s="8"/>
      <c r="R2649" s="8"/>
      <c r="S2649" s="8"/>
      <c r="T2649" s="8"/>
      <c r="U2649" s="8"/>
      <c r="V2649" s="8"/>
      <c r="W2649" s="8"/>
      <c r="X2649" s="771"/>
      <c r="Y2649" s="771"/>
      <c r="Z2649" s="771"/>
      <c r="AA2649" s="771"/>
      <c r="AB2649" s="771"/>
      <c r="AC2649" s="771"/>
      <c r="AD2649" s="771"/>
      <c r="AE2649" s="771"/>
      <c r="AF2649" s="771"/>
      <c r="AG2649" s="771"/>
      <c r="AH2649" s="771"/>
      <c r="AI2649" s="771"/>
      <c r="AJ2649" s="771"/>
      <c r="AK2649" s="771"/>
      <c r="AL2649" s="771"/>
      <c r="AM2649" s="771"/>
      <c r="AN2649" s="771"/>
      <c r="AO2649" s="771"/>
      <c r="AP2649" s="771"/>
      <c r="AQ2649" s="771"/>
      <c r="AR2649" s="771"/>
      <c r="AS2649" s="771"/>
      <c r="AT2649" s="771"/>
      <c r="AU2649" s="771"/>
    </row>
    <row r="2650" spans="1:47" s="1418" customFormat="1" outlineLevel="1" x14ac:dyDescent="0.2">
      <c r="A2650" s="8"/>
      <c r="B2650" s="8"/>
      <c r="C2650" s="1989" t="s">
        <v>2711</v>
      </c>
      <c r="D2650" s="1989" t="s">
        <v>8118</v>
      </c>
      <c r="E2650" s="1989">
        <v>3.26</v>
      </c>
      <c r="F2650" s="38">
        <f t="shared" si="41"/>
        <v>265.10724239999996</v>
      </c>
      <c r="G2650" s="1547"/>
      <c r="H2650" s="8"/>
      <c r="I2650" s="8"/>
      <c r="J2650" s="8"/>
      <c r="K2650" s="8"/>
      <c r="L2650" s="8"/>
      <c r="M2650" s="8"/>
      <c r="N2650" s="8"/>
      <c r="O2650" s="8"/>
      <c r="P2650" s="8"/>
      <c r="Q2650" s="8"/>
      <c r="R2650" s="8"/>
      <c r="S2650" s="8"/>
      <c r="T2650" s="8"/>
      <c r="U2650" s="8"/>
      <c r="V2650" s="8"/>
      <c r="W2650" s="8"/>
      <c r="X2650" s="771"/>
      <c r="Y2650" s="771"/>
      <c r="Z2650" s="771"/>
      <c r="AA2650" s="771"/>
      <c r="AB2650" s="771"/>
      <c r="AC2650" s="771"/>
      <c r="AD2650" s="771"/>
      <c r="AE2650" s="771"/>
      <c r="AF2650" s="771"/>
      <c r="AG2650" s="771"/>
      <c r="AH2650" s="771"/>
      <c r="AI2650" s="771"/>
      <c r="AJ2650" s="771"/>
      <c r="AK2650" s="771"/>
      <c r="AL2650" s="771"/>
      <c r="AM2650" s="771"/>
      <c r="AN2650" s="771"/>
      <c r="AO2650" s="771"/>
      <c r="AP2650" s="771"/>
      <c r="AQ2650" s="771"/>
      <c r="AR2650" s="771"/>
      <c r="AS2650" s="771"/>
      <c r="AT2650" s="771"/>
      <c r="AU2650" s="771"/>
    </row>
    <row r="2651" spans="1:47" s="1418" customFormat="1" outlineLevel="1" x14ac:dyDescent="0.2">
      <c r="A2651" s="8"/>
      <c r="B2651" s="8"/>
      <c r="C2651" s="1989" t="s">
        <v>847</v>
      </c>
      <c r="D2651" s="1989" t="s">
        <v>8119</v>
      </c>
      <c r="E2651" s="1989">
        <v>3.26</v>
      </c>
      <c r="F2651" s="38">
        <f t="shared" si="41"/>
        <v>265.10724239999996</v>
      </c>
      <c r="G2651" s="1547"/>
      <c r="H2651" s="8"/>
      <c r="I2651" s="8"/>
      <c r="J2651" s="8"/>
      <c r="K2651" s="8"/>
      <c r="L2651" s="8"/>
      <c r="M2651" s="8"/>
      <c r="N2651" s="8"/>
      <c r="O2651" s="8"/>
      <c r="P2651" s="8"/>
      <c r="Q2651" s="8"/>
      <c r="R2651" s="8"/>
      <c r="S2651" s="8"/>
      <c r="T2651" s="8"/>
      <c r="U2651" s="8"/>
      <c r="V2651" s="8"/>
      <c r="W2651" s="8"/>
      <c r="X2651" s="771"/>
      <c r="Y2651" s="771"/>
      <c r="Z2651" s="771"/>
      <c r="AA2651" s="771"/>
      <c r="AB2651" s="771"/>
      <c r="AC2651" s="771"/>
      <c r="AD2651" s="771"/>
      <c r="AE2651" s="771"/>
      <c r="AF2651" s="771"/>
      <c r="AG2651" s="771"/>
      <c r="AH2651" s="771"/>
      <c r="AI2651" s="771"/>
      <c r="AJ2651" s="771"/>
      <c r="AK2651" s="771"/>
      <c r="AL2651" s="771"/>
      <c r="AM2651" s="771"/>
      <c r="AN2651" s="771"/>
      <c r="AO2651" s="771"/>
      <c r="AP2651" s="771"/>
      <c r="AQ2651" s="771"/>
      <c r="AR2651" s="771"/>
      <c r="AS2651" s="771"/>
      <c r="AT2651" s="771"/>
      <c r="AU2651" s="771"/>
    </row>
    <row r="2652" spans="1:47" s="1418" customFormat="1" outlineLevel="1" x14ac:dyDescent="0.2">
      <c r="A2652" s="8"/>
      <c r="B2652" s="8"/>
      <c r="C2652" s="1989" t="s">
        <v>851</v>
      </c>
      <c r="D2652" s="1989" t="s">
        <v>8120</v>
      </c>
      <c r="E2652" s="1989">
        <v>1.62</v>
      </c>
      <c r="F2652" s="38">
        <f t="shared" si="41"/>
        <v>131.74040880000001</v>
      </c>
      <c r="G2652" s="1547"/>
      <c r="H2652" s="8"/>
      <c r="I2652" s="8"/>
      <c r="J2652" s="8"/>
      <c r="K2652" s="8"/>
      <c r="L2652" s="8"/>
      <c r="M2652" s="8"/>
      <c r="N2652" s="8"/>
      <c r="O2652" s="8"/>
      <c r="P2652" s="8"/>
      <c r="Q2652" s="8"/>
      <c r="R2652" s="8"/>
      <c r="S2652" s="8"/>
      <c r="T2652" s="8"/>
      <c r="U2652" s="8"/>
      <c r="V2652" s="8"/>
      <c r="W2652" s="8"/>
      <c r="X2652" s="771"/>
      <c r="Y2652" s="771"/>
      <c r="Z2652" s="771"/>
      <c r="AA2652" s="771"/>
      <c r="AB2652" s="771"/>
      <c r="AC2652" s="771"/>
      <c r="AD2652" s="771"/>
      <c r="AE2652" s="771"/>
      <c r="AF2652" s="771"/>
      <c r="AG2652" s="771"/>
      <c r="AH2652" s="771"/>
      <c r="AI2652" s="771"/>
      <c r="AJ2652" s="771"/>
      <c r="AK2652" s="771"/>
      <c r="AL2652" s="771"/>
      <c r="AM2652" s="771"/>
      <c r="AN2652" s="771"/>
      <c r="AO2652" s="771"/>
      <c r="AP2652" s="771"/>
      <c r="AQ2652" s="771"/>
      <c r="AR2652" s="771"/>
      <c r="AS2652" s="771"/>
      <c r="AT2652" s="771"/>
      <c r="AU2652" s="771"/>
    </row>
    <row r="2653" spans="1:47" s="1418" customFormat="1" outlineLevel="1" x14ac:dyDescent="0.2">
      <c r="A2653" s="8"/>
      <c r="B2653" s="8"/>
      <c r="C2653" s="1989" t="s">
        <v>841</v>
      </c>
      <c r="D2653" s="1989" t="s">
        <v>8121</v>
      </c>
      <c r="E2653" s="1989">
        <v>2.63</v>
      </c>
      <c r="F2653" s="38">
        <f t="shared" si="41"/>
        <v>213.8748612</v>
      </c>
      <c r="G2653" s="1547"/>
      <c r="H2653" s="8"/>
      <c r="I2653" s="8"/>
      <c r="J2653" s="8"/>
      <c r="K2653" s="8"/>
      <c r="L2653" s="8"/>
      <c r="M2653" s="8"/>
      <c r="N2653" s="8"/>
      <c r="O2653" s="8"/>
      <c r="P2653" s="8"/>
      <c r="Q2653" s="8"/>
      <c r="R2653" s="8"/>
      <c r="S2653" s="8"/>
      <c r="T2653" s="8"/>
      <c r="U2653" s="8"/>
      <c r="V2653" s="8"/>
      <c r="W2653" s="8"/>
      <c r="X2653" s="771"/>
      <c r="Y2653" s="771"/>
      <c r="Z2653" s="771"/>
      <c r="AA2653" s="771"/>
      <c r="AB2653" s="771"/>
      <c r="AC2653" s="771"/>
      <c r="AD2653" s="771"/>
      <c r="AE2653" s="771"/>
      <c r="AF2653" s="771"/>
      <c r="AG2653" s="771"/>
      <c r="AH2653" s="771"/>
      <c r="AI2653" s="771"/>
      <c r="AJ2653" s="771"/>
      <c r="AK2653" s="771"/>
      <c r="AL2653" s="771"/>
      <c r="AM2653" s="771"/>
      <c r="AN2653" s="771"/>
      <c r="AO2653" s="771"/>
      <c r="AP2653" s="771"/>
      <c r="AQ2653" s="771"/>
      <c r="AR2653" s="771"/>
      <c r="AS2653" s="771"/>
      <c r="AT2653" s="771"/>
      <c r="AU2653" s="771"/>
    </row>
    <row r="2654" spans="1:47" s="1418" customFormat="1" outlineLevel="1" x14ac:dyDescent="0.2">
      <c r="A2654" s="8"/>
      <c r="B2654" s="8"/>
      <c r="C2654" s="1989" t="s">
        <v>853</v>
      </c>
      <c r="D2654" s="1989" t="s">
        <v>854</v>
      </c>
      <c r="E2654" s="1989">
        <v>2.63</v>
      </c>
      <c r="F2654" s="38">
        <f t="shared" si="41"/>
        <v>213.8748612</v>
      </c>
      <c r="G2654" s="1547"/>
      <c r="H2654" s="8"/>
      <c r="I2654" s="8"/>
      <c r="J2654" s="8"/>
      <c r="K2654" s="8"/>
      <c r="L2654" s="8"/>
      <c r="M2654" s="8"/>
      <c r="N2654" s="8"/>
      <c r="O2654" s="8"/>
      <c r="P2654" s="8"/>
      <c r="Q2654" s="8"/>
      <c r="R2654" s="8"/>
      <c r="S2654" s="8"/>
      <c r="T2654" s="8"/>
      <c r="U2654" s="8"/>
      <c r="V2654" s="8"/>
      <c r="W2654" s="8"/>
      <c r="X2654" s="771"/>
      <c r="Y2654" s="771"/>
      <c r="Z2654" s="771"/>
      <c r="AA2654" s="771"/>
      <c r="AB2654" s="771"/>
      <c r="AC2654" s="771"/>
      <c r="AD2654" s="771"/>
      <c r="AE2654" s="771"/>
      <c r="AF2654" s="771"/>
      <c r="AG2654" s="771"/>
      <c r="AH2654" s="771"/>
      <c r="AI2654" s="771"/>
      <c r="AJ2654" s="771"/>
      <c r="AK2654" s="771"/>
      <c r="AL2654" s="771"/>
      <c r="AM2654" s="771"/>
      <c r="AN2654" s="771"/>
      <c r="AO2654" s="771"/>
      <c r="AP2654" s="771"/>
      <c r="AQ2654" s="771"/>
      <c r="AR2654" s="771"/>
      <c r="AS2654" s="771"/>
      <c r="AT2654" s="771"/>
      <c r="AU2654" s="771"/>
    </row>
    <row r="2655" spans="1:47" s="1418" customFormat="1" outlineLevel="1" x14ac:dyDescent="0.2">
      <c r="A2655" s="8"/>
      <c r="B2655" s="8"/>
      <c r="C2655" s="1989" t="s">
        <v>2712</v>
      </c>
      <c r="D2655" s="1989" t="s">
        <v>8122</v>
      </c>
      <c r="E2655" s="1989">
        <v>3.82</v>
      </c>
      <c r="F2655" s="38">
        <f t="shared" si="41"/>
        <v>310.6471368</v>
      </c>
      <c r="G2655" s="1547"/>
      <c r="H2655" s="8"/>
      <c r="I2655" s="8"/>
      <c r="J2655" s="8"/>
      <c r="K2655" s="8"/>
      <c r="L2655" s="8"/>
      <c r="M2655" s="8"/>
      <c r="N2655" s="8"/>
      <c r="O2655" s="8"/>
      <c r="P2655" s="8"/>
      <c r="Q2655" s="8"/>
      <c r="R2655" s="8"/>
      <c r="S2655" s="8"/>
      <c r="T2655" s="8"/>
      <c r="U2655" s="8"/>
      <c r="V2655" s="8"/>
      <c r="W2655" s="8"/>
      <c r="X2655" s="771"/>
      <c r="Y2655" s="771"/>
      <c r="Z2655" s="771"/>
      <c r="AA2655" s="771"/>
      <c r="AB2655" s="771"/>
      <c r="AC2655" s="771"/>
      <c r="AD2655" s="771"/>
      <c r="AE2655" s="771"/>
      <c r="AF2655" s="771"/>
      <c r="AG2655" s="771"/>
      <c r="AH2655" s="771"/>
      <c r="AI2655" s="771"/>
      <c r="AJ2655" s="771"/>
      <c r="AK2655" s="771"/>
      <c r="AL2655" s="771"/>
      <c r="AM2655" s="771"/>
      <c r="AN2655" s="771"/>
      <c r="AO2655" s="771"/>
      <c r="AP2655" s="771"/>
      <c r="AQ2655" s="771"/>
      <c r="AR2655" s="771"/>
      <c r="AS2655" s="771"/>
      <c r="AT2655" s="771"/>
      <c r="AU2655" s="771"/>
    </row>
    <row r="2656" spans="1:47" s="1418" customFormat="1" outlineLevel="1" x14ac:dyDescent="0.2">
      <c r="A2656" s="8"/>
      <c r="B2656" s="8"/>
      <c r="C2656" s="1989" t="s">
        <v>842</v>
      </c>
      <c r="D2656" s="1989" t="s">
        <v>6272</v>
      </c>
      <c r="E2656" s="1989">
        <v>3.82</v>
      </c>
      <c r="F2656" s="38">
        <f t="shared" si="41"/>
        <v>310.6471368</v>
      </c>
      <c r="G2656" s="1547"/>
      <c r="H2656" s="8"/>
      <c r="I2656" s="8"/>
      <c r="J2656" s="8"/>
      <c r="K2656" s="8"/>
      <c r="L2656" s="8"/>
      <c r="M2656" s="8"/>
      <c r="N2656" s="8"/>
      <c r="O2656" s="8"/>
      <c r="P2656" s="8"/>
      <c r="Q2656" s="8"/>
      <c r="R2656" s="8"/>
      <c r="S2656" s="8"/>
      <c r="T2656" s="8"/>
      <c r="U2656" s="8"/>
      <c r="V2656" s="8"/>
      <c r="W2656" s="8"/>
      <c r="X2656" s="771"/>
      <c r="Y2656" s="771"/>
      <c r="Z2656" s="771"/>
      <c r="AA2656" s="771"/>
      <c r="AB2656" s="771"/>
      <c r="AC2656" s="771"/>
      <c r="AD2656" s="771"/>
      <c r="AE2656" s="771"/>
      <c r="AF2656" s="771"/>
      <c r="AG2656" s="771"/>
      <c r="AH2656" s="771"/>
      <c r="AI2656" s="771"/>
      <c r="AJ2656" s="771"/>
      <c r="AK2656" s="771"/>
      <c r="AL2656" s="771"/>
      <c r="AM2656" s="771"/>
      <c r="AN2656" s="771"/>
      <c r="AO2656" s="771"/>
      <c r="AP2656" s="771"/>
      <c r="AQ2656" s="771"/>
      <c r="AR2656" s="771"/>
      <c r="AS2656" s="771"/>
      <c r="AT2656" s="771"/>
      <c r="AU2656" s="771"/>
    </row>
    <row r="2657" spans="1:47" s="1418" customFormat="1" outlineLevel="1" x14ac:dyDescent="0.2">
      <c r="A2657" s="8"/>
      <c r="B2657" s="8"/>
      <c r="C2657" s="1989" t="s">
        <v>855</v>
      </c>
      <c r="D2657" s="1989" t="s">
        <v>856</v>
      </c>
      <c r="E2657" s="1989">
        <v>4.21</v>
      </c>
      <c r="F2657" s="38">
        <f t="shared" si="41"/>
        <v>342.36242040000002</v>
      </c>
      <c r="G2657" s="1547"/>
      <c r="H2657" s="8"/>
      <c r="I2657" s="8"/>
      <c r="J2657" s="8"/>
      <c r="K2657" s="8"/>
      <c r="L2657" s="8"/>
      <c r="M2657" s="8"/>
      <c r="N2657" s="8"/>
      <c r="O2657" s="8"/>
      <c r="P2657" s="8"/>
      <c r="Q2657" s="8"/>
      <c r="R2657" s="8"/>
      <c r="S2657" s="8"/>
      <c r="T2657" s="8"/>
      <c r="U2657" s="8"/>
      <c r="V2657" s="8"/>
      <c r="W2657" s="8"/>
      <c r="X2657" s="771"/>
      <c r="Y2657" s="771"/>
      <c r="Z2657" s="771"/>
      <c r="AA2657" s="771"/>
      <c r="AB2657" s="771"/>
      <c r="AC2657" s="771"/>
      <c r="AD2657" s="771"/>
      <c r="AE2657" s="771"/>
      <c r="AF2657" s="771"/>
      <c r="AG2657" s="771"/>
      <c r="AH2657" s="771"/>
      <c r="AI2657" s="771"/>
      <c r="AJ2657" s="771"/>
      <c r="AK2657" s="771"/>
      <c r="AL2657" s="771"/>
      <c r="AM2657" s="771"/>
      <c r="AN2657" s="771"/>
      <c r="AO2657" s="771"/>
      <c r="AP2657" s="771"/>
      <c r="AQ2657" s="771"/>
      <c r="AR2657" s="771"/>
      <c r="AS2657" s="771"/>
      <c r="AT2657" s="771"/>
      <c r="AU2657" s="771"/>
    </row>
    <row r="2658" spans="1:47" s="1418" customFormat="1" outlineLevel="1" x14ac:dyDescent="0.2">
      <c r="A2658" s="8"/>
      <c r="B2658" s="8"/>
      <c r="C2658" s="1989" t="s">
        <v>647</v>
      </c>
      <c r="D2658" s="1989" t="s">
        <v>8123</v>
      </c>
      <c r="E2658" s="1989">
        <v>0.41</v>
      </c>
      <c r="F2658" s="38">
        <f t="shared" si="41"/>
        <v>33.341708400000002</v>
      </c>
      <c r="G2658" s="1547"/>
      <c r="H2658" s="8"/>
      <c r="I2658" s="8"/>
      <c r="J2658" s="8"/>
      <c r="K2658" s="8"/>
      <c r="L2658" s="8"/>
      <c r="M2658" s="8"/>
      <c r="N2658" s="8"/>
      <c r="O2658" s="8"/>
      <c r="P2658" s="8"/>
      <c r="Q2658" s="8"/>
      <c r="R2658" s="8"/>
      <c r="S2658" s="8"/>
      <c r="T2658" s="8"/>
      <c r="U2658" s="8"/>
      <c r="V2658" s="8"/>
      <c r="W2658" s="8"/>
      <c r="X2658" s="771"/>
      <c r="Y2658" s="771"/>
      <c r="Z2658" s="771"/>
      <c r="AA2658" s="771"/>
      <c r="AB2658" s="771"/>
      <c r="AC2658" s="771"/>
      <c r="AD2658" s="771"/>
      <c r="AE2658" s="771"/>
      <c r="AF2658" s="771"/>
      <c r="AG2658" s="771"/>
      <c r="AH2658" s="771"/>
      <c r="AI2658" s="771"/>
      <c r="AJ2658" s="771"/>
      <c r="AK2658" s="771"/>
      <c r="AL2658" s="771"/>
      <c r="AM2658" s="771"/>
      <c r="AN2658" s="771"/>
      <c r="AO2658" s="771"/>
      <c r="AP2658" s="771"/>
      <c r="AQ2658" s="771"/>
      <c r="AR2658" s="771"/>
      <c r="AS2658" s="771"/>
      <c r="AT2658" s="771"/>
      <c r="AU2658" s="771"/>
    </row>
    <row r="2659" spans="1:47" s="1418" customFormat="1" outlineLevel="1" x14ac:dyDescent="0.2">
      <c r="A2659" s="8"/>
      <c r="B2659" s="8"/>
      <c r="C2659" s="1989" t="s">
        <v>377</v>
      </c>
      <c r="D2659" s="1989" t="s">
        <v>6273</v>
      </c>
      <c r="E2659" s="1989">
        <v>1.64</v>
      </c>
      <c r="F2659" s="38">
        <f t="shared" si="41"/>
        <v>133.36683360000001</v>
      </c>
      <c r="G2659" s="1547"/>
      <c r="H2659" s="8"/>
      <c r="I2659" s="8"/>
      <c r="J2659" s="8"/>
      <c r="K2659" s="8"/>
      <c r="L2659" s="8"/>
      <c r="M2659" s="8"/>
      <c r="N2659" s="8"/>
      <c r="O2659" s="8"/>
      <c r="P2659" s="8"/>
      <c r="Q2659" s="8"/>
      <c r="R2659" s="8"/>
      <c r="S2659" s="8"/>
      <c r="T2659" s="8"/>
      <c r="U2659" s="8"/>
      <c r="V2659" s="8"/>
      <c r="W2659" s="8"/>
      <c r="X2659" s="771"/>
      <c r="Y2659" s="771"/>
      <c r="Z2659" s="771"/>
      <c r="AA2659" s="771"/>
      <c r="AB2659" s="771"/>
      <c r="AC2659" s="771"/>
      <c r="AD2659" s="771"/>
      <c r="AE2659" s="771"/>
      <c r="AF2659" s="771"/>
      <c r="AG2659" s="771"/>
      <c r="AH2659" s="771"/>
      <c r="AI2659" s="771"/>
      <c r="AJ2659" s="771"/>
      <c r="AK2659" s="771"/>
      <c r="AL2659" s="771"/>
      <c r="AM2659" s="771"/>
      <c r="AN2659" s="771"/>
      <c r="AO2659" s="771"/>
      <c r="AP2659" s="771"/>
      <c r="AQ2659" s="771"/>
      <c r="AR2659" s="771"/>
      <c r="AS2659" s="771"/>
      <c r="AT2659" s="771"/>
      <c r="AU2659" s="771"/>
    </row>
    <row r="2660" spans="1:47" s="1418" customFormat="1" outlineLevel="1" x14ac:dyDescent="0.2">
      <c r="A2660" s="8"/>
      <c r="B2660" s="8"/>
      <c r="C2660" s="1989" t="s">
        <v>2732</v>
      </c>
      <c r="D2660" s="1989" t="s">
        <v>6274</v>
      </c>
      <c r="E2660" s="1989">
        <v>0</v>
      </c>
      <c r="F2660" s="38">
        <f t="shared" si="41"/>
        <v>0</v>
      </c>
      <c r="G2660" s="1547"/>
      <c r="H2660" s="8"/>
      <c r="I2660" s="8"/>
      <c r="J2660" s="8"/>
      <c r="K2660" s="8"/>
      <c r="L2660" s="8"/>
      <c r="M2660" s="8"/>
      <c r="N2660" s="8"/>
      <c r="O2660" s="8"/>
      <c r="P2660" s="8"/>
      <c r="Q2660" s="8"/>
      <c r="R2660" s="8"/>
      <c r="S2660" s="8"/>
      <c r="T2660" s="8"/>
      <c r="U2660" s="8"/>
      <c r="V2660" s="8"/>
      <c r="W2660" s="8"/>
      <c r="X2660" s="771"/>
      <c r="Y2660" s="771"/>
      <c r="Z2660" s="771"/>
      <c r="AA2660" s="771"/>
      <c r="AB2660" s="771"/>
      <c r="AC2660" s="771"/>
      <c r="AD2660" s="771"/>
      <c r="AE2660" s="771"/>
      <c r="AF2660" s="771"/>
      <c r="AG2660" s="771"/>
      <c r="AH2660" s="771"/>
      <c r="AI2660" s="771"/>
      <c r="AJ2660" s="771"/>
      <c r="AK2660" s="771"/>
      <c r="AL2660" s="771"/>
      <c r="AM2660" s="771"/>
      <c r="AN2660" s="771"/>
      <c r="AO2660" s="771"/>
      <c r="AP2660" s="771"/>
      <c r="AQ2660" s="771"/>
      <c r="AR2660" s="771"/>
      <c r="AS2660" s="771"/>
      <c r="AT2660" s="771"/>
      <c r="AU2660" s="771"/>
    </row>
    <row r="2661" spans="1:47" s="1418" customFormat="1" outlineLevel="1" x14ac:dyDescent="0.2">
      <c r="A2661" s="8"/>
      <c r="B2661" s="8"/>
      <c r="C2661" s="1989" t="s">
        <v>375</v>
      </c>
      <c r="D2661" s="1989" t="s">
        <v>8124</v>
      </c>
      <c r="E2661" s="1989">
        <v>3.3</v>
      </c>
      <c r="F2661" s="38">
        <f t="shared" si="41"/>
        <v>268.36009200000001</v>
      </c>
      <c r="G2661" s="1547"/>
      <c r="H2661" s="8"/>
      <c r="I2661" s="8"/>
      <c r="J2661" s="8"/>
      <c r="K2661" s="8"/>
      <c r="L2661" s="8"/>
      <c r="M2661" s="8"/>
      <c r="N2661" s="8"/>
      <c r="O2661" s="8"/>
      <c r="P2661" s="8"/>
      <c r="Q2661" s="8"/>
      <c r="R2661" s="8"/>
      <c r="S2661" s="8"/>
      <c r="T2661" s="8"/>
      <c r="U2661" s="8"/>
      <c r="V2661" s="8"/>
      <c r="W2661" s="8"/>
      <c r="X2661" s="771"/>
      <c r="Y2661" s="771"/>
      <c r="Z2661" s="771"/>
      <c r="AA2661" s="771"/>
      <c r="AB2661" s="771"/>
      <c r="AC2661" s="771"/>
      <c r="AD2661" s="771"/>
      <c r="AE2661" s="771"/>
      <c r="AF2661" s="771"/>
      <c r="AG2661" s="771"/>
      <c r="AH2661" s="771"/>
      <c r="AI2661" s="771"/>
      <c r="AJ2661" s="771"/>
      <c r="AK2661" s="771"/>
      <c r="AL2661" s="771"/>
      <c r="AM2661" s="771"/>
      <c r="AN2661" s="771"/>
      <c r="AO2661" s="771"/>
      <c r="AP2661" s="771"/>
      <c r="AQ2661" s="771"/>
      <c r="AR2661" s="771"/>
      <c r="AS2661" s="771"/>
      <c r="AT2661" s="771"/>
      <c r="AU2661" s="771"/>
    </row>
    <row r="2662" spans="1:47" s="1418" customFormat="1" outlineLevel="1" x14ac:dyDescent="0.2">
      <c r="A2662" s="8"/>
      <c r="B2662" s="8"/>
      <c r="C2662" s="1989" t="s">
        <v>1846</v>
      </c>
      <c r="D2662" s="1989" t="s">
        <v>1847</v>
      </c>
      <c r="E2662" s="1989">
        <v>3</v>
      </c>
      <c r="F2662" s="38">
        <f t="shared" si="41"/>
        <v>243.96372</v>
      </c>
      <c r="G2662" s="1547"/>
      <c r="H2662" s="8"/>
      <c r="I2662" s="8"/>
      <c r="J2662" s="8"/>
      <c r="K2662" s="8"/>
      <c r="L2662" s="8"/>
      <c r="M2662" s="8"/>
      <c r="N2662" s="8"/>
      <c r="O2662" s="8"/>
      <c r="P2662" s="8"/>
      <c r="Q2662" s="8"/>
      <c r="R2662" s="8"/>
      <c r="S2662" s="8"/>
      <c r="T2662" s="8"/>
      <c r="U2662" s="8"/>
      <c r="V2662" s="8"/>
      <c r="W2662" s="8"/>
      <c r="X2662" s="771"/>
      <c r="Y2662" s="771"/>
      <c r="Z2662" s="771"/>
      <c r="AA2662" s="771"/>
      <c r="AB2662" s="771"/>
      <c r="AC2662" s="771"/>
      <c r="AD2662" s="771"/>
      <c r="AE2662" s="771"/>
      <c r="AF2662" s="771"/>
      <c r="AG2662" s="771"/>
      <c r="AH2662" s="771"/>
      <c r="AI2662" s="771"/>
      <c r="AJ2662" s="771"/>
      <c r="AK2662" s="771"/>
      <c r="AL2662" s="771"/>
      <c r="AM2662" s="771"/>
      <c r="AN2662" s="771"/>
      <c r="AO2662" s="771"/>
      <c r="AP2662" s="771"/>
      <c r="AQ2662" s="771"/>
      <c r="AR2662" s="771"/>
      <c r="AS2662" s="771"/>
      <c r="AT2662" s="771"/>
      <c r="AU2662" s="771"/>
    </row>
    <row r="2663" spans="1:47" s="1418" customFormat="1" outlineLevel="1" x14ac:dyDescent="0.2">
      <c r="A2663" s="8"/>
      <c r="B2663" s="8"/>
      <c r="C2663" s="1989" t="s">
        <v>1704</v>
      </c>
      <c r="D2663" s="1989" t="s">
        <v>1683</v>
      </c>
      <c r="E2663" s="1989">
        <v>1.35</v>
      </c>
      <c r="F2663" s="38">
        <f t="shared" si="41"/>
        <v>109.78367400000002</v>
      </c>
      <c r="G2663" s="1547"/>
      <c r="H2663" s="8"/>
      <c r="I2663" s="8"/>
      <c r="J2663" s="8"/>
      <c r="K2663" s="8"/>
      <c r="L2663" s="8"/>
      <c r="M2663" s="8"/>
      <c r="N2663" s="8"/>
      <c r="O2663" s="8"/>
      <c r="P2663" s="8"/>
      <c r="Q2663" s="8"/>
      <c r="R2663" s="8"/>
      <c r="S2663" s="8"/>
      <c r="T2663" s="8"/>
      <c r="U2663" s="8"/>
      <c r="V2663" s="8"/>
      <c r="W2663" s="8"/>
      <c r="X2663" s="771"/>
      <c r="Y2663" s="771"/>
      <c r="Z2663" s="771"/>
      <c r="AA2663" s="771"/>
      <c r="AB2663" s="771"/>
      <c r="AC2663" s="771"/>
      <c r="AD2663" s="771"/>
      <c r="AE2663" s="771"/>
      <c r="AF2663" s="771"/>
      <c r="AG2663" s="771"/>
      <c r="AH2663" s="771"/>
      <c r="AI2663" s="771"/>
      <c r="AJ2663" s="771"/>
      <c r="AK2663" s="771"/>
      <c r="AL2663" s="771"/>
      <c r="AM2663" s="771"/>
      <c r="AN2663" s="771"/>
      <c r="AO2663" s="771"/>
      <c r="AP2663" s="771"/>
      <c r="AQ2663" s="771"/>
      <c r="AR2663" s="771"/>
      <c r="AS2663" s="771"/>
      <c r="AT2663" s="771"/>
      <c r="AU2663" s="771"/>
    </row>
    <row r="2664" spans="1:47" s="1418" customFormat="1" outlineLevel="1" x14ac:dyDescent="0.2">
      <c r="A2664" s="8"/>
      <c r="B2664" s="8"/>
      <c r="C2664" s="1989" t="s">
        <v>1684</v>
      </c>
      <c r="D2664" s="1989" t="s">
        <v>1685</v>
      </c>
      <c r="E2664" s="1989">
        <v>1.51</v>
      </c>
      <c r="F2664" s="38">
        <f t="shared" si="41"/>
        <v>122.7950724</v>
      </c>
      <c r="G2664" s="1547"/>
      <c r="H2664" s="8"/>
      <c r="I2664" s="8"/>
      <c r="J2664" s="8"/>
      <c r="K2664" s="8"/>
      <c r="L2664" s="8"/>
      <c r="M2664" s="8"/>
      <c r="N2664" s="8"/>
      <c r="O2664" s="8"/>
      <c r="P2664" s="8"/>
      <c r="Q2664" s="8"/>
      <c r="R2664" s="8"/>
      <c r="S2664" s="8"/>
      <c r="T2664" s="8"/>
      <c r="U2664" s="8"/>
      <c r="V2664" s="8"/>
      <c r="W2664" s="8"/>
      <c r="X2664" s="771"/>
      <c r="Y2664" s="771"/>
      <c r="Z2664" s="771"/>
      <c r="AA2664" s="771"/>
      <c r="AB2664" s="771"/>
      <c r="AC2664" s="771"/>
      <c r="AD2664" s="771"/>
      <c r="AE2664" s="771"/>
      <c r="AF2664" s="771"/>
      <c r="AG2664" s="771"/>
      <c r="AH2664" s="771"/>
      <c r="AI2664" s="771"/>
      <c r="AJ2664" s="771"/>
      <c r="AK2664" s="771"/>
      <c r="AL2664" s="771"/>
      <c r="AM2664" s="771"/>
      <c r="AN2664" s="771"/>
      <c r="AO2664" s="771"/>
      <c r="AP2664" s="771"/>
      <c r="AQ2664" s="771"/>
      <c r="AR2664" s="771"/>
      <c r="AS2664" s="771"/>
      <c r="AT2664" s="771"/>
      <c r="AU2664" s="771"/>
    </row>
    <row r="2665" spans="1:47" s="1418" customFormat="1" outlineLevel="1" x14ac:dyDescent="0.2">
      <c r="A2665" s="8"/>
      <c r="B2665" s="8"/>
      <c r="C2665" s="1989" t="s">
        <v>2733</v>
      </c>
      <c r="D2665" s="1989" t="s">
        <v>2734</v>
      </c>
      <c r="E2665" s="1989">
        <v>3.67</v>
      </c>
      <c r="F2665" s="38">
        <f t="shared" si="41"/>
        <v>298.44895080000003</v>
      </c>
      <c r="G2665" s="1547"/>
      <c r="H2665" s="8"/>
      <c r="I2665" s="8"/>
      <c r="J2665" s="8"/>
      <c r="K2665" s="8"/>
      <c r="L2665" s="8"/>
      <c r="M2665" s="8"/>
      <c r="N2665" s="8"/>
      <c r="O2665" s="8"/>
      <c r="P2665" s="8"/>
      <c r="Q2665" s="8"/>
      <c r="R2665" s="8"/>
      <c r="S2665" s="8"/>
      <c r="T2665" s="8"/>
      <c r="U2665" s="8"/>
      <c r="V2665" s="8"/>
      <c r="W2665" s="8"/>
      <c r="X2665" s="771"/>
      <c r="Y2665" s="771"/>
      <c r="Z2665" s="771"/>
      <c r="AA2665" s="771"/>
      <c r="AB2665" s="771"/>
      <c r="AC2665" s="771"/>
      <c r="AD2665" s="771"/>
      <c r="AE2665" s="771"/>
      <c r="AF2665" s="771"/>
      <c r="AG2665" s="771"/>
      <c r="AH2665" s="771"/>
      <c r="AI2665" s="771"/>
      <c r="AJ2665" s="771"/>
      <c r="AK2665" s="771"/>
      <c r="AL2665" s="771"/>
      <c r="AM2665" s="771"/>
      <c r="AN2665" s="771"/>
      <c r="AO2665" s="771"/>
      <c r="AP2665" s="771"/>
      <c r="AQ2665" s="771"/>
      <c r="AR2665" s="771"/>
      <c r="AS2665" s="771"/>
      <c r="AT2665" s="771"/>
      <c r="AU2665" s="771"/>
    </row>
    <row r="2666" spans="1:47" s="1418" customFormat="1" outlineLevel="1" x14ac:dyDescent="0.2">
      <c r="A2666" s="8"/>
      <c r="B2666" s="8"/>
      <c r="C2666" s="1989" t="s">
        <v>376</v>
      </c>
      <c r="D2666" s="1989" t="s">
        <v>8125</v>
      </c>
      <c r="E2666" s="1989">
        <v>3.3</v>
      </c>
      <c r="F2666" s="38">
        <f t="shared" si="41"/>
        <v>268.36009200000001</v>
      </c>
      <c r="G2666" s="1547"/>
      <c r="H2666" s="8"/>
      <c r="I2666" s="8"/>
      <c r="J2666" s="8"/>
      <c r="K2666" s="8"/>
      <c r="L2666" s="8"/>
      <c r="M2666" s="8"/>
      <c r="N2666" s="8"/>
      <c r="O2666" s="8"/>
      <c r="P2666" s="8"/>
      <c r="Q2666" s="8"/>
      <c r="R2666" s="8"/>
      <c r="S2666" s="8"/>
      <c r="T2666" s="8"/>
      <c r="U2666" s="8"/>
      <c r="V2666" s="8"/>
      <c r="W2666" s="8"/>
      <c r="X2666" s="771"/>
      <c r="Y2666" s="771"/>
      <c r="Z2666" s="771"/>
      <c r="AA2666" s="771"/>
      <c r="AB2666" s="771"/>
      <c r="AC2666" s="771"/>
      <c r="AD2666" s="771"/>
      <c r="AE2666" s="771"/>
      <c r="AF2666" s="771"/>
      <c r="AG2666" s="771"/>
      <c r="AH2666" s="771"/>
      <c r="AI2666" s="771"/>
      <c r="AJ2666" s="771"/>
      <c r="AK2666" s="771"/>
      <c r="AL2666" s="771"/>
      <c r="AM2666" s="771"/>
      <c r="AN2666" s="771"/>
      <c r="AO2666" s="771"/>
      <c r="AP2666" s="771"/>
      <c r="AQ2666" s="771"/>
      <c r="AR2666" s="771"/>
      <c r="AS2666" s="771"/>
      <c r="AT2666" s="771"/>
      <c r="AU2666" s="771"/>
    </row>
    <row r="2667" spans="1:47" s="1418" customFormat="1" outlineLevel="1" x14ac:dyDescent="0.2">
      <c r="A2667" s="8"/>
      <c r="B2667" s="8"/>
      <c r="C2667" s="1989" t="s">
        <v>378</v>
      </c>
      <c r="D2667" s="1989" t="s">
        <v>6275</v>
      </c>
      <c r="E2667" s="1989">
        <v>2.71</v>
      </c>
      <c r="F2667" s="38">
        <f t="shared" si="41"/>
        <v>220.38056040000001</v>
      </c>
      <c r="G2667" s="1547"/>
      <c r="H2667" s="8"/>
      <c r="I2667" s="8"/>
      <c r="J2667" s="8"/>
      <c r="K2667" s="8"/>
      <c r="L2667" s="8"/>
      <c r="M2667" s="8"/>
      <c r="N2667" s="8"/>
      <c r="O2667" s="8"/>
      <c r="P2667" s="8"/>
      <c r="Q2667" s="8"/>
      <c r="R2667" s="8"/>
      <c r="S2667" s="8"/>
      <c r="T2667" s="8"/>
      <c r="U2667" s="8"/>
      <c r="V2667" s="8"/>
      <c r="W2667" s="8"/>
      <c r="X2667" s="771"/>
      <c r="Y2667" s="771"/>
      <c r="Z2667" s="771"/>
      <c r="AA2667" s="771"/>
      <c r="AB2667" s="771"/>
      <c r="AC2667" s="771"/>
      <c r="AD2667" s="771"/>
      <c r="AE2667" s="771"/>
      <c r="AF2667" s="771"/>
      <c r="AG2667" s="771"/>
      <c r="AH2667" s="771"/>
      <c r="AI2667" s="771"/>
      <c r="AJ2667" s="771"/>
      <c r="AK2667" s="771"/>
      <c r="AL2667" s="771"/>
      <c r="AM2667" s="771"/>
      <c r="AN2667" s="771"/>
      <c r="AO2667" s="771"/>
      <c r="AP2667" s="771"/>
      <c r="AQ2667" s="771"/>
      <c r="AR2667" s="771"/>
      <c r="AS2667" s="771"/>
      <c r="AT2667" s="771"/>
      <c r="AU2667" s="771"/>
    </row>
    <row r="2668" spans="1:47" s="1418" customFormat="1" outlineLevel="1" x14ac:dyDescent="0.2">
      <c r="A2668" s="8"/>
      <c r="B2668" s="8"/>
      <c r="C2668" s="1989" t="s">
        <v>859</v>
      </c>
      <c r="D2668" s="1989" t="s">
        <v>6276</v>
      </c>
      <c r="E2668" s="1989">
        <v>5.35</v>
      </c>
      <c r="F2668" s="38">
        <f t="shared" si="41"/>
        <v>435.06863399999997</v>
      </c>
      <c r="G2668" s="1547"/>
      <c r="H2668" s="8"/>
      <c r="I2668" s="8"/>
      <c r="J2668" s="8"/>
      <c r="K2668" s="8"/>
      <c r="L2668" s="8"/>
      <c r="M2668" s="8"/>
      <c r="N2668" s="8"/>
      <c r="O2668" s="8"/>
      <c r="P2668" s="8"/>
      <c r="Q2668" s="8"/>
      <c r="R2668" s="8"/>
      <c r="S2668" s="8"/>
      <c r="T2668" s="8"/>
      <c r="U2668" s="8"/>
      <c r="V2668" s="8"/>
      <c r="W2668" s="8"/>
      <c r="X2668" s="771"/>
      <c r="Y2668" s="771"/>
      <c r="Z2668" s="771"/>
      <c r="AA2668" s="771"/>
      <c r="AB2668" s="771"/>
      <c r="AC2668" s="771"/>
      <c r="AD2668" s="771"/>
      <c r="AE2668" s="771"/>
      <c r="AF2668" s="771"/>
      <c r="AG2668" s="771"/>
      <c r="AH2668" s="771"/>
      <c r="AI2668" s="771"/>
      <c r="AJ2668" s="771"/>
      <c r="AK2668" s="771"/>
      <c r="AL2668" s="771"/>
      <c r="AM2668" s="771"/>
      <c r="AN2668" s="771"/>
      <c r="AO2668" s="771"/>
      <c r="AP2668" s="771"/>
      <c r="AQ2668" s="771"/>
      <c r="AR2668" s="771"/>
      <c r="AS2668" s="771"/>
      <c r="AT2668" s="771"/>
      <c r="AU2668" s="771"/>
    </row>
    <row r="2669" spans="1:47" s="1418" customFormat="1" outlineLevel="1" x14ac:dyDescent="0.2">
      <c r="A2669" s="8"/>
      <c r="B2669" s="8"/>
      <c r="C2669" s="1989" t="s">
        <v>1147</v>
      </c>
      <c r="D2669" s="1989" t="s">
        <v>6277</v>
      </c>
      <c r="E2669" s="1989">
        <v>4.26</v>
      </c>
      <c r="F2669" s="38">
        <f t="shared" si="41"/>
        <v>346.42848239999995</v>
      </c>
      <c r="G2669" s="1547"/>
      <c r="H2669" s="8"/>
      <c r="I2669" s="8"/>
      <c r="J2669" s="8"/>
      <c r="K2669" s="8"/>
      <c r="L2669" s="8"/>
      <c r="M2669" s="8"/>
      <c r="N2669" s="8"/>
      <c r="O2669" s="8"/>
      <c r="P2669" s="8"/>
      <c r="Q2669" s="8"/>
      <c r="R2669" s="8"/>
      <c r="S2669" s="8"/>
      <c r="T2669" s="8"/>
      <c r="U2669" s="8"/>
      <c r="V2669" s="8"/>
      <c r="W2669" s="8"/>
      <c r="X2669" s="771"/>
      <c r="Y2669" s="771"/>
      <c r="Z2669" s="771"/>
      <c r="AA2669" s="771"/>
      <c r="AB2669" s="771"/>
      <c r="AC2669" s="771"/>
      <c r="AD2669" s="771"/>
      <c r="AE2669" s="771"/>
      <c r="AF2669" s="771"/>
      <c r="AG2669" s="771"/>
      <c r="AH2669" s="771"/>
      <c r="AI2669" s="771"/>
      <c r="AJ2669" s="771"/>
      <c r="AK2669" s="771"/>
      <c r="AL2669" s="771"/>
      <c r="AM2669" s="771"/>
      <c r="AN2669" s="771"/>
      <c r="AO2669" s="771"/>
      <c r="AP2669" s="771"/>
      <c r="AQ2669" s="771"/>
      <c r="AR2669" s="771"/>
      <c r="AS2669" s="771"/>
      <c r="AT2669" s="771"/>
      <c r="AU2669" s="771"/>
    </row>
    <row r="2670" spans="1:47" s="1418" customFormat="1" outlineLevel="1" x14ac:dyDescent="0.2">
      <c r="A2670" s="8"/>
      <c r="B2670" s="8"/>
      <c r="C2670" s="1989" t="s">
        <v>241</v>
      </c>
      <c r="D2670" s="1989" t="s">
        <v>8126</v>
      </c>
      <c r="E2670" s="1989">
        <v>0.87</v>
      </c>
      <c r="F2670" s="38">
        <f t="shared" si="41"/>
        <v>70.749478800000006</v>
      </c>
      <c r="G2670" s="1547"/>
      <c r="H2670" s="8"/>
      <c r="I2670" s="8"/>
      <c r="J2670" s="8"/>
      <c r="K2670" s="8"/>
      <c r="L2670" s="8"/>
      <c r="M2670" s="8"/>
      <c r="N2670" s="8"/>
      <c r="O2670" s="8"/>
      <c r="P2670" s="8"/>
      <c r="Q2670" s="8"/>
      <c r="R2670" s="8"/>
      <c r="S2670" s="8"/>
      <c r="T2670" s="8"/>
      <c r="U2670" s="8"/>
      <c r="V2670" s="8"/>
      <c r="W2670" s="8"/>
      <c r="X2670" s="771"/>
      <c r="Y2670" s="771"/>
      <c r="Z2670" s="771"/>
      <c r="AA2670" s="771"/>
      <c r="AB2670" s="771"/>
      <c r="AC2670" s="771"/>
      <c r="AD2670" s="771"/>
      <c r="AE2670" s="771"/>
      <c r="AF2670" s="771"/>
      <c r="AG2670" s="771"/>
      <c r="AH2670" s="771"/>
      <c r="AI2670" s="771"/>
      <c r="AJ2670" s="771"/>
      <c r="AK2670" s="771"/>
      <c r="AL2670" s="771"/>
      <c r="AM2670" s="771"/>
      <c r="AN2670" s="771"/>
      <c r="AO2670" s="771"/>
      <c r="AP2670" s="771"/>
      <c r="AQ2670" s="771"/>
      <c r="AR2670" s="771"/>
      <c r="AS2670" s="771"/>
      <c r="AT2670" s="771"/>
      <c r="AU2670" s="771"/>
    </row>
    <row r="2671" spans="1:47" s="1418" customFormat="1" outlineLevel="1" x14ac:dyDescent="0.2">
      <c r="A2671" s="8"/>
      <c r="B2671" s="8"/>
      <c r="C2671" s="1989" t="s">
        <v>1940</v>
      </c>
      <c r="D2671" s="1989" t="s">
        <v>8127</v>
      </c>
      <c r="E2671" s="1989">
        <v>0.94</v>
      </c>
      <c r="F2671" s="38">
        <f t="shared" si="41"/>
        <v>76.441965600000003</v>
      </c>
      <c r="G2671" s="1547"/>
      <c r="H2671" s="8"/>
      <c r="I2671" s="8"/>
      <c r="J2671" s="8"/>
      <c r="K2671" s="8"/>
      <c r="L2671" s="8"/>
      <c r="M2671" s="8"/>
      <c r="N2671" s="8"/>
      <c r="O2671" s="8"/>
      <c r="P2671" s="8"/>
      <c r="Q2671" s="8"/>
      <c r="R2671" s="8"/>
      <c r="S2671" s="8"/>
      <c r="T2671" s="8"/>
      <c r="U2671" s="8"/>
      <c r="V2671" s="8"/>
      <c r="W2671" s="8"/>
      <c r="X2671" s="771"/>
      <c r="Y2671" s="771"/>
      <c r="Z2671" s="771"/>
      <c r="AA2671" s="771"/>
      <c r="AB2671" s="771"/>
      <c r="AC2671" s="771"/>
      <c r="AD2671" s="771"/>
      <c r="AE2671" s="771"/>
      <c r="AF2671" s="771"/>
      <c r="AG2671" s="771"/>
      <c r="AH2671" s="771"/>
      <c r="AI2671" s="771"/>
      <c r="AJ2671" s="771"/>
      <c r="AK2671" s="771"/>
      <c r="AL2671" s="771"/>
      <c r="AM2671" s="771"/>
      <c r="AN2671" s="771"/>
      <c r="AO2671" s="771"/>
      <c r="AP2671" s="771"/>
      <c r="AQ2671" s="771"/>
      <c r="AR2671" s="771"/>
      <c r="AS2671" s="771"/>
      <c r="AT2671" s="771"/>
      <c r="AU2671" s="771"/>
    </row>
    <row r="2672" spans="1:47" s="1418" customFormat="1" outlineLevel="1" x14ac:dyDescent="0.2">
      <c r="A2672" s="8"/>
      <c r="B2672" s="8"/>
      <c r="C2672" s="1989" t="s">
        <v>1281</v>
      </c>
      <c r="D2672" s="1989" t="s">
        <v>1146</v>
      </c>
      <c r="E2672" s="1989">
        <v>2.31</v>
      </c>
      <c r="F2672" s="38">
        <f t="shared" si="41"/>
        <v>187.85206439999999</v>
      </c>
      <c r="G2672" s="1547"/>
      <c r="H2672" s="8"/>
      <c r="I2672" s="8"/>
      <c r="J2672" s="8"/>
      <c r="K2672" s="8"/>
      <c r="L2672" s="8"/>
      <c r="M2672" s="8"/>
      <c r="N2672" s="8"/>
      <c r="O2672" s="8"/>
      <c r="P2672" s="8"/>
      <c r="Q2672" s="8"/>
      <c r="R2672" s="8"/>
      <c r="S2672" s="8"/>
      <c r="T2672" s="8"/>
      <c r="U2672" s="8"/>
      <c r="V2672" s="8"/>
      <c r="W2672" s="8"/>
      <c r="X2672" s="771"/>
      <c r="Y2672" s="771"/>
      <c r="Z2672" s="771"/>
      <c r="AA2672" s="771"/>
      <c r="AB2672" s="771"/>
      <c r="AC2672" s="771"/>
      <c r="AD2672" s="771"/>
      <c r="AE2672" s="771"/>
      <c r="AF2672" s="771"/>
      <c r="AG2672" s="771"/>
      <c r="AH2672" s="771"/>
      <c r="AI2672" s="771"/>
      <c r="AJ2672" s="771"/>
      <c r="AK2672" s="771"/>
      <c r="AL2672" s="771"/>
      <c r="AM2672" s="771"/>
      <c r="AN2672" s="771"/>
      <c r="AO2672" s="771"/>
      <c r="AP2672" s="771"/>
      <c r="AQ2672" s="771"/>
      <c r="AR2672" s="771"/>
      <c r="AS2672" s="771"/>
      <c r="AT2672" s="771"/>
      <c r="AU2672" s="771"/>
    </row>
    <row r="2673" spans="1:47" s="1418" customFormat="1" outlineLevel="1" x14ac:dyDescent="0.2">
      <c r="A2673" s="8"/>
      <c r="B2673" s="8"/>
      <c r="C2673" s="1989" t="s">
        <v>1278</v>
      </c>
      <c r="D2673" s="1989" t="s">
        <v>1279</v>
      </c>
      <c r="E2673" s="1989">
        <v>3.37</v>
      </c>
      <c r="F2673" s="38">
        <f t="shared" si="41"/>
        <v>274.05257879999999</v>
      </c>
      <c r="G2673" s="1547"/>
      <c r="H2673" s="8"/>
      <c r="I2673" s="8"/>
      <c r="J2673" s="8"/>
      <c r="K2673" s="8"/>
      <c r="L2673" s="8"/>
      <c r="M2673" s="8"/>
      <c r="N2673" s="8"/>
      <c r="O2673" s="8"/>
      <c r="P2673" s="8"/>
      <c r="Q2673" s="8"/>
      <c r="R2673" s="8"/>
      <c r="S2673" s="8"/>
      <c r="T2673" s="8"/>
      <c r="U2673" s="8"/>
      <c r="V2673" s="8"/>
      <c r="W2673" s="8"/>
      <c r="X2673" s="771"/>
      <c r="Y2673" s="771"/>
      <c r="Z2673" s="771"/>
      <c r="AA2673" s="771"/>
      <c r="AB2673" s="771"/>
      <c r="AC2673" s="771"/>
      <c r="AD2673" s="771"/>
      <c r="AE2673" s="771"/>
      <c r="AF2673" s="771"/>
      <c r="AG2673" s="771"/>
      <c r="AH2673" s="771"/>
      <c r="AI2673" s="771"/>
      <c r="AJ2673" s="771"/>
      <c r="AK2673" s="771"/>
      <c r="AL2673" s="771"/>
      <c r="AM2673" s="771"/>
      <c r="AN2673" s="771"/>
      <c r="AO2673" s="771"/>
      <c r="AP2673" s="771"/>
      <c r="AQ2673" s="771"/>
      <c r="AR2673" s="771"/>
      <c r="AS2673" s="771"/>
      <c r="AT2673" s="771"/>
      <c r="AU2673" s="771"/>
    </row>
    <row r="2674" spans="1:47" s="1418" customFormat="1" outlineLevel="1" x14ac:dyDescent="0.2">
      <c r="A2674" s="8"/>
      <c r="B2674" s="8"/>
      <c r="C2674" s="1989" t="s">
        <v>1280</v>
      </c>
      <c r="D2674" s="1989" t="s">
        <v>6278</v>
      </c>
      <c r="E2674" s="1989">
        <v>0.35</v>
      </c>
      <c r="F2674" s="38">
        <f t="shared" si="41"/>
        <v>28.462434000000002</v>
      </c>
      <c r="G2674" s="1547"/>
      <c r="H2674" s="8"/>
      <c r="I2674" s="8"/>
      <c r="J2674" s="8"/>
      <c r="K2674" s="8"/>
      <c r="L2674" s="8"/>
      <c r="M2674" s="8"/>
      <c r="N2674" s="8"/>
      <c r="O2674" s="8"/>
      <c r="P2674" s="8"/>
      <c r="Q2674" s="8"/>
      <c r="R2674" s="8"/>
      <c r="S2674" s="8"/>
      <c r="T2674" s="8"/>
      <c r="U2674" s="8"/>
      <c r="V2674" s="8"/>
      <c r="W2674" s="8"/>
      <c r="X2674" s="771"/>
      <c r="Y2674" s="771"/>
      <c r="Z2674" s="771"/>
      <c r="AA2674" s="771"/>
      <c r="AB2674" s="771"/>
      <c r="AC2674" s="771"/>
      <c r="AD2674" s="771"/>
      <c r="AE2674" s="771"/>
      <c r="AF2674" s="771"/>
      <c r="AG2674" s="771"/>
      <c r="AH2674" s="771"/>
      <c r="AI2674" s="771"/>
      <c r="AJ2674" s="771"/>
      <c r="AK2674" s="771"/>
      <c r="AL2674" s="771"/>
      <c r="AM2674" s="771"/>
      <c r="AN2674" s="771"/>
      <c r="AO2674" s="771"/>
      <c r="AP2674" s="771"/>
      <c r="AQ2674" s="771"/>
      <c r="AR2674" s="771"/>
      <c r="AS2674" s="771"/>
      <c r="AT2674" s="771"/>
      <c r="AU2674" s="771"/>
    </row>
    <row r="2675" spans="1:47" s="1418" customFormat="1" outlineLevel="1" x14ac:dyDescent="0.2">
      <c r="A2675" s="8"/>
      <c r="B2675" s="8"/>
      <c r="C2675" s="1989" t="s">
        <v>1686</v>
      </c>
      <c r="D2675" s="1989" t="s">
        <v>8128</v>
      </c>
      <c r="E2675" s="1989">
        <v>0.73</v>
      </c>
      <c r="F2675" s="38">
        <f t="shared" si="41"/>
        <v>59.364505200000004</v>
      </c>
      <c r="G2675" s="1547"/>
      <c r="H2675" s="8"/>
      <c r="I2675" s="8"/>
      <c r="J2675" s="8"/>
      <c r="K2675" s="8"/>
      <c r="L2675" s="8"/>
      <c r="M2675" s="8"/>
      <c r="N2675" s="8"/>
      <c r="O2675" s="8"/>
      <c r="P2675" s="8"/>
      <c r="Q2675" s="8"/>
      <c r="R2675" s="8"/>
      <c r="S2675" s="8"/>
      <c r="T2675" s="8"/>
      <c r="U2675" s="8"/>
      <c r="V2675" s="8"/>
      <c r="W2675" s="8"/>
      <c r="X2675" s="771"/>
      <c r="Y2675" s="771"/>
      <c r="Z2675" s="771"/>
      <c r="AA2675" s="771"/>
      <c r="AB2675" s="771"/>
      <c r="AC2675" s="771"/>
      <c r="AD2675" s="771"/>
      <c r="AE2675" s="771"/>
      <c r="AF2675" s="771"/>
      <c r="AG2675" s="771"/>
      <c r="AH2675" s="771"/>
      <c r="AI2675" s="771"/>
      <c r="AJ2675" s="771"/>
      <c r="AK2675" s="771"/>
      <c r="AL2675" s="771"/>
      <c r="AM2675" s="771"/>
      <c r="AN2675" s="771"/>
      <c r="AO2675" s="771"/>
      <c r="AP2675" s="771"/>
      <c r="AQ2675" s="771"/>
      <c r="AR2675" s="771"/>
      <c r="AS2675" s="771"/>
      <c r="AT2675" s="771"/>
      <c r="AU2675" s="771"/>
    </row>
    <row r="2676" spans="1:47" s="1418" customFormat="1" outlineLevel="1" x14ac:dyDescent="0.2">
      <c r="A2676" s="8"/>
      <c r="B2676" s="8"/>
      <c r="C2676" s="1989" t="s">
        <v>1687</v>
      </c>
      <c r="D2676" s="1989" t="s">
        <v>8129</v>
      </c>
      <c r="E2676" s="1989">
        <v>0.93</v>
      </c>
      <c r="F2676" s="38">
        <f t="shared" si="41"/>
        <v>75.628753200000006</v>
      </c>
      <c r="G2676" s="1547"/>
      <c r="H2676" s="8"/>
      <c r="I2676" s="8"/>
      <c r="J2676" s="8"/>
      <c r="K2676" s="8"/>
      <c r="L2676" s="8"/>
      <c r="M2676" s="8"/>
      <c r="N2676" s="8"/>
      <c r="O2676" s="8"/>
      <c r="P2676" s="8"/>
      <c r="Q2676" s="8"/>
      <c r="R2676" s="8"/>
      <c r="S2676" s="8"/>
      <c r="T2676" s="8"/>
      <c r="U2676" s="8"/>
      <c r="V2676" s="8"/>
      <c r="W2676" s="8"/>
      <c r="X2676" s="771"/>
      <c r="Y2676" s="771"/>
      <c r="Z2676" s="771"/>
      <c r="AA2676" s="771"/>
      <c r="AB2676" s="771"/>
      <c r="AC2676" s="771"/>
      <c r="AD2676" s="771"/>
      <c r="AE2676" s="771"/>
      <c r="AF2676" s="771"/>
      <c r="AG2676" s="771"/>
      <c r="AH2676" s="771"/>
      <c r="AI2676" s="771"/>
      <c r="AJ2676" s="771"/>
      <c r="AK2676" s="771"/>
      <c r="AL2676" s="771"/>
      <c r="AM2676" s="771"/>
      <c r="AN2676" s="771"/>
      <c r="AO2676" s="771"/>
      <c r="AP2676" s="771"/>
      <c r="AQ2676" s="771"/>
      <c r="AR2676" s="771"/>
      <c r="AS2676" s="771"/>
      <c r="AT2676" s="771"/>
      <c r="AU2676" s="771"/>
    </row>
    <row r="2677" spans="1:47" s="1418" customFormat="1" outlineLevel="1" x14ac:dyDescent="0.2">
      <c r="A2677" s="8"/>
      <c r="B2677" s="8"/>
      <c r="C2677" s="1989" t="s">
        <v>4161</v>
      </c>
      <c r="D2677" s="1989" t="s">
        <v>6279</v>
      </c>
      <c r="E2677" s="1989">
        <v>0.91</v>
      </c>
      <c r="F2677" s="38">
        <f t="shared" si="41"/>
        <v>74.00232840000001</v>
      </c>
      <c r="G2677" s="1547"/>
      <c r="H2677" s="8"/>
      <c r="I2677" s="8"/>
      <c r="J2677" s="8"/>
      <c r="K2677" s="8"/>
      <c r="L2677" s="8"/>
      <c r="M2677" s="8"/>
      <c r="N2677" s="8"/>
      <c r="O2677" s="8"/>
      <c r="P2677" s="8"/>
      <c r="Q2677" s="8"/>
      <c r="R2677" s="8"/>
      <c r="S2677" s="8"/>
      <c r="T2677" s="8"/>
      <c r="U2677" s="8"/>
      <c r="V2677" s="8"/>
      <c r="W2677" s="8"/>
      <c r="X2677" s="771"/>
      <c r="Y2677" s="771"/>
      <c r="Z2677" s="771"/>
      <c r="AA2677" s="771"/>
      <c r="AB2677" s="771"/>
      <c r="AC2677" s="771"/>
      <c r="AD2677" s="771"/>
      <c r="AE2677" s="771"/>
      <c r="AF2677" s="771"/>
      <c r="AG2677" s="771"/>
      <c r="AH2677" s="771"/>
      <c r="AI2677" s="771"/>
      <c r="AJ2677" s="771"/>
      <c r="AK2677" s="771"/>
      <c r="AL2677" s="771"/>
      <c r="AM2677" s="771"/>
      <c r="AN2677" s="771"/>
      <c r="AO2677" s="771"/>
      <c r="AP2677" s="771"/>
      <c r="AQ2677" s="771"/>
      <c r="AR2677" s="771"/>
      <c r="AS2677" s="771"/>
      <c r="AT2677" s="771"/>
      <c r="AU2677" s="771"/>
    </row>
    <row r="2678" spans="1:47" s="1418" customFormat="1" outlineLevel="1" x14ac:dyDescent="0.2">
      <c r="A2678" s="8"/>
      <c r="B2678" s="8"/>
      <c r="C2678" s="1989" t="s">
        <v>242</v>
      </c>
      <c r="D2678" s="1989" t="s">
        <v>6280</v>
      </c>
      <c r="E2678" s="1989">
        <v>0.67</v>
      </c>
      <c r="F2678" s="38">
        <f t="shared" si="41"/>
        <v>54.485230800000011</v>
      </c>
      <c r="G2678" s="1547"/>
      <c r="H2678" s="8"/>
      <c r="I2678" s="8"/>
      <c r="J2678" s="8"/>
      <c r="K2678" s="8"/>
      <c r="L2678" s="8"/>
      <c r="M2678" s="8"/>
      <c r="N2678" s="8"/>
      <c r="O2678" s="8"/>
      <c r="P2678" s="8"/>
      <c r="Q2678" s="8"/>
      <c r="R2678" s="8"/>
      <c r="S2678" s="8"/>
      <c r="T2678" s="8"/>
      <c r="U2678" s="8"/>
      <c r="V2678" s="8"/>
      <c r="W2678" s="8"/>
      <c r="X2678" s="771"/>
      <c r="Y2678" s="771"/>
      <c r="Z2678" s="771"/>
      <c r="AA2678" s="771"/>
      <c r="AB2678" s="771"/>
      <c r="AC2678" s="771"/>
      <c r="AD2678" s="771"/>
      <c r="AE2678" s="771"/>
      <c r="AF2678" s="771"/>
      <c r="AG2678" s="771"/>
      <c r="AH2678" s="771"/>
      <c r="AI2678" s="771"/>
      <c r="AJ2678" s="771"/>
      <c r="AK2678" s="771"/>
      <c r="AL2678" s="771"/>
      <c r="AM2678" s="771"/>
      <c r="AN2678" s="771"/>
      <c r="AO2678" s="771"/>
      <c r="AP2678" s="771"/>
      <c r="AQ2678" s="771"/>
      <c r="AR2678" s="771"/>
      <c r="AS2678" s="771"/>
      <c r="AT2678" s="771"/>
      <c r="AU2678" s="771"/>
    </row>
    <row r="2679" spans="1:47" s="1418" customFormat="1" outlineLevel="1" x14ac:dyDescent="0.2">
      <c r="A2679" s="8"/>
      <c r="B2679" s="8"/>
      <c r="C2679" s="1989" t="s">
        <v>2761</v>
      </c>
      <c r="D2679" s="1989" t="s">
        <v>3099</v>
      </c>
      <c r="E2679" s="1989">
        <v>0.77</v>
      </c>
      <c r="F2679" s="38">
        <f t="shared" si="41"/>
        <v>62.617354800000001</v>
      </c>
      <c r="G2679" s="1547"/>
      <c r="H2679" s="8"/>
      <c r="I2679" s="8"/>
      <c r="J2679" s="8"/>
      <c r="K2679" s="8"/>
      <c r="L2679" s="8"/>
      <c r="M2679" s="8"/>
      <c r="N2679" s="8"/>
      <c r="O2679" s="8"/>
      <c r="P2679" s="8"/>
      <c r="Q2679" s="8"/>
      <c r="R2679" s="8"/>
      <c r="S2679" s="8"/>
      <c r="T2679" s="8"/>
      <c r="U2679" s="8"/>
      <c r="V2679" s="8"/>
      <c r="W2679" s="8"/>
      <c r="X2679" s="771"/>
      <c r="Y2679" s="771"/>
      <c r="Z2679" s="771"/>
      <c r="AA2679" s="771"/>
      <c r="AB2679" s="771"/>
      <c r="AC2679" s="771"/>
      <c r="AD2679" s="771"/>
      <c r="AE2679" s="771"/>
      <c r="AF2679" s="771"/>
      <c r="AG2679" s="771"/>
      <c r="AH2679" s="771"/>
      <c r="AI2679" s="771"/>
      <c r="AJ2679" s="771"/>
      <c r="AK2679" s="771"/>
      <c r="AL2679" s="771"/>
      <c r="AM2679" s="771"/>
      <c r="AN2679" s="771"/>
      <c r="AO2679" s="771"/>
      <c r="AP2679" s="771"/>
      <c r="AQ2679" s="771"/>
      <c r="AR2679" s="771"/>
      <c r="AS2679" s="771"/>
      <c r="AT2679" s="771"/>
      <c r="AU2679" s="771"/>
    </row>
    <row r="2680" spans="1:47" s="1418" customFormat="1" outlineLevel="1" x14ac:dyDescent="0.2">
      <c r="A2680" s="8"/>
      <c r="B2680" s="8"/>
      <c r="C2680" s="1989" t="s">
        <v>3100</v>
      </c>
      <c r="D2680" s="1989" t="s">
        <v>6281</v>
      </c>
      <c r="E2680" s="1989">
        <v>3.87</v>
      </c>
      <c r="F2680" s="38">
        <f t="shared" si="41"/>
        <v>314.71319880000004</v>
      </c>
      <c r="G2680" s="1547"/>
      <c r="H2680" s="8"/>
      <c r="I2680" s="8"/>
      <c r="J2680" s="8"/>
      <c r="K2680" s="8"/>
      <c r="L2680" s="8"/>
      <c r="M2680" s="8"/>
      <c r="N2680" s="8"/>
      <c r="O2680" s="8"/>
      <c r="P2680" s="8"/>
      <c r="Q2680" s="8"/>
      <c r="R2680" s="8"/>
      <c r="S2680" s="8"/>
      <c r="T2680" s="8"/>
      <c r="U2680" s="8"/>
      <c r="V2680" s="8"/>
      <c r="W2680" s="8"/>
      <c r="X2680" s="771"/>
      <c r="Y2680" s="771"/>
      <c r="Z2680" s="771"/>
      <c r="AA2680" s="771"/>
      <c r="AB2680" s="771"/>
      <c r="AC2680" s="771"/>
      <c r="AD2680" s="771"/>
      <c r="AE2680" s="771"/>
      <c r="AF2680" s="771"/>
      <c r="AG2680" s="771"/>
      <c r="AH2680" s="771"/>
      <c r="AI2680" s="771"/>
      <c r="AJ2680" s="771"/>
      <c r="AK2680" s="771"/>
      <c r="AL2680" s="771"/>
      <c r="AM2680" s="771"/>
      <c r="AN2680" s="771"/>
      <c r="AO2680" s="771"/>
      <c r="AP2680" s="771"/>
      <c r="AQ2680" s="771"/>
      <c r="AR2680" s="771"/>
      <c r="AS2680" s="771"/>
      <c r="AT2680" s="771"/>
      <c r="AU2680" s="771"/>
    </row>
    <row r="2681" spans="1:47" s="1418" customFormat="1" outlineLevel="1" x14ac:dyDescent="0.2">
      <c r="A2681" s="8"/>
      <c r="B2681" s="8"/>
      <c r="C2681" s="1989" t="s">
        <v>2093</v>
      </c>
      <c r="D2681" s="1989" t="s">
        <v>8130</v>
      </c>
      <c r="E2681" s="1989">
        <v>4.91</v>
      </c>
      <c r="F2681" s="38">
        <f t="shared" si="41"/>
        <v>399.28728840000008</v>
      </c>
      <c r="G2681" s="1547"/>
      <c r="H2681" s="8"/>
      <c r="I2681" s="8"/>
      <c r="J2681" s="8"/>
      <c r="K2681" s="8"/>
      <c r="L2681" s="8"/>
      <c r="M2681" s="8"/>
      <c r="N2681" s="8"/>
      <c r="O2681" s="8"/>
      <c r="P2681" s="8"/>
      <c r="Q2681" s="8"/>
      <c r="R2681" s="8"/>
      <c r="S2681" s="8"/>
      <c r="T2681" s="8"/>
      <c r="U2681" s="8"/>
      <c r="V2681" s="8"/>
      <c r="W2681" s="8"/>
      <c r="X2681" s="771"/>
      <c r="Y2681" s="771"/>
      <c r="Z2681" s="771"/>
      <c r="AA2681" s="771"/>
      <c r="AB2681" s="771"/>
      <c r="AC2681" s="771"/>
      <c r="AD2681" s="771"/>
      <c r="AE2681" s="771"/>
      <c r="AF2681" s="771"/>
      <c r="AG2681" s="771"/>
      <c r="AH2681" s="771"/>
      <c r="AI2681" s="771"/>
      <c r="AJ2681" s="771"/>
      <c r="AK2681" s="771"/>
      <c r="AL2681" s="771"/>
      <c r="AM2681" s="771"/>
      <c r="AN2681" s="771"/>
      <c r="AO2681" s="771"/>
      <c r="AP2681" s="771"/>
      <c r="AQ2681" s="771"/>
      <c r="AR2681" s="771"/>
      <c r="AS2681" s="771"/>
      <c r="AT2681" s="771"/>
      <c r="AU2681" s="771"/>
    </row>
    <row r="2682" spans="1:47" s="1418" customFormat="1" outlineLevel="1" x14ac:dyDescent="0.2">
      <c r="A2682" s="8"/>
      <c r="B2682" s="8"/>
      <c r="C2682" s="1989" t="s">
        <v>2092</v>
      </c>
      <c r="D2682" s="1989" t="s">
        <v>8131</v>
      </c>
      <c r="E2682" s="1989">
        <v>3.79</v>
      </c>
      <c r="F2682" s="38">
        <f t="shared" si="41"/>
        <v>308.20749960000001</v>
      </c>
      <c r="G2682" s="1547"/>
      <c r="H2682" s="8"/>
      <c r="I2682" s="8"/>
      <c r="J2682" s="8"/>
      <c r="K2682" s="8"/>
      <c r="L2682" s="8"/>
      <c r="M2682" s="8"/>
      <c r="N2682" s="8"/>
      <c r="O2682" s="8"/>
      <c r="P2682" s="8"/>
      <c r="Q2682" s="8"/>
      <c r="R2682" s="8"/>
      <c r="S2682" s="8"/>
      <c r="T2682" s="8"/>
      <c r="U2682" s="8"/>
      <c r="V2682" s="8"/>
      <c r="W2682" s="8"/>
      <c r="X2682" s="771"/>
      <c r="Y2682" s="771"/>
      <c r="Z2682" s="771"/>
      <c r="AA2682" s="771"/>
      <c r="AB2682" s="771"/>
      <c r="AC2682" s="771"/>
      <c r="AD2682" s="771"/>
      <c r="AE2682" s="771"/>
      <c r="AF2682" s="771"/>
      <c r="AG2682" s="771"/>
      <c r="AH2682" s="771"/>
      <c r="AI2682" s="771"/>
      <c r="AJ2682" s="771"/>
      <c r="AK2682" s="771"/>
      <c r="AL2682" s="771"/>
      <c r="AM2682" s="771"/>
      <c r="AN2682" s="771"/>
      <c r="AO2682" s="771"/>
      <c r="AP2682" s="771"/>
      <c r="AQ2682" s="771"/>
      <c r="AR2682" s="771"/>
      <c r="AS2682" s="771"/>
      <c r="AT2682" s="771"/>
      <c r="AU2682" s="771"/>
    </row>
    <row r="2683" spans="1:47" s="1418" customFormat="1" outlineLevel="1" x14ac:dyDescent="0.2">
      <c r="A2683" s="8"/>
      <c r="B2683" s="8"/>
      <c r="C2683" s="1989" t="s">
        <v>1590</v>
      </c>
      <c r="D2683" s="1989" t="s">
        <v>1591</v>
      </c>
      <c r="E2683" s="1989">
        <v>0.35</v>
      </c>
      <c r="F2683" s="38">
        <f t="shared" si="41"/>
        <v>28.462434000000002</v>
      </c>
      <c r="G2683" s="1547"/>
      <c r="H2683" s="8"/>
      <c r="I2683" s="8"/>
      <c r="J2683" s="8"/>
      <c r="K2683" s="8"/>
      <c r="L2683" s="8"/>
      <c r="M2683" s="8"/>
      <c r="N2683" s="8"/>
      <c r="O2683" s="8"/>
      <c r="P2683" s="8"/>
      <c r="Q2683" s="8"/>
      <c r="R2683" s="8"/>
      <c r="S2683" s="8"/>
      <c r="T2683" s="8"/>
      <c r="U2683" s="8"/>
      <c r="V2683" s="8"/>
      <c r="W2683" s="8"/>
      <c r="X2683" s="771"/>
      <c r="Y2683" s="771"/>
      <c r="Z2683" s="771"/>
      <c r="AA2683" s="771"/>
      <c r="AB2683" s="771"/>
      <c r="AC2683" s="771"/>
      <c r="AD2683" s="771"/>
      <c r="AE2683" s="771"/>
      <c r="AF2683" s="771"/>
      <c r="AG2683" s="771"/>
      <c r="AH2683" s="771"/>
      <c r="AI2683" s="771"/>
      <c r="AJ2683" s="771"/>
      <c r="AK2683" s="771"/>
      <c r="AL2683" s="771"/>
      <c r="AM2683" s="771"/>
      <c r="AN2683" s="771"/>
      <c r="AO2683" s="771"/>
      <c r="AP2683" s="771"/>
      <c r="AQ2683" s="771"/>
      <c r="AR2683" s="771"/>
      <c r="AS2683" s="771"/>
      <c r="AT2683" s="771"/>
      <c r="AU2683" s="771"/>
    </row>
    <row r="2684" spans="1:47" s="1418" customFormat="1" outlineLevel="1" x14ac:dyDescent="0.2">
      <c r="A2684" s="8"/>
      <c r="B2684" s="8"/>
      <c r="C2684" s="1989" t="s">
        <v>2013</v>
      </c>
      <c r="D2684" s="1989" t="s">
        <v>6282</v>
      </c>
      <c r="E2684" s="1989">
        <v>0.09</v>
      </c>
      <c r="F2684" s="38">
        <f t="shared" si="41"/>
        <v>7.3189116000000007</v>
      </c>
      <c r="G2684" s="1547"/>
      <c r="H2684" s="8"/>
      <c r="I2684" s="8"/>
      <c r="J2684" s="8"/>
      <c r="K2684" s="8"/>
      <c r="L2684" s="8"/>
      <c r="M2684" s="8"/>
      <c r="N2684" s="8"/>
      <c r="O2684" s="8"/>
      <c r="P2684" s="8"/>
      <c r="Q2684" s="8"/>
      <c r="R2684" s="8"/>
      <c r="S2684" s="8"/>
      <c r="T2684" s="8"/>
      <c r="U2684" s="8"/>
      <c r="V2684" s="8"/>
      <c r="W2684" s="8"/>
      <c r="X2684" s="771"/>
      <c r="Y2684" s="771"/>
      <c r="Z2684" s="771"/>
      <c r="AA2684" s="771"/>
      <c r="AB2684" s="771"/>
      <c r="AC2684" s="771"/>
      <c r="AD2684" s="771"/>
      <c r="AE2684" s="771"/>
      <c r="AF2684" s="771"/>
      <c r="AG2684" s="771"/>
      <c r="AH2684" s="771"/>
      <c r="AI2684" s="771"/>
      <c r="AJ2684" s="771"/>
      <c r="AK2684" s="771"/>
      <c r="AL2684" s="771"/>
      <c r="AM2684" s="771"/>
      <c r="AN2684" s="771"/>
      <c r="AO2684" s="771"/>
      <c r="AP2684" s="771"/>
      <c r="AQ2684" s="771"/>
      <c r="AR2684" s="771"/>
      <c r="AS2684" s="771"/>
      <c r="AT2684" s="771"/>
      <c r="AU2684" s="771"/>
    </row>
    <row r="2685" spans="1:47" s="1418" customFormat="1" outlineLevel="1" x14ac:dyDescent="0.2">
      <c r="A2685" s="8"/>
      <c r="B2685" s="8"/>
      <c r="C2685" s="1989" t="s">
        <v>3341</v>
      </c>
      <c r="D2685" s="1989" t="s">
        <v>6283</v>
      </c>
      <c r="E2685" s="1989">
        <v>7.0000000000000007E-2</v>
      </c>
      <c r="F2685" s="38">
        <f t="shared" si="41"/>
        <v>5.6924868000000011</v>
      </c>
      <c r="G2685" s="1547"/>
      <c r="H2685" s="8"/>
      <c r="I2685" s="8"/>
      <c r="J2685" s="8"/>
      <c r="K2685" s="8"/>
      <c r="L2685" s="8"/>
      <c r="M2685" s="8"/>
      <c r="N2685" s="8"/>
      <c r="O2685" s="8"/>
      <c r="P2685" s="8"/>
      <c r="Q2685" s="8"/>
      <c r="R2685" s="8"/>
      <c r="S2685" s="8"/>
      <c r="T2685" s="8"/>
      <c r="U2685" s="8"/>
      <c r="V2685" s="8"/>
      <c r="W2685" s="8"/>
      <c r="X2685" s="771"/>
      <c r="Y2685" s="771"/>
      <c r="Z2685" s="771"/>
      <c r="AA2685" s="771"/>
      <c r="AB2685" s="771"/>
      <c r="AC2685" s="771"/>
      <c r="AD2685" s="771"/>
      <c r="AE2685" s="771"/>
      <c r="AF2685" s="771"/>
      <c r="AG2685" s="771"/>
      <c r="AH2685" s="771"/>
      <c r="AI2685" s="771"/>
      <c r="AJ2685" s="771"/>
      <c r="AK2685" s="771"/>
      <c r="AL2685" s="771"/>
      <c r="AM2685" s="771"/>
      <c r="AN2685" s="771"/>
      <c r="AO2685" s="771"/>
      <c r="AP2685" s="771"/>
      <c r="AQ2685" s="771"/>
      <c r="AR2685" s="771"/>
      <c r="AS2685" s="771"/>
      <c r="AT2685" s="771"/>
      <c r="AU2685" s="771"/>
    </row>
    <row r="2686" spans="1:47" s="1418" customFormat="1" outlineLevel="1" x14ac:dyDescent="0.2">
      <c r="A2686" s="8"/>
      <c r="B2686" s="8"/>
      <c r="C2686" s="1989" t="s">
        <v>4859</v>
      </c>
      <c r="D2686" s="1989" t="s">
        <v>4860</v>
      </c>
      <c r="E2686" s="1989">
        <v>0.12</v>
      </c>
      <c r="F2686" s="38">
        <f t="shared" si="41"/>
        <v>9.7585487999999998</v>
      </c>
      <c r="G2686" s="1547"/>
      <c r="H2686" s="8"/>
      <c r="I2686" s="8"/>
      <c r="J2686" s="8"/>
      <c r="K2686" s="8"/>
      <c r="L2686" s="8"/>
      <c r="M2686" s="8"/>
      <c r="N2686" s="8"/>
      <c r="O2686" s="8"/>
      <c r="P2686" s="8"/>
      <c r="Q2686" s="8"/>
      <c r="R2686" s="8"/>
      <c r="S2686" s="8"/>
      <c r="T2686" s="8"/>
      <c r="U2686" s="8"/>
      <c r="V2686" s="8"/>
      <c r="W2686" s="8"/>
      <c r="X2686" s="771"/>
      <c r="Y2686" s="771"/>
      <c r="Z2686" s="771"/>
      <c r="AA2686" s="771"/>
      <c r="AB2686" s="771"/>
      <c r="AC2686" s="771"/>
      <c r="AD2686" s="771"/>
      <c r="AE2686" s="771"/>
      <c r="AF2686" s="771"/>
      <c r="AG2686" s="771"/>
      <c r="AH2686" s="771"/>
      <c r="AI2686" s="771"/>
      <c r="AJ2686" s="771"/>
      <c r="AK2686" s="771"/>
      <c r="AL2686" s="771"/>
      <c r="AM2686" s="771"/>
      <c r="AN2686" s="771"/>
      <c r="AO2686" s="771"/>
      <c r="AP2686" s="771"/>
      <c r="AQ2686" s="771"/>
      <c r="AR2686" s="771"/>
      <c r="AS2686" s="771"/>
      <c r="AT2686" s="771"/>
      <c r="AU2686" s="771"/>
    </row>
    <row r="2687" spans="1:47" s="1418" customFormat="1" outlineLevel="1" x14ac:dyDescent="0.2">
      <c r="A2687" s="8"/>
      <c r="B2687" s="8"/>
      <c r="C2687" s="1989" t="s">
        <v>4162</v>
      </c>
      <c r="D2687" s="1989" t="s">
        <v>4163</v>
      </c>
      <c r="E2687" s="1989">
        <v>2.75</v>
      </c>
      <c r="F2687" s="38">
        <f t="shared" si="41"/>
        <v>223.63341</v>
      </c>
      <c r="G2687" s="1547"/>
      <c r="H2687" s="8"/>
      <c r="I2687" s="8"/>
      <c r="J2687" s="8"/>
      <c r="K2687" s="8"/>
      <c r="L2687" s="8"/>
      <c r="M2687" s="8"/>
      <c r="N2687" s="8"/>
      <c r="O2687" s="8"/>
      <c r="P2687" s="8"/>
      <c r="Q2687" s="8"/>
      <c r="R2687" s="8"/>
      <c r="S2687" s="8"/>
      <c r="T2687" s="8"/>
      <c r="U2687" s="8"/>
      <c r="V2687" s="8"/>
      <c r="W2687" s="8"/>
      <c r="X2687" s="771"/>
      <c r="Y2687" s="771"/>
      <c r="Z2687" s="771"/>
      <c r="AA2687" s="771"/>
      <c r="AB2687" s="771"/>
      <c r="AC2687" s="771"/>
      <c r="AD2687" s="771"/>
      <c r="AE2687" s="771"/>
      <c r="AF2687" s="771"/>
      <c r="AG2687" s="771"/>
      <c r="AH2687" s="771"/>
      <c r="AI2687" s="771"/>
      <c r="AJ2687" s="771"/>
      <c r="AK2687" s="771"/>
      <c r="AL2687" s="771"/>
      <c r="AM2687" s="771"/>
      <c r="AN2687" s="771"/>
      <c r="AO2687" s="771"/>
      <c r="AP2687" s="771"/>
      <c r="AQ2687" s="771"/>
      <c r="AR2687" s="771"/>
      <c r="AS2687" s="771"/>
      <c r="AT2687" s="771"/>
      <c r="AU2687" s="771"/>
    </row>
    <row r="2688" spans="1:47" s="1418" customFormat="1" outlineLevel="1" x14ac:dyDescent="0.2">
      <c r="A2688" s="8"/>
      <c r="B2688" s="8"/>
      <c r="C2688" s="1989" t="s">
        <v>3103</v>
      </c>
      <c r="D2688" s="1989" t="s">
        <v>3342</v>
      </c>
      <c r="E2688" s="1989">
        <v>4.1399999999999997</v>
      </c>
      <c r="F2688" s="38">
        <f t="shared" si="41"/>
        <v>336.66993359999998</v>
      </c>
      <c r="G2688" s="1547"/>
      <c r="H2688" s="8"/>
      <c r="I2688" s="8"/>
      <c r="J2688" s="8"/>
      <c r="K2688" s="8"/>
      <c r="L2688" s="8"/>
      <c r="M2688" s="8"/>
      <c r="N2688" s="8"/>
      <c r="O2688" s="8"/>
      <c r="P2688" s="8"/>
      <c r="Q2688" s="8"/>
      <c r="R2688" s="8"/>
      <c r="S2688" s="8"/>
      <c r="T2688" s="8"/>
      <c r="U2688" s="8"/>
      <c r="V2688" s="8"/>
      <c r="W2688" s="8"/>
      <c r="X2688" s="771"/>
      <c r="Y2688" s="771"/>
      <c r="Z2688" s="771"/>
      <c r="AA2688" s="771"/>
      <c r="AB2688" s="771"/>
      <c r="AC2688" s="771"/>
      <c r="AD2688" s="771"/>
      <c r="AE2688" s="771"/>
      <c r="AF2688" s="771"/>
      <c r="AG2688" s="771"/>
      <c r="AH2688" s="771"/>
      <c r="AI2688" s="771"/>
      <c r="AJ2688" s="771"/>
      <c r="AK2688" s="771"/>
      <c r="AL2688" s="771"/>
      <c r="AM2688" s="771"/>
      <c r="AN2688" s="771"/>
      <c r="AO2688" s="771"/>
      <c r="AP2688" s="771"/>
      <c r="AQ2688" s="771"/>
      <c r="AR2688" s="771"/>
      <c r="AS2688" s="771"/>
      <c r="AT2688" s="771"/>
      <c r="AU2688" s="771"/>
    </row>
    <row r="2689" spans="1:47" s="1418" customFormat="1" outlineLevel="1" x14ac:dyDescent="0.2">
      <c r="A2689" s="8"/>
      <c r="B2689" s="8"/>
      <c r="C2689" s="1989" t="s">
        <v>3781</v>
      </c>
      <c r="D2689" s="1989" t="s">
        <v>6284</v>
      </c>
      <c r="E2689" s="1989">
        <v>2.04</v>
      </c>
      <c r="F2689" s="38">
        <f t="shared" si="41"/>
        <v>165.8953296</v>
      </c>
      <c r="G2689" s="1547"/>
      <c r="H2689" s="8"/>
      <c r="I2689" s="8"/>
      <c r="J2689" s="8"/>
      <c r="K2689" s="8"/>
      <c r="L2689" s="8"/>
      <c r="M2689" s="8"/>
      <c r="N2689" s="8"/>
      <c r="O2689" s="8"/>
      <c r="P2689" s="8"/>
      <c r="Q2689" s="8"/>
      <c r="R2689" s="8"/>
      <c r="S2689" s="8"/>
      <c r="T2689" s="8"/>
      <c r="U2689" s="8"/>
      <c r="V2689" s="8"/>
      <c r="W2689" s="8"/>
      <c r="X2689" s="771"/>
      <c r="Y2689" s="771"/>
      <c r="Z2689" s="771"/>
      <c r="AA2689" s="771"/>
      <c r="AB2689" s="771"/>
      <c r="AC2689" s="771"/>
      <c r="AD2689" s="771"/>
      <c r="AE2689" s="771"/>
      <c r="AF2689" s="771"/>
      <c r="AG2689" s="771"/>
      <c r="AH2689" s="771"/>
      <c r="AI2689" s="771"/>
      <c r="AJ2689" s="771"/>
      <c r="AK2689" s="771"/>
      <c r="AL2689" s="771"/>
      <c r="AM2689" s="771"/>
      <c r="AN2689" s="771"/>
      <c r="AO2689" s="771"/>
      <c r="AP2689" s="771"/>
      <c r="AQ2689" s="771"/>
      <c r="AR2689" s="771"/>
      <c r="AS2689" s="771"/>
      <c r="AT2689" s="771"/>
      <c r="AU2689" s="771"/>
    </row>
    <row r="2690" spans="1:47" s="1418" customFormat="1" outlineLevel="1" x14ac:dyDescent="0.2">
      <c r="A2690" s="8"/>
      <c r="B2690" s="8"/>
      <c r="C2690" s="1989" t="s">
        <v>4164</v>
      </c>
      <c r="D2690" s="1989" t="s">
        <v>4165</v>
      </c>
      <c r="E2690" s="1989">
        <v>1.76</v>
      </c>
      <c r="F2690" s="38">
        <f t="shared" si="41"/>
        <v>143.12538240000001</v>
      </c>
      <c r="G2690" s="1547"/>
      <c r="H2690" s="8"/>
      <c r="I2690" s="8"/>
      <c r="J2690" s="8"/>
      <c r="K2690" s="8"/>
      <c r="L2690" s="8"/>
      <c r="M2690" s="8"/>
      <c r="N2690" s="8"/>
      <c r="O2690" s="8"/>
      <c r="P2690" s="8"/>
      <c r="Q2690" s="8"/>
      <c r="R2690" s="8"/>
      <c r="S2690" s="8"/>
      <c r="T2690" s="8"/>
      <c r="U2690" s="8"/>
      <c r="V2690" s="8"/>
      <c r="W2690" s="8"/>
      <c r="X2690" s="771"/>
      <c r="Y2690" s="771"/>
      <c r="Z2690" s="771"/>
      <c r="AA2690" s="771"/>
      <c r="AB2690" s="771"/>
      <c r="AC2690" s="771"/>
      <c r="AD2690" s="771"/>
      <c r="AE2690" s="771"/>
      <c r="AF2690" s="771"/>
      <c r="AG2690" s="771"/>
      <c r="AH2690" s="771"/>
      <c r="AI2690" s="771"/>
      <c r="AJ2690" s="771"/>
      <c r="AK2690" s="771"/>
      <c r="AL2690" s="771"/>
      <c r="AM2690" s="771"/>
      <c r="AN2690" s="771"/>
      <c r="AO2690" s="771"/>
      <c r="AP2690" s="771"/>
      <c r="AQ2690" s="771"/>
      <c r="AR2690" s="771"/>
      <c r="AS2690" s="771"/>
      <c r="AT2690" s="771"/>
      <c r="AU2690" s="771"/>
    </row>
    <row r="2691" spans="1:47" s="1418" customFormat="1" outlineLevel="1" x14ac:dyDescent="0.2">
      <c r="A2691" s="8"/>
      <c r="B2691" s="8"/>
      <c r="C2691" s="1989" t="s">
        <v>3104</v>
      </c>
      <c r="D2691" s="1989" t="s">
        <v>6285</v>
      </c>
      <c r="E2691" s="1989">
        <v>4.1399999999999997</v>
      </c>
      <c r="F2691" s="38">
        <f t="shared" si="41"/>
        <v>336.66993359999998</v>
      </c>
      <c r="G2691" s="1547"/>
      <c r="H2691" s="8"/>
      <c r="I2691" s="8"/>
      <c r="J2691" s="8"/>
      <c r="K2691" s="8"/>
      <c r="L2691" s="8"/>
      <c r="M2691" s="8"/>
      <c r="N2691" s="8"/>
      <c r="O2691" s="8"/>
      <c r="P2691" s="8"/>
      <c r="Q2691" s="8"/>
      <c r="R2691" s="8"/>
      <c r="S2691" s="8"/>
      <c r="T2691" s="8"/>
      <c r="U2691" s="8"/>
      <c r="V2691" s="8"/>
      <c r="W2691" s="8"/>
      <c r="X2691" s="771"/>
      <c r="Y2691" s="771"/>
      <c r="Z2691" s="771"/>
      <c r="AA2691" s="771"/>
      <c r="AB2691" s="771"/>
      <c r="AC2691" s="771"/>
      <c r="AD2691" s="771"/>
      <c r="AE2691" s="771"/>
      <c r="AF2691" s="771"/>
      <c r="AG2691" s="771"/>
      <c r="AH2691" s="771"/>
      <c r="AI2691" s="771"/>
      <c r="AJ2691" s="771"/>
      <c r="AK2691" s="771"/>
      <c r="AL2691" s="771"/>
      <c r="AM2691" s="771"/>
      <c r="AN2691" s="771"/>
      <c r="AO2691" s="771"/>
      <c r="AP2691" s="771"/>
      <c r="AQ2691" s="771"/>
      <c r="AR2691" s="771"/>
      <c r="AS2691" s="771"/>
      <c r="AT2691" s="771"/>
      <c r="AU2691" s="771"/>
    </row>
    <row r="2692" spans="1:47" s="1418" customFormat="1" outlineLevel="1" x14ac:dyDescent="0.2">
      <c r="A2692" s="8"/>
      <c r="B2692" s="8"/>
      <c r="C2692" s="1989" t="s">
        <v>2011</v>
      </c>
      <c r="D2692" s="1989" t="s">
        <v>6286</v>
      </c>
      <c r="E2692" s="1989">
        <v>5.5</v>
      </c>
      <c r="F2692" s="38">
        <f t="shared" si="41"/>
        <v>447.26682</v>
      </c>
      <c r="G2692" s="1547"/>
      <c r="H2692" s="8"/>
      <c r="I2692" s="8"/>
      <c r="J2692" s="8"/>
      <c r="K2692" s="8"/>
      <c r="L2692" s="8"/>
      <c r="M2692" s="8"/>
      <c r="N2692" s="8"/>
      <c r="O2692" s="8"/>
      <c r="P2692" s="8"/>
      <c r="Q2692" s="8"/>
      <c r="R2692" s="8"/>
      <c r="S2692" s="8"/>
      <c r="T2692" s="8"/>
      <c r="U2692" s="8"/>
      <c r="V2692" s="8"/>
      <c r="W2692" s="8"/>
      <c r="X2692" s="771"/>
      <c r="Y2692" s="771"/>
      <c r="Z2692" s="771"/>
      <c r="AA2692" s="771"/>
      <c r="AB2692" s="771"/>
      <c r="AC2692" s="771"/>
      <c r="AD2692" s="771"/>
      <c r="AE2692" s="771"/>
      <c r="AF2692" s="771"/>
      <c r="AG2692" s="771"/>
      <c r="AH2692" s="771"/>
      <c r="AI2692" s="771"/>
      <c r="AJ2692" s="771"/>
      <c r="AK2692" s="771"/>
      <c r="AL2692" s="771"/>
      <c r="AM2692" s="771"/>
      <c r="AN2692" s="771"/>
      <c r="AO2692" s="771"/>
      <c r="AP2692" s="771"/>
      <c r="AQ2692" s="771"/>
      <c r="AR2692" s="771"/>
      <c r="AS2692" s="771"/>
      <c r="AT2692" s="771"/>
      <c r="AU2692" s="771"/>
    </row>
    <row r="2693" spans="1:47" s="1418" customFormat="1" outlineLevel="1" x14ac:dyDescent="0.2">
      <c r="A2693" s="8"/>
      <c r="B2693" s="8"/>
      <c r="C2693" s="1989" t="s">
        <v>4166</v>
      </c>
      <c r="D2693" s="1989" t="s">
        <v>4167</v>
      </c>
      <c r="E2693" s="1989">
        <v>0</v>
      </c>
      <c r="F2693" s="38">
        <f t="shared" si="41"/>
        <v>0</v>
      </c>
      <c r="G2693" s="1547"/>
      <c r="H2693" s="8"/>
      <c r="I2693" s="8"/>
      <c r="J2693" s="8"/>
      <c r="K2693" s="8"/>
      <c r="L2693" s="8"/>
      <c r="M2693" s="8"/>
      <c r="N2693" s="8"/>
      <c r="O2693" s="8"/>
      <c r="P2693" s="8"/>
      <c r="Q2693" s="8"/>
      <c r="R2693" s="8"/>
      <c r="S2693" s="8"/>
      <c r="T2693" s="8"/>
      <c r="U2693" s="8"/>
      <c r="V2693" s="8"/>
      <c r="W2693" s="8"/>
      <c r="X2693" s="771"/>
      <c r="Y2693" s="771"/>
      <c r="Z2693" s="771"/>
      <c r="AA2693" s="771"/>
      <c r="AB2693" s="771"/>
      <c r="AC2693" s="771"/>
      <c r="AD2693" s="771"/>
      <c r="AE2693" s="771"/>
      <c r="AF2693" s="771"/>
      <c r="AG2693" s="771"/>
      <c r="AH2693" s="771"/>
      <c r="AI2693" s="771"/>
      <c r="AJ2693" s="771"/>
      <c r="AK2693" s="771"/>
      <c r="AL2693" s="771"/>
      <c r="AM2693" s="771"/>
      <c r="AN2693" s="771"/>
      <c r="AO2693" s="771"/>
      <c r="AP2693" s="771"/>
      <c r="AQ2693" s="771"/>
      <c r="AR2693" s="771"/>
      <c r="AS2693" s="771"/>
      <c r="AT2693" s="771"/>
      <c r="AU2693" s="771"/>
    </row>
    <row r="2694" spans="1:47" s="1418" customFormat="1" outlineLevel="1" x14ac:dyDescent="0.2">
      <c r="A2694" s="8"/>
      <c r="B2694" s="8"/>
      <c r="C2694" s="1989" t="s">
        <v>2741</v>
      </c>
      <c r="D2694" s="1989" t="s">
        <v>6287</v>
      </c>
      <c r="E2694" s="1989">
        <v>0.28000000000000003</v>
      </c>
      <c r="F2694" s="38">
        <f t="shared" si="41"/>
        <v>22.769947200000004</v>
      </c>
      <c r="G2694" s="1547"/>
      <c r="H2694" s="8"/>
      <c r="I2694" s="8"/>
      <c r="J2694" s="8"/>
      <c r="K2694" s="8"/>
      <c r="L2694" s="8"/>
      <c r="M2694" s="8"/>
      <c r="N2694" s="8"/>
      <c r="O2694" s="8"/>
      <c r="P2694" s="8"/>
      <c r="Q2694" s="8"/>
      <c r="R2694" s="8"/>
      <c r="S2694" s="8"/>
      <c r="T2694" s="8"/>
      <c r="U2694" s="8"/>
      <c r="V2694" s="8"/>
      <c r="W2694" s="8"/>
      <c r="X2694" s="771"/>
      <c r="Y2694" s="771"/>
      <c r="Z2694" s="771"/>
      <c r="AA2694" s="771"/>
      <c r="AB2694" s="771"/>
      <c r="AC2694" s="771"/>
      <c r="AD2694" s="771"/>
      <c r="AE2694" s="771"/>
      <c r="AF2694" s="771"/>
      <c r="AG2694" s="771"/>
      <c r="AH2694" s="771"/>
      <c r="AI2694" s="771"/>
      <c r="AJ2694" s="771"/>
      <c r="AK2694" s="771"/>
      <c r="AL2694" s="771"/>
      <c r="AM2694" s="771"/>
      <c r="AN2694" s="771"/>
      <c r="AO2694" s="771"/>
      <c r="AP2694" s="771"/>
      <c r="AQ2694" s="771"/>
      <c r="AR2694" s="771"/>
      <c r="AS2694" s="771"/>
      <c r="AT2694" s="771"/>
      <c r="AU2694" s="771"/>
    </row>
    <row r="2695" spans="1:47" s="1418" customFormat="1" outlineLevel="1" x14ac:dyDescent="0.2">
      <c r="A2695" s="8"/>
      <c r="B2695" s="8"/>
      <c r="C2695" s="1989" t="s">
        <v>4168</v>
      </c>
      <c r="D2695" s="1989" t="s">
        <v>6288</v>
      </c>
      <c r="E2695" s="1989">
        <v>2.8</v>
      </c>
      <c r="F2695" s="38">
        <f t="shared" si="41"/>
        <v>227.69947200000001</v>
      </c>
      <c r="G2695" s="1547"/>
      <c r="H2695" s="8"/>
      <c r="I2695" s="8"/>
      <c r="J2695" s="8"/>
      <c r="K2695" s="8"/>
      <c r="L2695" s="8"/>
      <c r="M2695" s="8"/>
      <c r="N2695" s="8"/>
      <c r="O2695" s="8"/>
      <c r="P2695" s="8"/>
      <c r="Q2695" s="8"/>
      <c r="R2695" s="8"/>
      <c r="S2695" s="8"/>
      <c r="T2695" s="8"/>
      <c r="U2695" s="8"/>
      <c r="V2695" s="8"/>
      <c r="W2695" s="8"/>
      <c r="X2695" s="771"/>
      <c r="Y2695" s="771"/>
      <c r="Z2695" s="771"/>
      <c r="AA2695" s="771"/>
      <c r="AB2695" s="771"/>
      <c r="AC2695" s="771"/>
      <c r="AD2695" s="771"/>
      <c r="AE2695" s="771"/>
      <c r="AF2695" s="771"/>
      <c r="AG2695" s="771"/>
      <c r="AH2695" s="771"/>
      <c r="AI2695" s="771"/>
      <c r="AJ2695" s="771"/>
      <c r="AK2695" s="771"/>
      <c r="AL2695" s="771"/>
      <c r="AM2695" s="771"/>
      <c r="AN2695" s="771"/>
      <c r="AO2695" s="771"/>
      <c r="AP2695" s="771"/>
      <c r="AQ2695" s="771"/>
      <c r="AR2695" s="771"/>
      <c r="AS2695" s="771"/>
      <c r="AT2695" s="771"/>
      <c r="AU2695" s="771"/>
    </row>
    <row r="2696" spans="1:47" s="1418" customFormat="1" outlineLevel="1" x14ac:dyDescent="0.2">
      <c r="A2696" s="8"/>
      <c r="B2696" s="8"/>
      <c r="C2696" s="1989" t="s">
        <v>2088</v>
      </c>
      <c r="D2696" s="1989" t="s">
        <v>6289</v>
      </c>
      <c r="E2696" s="1989">
        <v>2.04</v>
      </c>
      <c r="F2696" s="38">
        <f t="shared" ref="F2696:F2756" si="42">E2696*$G$4*$J$4</f>
        <v>165.8953296</v>
      </c>
      <c r="G2696" s="1547"/>
      <c r="H2696" s="8"/>
      <c r="I2696" s="8"/>
      <c r="J2696" s="8"/>
      <c r="K2696" s="8"/>
      <c r="L2696" s="8"/>
      <c r="M2696" s="8"/>
      <c r="N2696" s="8"/>
      <c r="O2696" s="8"/>
      <c r="P2696" s="8"/>
      <c r="Q2696" s="8"/>
      <c r="R2696" s="8"/>
      <c r="S2696" s="8"/>
      <c r="T2696" s="8"/>
      <c r="U2696" s="8"/>
      <c r="V2696" s="8"/>
      <c r="W2696" s="8"/>
      <c r="X2696" s="771"/>
      <c r="Y2696" s="771"/>
      <c r="Z2696" s="771"/>
      <c r="AA2696" s="771"/>
      <c r="AB2696" s="771"/>
      <c r="AC2696" s="771"/>
      <c r="AD2696" s="771"/>
      <c r="AE2696" s="771"/>
      <c r="AF2696" s="771"/>
      <c r="AG2696" s="771"/>
      <c r="AH2696" s="771"/>
      <c r="AI2696" s="771"/>
      <c r="AJ2696" s="771"/>
      <c r="AK2696" s="771"/>
      <c r="AL2696" s="771"/>
      <c r="AM2696" s="771"/>
      <c r="AN2696" s="771"/>
      <c r="AO2696" s="771"/>
      <c r="AP2696" s="771"/>
      <c r="AQ2696" s="771"/>
      <c r="AR2696" s="771"/>
      <c r="AS2696" s="771"/>
      <c r="AT2696" s="771"/>
      <c r="AU2696" s="771"/>
    </row>
    <row r="2697" spans="1:47" s="1418" customFormat="1" outlineLevel="1" x14ac:dyDescent="0.2">
      <c r="A2697" s="8"/>
      <c r="B2697" s="8"/>
      <c r="C2697" s="1989" t="s">
        <v>2770</v>
      </c>
      <c r="D2697" s="1989" t="s">
        <v>3343</v>
      </c>
      <c r="E2697" s="1989">
        <v>2.66</v>
      </c>
      <c r="F2697" s="38">
        <f t="shared" si="42"/>
        <v>216.31449840000002</v>
      </c>
      <c r="G2697" s="1547"/>
      <c r="H2697" s="8"/>
      <c r="I2697" s="8"/>
      <c r="J2697" s="8"/>
      <c r="K2697" s="8"/>
      <c r="L2697" s="8"/>
      <c r="M2697" s="8"/>
      <c r="N2697" s="8"/>
      <c r="O2697" s="8"/>
      <c r="P2697" s="8"/>
      <c r="Q2697" s="8"/>
      <c r="R2697" s="8"/>
      <c r="S2697" s="8"/>
      <c r="T2697" s="8"/>
      <c r="U2697" s="8"/>
      <c r="V2697" s="8"/>
      <c r="W2697" s="8"/>
      <c r="X2697" s="771"/>
      <c r="Y2697" s="771"/>
      <c r="Z2697" s="771"/>
      <c r="AA2697" s="771"/>
      <c r="AB2697" s="771"/>
      <c r="AC2697" s="771"/>
      <c r="AD2697" s="771"/>
      <c r="AE2697" s="771"/>
      <c r="AF2697" s="771"/>
      <c r="AG2697" s="771"/>
      <c r="AH2697" s="771"/>
      <c r="AI2697" s="771"/>
      <c r="AJ2697" s="771"/>
      <c r="AK2697" s="771"/>
      <c r="AL2697" s="771"/>
      <c r="AM2697" s="771"/>
      <c r="AN2697" s="771"/>
      <c r="AO2697" s="771"/>
      <c r="AP2697" s="771"/>
      <c r="AQ2697" s="771"/>
      <c r="AR2697" s="771"/>
      <c r="AS2697" s="771"/>
      <c r="AT2697" s="771"/>
      <c r="AU2697" s="771"/>
    </row>
    <row r="2698" spans="1:47" s="1418" customFormat="1" outlineLevel="1" x14ac:dyDescent="0.2">
      <c r="A2698" s="8"/>
      <c r="B2698" s="8"/>
      <c r="C2698" s="1989" t="s">
        <v>3105</v>
      </c>
      <c r="D2698" s="1989" t="s">
        <v>3106</v>
      </c>
      <c r="E2698" s="1989">
        <v>2.4700000000000002</v>
      </c>
      <c r="F2698" s="38">
        <f t="shared" si="42"/>
        <v>200.86346280000001</v>
      </c>
      <c r="G2698" s="1547"/>
      <c r="H2698" s="8"/>
      <c r="I2698" s="8"/>
      <c r="J2698" s="8"/>
      <c r="K2698" s="8"/>
      <c r="L2698" s="8"/>
      <c r="M2698" s="8"/>
      <c r="N2698" s="8"/>
      <c r="O2698" s="8"/>
      <c r="P2698" s="8"/>
      <c r="Q2698" s="8"/>
      <c r="R2698" s="8"/>
      <c r="S2698" s="8"/>
      <c r="T2698" s="8"/>
      <c r="U2698" s="8"/>
      <c r="V2698" s="8"/>
      <c r="W2698" s="8"/>
      <c r="X2698" s="771"/>
      <c r="Y2698" s="771"/>
      <c r="Z2698" s="771"/>
      <c r="AA2698" s="771"/>
      <c r="AB2698" s="771"/>
      <c r="AC2698" s="771"/>
      <c r="AD2698" s="771"/>
      <c r="AE2698" s="771"/>
      <c r="AF2698" s="771"/>
      <c r="AG2698" s="771"/>
      <c r="AH2698" s="771"/>
      <c r="AI2698" s="771"/>
      <c r="AJ2698" s="771"/>
      <c r="AK2698" s="771"/>
      <c r="AL2698" s="771"/>
      <c r="AM2698" s="771"/>
      <c r="AN2698" s="771"/>
      <c r="AO2698" s="771"/>
      <c r="AP2698" s="771"/>
      <c r="AQ2698" s="771"/>
      <c r="AR2698" s="771"/>
      <c r="AS2698" s="771"/>
      <c r="AT2698" s="771"/>
      <c r="AU2698" s="771"/>
    </row>
    <row r="2699" spans="1:47" s="1418" customFormat="1" outlineLevel="1" x14ac:dyDescent="0.2">
      <c r="A2699" s="8"/>
      <c r="B2699" s="8"/>
      <c r="C2699" s="1989" t="s">
        <v>4169</v>
      </c>
      <c r="D2699" s="1989" t="s">
        <v>4170</v>
      </c>
      <c r="E2699" s="1989">
        <v>3.08</v>
      </c>
      <c r="F2699" s="38">
        <f t="shared" si="42"/>
        <v>250.4694192</v>
      </c>
      <c r="G2699" s="1547"/>
      <c r="H2699" s="8"/>
      <c r="I2699" s="8"/>
      <c r="J2699" s="8"/>
      <c r="K2699" s="8"/>
      <c r="L2699" s="8"/>
      <c r="M2699" s="8"/>
      <c r="N2699" s="8"/>
      <c r="O2699" s="8"/>
      <c r="P2699" s="8"/>
      <c r="Q2699" s="8"/>
      <c r="R2699" s="8"/>
      <c r="S2699" s="8"/>
      <c r="T2699" s="8"/>
      <c r="U2699" s="8"/>
      <c r="V2699" s="8"/>
      <c r="W2699" s="8"/>
      <c r="X2699" s="771"/>
      <c r="Y2699" s="771"/>
      <c r="Z2699" s="771"/>
      <c r="AA2699" s="771"/>
      <c r="AB2699" s="771"/>
      <c r="AC2699" s="771"/>
      <c r="AD2699" s="771"/>
      <c r="AE2699" s="771"/>
      <c r="AF2699" s="771"/>
      <c r="AG2699" s="771"/>
      <c r="AH2699" s="771"/>
      <c r="AI2699" s="771"/>
      <c r="AJ2699" s="771"/>
      <c r="AK2699" s="771"/>
      <c r="AL2699" s="771"/>
      <c r="AM2699" s="771"/>
      <c r="AN2699" s="771"/>
      <c r="AO2699" s="771"/>
      <c r="AP2699" s="771"/>
      <c r="AQ2699" s="771"/>
      <c r="AR2699" s="771"/>
      <c r="AS2699" s="771"/>
      <c r="AT2699" s="771"/>
      <c r="AU2699" s="771"/>
    </row>
    <row r="2700" spans="1:47" s="1418" customFormat="1" outlineLevel="1" x14ac:dyDescent="0.2">
      <c r="A2700" s="8"/>
      <c r="B2700" s="8"/>
      <c r="C2700" s="1989" t="s">
        <v>1231</v>
      </c>
      <c r="D2700" s="1989" t="s">
        <v>1232</v>
      </c>
      <c r="E2700" s="1989">
        <v>2.5499999999999998</v>
      </c>
      <c r="F2700" s="38">
        <f t="shared" si="42"/>
        <v>207.36916199999999</v>
      </c>
      <c r="G2700" s="1547"/>
      <c r="H2700" s="8"/>
      <c r="I2700" s="8"/>
      <c r="J2700" s="8"/>
      <c r="K2700" s="8"/>
      <c r="L2700" s="8"/>
      <c r="M2700" s="8"/>
      <c r="N2700" s="8"/>
      <c r="O2700" s="8"/>
      <c r="P2700" s="8"/>
      <c r="Q2700" s="8"/>
      <c r="R2700" s="8"/>
      <c r="S2700" s="8"/>
      <c r="T2700" s="8"/>
      <c r="U2700" s="8"/>
      <c r="V2700" s="8"/>
      <c r="W2700" s="8"/>
      <c r="X2700" s="771"/>
      <c r="Y2700" s="771"/>
      <c r="Z2700" s="771"/>
      <c r="AA2700" s="771"/>
      <c r="AB2700" s="771"/>
      <c r="AC2700" s="771"/>
      <c r="AD2700" s="771"/>
      <c r="AE2700" s="771"/>
      <c r="AF2700" s="771"/>
      <c r="AG2700" s="771"/>
      <c r="AH2700" s="771"/>
      <c r="AI2700" s="771"/>
      <c r="AJ2700" s="771"/>
      <c r="AK2700" s="771"/>
      <c r="AL2700" s="771"/>
      <c r="AM2700" s="771"/>
      <c r="AN2700" s="771"/>
      <c r="AO2700" s="771"/>
      <c r="AP2700" s="771"/>
      <c r="AQ2700" s="771"/>
      <c r="AR2700" s="771"/>
      <c r="AS2700" s="771"/>
      <c r="AT2700" s="771"/>
      <c r="AU2700" s="771"/>
    </row>
    <row r="2701" spans="1:47" s="1418" customFormat="1" outlineLevel="1" x14ac:dyDescent="0.2">
      <c r="A2701" s="8"/>
      <c r="B2701" s="8"/>
      <c r="C2701" s="1989" t="s">
        <v>4171</v>
      </c>
      <c r="D2701" s="1989" t="s">
        <v>4172</v>
      </c>
      <c r="E2701" s="1989">
        <v>3.26</v>
      </c>
      <c r="F2701" s="38">
        <f t="shared" si="42"/>
        <v>265.10724239999996</v>
      </c>
      <c r="G2701" s="1547"/>
      <c r="H2701" s="8"/>
      <c r="I2701" s="8"/>
      <c r="J2701" s="8"/>
      <c r="K2701" s="8"/>
      <c r="L2701" s="8"/>
      <c r="M2701" s="8"/>
      <c r="N2701" s="8"/>
      <c r="O2701" s="8"/>
      <c r="P2701" s="8"/>
      <c r="Q2701" s="8"/>
      <c r="R2701" s="8"/>
      <c r="S2701" s="8"/>
      <c r="T2701" s="8"/>
      <c r="U2701" s="8"/>
      <c r="V2701" s="8"/>
      <c r="W2701" s="8"/>
      <c r="X2701" s="771"/>
      <c r="Y2701" s="771"/>
      <c r="Z2701" s="771"/>
      <c r="AA2701" s="771"/>
      <c r="AB2701" s="771"/>
      <c r="AC2701" s="771"/>
      <c r="AD2701" s="771"/>
      <c r="AE2701" s="771"/>
      <c r="AF2701" s="771"/>
      <c r="AG2701" s="771"/>
      <c r="AH2701" s="771"/>
      <c r="AI2701" s="771"/>
      <c r="AJ2701" s="771"/>
      <c r="AK2701" s="771"/>
      <c r="AL2701" s="771"/>
      <c r="AM2701" s="771"/>
      <c r="AN2701" s="771"/>
      <c r="AO2701" s="771"/>
      <c r="AP2701" s="771"/>
      <c r="AQ2701" s="771"/>
      <c r="AR2701" s="771"/>
      <c r="AS2701" s="771"/>
      <c r="AT2701" s="771"/>
      <c r="AU2701" s="771"/>
    </row>
    <row r="2702" spans="1:47" s="1418" customFormat="1" outlineLevel="1" x14ac:dyDescent="0.2">
      <c r="A2702" s="8"/>
      <c r="B2702" s="8"/>
      <c r="C2702" s="1989" t="s">
        <v>1233</v>
      </c>
      <c r="D2702" s="1989" t="s">
        <v>6290</v>
      </c>
      <c r="E2702" s="1989">
        <v>2.56</v>
      </c>
      <c r="F2702" s="38">
        <f t="shared" si="42"/>
        <v>208.18237440000001</v>
      </c>
      <c r="G2702" s="1547"/>
      <c r="H2702" s="8"/>
      <c r="I2702" s="8"/>
      <c r="J2702" s="8"/>
      <c r="K2702" s="8"/>
      <c r="L2702" s="8"/>
      <c r="M2702" s="8"/>
      <c r="N2702" s="8"/>
      <c r="O2702" s="8"/>
      <c r="P2702" s="8"/>
      <c r="Q2702" s="8"/>
      <c r="R2702" s="8"/>
      <c r="S2702" s="8"/>
      <c r="T2702" s="8"/>
      <c r="U2702" s="8"/>
      <c r="V2702" s="8"/>
      <c r="W2702" s="8"/>
      <c r="X2702" s="771"/>
      <c r="Y2702" s="771"/>
      <c r="Z2702" s="771"/>
      <c r="AA2702" s="771"/>
      <c r="AB2702" s="771"/>
      <c r="AC2702" s="771"/>
      <c r="AD2702" s="771"/>
      <c r="AE2702" s="771"/>
      <c r="AF2702" s="771"/>
      <c r="AG2702" s="771"/>
      <c r="AH2702" s="771"/>
      <c r="AI2702" s="771"/>
      <c r="AJ2702" s="771"/>
      <c r="AK2702" s="771"/>
      <c r="AL2702" s="771"/>
      <c r="AM2702" s="771"/>
      <c r="AN2702" s="771"/>
      <c r="AO2702" s="771"/>
      <c r="AP2702" s="771"/>
      <c r="AQ2702" s="771"/>
      <c r="AR2702" s="771"/>
      <c r="AS2702" s="771"/>
      <c r="AT2702" s="771"/>
      <c r="AU2702" s="771"/>
    </row>
    <row r="2703" spans="1:47" s="1418" customFormat="1" outlineLevel="1" x14ac:dyDescent="0.2">
      <c r="A2703" s="8"/>
      <c r="B2703" s="8"/>
      <c r="C2703" s="1989" t="s">
        <v>4173</v>
      </c>
      <c r="D2703" s="1989" t="s">
        <v>4174</v>
      </c>
      <c r="E2703" s="1989">
        <v>3.29</v>
      </c>
      <c r="F2703" s="38">
        <f t="shared" si="42"/>
        <v>267.54687960000001</v>
      </c>
      <c r="G2703" s="1547"/>
      <c r="H2703" s="8"/>
      <c r="I2703" s="8"/>
      <c r="J2703" s="8"/>
      <c r="K2703" s="8"/>
      <c r="L2703" s="8"/>
      <c r="M2703" s="8"/>
      <c r="N2703" s="8"/>
      <c r="O2703" s="8"/>
      <c r="P2703" s="8"/>
      <c r="Q2703" s="8"/>
      <c r="R2703" s="8"/>
      <c r="S2703" s="8"/>
      <c r="T2703" s="8"/>
      <c r="U2703" s="8"/>
      <c r="V2703" s="8"/>
      <c r="W2703" s="8"/>
      <c r="X2703" s="771"/>
      <c r="Y2703" s="771"/>
      <c r="Z2703" s="771"/>
      <c r="AA2703" s="771"/>
      <c r="AB2703" s="771"/>
      <c r="AC2703" s="771"/>
      <c r="AD2703" s="771"/>
      <c r="AE2703" s="771"/>
      <c r="AF2703" s="771"/>
      <c r="AG2703" s="771"/>
      <c r="AH2703" s="771"/>
      <c r="AI2703" s="771"/>
      <c r="AJ2703" s="771"/>
      <c r="AK2703" s="771"/>
      <c r="AL2703" s="771"/>
      <c r="AM2703" s="771"/>
      <c r="AN2703" s="771"/>
      <c r="AO2703" s="771"/>
      <c r="AP2703" s="771"/>
      <c r="AQ2703" s="771"/>
      <c r="AR2703" s="771"/>
      <c r="AS2703" s="771"/>
      <c r="AT2703" s="771"/>
      <c r="AU2703" s="771"/>
    </row>
    <row r="2704" spans="1:47" s="1418" customFormat="1" outlineLevel="1" x14ac:dyDescent="0.2">
      <c r="A2704" s="8"/>
      <c r="B2704" s="8"/>
      <c r="C2704" s="1989" t="s">
        <v>2012</v>
      </c>
      <c r="D2704" s="1989" t="s">
        <v>6291</v>
      </c>
      <c r="E2704" s="1989">
        <v>2.66</v>
      </c>
      <c r="F2704" s="38">
        <f t="shared" si="42"/>
        <v>216.31449840000002</v>
      </c>
      <c r="G2704" s="1547"/>
      <c r="H2704" s="8"/>
      <c r="I2704" s="8"/>
      <c r="J2704" s="8"/>
      <c r="K2704" s="8"/>
      <c r="L2704" s="8"/>
      <c r="M2704" s="8"/>
      <c r="N2704" s="8"/>
      <c r="O2704" s="8"/>
      <c r="P2704" s="8"/>
      <c r="Q2704" s="8"/>
      <c r="R2704" s="8"/>
      <c r="S2704" s="8"/>
      <c r="T2704" s="8"/>
      <c r="U2704" s="8"/>
      <c r="V2704" s="8"/>
      <c r="W2704" s="8"/>
      <c r="X2704" s="771"/>
      <c r="Y2704" s="771"/>
      <c r="Z2704" s="771"/>
      <c r="AA2704" s="771"/>
      <c r="AB2704" s="771"/>
      <c r="AC2704" s="771"/>
      <c r="AD2704" s="771"/>
      <c r="AE2704" s="771"/>
      <c r="AF2704" s="771"/>
      <c r="AG2704" s="771"/>
      <c r="AH2704" s="771"/>
      <c r="AI2704" s="771"/>
      <c r="AJ2704" s="771"/>
      <c r="AK2704" s="771"/>
      <c r="AL2704" s="771"/>
      <c r="AM2704" s="771"/>
      <c r="AN2704" s="771"/>
      <c r="AO2704" s="771"/>
      <c r="AP2704" s="771"/>
      <c r="AQ2704" s="771"/>
      <c r="AR2704" s="771"/>
      <c r="AS2704" s="771"/>
      <c r="AT2704" s="771"/>
      <c r="AU2704" s="771"/>
    </row>
    <row r="2705" spans="1:47" s="1418" customFormat="1" outlineLevel="1" x14ac:dyDescent="0.2">
      <c r="A2705" s="8"/>
      <c r="B2705" s="8"/>
      <c r="C2705" s="1989" t="s">
        <v>309</v>
      </c>
      <c r="D2705" s="1989" t="s">
        <v>8132</v>
      </c>
      <c r="E2705" s="1989">
        <v>1.25</v>
      </c>
      <c r="F2705" s="38">
        <f t="shared" si="42"/>
        <v>101.65155000000001</v>
      </c>
      <c r="G2705" s="1547"/>
      <c r="H2705" s="8"/>
      <c r="I2705" s="8"/>
      <c r="J2705" s="8"/>
      <c r="K2705" s="8"/>
      <c r="L2705" s="8"/>
      <c r="M2705" s="8"/>
      <c r="N2705" s="8"/>
      <c r="O2705" s="8"/>
      <c r="P2705" s="8"/>
      <c r="Q2705" s="8"/>
      <c r="R2705" s="8"/>
      <c r="S2705" s="8"/>
      <c r="T2705" s="8"/>
      <c r="U2705" s="8"/>
      <c r="V2705" s="8"/>
      <c r="W2705" s="8"/>
      <c r="X2705" s="771"/>
      <c r="Y2705" s="771"/>
      <c r="Z2705" s="771"/>
      <c r="AA2705" s="771"/>
      <c r="AB2705" s="771"/>
      <c r="AC2705" s="771"/>
      <c r="AD2705" s="771"/>
      <c r="AE2705" s="771"/>
      <c r="AF2705" s="771"/>
      <c r="AG2705" s="771"/>
      <c r="AH2705" s="771"/>
      <c r="AI2705" s="771"/>
      <c r="AJ2705" s="771"/>
      <c r="AK2705" s="771"/>
      <c r="AL2705" s="771"/>
      <c r="AM2705" s="771"/>
      <c r="AN2705" s="771"/>
      <c r="AO2705" s="771"/>
      <c r="AP2705" s="771"/>
      <c r="AQ2705" s="771"/>
      <c r="AR2705" s="771"/>
      <c r="AS2705" s="771"/>
      <c r="AT2705" s="771"/>
      <c r="AU2705" s="771"/>
    </row>
    <row r="2706" spans="1:47" s="1418" customFormat="1" outlineLevel="1" x14ac:dyDescent="0.2">
      <c r="A2706" s="8"/>
      <c r="B2706" s="8"/>
      <c r="C2706" s="1989" t="s">
        <v>310</v>
      </c>
      <c r="D2706" s="1989" t="s">
        <v>6292</v>
      </c>
      <c r="E2706" s="1989">
        <v>1.51</v>
      </c>
      <c r="F2706" s="38">
        <f t="shared" si="42"/>
        <v>122.7950724</v>
      </c>
      <c r="G2706" s="1547"/>
      <c r="H2706" s="8"/>
      <c r="I2706" s="8"/>
      <c r="J2706" s="8"/>
      <c r="K2706" s="8"/>
      <c r="L2706" s="8"/>
      <c r="M2706" s="8"/>
      <c r="N2706" s="8"/>
      <c r="O2706" s="8"/>
      <c r="P2706" s="8"/>
      <c r="Q2706" s="8"/>
      <c r="R2706" s="8"/>
      <c r="S2706" s="8"/>
      <c r="T2706" s="8"/>
      <c r="U2706" s="8"/>
      <c r="V2706" s="8"/>
      <c r="W2706" s="8"/>
      <c r="X2706" s="771"/>
      <c r="Y2706" s="771"/>
      <c r="Z2706" s="771"/>
      <c r="AA2706" s="771"/>
      <c r="AB2706" s="771"/>
      <c r="AC2706" s="771"/>
      <c r="AD2706" s="771"/>
      <c r="AE2706" s="771"/>
      <c r="AF2706" s="771"/>
      <c r="AG2706" s="771"/>
      <c r="AH2706" s="771"/>
      <c r="AI2706" s="771"/>
      <c r="AJ2706" s="771"/>
      <c r="AK2706" s="771"/>
      <c r="AL2706" s="771"/>
      <c r="AM2706" s="771"/>
      <c r="AN2706" s="771"/>
      <c r="AO2706" s="771"/>
      <c r="AP2706" s="771"/>
      <c r="AQ2706" s="771"/>
      <c r="AR2706" s="771"/>
      <c r="AS2706" s="771"/>
      <c r="AT2706" s="771"/>
      <c r="AU2706" s="771"/>
    </row>
    <row r="2707" spans="1:47" s="1418" customFormat="1" outlineLevel="1" x14ac:dyDescent="0.2">
      <c r="A2707" s="8"/>
      <c r="B2707" s="8"/>
      <c r="C2707" s="1989" t="s">
        <v>311</v>
      </c>
      <c r="D2707" s="1989" t="s">
        <v>8133</v>
      </c>
      <c r="E2707" s="1989">
        <v>1.55</v>
      </c>
      <c r="F2707" s="38">
        <f t="shared" si="42"/>
        <v>126.047922</v>
      </c>
      <c r="G2707" s="1547"/>
      <c r="H2707" s="8"/>
      <c r="I2707" s="8"/>
      <c r="J2707" s="8"/>
      <c r="K2707" s="8"/>
      <c r="L2707" s="8"/>
      <c r="M2707" s="8"/>
      <c r="N2707" s="8"/>
      <c r="O2707" s="8"/>
      <c r="P2707" s="8"/>
      <c r="Q2707" s="8"/>
      <c r="R2707" s="8"/>
      <c r="S2707" s="8"/>
      <c r="T2707" s="8"/>
      <c r="U2707" s="8"/>
      <c r="V2707" s="8"/>
      <c r="W2707" s="8"/>
      <c r="X2707" s="771"/>
      <c r="Y2707" s="771"/>
      <c r="Z2707" s="771"/>
      <c r="AA2707" s="771"/>
      <c r="AB2707" s="771"/>
      <c r="AC2707" s="771"/>
      <c r="AD2707" s="771"/>
      <c r="AE2707" s="771"/>
      <c r="AF2707" s="771"/>
      <c r="AG2707" s="771"/>
      <c r="AH2707" s="771"/>
      <c r="AI2707" s="771"/>
      <c r="AJ2707" s="771"/>
      <c r="AK2707" s="771"/>
      <c r="AL2707" s="771"/>
      <c r="AM2707" s="771"/>
      <c r="AN2707" s="771"/>
      <c r="AO2707" s="771"/>
      <c r="AP2707" s="771"/>
      <c r="AQ2707" s="771"/>
      <c r="AR2707" s="771"/>
      <c r="AS2707" s="771"/>
      <c r="AT2707" s="771"/>
      <c r="AU2707" s="771"/>
    </row>
    <row r="2708" spans="1:47" s="1418" customFormat="1" outlineLevel="1" x14ac:dyDescent="0.2">
      <c r="A2708" s="8"/>
      <c r="B2708" s="8"/>
      <c r="C2708" s="1989" t="s">
        <v>2086</v>
      </c>
      <c r="D2708" s="1989" t="s">
        <v>6293</v>
      </c>
      <c r="E2708" s="1989">
        <v>0.11</v>
      </c>
      <c r="F2708" s="38">
        <f t="shared" si="42"/>
        <v>8.9453364000000004</v>
      </c>
      <c r="G2708" s="1547"/>
      <c r="H2708" s="8"/>
      <c r="I2708" s="8"/>
      <c r="J2708" s="8"/>
      <c r="K2708" s="8"/>
      <c r="L2708" s="8"/>
      <c r="M2708" s="8"/>
      <c r="N2708" s="8"/>
      <c r="O2708" s="8"/>
      <c r="P2708" s="8"/>
      <c r="Q2708" s="8"/>
      <c r="R2708" s="8"/>
      <c r="S2708" s="8"/>
      <c r="T2708" s="8"/>
      <c r="U2708" s="8"/>
      <c r="V2708" s="8"/>
      <c r="W2708" s="8"/>
      <c r="X2708" s="771"/>
      <c r="Y2708" s="771"/>
      <c r="Z2708" s="771"/>
      <c r="AA2708" s="771"/>
      <c r="AB2708" s="771"/>
      <c r="AC2708" s="771"/>
      <c r="AD2708" s="771"/>
      <c r="AE2708" s="771"/>
      <c r="AF2708" s="771"/>
      <c r="AG2708" s="771"/>
      <c r="AH2708" s="771"/>
      <c r="AI2708" s="771"/>
      <c r="AJ2708" s="771"/>
      <c r="AK2708" s="771"/>
      <c r="AL2708" s="771"/>
      <c r="AM2708" s="771"/>
      <c r="AN2708" s="771"/>
      <c r="AO2708" s="771"/>
      <c r="AP2708" s="771"/>
      <c r="AQ2708" s="771"/>
      <c r="AR2708" s="771"/>
      <c r="AS2708" s="771"/>
      <c r="AT2708" s="771"/>
      <c r="AU2708" s="771"/>
    </row>
    <row r="2709" spans="1:47" s="1418" customFormat="1" outlineLevel="1" x14ac:dyDescent="0.2">
      <c r="A2709" s="8"/>
      <c r="B2709" s="8"/>
      <c r="C2709" s="1989" t="s">
        <v>1095</v>
      </c>
      <c r="D2709" s="1989" t="s">
        <v>6294</v>
      </c>
      <c r="E2709" s="1989">
        <v>0.38</v>
      </c>
      <c r="F2709" s="38">
        <f t="shared" si="42"/>
        <v>30.902071199999998</v>
      </c>
      <c r="G2709" s="1547"/>
      <c r="H2709" s="8"/>
      <c r="I2709" s="8"/>
      <c r="J2709" s="8"/>
      <c r="K2709" s="8"/>
      <c r="L2709" s="8"/>
      <c r="M2709" s="8"/>
      <c r="N2709" s="8"/>
      <c r="O2709" s="8"/>
      <c r="P2709" s="8"/>
      <c r="Q2709" s="8"/>
      <c r="R2709" s="8"/>
      <c r="S2709" s="8"/>
      <c r="T2709" s="8"/>
      <c r="U2709" s="8"/>
      <c r="V2709" s="8"/>
      <c r="W2709" s="8"/>
      <c r="X2709" s="771"/>
      <c r="Y2709" s="771"/>
      <c r="Z2709" s="771"/>
      <c r="AA2709" s="771"/>
      <c r="AB2709" s="771"/>
      <c r="AC2709" s="771"/>
      <c r="AD2709" s="771"/>
      <c r="AE2709" s="771"/>
      <c r="AF2709" s="771"/>
      <c r="AG2709" s="771"/>
      <c r="AH2709" s="771"/>
      <c r="AI2709" s="771"/>
      <c r="AJ2709" s="771"/>
      <c r="AK2709" s="771"/>
      <c r="AL2709" s="771"/>
      <c r="AM2709" s="771"/>
      <c r="AN2709" s="771"/>
      <c r="AO2709" s="771"/>
      <c r="AP2709" s="771"/>
      <c r="AQ2709" s="771"/>
      <c r="AR2709" s="771"/>
      <c r="AS2709" s="771"/>
      <c r="AT2709" s="771"/>
      <c r="AU2709" s="771"/>
    </row>
    <row r="2710" spans="1:47" s="1418" customFormat="1" outlineLevel="1" x14ac:dyDescent="0.2">
      <c r="A2710" s="8"/>
      <c r="B2710" s="8"/>
      <c r="C2710" s="1989" t="s">
        <v>2222</v>
      </c>
      <c r="D2710" s="1989" t="s">
        <v>6295</v>
      </c>
      <c r="E2710" s="1989">
        <v>0.26</v>
      </c>
      <c r="F2710" s="38">
        <f t="shared" si="42"/>
        <v>21.143522400000002</v>
      </c>
      <c r="G2710" s="1547"/>
      <c r="H2710" s="8"/>
      <c r="I2710" s="8"/>
      <c r="J2710" s="8"/>
      <c r="K2710" s="8"/>
      <c r="L2710" s="8"/>
      <c r="M2710" s="8"/>
      <c r="N2710" s="8"/>
      <c r="O2710" s="8"/>
      <c r="P2710" s="8"/>
      <c r="Q2710" s="8"/>
      <c r="R2710" s="8"/>
      <c r="S2710" s="8"/>
      <c r="T2710" s="8"/>
      <c r="U2710" s="8"/>
      <c r="V2710" s="8"/>
      <c r="W2710" s="8"/>
      <c r="X2710" s="771"/>
      <c r="Y2710" s="771"/>
      <c r="Z2710" s="771"/>
      <c r="AA2710" s="771"/>
      <c r="AB2710" s="771"/>
      <c r="AC2710" s="771"/>
      <c r="AD2710" s="771"/>
      <c r="AE2710" s="771"/>
      <c r="AF2710" s="771"/>
      <c r="AG2710" s="771"/>
      <c r="AH2710" s="771"/>
      <c r="AI2710" s="771"/>
      <c r="AJ2710" s="771"/>
      <c r="AK2710" s="771"/>
      <c r="AL2710" s="771"/>
      <c r="AM2710" s="771"/>
      <c r="AN2710" s="771"/>
      <c r="AO2710" s="771"/>
      <c r="AP2710" s="771"/>
      <c r="AQ2710" s="771"/>
      <c r="AR2710" s="771"/>
      <c r="AS2710" s="771"/>
      <c r="AT2710" s="771"/>
      <c r="AU2710" s="771"/>
    </row>
    <row r="2711" spans="1:47" s="1418" customFormat="1" outlineLevel="1" x14ac:dyDescent="0.2">
      <c r="A2711" s="8"/>
      <c r="B2711" s="8"/>
      <c r="C2711" s="1989" t="s">
        <v>416</v>
      </c>
      <c r="D2711" s="1989" t="s">
        <v>8134</v>
      </c>
      <c r="E2711" s="1989">
        <v>4.51</v>
      </c>
      <c r="F2711" s="38">
        <f t="shared" si="42"/>
        <v>366.7587924</v>
      </c>
      <c r="G2711" s="1547"/>
      <c r="H2711" s="8"/>
      <c r="I2711" s="8"/>
      <c r="J2711" s="8"/>
      <c r="K2711" s="8"/>
      <c r="L2711" s="8"/>
      <c r="M2711" s="8"/>
      <c r="N2711" s="8"/>
      <c r="O2711" s="8"/>
      <c r="P2711" s="8"/>
      <c r="Q2711" s="8"/>
      <c r="R2711" s="8"/>
      <c r="S2711" s="8"/>
      <c r="T2711" s="8"/>
      <c r="U2711" s="8"/>
      <c r="V2711" s="8"/>
      <c r="W2711" s="8"/>
      <c r="X2711" s="771"/>
      <c r="Y2711" s="771"/>
      <c r="Z2711" s="771"/>
      <c r="AA2711" s="771"/>
      <c r="AB2711" s="771"/>
      <c r="AC2711" s="771"/>
      <c r="AD2711" s="771"/>
      <c r="AE2711" s="771"/>
      <c r="AF2711" s="771"/>
      <c r="AG2711" s="771"/>
      <c r="AH2711" s="771"/>
      <c r="AI2711" s="771"/>
      <c r="AJ2711" s="771"/>
      <c r="AK2711" s="771"/>
      <c r="AL2711" s="771"/>
      <c r="AM2711" s="771"/>
      <c r="AN2711" s="771"/>
      <c r="AO2711" s="771"/>
      <c r="AP2711" s="771"/>
      <c r="AQ2711" s="771"/>
      <c r="AR2711" s="771"/>
      <c r="AS2711" s="771"/>
      <c r="AT2711" s="771"/>
      <c r="AU2711" s="771"/>
    </row>
    <row r="2712" spans="1:47" s="1418" customFormat="1" outlineLevel="1" x14ac:dyDescent="0.2">
      <c r="A2712" s="8"/>
      <c r="B2712" s="8"/>
      <c r="C2712" s="1989" t="s">
        <v>1247</v>
      </c>
      <c r="D2712" s="1989" t="s">
        <v>8135</v>
      </c>
      <c r="E2712" s="1989">
        <v>4.51</v>
      </c>
      <c r="F2712" s="38">
        <f t="shared" si="42"/>
        <v>366.7587924</v>
      </c>
      <c r="G2712" s="1547"/>
      <c r="H2712" s="8"/>
      <c r="I2712" s="8"/>
      <c r="J2712" s="8"/>
      <c r="K2712" s="8"/>
      <c r="L2712" s="8"/>
      <c r="M2712" s="8"/>
      <c r="N2712" s="8"/>
      <c r="O2712" s="8"/>
      <c r="P2712" s="8"/>
      <c r="Q2712" s="8"/>
      <c r="R2712" s="8"/>
      <c r="S2712" s="8"/>
      <c r="T2712" s="8"/>
      <c r="U2712" s="8"/>
      <c r="V2712" s="8"/>
      <c r="W2712" s="8"/>
      <c r="X2712" s="771"/>
      <c r="Y2712" s="771"/>
      <c r="Z2712" s="771"/>
      <c r="AA2712" s="771"/>
      <c r="AB2712" s="771"/>
      <c r="AC2712" s="771"/>
      <c r="AD2712" s="771"/>
      <c r="AE2712" s="771"/>
      <c r="AF2712" s="771"/>
      <c r="AG2712" s="771"/>
      <c r="AH2712" s="771"/>
      <c r="AI2712" s="771"/>
      <c r="AJ2712" s="771"/>
      <c r="AK2712" s="771"/>
      <c r="AL2712" s="771"/>
      <c r="AM2712" s="771"/>
      <c r="AN2712" s="771"/>
      <c r="AO2712" s="771"/>
      <c r="AP2712" s="771"/>
      <c r="AQ2712" s="771"/>
      <c r="AR2712" s="771"/>
      <c r="AS2712" s="771"/>
      <c r="AT2712" s="771"/>
      <c r="AU2712" s="771"/>
    </row>
    <row r="2713" spans="1:47" s="1418" customFormat="1" outlineLevel="1" x14ac:dyDescent="0.2">
      <c r="A2713" s="8"/>
      <c r="B2713" s="8"/>
      <c r="C2713" s="1989" t="s">
        <v>920</v>
      </c>
      <c r="D2713" s="1989" t="s">
        <v>8136</v>
      </c>
      <c r="E2713" s="1989">
        <v>4.51</v>
      </c>
      <c r="F2713" s="38">
        <f t="shared" si="42"/>
        <v>366.7587924</v>
      </c>
      <c r="G2713" s="1547"/>
      <c r="H2713" s="8"/>
      <c r="I2713" s="8"/>
      <c r="J2713" s="8"/>
      <c r="K2713" s="8"/>
      <c r="L2713" s="8"/>
      <c r="M2713" s="8"/>
      <c r="N2713" s="8"/>
      <c r="O2713" s="8"/>
      <c r="P2713" s="8"/>
      <c r="Q2713" s="8"/>
      <c r="R2713" s="8"/>
      <c r="S2713" s="8"/>
      <c r="T2713" s="8"/>
      <c r="U2713" s="8"/>
      <c r="V2713" s="8"/>
      <c r="W2713" s="8"/>
      <c r="X2713" s="771"/>
      <c r="Y2713" s="771"/>
      <c r="Z2713" s="771"/>
      <c r="AA2713" s="771"/>
      <c r="AB2713" s="771"/>
      <c r="AC2713" s="771"/>
      <c r="AD2713" s="771"/>
      <c r="AE2713" s="771"/>
      <c r="AF2713" s="771"/>
      <c r="AG2713" s="771"/>
      <c r="AH2713" s="771"/>
      <c r="AI2713" s="771"/>
      <c r="AJ2713" s="771"/>
      <c r="AK2713" s="771"/>
      <c r="AL2713" s="771"/>
      <c r="AM2713" s="771"/>
      <c r="AN2713" s="771"/>
      <c r="AO2713" s="771"/>
      <c r="AP2713" s="771"/>
      <c r="AQ2713" s="771"/>
      <c r="AR2713" s="771"/>
      <c r="AS2713" s="771"/>
      <c r="AT2713" s="771"/>
      <c r="AU2713" s="771"/>
    </row>
    <row r="2714" spans="1:47" s="1418" customFormat="1" outlineLevel="1" x14ac:dyDescent="0.2">
      <c r="A2714" s="8"/>
      <c r="B2714" s="8"/>
      <c r="C2714" s="1989" t="s">
        <v>1245</v>
      </c>
      <c r="D2714" s="1989" t="s">
        <v>8137</v>
      </c>
      <c r="E2714" s="1989">
        <v>4.1399999999999997</v>
      </c>
      <c r="F2714" s="38">
        <f t="shared" si="42"/>
        <v>336.66993359999998</v>
      </c>
      <c r="G2714" s="1547"/>
      <c r="H2714" s="8"/>
      <c r="I2714" s="8"/>
      <c r="J2714" s="8"/>
      <c r="K2714" s="8"/>
      <c r="L2714" s="8"/>
      <c r="M2714" s="8"/>
      <c r="N2714" s="8"/>
      <c r="O2714" s="8"/>
      <c r="P2714" s="8"/>
      <c r="Q2714" s="8"/>
      <c r="R2714" s="8"/>
      <c r="S2714" s="8"/>
      <c r="T2714" s="8"/>
      <c r="U2714" s="8"/>
      <c r="V2714" s="8"/>
      <c r="W2714" s="8"/>
      <c r="X2714" s="771"/>
      <c r="Y2714" s="771"/>
      <c r="Z2714" s="771"/>
      <c r="AA2714" s="771"/>
      <c r="AB2714" s="771"/>
      <c r="AC2714" s="771"/>
      <c r="AD2714" s="771"/>
      <c r="AE2714" s="771"/>
      <c r="AF2714" s="771"/>
      <c r="AG2714" s="771"/>
      <c r="AH2714" s="771"/>
      <c r="AI2714" s="771"/>
      <c r="AJ2714" s="771"/>
      <c r="AK2714" s="771"/>
      <c r="AL2714" s="771"/>
      <c r="AM2714" s="771"/>
      <c r="AN2714" s="771"/>
      <c r="AO2714" s="771"/>
      <c r="AP2714" s="771"/>
      <c r="AQ2714" s="771"/>
      <c r="AR2714" s="771"/>
      <c r="AS2714" s="771"/>
      <c r="AT2714" s="771"/>
      <c r="AU2714" s="771"/>
    </row>
    <row r="2715" spans="1:47" s="1418" customFormat="1" outlineLevel="1" x14ac:dyDescent="0.2">
      <c r="A2715" s="8"/>
      <c r="B2715" s="8"/>
      <c r="C2715" s="1989" t="s">
        <v>1246</v>
      </c>
      <c r="D2715" s="1989" t="s">
        <v>8138</v>
      </c>
      <c r="E2715" s="1989">
        <v>4.1399999999999997</v>
      </c>
      <c r="F2715" s="38">
        <f t="shared" si="42"/>
        <v>336.66993359999998</v>
      </c>
      <c r="G2715" s="1547"/>
      <c r="H2715" s="8"/>
      <c r="I2715" s="8"/>
      <c r="J2715" s="8"/>
      <c r="K2715" s="8"/>
      <c r="L2715" s="8"/>
      <c r="M2715" s="8"/>
      <c r="N2715" s="8"/>
      <c r="O2715" s="8"/>
      <c r="P2715" s="8"/>
      <c r="Q2715" s="8"/>
      <c r="R2715" s="8"/>
      <c r="S2715" s="8"/>
      <c r="T2715" s="8"/>
      <c r="U2715" s="8"/>
      <c r="V2715" s="8"/>
      <c r="W2715" s="8"/>
      <c r="X2715" s="771"/>
      <c r="Y2715" s="771"/>
      <c r="Z2715" s="771"/>
      <c r="AA2715" s="771"/>
      <c r="AB2715" s="771"/>
      <c r="AC2715" s="771"/>
      <c r="AD2715" s="771"/>
      <c r="AE2715" s="771"/>
      <c r="AF2715" s="771"/>
      <c r="AG2715" s="771"/>
      <c r="AH2715" s="771"/>
      <c r="AI2715" s="771"/>
      <c r="AJ2715" s="771"/>
      <c r="AK2715" s="771"/>
      <c r="AL2715" s="771"/>
      <c r="AM2715" s="771"/>
      <c r="AN2715" s="771"/>
      <c r="AO2715" s="771"/>
      <c r="AP2715" s="771"/>
      <c r="AQ2715" s="771"/>
      <c r="AR2715" s="771"/>
      <c r="AS2715" s="771"/>
      <c r="AT2715" s="771"/>
      <c r="AU2715" s="771"/>
    </row>
    <row r="2716" spans="1:47" s="1418" customFormat="1" outlineLevel="1" x14ac:dyDescent="0.2">
      <c r="A2716" s="8"/>
      <c r="B2716" s="8"/>
      <c r="C2716" s="1989" t="s">
        <v>417</v>
      </c>
      <c r="D2716" s="1989" t="s">
        <v>6296</v>
      </c>
      <c r="E2716" s="1989">
        <v>4.1399999999999997</v>
      </c>
      <c r="F2716" s="38">
        <f t="shared" si="42"/>
        <v>336.66993359999998</v>
      </c>
      <c r="G2716" s="1547"/>
      <c r="H2716" s="8"/>
      <c r="I2716" s="8"/>
      <c r="J2716" s="8"/>
      <c r="K2716" s="8"/>
      <c r="L2716" s="8"/>
      <c r="M2716" s="8"/>
      <c r="N2716" s="8"/>
      <c r="O2716" s="8"/>
      <c r="P2716" s="8"/>
      <c r="Q2716" s="8"/>
      <c r="R2716" s="8"/>
      <c r="S2716" s="8"/>
      <c r="T2716" s="8"/>
      <c r="U2716" s="8"/>
      <c r="V2716" s="8"/>
      <c r="W2716" s="8"/>
      <c r="X2716" s="771"/>
      <c r="Y2716" s="771"/>
      <c r="Z2716" s="771"/>
      <c r="AA2716" s="771"/>
      <c r="AB2716" s="771"/>
      <c r="AC2716" s="771"/>
      <c r="AD2716" s="771"/>
      <c r="AE2716" s="771"/>
      <c r="AF2716" s="771"/>
      <c r="AG2716" s="771"/>
      <c r="AH2716" s="771"/>
      <c r="AI2716" s="771"/>
      <c r="AJ2716" s="771"/>
      <c r="AK2716" s="771"/>
      <c r="AL2716" s="771"/>
      <c r="AM2716" s="771"/>
      <c r="AN2716" s="771"/>
      <c r="AO2716" s="771"/>
      <c r="AP2716" s="771"/>
      <c r="AQ2716" s="771"/>
      <c r="AR2716" s="771"/>
      <c r="AS2716" s="771"/>
      <c r="AT2716" s="771"/>
      <c r="AU2716" s="771"/>
    </row>
    <row r="2717" spans="1:47" s="1418" customFormat="1" outlineLevel="1" x14ac:dyDescent="0.2">
      <c r="A2717" s="8"/>
      <c r="B2717" s="8"/>
      <c r="C2717" s="1989" t="s">
        <v>1248</v>
      </c>
      <c r="D2717" s="1989" t="s">
        <v>8139</v>
      </c>
      <c r="E2717" s="1989">
        <v>3.6</v>
      </c>
      <c r="F2717" s="38">
        <f t="shared" si="42"/>
        <v>292.75646400000005</v>
      </c>
      <c r="G2717" s="1547"/>
      <c r="H2717" s="8"/>
      <c r="I2717" s="8"/>
      <c r="J2717" s="8"/>
      <c r="K2717" s="8"/>
      <c r="L2717" s="8"/>
      <c r="M2717" s="8"/>
      <c r="N2717" s="8"/>
      <c r="O2717" s="8"/>
      <c r="P2717" s="8"/>
      <c r="Q2717" s="8"/>
      <c r="R2717" s="8"/>
      <c r="S2717" s="8"/>
      <c r="T2717" s="8"/>
      <c r="U2717" s="8"/>
      <c r="V2717" s="8"/>
      <c r="W2717" s="8"/>
      <c r="X2717" s="771"/>
      <c r="Y2717" s="771"/>
      <c r="Z2717" s="771"/>
      <c r="AA2717" s="771"/>
      <c r="AB2717" s="771"/>
      <c r="AC2717" s="771"/>
      <c r="AD2717" s="771"/>
      <c r="AE2717" s="771"/>
      <c r="AF2717" s="771"/>
      <c r="AG2717" s="771"/>
      <c r="AH2717" s="771"/>
      <c r="AI2717" s="771"/>
      <c r="AJ2717" s="771"/>
      <c r="AK2717" s="771"/>
      <c r="AL2717" s="771"/>
      <c r="AM2717" s="771"/>
      <c r="AN2717" s="771"/>
      <c r="AO2717" s="771"/>
      <c r="AP2717" s="771"/>
      <c r="AQ2717" s="771"/>
      <c r="AR2717" s="771"/>
      <c r="AS2717" s="771"/>
      <c r="AT2717" s="771"/>
      <c r="AU2717" s="771"/>
    </row>
    <row r="2718" spans="1:47" s="1418" customFormat="1" outlineLevel="1" x14ac:dyDescent="0.2">
      <c r="A2718" s="8"/>
      <c r="B2718" s="8"/>
      <c r="C2718" s="1989" t="s">
        <v>418</v>
      </c>
      <c r="D2718" s="1989" t="s">
        <v>6297</v>
      </c>
      <c r="E2718" s="1989">
        <v>4.1399999999999997</v>
      </c>
      <c r="F2718" s="38">
        <f t="shared" si="42"/>
        <v>336.66993359999998</v>
      </c>
      <c r="G2718" s="1547"/>
      <c r="H2718" s="8"/>
      <c r="I2718" s="8"/>
      <c r="J2718" s="8"/>
      <c r="K2718" s="8"/>
      <c r="L2718" s="8"/>
      <c r="M2718" s="8"/>
      <c r="N2718" s="8"/>
      <c r="O2718" s="8"/>
      <c r="P2718" s="8"/>
      <c r="Q2718" s="8"/>
      <c r="R2718" s="8"/>
      <c r="S2718" s="8"/>
      <c r="T2718" s="8"/>
      <c r="U2718" s="8"/>
      <c r="V2718" s="8"/>
      <c r="W2718" s="8"/>
      <c r="X2718" s="771"/>
      <c r="Y2718" s="771"/>
      <c r="Z2718" s="771"/>
      <c r="AA2718" s="771"/>
      <c r="AB2718" s="771"/>
      <c r="AC2718" s="771"/>
      <c r="AD2718" s="771"/>
      <c r="AE2718" s="771"/>
      <c r="AF2718" s="771"/>
      <c r="AG2718" s="771"/>
      <c r="AH2718" s="771"/>
      <c r="AI2718" s="771"/>
      <c r="AJ2718" s="771"/>
      <c r="AK2718" s="771"/>
      <c r="AL2718" s="771"/>
      <c r="AM2718" s="771"/>
      <c r="AN2718" s="771"/>
      <c r="AO2718" s="771"/>
      <c r="AP2718" s="771"/>
      <c r="AQ2718" s="771"/>
      <c r="AR2718" s="771"/>
      <c r="AS2718" s="771"/>
      <c r="AT2718" s="771"/>
      <c r="AU2718" s="771"/>
    </row>
    <row r="2719" spans="1:47" s="1418" customFormat="1" outlineLevel="1" x14ac:dyDescent="0.2">
      <c r="A2719" s="8"/>
      <c r="B2719" s="8"/>
      <c r="C2719" s="1989" t="s">
        <v>946</v>
      </c>
      <c r="D2719" s="1989" t="s">
        <v>6298</v>
      </c>
      <c r="E2719" s="1989">
        <v>3.3</v>
      </c>
      <c r="F2719" s="38">
        <f t="shared" si="42"/>
        <v>268.36009200000001</v>
      </c>
      <c r="G2719" s="1547"/>
      <c r="H2719" s="8"/>
      <c r="I2719" s="8"/>
      <c r="J2719" s="8"/>
      <c r="K2719" s="8"/>
      <c r="L2719" s="8"/>
      <c r="M2719" s="8"/>
      <c r="N2719" s="8"/>
      <c r="O2719" s="8"/>
      <c r="P2719" s="8"/>
      <c r="Q2719" s="8"/>
      <c r="R2719" s="8"/>
      <c r="S2719" s="8"/>
      <c r="T2719" s="8"/>
      <c r="U2719" s="8"/>
      <c r="V2719" s="8"/>
      <c r="W2719" s="8"/>
      <c r="X2719" s="771"/>
      <c r="Y2719" s="771"/>
      <c r="Z2719" s="771"/>
      <c r="AA2719" s="771"/>
      <c r="AB2719" s="771"/>
      <c r="AC2719" s="771"/>
      <c r="AD2719" s="771"/>
      <c r="AE2719" s="771"/>
      <c r="AF2719" s="771"/>
      <c r="AG2719" s="771"/>
      <c r="AH2719" s="771"/>
      <c r="AI2719" s="771"/>
      <c r="AJ2719" s="771"/>
      <c r="AK2719" s="771"/>
      <c r="AL2719" s="771"/>
      <c r="AM2719" s="771"/>
      <c r="AN2719" s="771"/>
      <c r="AO2719" s="771"/>
      <c r="AP2719" s="771"/>
      <c r="AQ2719" s="771"/>
      <c r="AR2719" s="771"/>
      <c r="AS2719" s="771"/>
      <c r="AT2719" s="771"/>
      <c r="AU2719" s="771"/>
    </row>
    <row r="2720" spans="1:47" s="1418" customFormat="1" outlineLevel="1" x14ac:dyDescent="0.2">
      <c r="A2720" s="8"/>
      <c r="B2720" s="8"/>
      <c r="C2720" s="1989" t="s">
        <v>1718</v>
      </c>
      <c r="D2720" s="1989" t="s">
        <v>6299</v>
      </c>
      <c r="E2720" s="1989">
        <v>4.1399999999999997</v>
      </c>
      <c r="F2720" s="38">
        <f t="shared" si="42"/>
        <v>336.66993359999998</v>
      </c>
      <c r="G2720" s="1547"/>
      <c r="H2720" s="8"/>
      <c r="I2720" s="8"/>
      <c r="J2720" s="8"/>
      <c r="K2720" s="8"/>
      <c r="L2720" s="8"/>
      <c r="M2720" s="8"/>
      <c r="N2720" s="8"/>
      <c r="O2720" s="8"/>
      <c r="P2720" s="8"/>
      <c r="Q2720" s="8"/>
      <c r="R2720" s="8"/>
      <c r="S2720" s="8"/>
      <c r="T2720" s="8"/>
      <c r="U2720" s="8"/>
      <c r="V2720" s="8"/>
      <c r="W2720" s="8"/>
      <c r="X2720" s="771"/>
      <c r="Y2720" s="771"/>
      <c r="Z2720" s="771"/>
      <c r="AA2720" s="771"/>
      <c r="AB2720" s="771"/>
      <c r="AC2720" s="771"/>
      <c r="AD2720" s="771"/>
      <c r="AE2720" s="771"/>
      <c r="AF2720" s="771"/>
      <c r="AG2720" s="771"/>
      <c r="AH2720" s="771"/>
      <c r="AI2720" s="771"/>
      <c r="AJ2720" s="771"/>
      <c r="AK2720" s="771"/>
      <c r="AL2720" s="771"/>
      <c r="AM2720" s="771"/>
      <c r="AN2720" s="771"/>
      <c r="AO2720" s="771"/>
      <c r="AP2720" s="771"/>
      <c r="AQ2720" s="771"/>
      <c r="AR2720" s="771"/>
      <c r="AS2720" s="771"/>
      <c r="AT2720" s="771"/>
      <c r="AU2720" s="771"/>
    </row>
    <row r="2721" spans="1:47" s="1418" customFormat="1" outlineLevel="1" x14ac:dyDescent="0.2">
      <c r="A2721" s="8"/>
      <c r="B2721" s="8"/>
      <c r="C2721" s="1989" t="s">
        <v>1721</v>
      </c>
      <c r="D2721" s="1989" t="s">
        <v>919</v>
      </c>
      <c r="E2721" s="1989">
        <v>3.06</v>
      </c>
      <c r="F2721" s="38">
        <f t="shared" si="42"/>
        <v>248.84299440000001</v>
      </c>
      <c r="G2721" s="1547"/>
      <c r="H2721" s="8"/>
      <c r="I2721" s="8"/>
      <c r="J2721" s="8"/>
      <c r="K2721" s="8"/>
      <c r="L2721" s="8"/>
      <c r="M2721" s="8"/>
      <c r="N2721" s="8"/>
      <c r="O2721" s="8"/>
      <c r="P2721" s="8"/>
      <c r="Q2721" s="8"/>
      <c r="R2721" s="8"/>
      <c r="S2721" s="8"/>
      <c r="T2721" s="8"/>
      <c r="U2721" s="8"/>
      <c r="V2721" s="8"/>
      <c r="W2721" s="8"/>
      <c r="X2721" s="771"/>
      <c r="Y2721" s="771"/>
      <c r="Z2721" s="771"/>
      <c r="AA2721" s="771"/>
      <c r="AB2721" s="771"/>
      <c r="AC2721" s="771"/>
      <c r="AD2721" s="771"/>
      <c r="AE2721" s="771"/>
      <c r="AF2721" s="771"/>
      <c r="AG2721" s="771"/>
      <c r="AH2721" s="771"/>
      <c r="AI2721" s="771"/>
      <c r="AJ2721" s="771"/>
      <c r="AK2721" s="771"/>
      <c r="AL2721" s="771"/>
      <c r="AM2721" s="771"/>
      <c r="AN2721" s="771"/>
      <c r="AO2721" s="771"/>
      <c r="AP2721" s="771"/>
      <c r="AQ2721" s="771"/>
      <c r="AR2721" s="771"/>
      <c r="AS2721" s="771"/>
      <c r="AT2721" s="771"/>
      <c r="AU2721" s="771"/>
    </row>
    <row r="2722" spans="1:47" s="1418" customFormat="1" outlineLevel="1" x14ac:dyDescent="0.2">
      <c r="A2722" s="8"/>
      <c r="B2722" s="8"/>
      <c r="C2722" s="1989" t="s">
        <v>419</v>
      </c>
      <c r="D2722" s="1989" t="s">
        <v>8140</v>
      </c>
      <c r="E2722" s="1989">
        <v>3.32</v>
      </c>
      <c r="F2722" s="38">
        <f t="shared" si="42"/>
        <v>269.9865168</v>
      </c>
      <c r="G2722" s="1547"/>
      <c r="H2722" s="8"/>
      <c r="I2722" s="8"/>
      <c r="J2722" s="8"/>
      <c r="K2722" s="8"/>
      <c r="L2722" s="8"/>
      <c r="M2722" s="8"/>
      <c r="N2722" s="8"/>
      <c r="O2722" s="8"/>
      <c r="P2722" s="8"/>
      <c r="Q2722" s="8"/>
      <c r="R2722" s="8"/>
      <c r="S2722" s="8"/>
      <c r="T2722" s="8"/>
      <c r="U2722" s="8"/>
      <c r="V2722" s="8"/>
      <c r="W2722" s="8"/>
      <c r="X2722" s="771"/>
      <c r="Y2722" s="771"/>
      <c r="Z2722" s="771"/>
      <c r="AA2722" s="771"/>
      <c r="AB2722" s="771"/>
      <c r="AC2722" s="771"/>
      <c r="AD2722" s="771"/>
      <c r="AE2722" s="771"/>
      <c r="AF2722" s="771"/>
      <c r="AG2722" s="771"/>
      <c r="AH2722" s="771"/>
      <c r="AI2722" s="771"/>
      <c r="AJ2722" s="771"/>
      <c r="AK2722" s="771"/>
      <c r="AL2722" s="771"/>
      <c r="AM2722" s="771"/>
      <c r="AN2722" s="771"/>
      <c r="AO2722" s="771"/>
      <c r="AP2722" s="771"/>
      <c r="AQ2722" s="771"/>
      <c r="AR2722" s="771"/>
      <c r="AS2722" s="771"/>
      <c r="AT2722" s="771"/>
      <c r="AU2722" s="771"/>
    </row>
    <row r="2723" spans="1:47" s="1418" customFormat="1" outlineLevel="1" x14ac:dyDescent="0.2">
      <c r="A2723" s="8"/>
      <c r="B2723" s="8"/>
      <c r="C2723" s="1989" t="s">
        <v>1719</v>
      </c>
      <c r="D2723" s="1989" t="s">
        <v>1720</v>
      </c>
      <c r="E2723" s="1989">
        <v>3.35</v>
      </c>
      <c r="F2723" s="38">
        <f t="shared" si="42"/>
        <v>272.426154</v>
      </c>
      <c r="G2723" s="1547"/>
      <c r="H2723" s="8"/>
      <c r="I2723" s="8"/>
      <c r="J2723" s="8"/>
      <c r="K2723" s="8"/>
      <c r="L2723" s="8"/>
      <c r="M2723" s="8"/>
      <c r="N2723" s="8"/>
      <c r="O2723" s="8"/>
      <c r="P2723" s="8"/>
      <c r="Q2723" s="8"/>
      <c r="R2723" s="8"/>
      <c r="S2723" s="8"/>
      <c r="T2723" s="8"/>
      <c r="U2723" s="8"/>
      <c r="V2723" s="8"/>
      <c r="W2723" s="8"/>
      <c r="X2723" s="771"/>
      <c r="Y2723" s="771"/>
      <c r="Z2723" s="771"/>
      <c r="AA2723" s="771"/>
      <c r="AB2723" s="771"/>
      <c r="AC2723" s="771"/>
      <c r="AD2723" s="771"/>
      <c r="AE2723" s="771"/>
      <c r="AF2723" s="771"/>
      <c r="AG2723" s="771"/>
      <c r="AH2723" s="771"/>
      <c r="AI2723" s="771"/>
      <c r="AJ2723" s="771"/>
      <c r="AK2723" s="771"/>
      <c r="AL2723" s="771"/>
      <c r="AM2723" s="771"/>
      <c r="AN2723" s="771"/>
      <c r="AO2723" s="771"/>
      <c r="AP2723" s="771"/>
      <c r="AQ2723" s="771"/>
      <c r="AR2723" s="771"/>
      <c r="AS2723" s="771"/>
      <c r="AT2723" s="771"/>
      <c r="AU2723" s="771"/>
    </row>
    <row r="2724" spans="1:47" s="1418" customFormat="1" outlineLevel="1" x14ac:dyDescent="0.2">
      <c r="A2724" s="8"/>
      <c r="B2724" s="8"/>
      <c r="C2724" s="1989" t="s">
        <v>1249</v>
      </c>
      <c r="D2724" s="1989" t="s">
        <v>6300</v>
      </c>
      <c r="E2724" s="1989">
        <v>3.76</v>
      </c>
      <c r="F2724" s="38">
        <f t="shared" si="42"/>
        <v>305.76786240000001</v>
      </c>
      <c r="G2724" s="1547"/>
      <c r="H2724" s="8"/>
      <c r="I2724" s="8"/>
      <c r="J2724" s="8"/>
      <c r="K2724" s="8"/>
      <c r="L2724" s="8"/>
      <c r="M2724" s="8"/>
      <c r="N2724" s="8"/>
      <c r="O2724" s="8"/>
      <c r="P2724" s="8"/>
      <c r="Q2724" s="8"/>
      <c r="R2724" s="8"/>
      <c r="S2724" s="8"/>
      <c r="T2724" s="8"/>
      <c r="U2724" s="8"/>
      <c r="V2724" s="8"/>
      <c r="W2724" s="8"/>
      <c r="X2724" s="771"/>
      <c r="Y2724" s="771"/>
      <c r="Z2724" s="771"/>
      <c r="AA2724" s="771"/>
      <c r="AB2724" s="771"/>
      <c r="AC2724" s="771"/>
      <c r="AD2724" s="771"/>
      <c r="AE2724" s="771"/>
      <c r="AF2724" s="771"/>
      <c r="AG2724" s="771"/>
      <c r="AH2724" s="771"/>
      <c r="AI2724" s="771"/>
      <c r="AJ2724" s="771"/>
      <c r="AK2724" s="771"/>
      <c r="AL2724" s="771"/>
      <c r="AM2724" s="771"/>
      <c r="AN2724" s="771"/>
      <c r="AO2724" s="771"/>
      <c r="AP2724" s="771"/>
      <c r="AQ2724" s="771"/>
      <c r="AR2724" s="771"/>
      <c r="AS2724" s="771"/>
      <c r="AT2724" s="771"/>
      <c r="AU2724" s="771"/>
    </row>
    <row r="2725" spans="1:47" s="1418" customFormat="1" outlineLevel="1" x14ac:dyDescent="0.2">
      <c r="A2725" s="8"/>
      <c r="B2725" s="8"/>
      <c r="C2725" s="1989" t="s">
        <v>4175</v>
      </c>
      <c r="D2725" s="1989" t="s">
        <v>4176</v>
      </c>
      <c r="E2725" s="1989">
        <v>5.0999999999999996</v>
      </c>
      <c r="F2725" s="38">
        <f t="shared" si="42"/>
        <v>414.73832399999998</v>
      </c>
      <c r="G2725" s="1547"/>
      <c r="H2725" s="8"/>
      <c r="I2725" s="8"/>
      <c r="J2725" s="8"/>
      <c r="K2725" s="8"/>
      <c r="L2725" s="8"/>
      <c r="M2725" s="8"/>
      <c r="N2725" s="8"/>
      <c r="O2725" s="8"/>
      <c r="P2725" s="8"/>
      <c r="Q2725" s="8"/>
      <c r="R2725" s="8"/>
      <c r="S2725" s="8"/>
      <c r="T2725" s="8"/>
      <c r="U2725" s="8"/>
      <c r="V2725" s="8"/>
      <c r="W2725" s="8"/>
      <c r="X2725" s="771"/>
      <c r="Y2725" s="771"/>
      <c r="Z2725" s="771"/>
      <c r="AA2725" s="771"/>
      <c r="AB2725" s="771"/>
      <c r="AC2725" s="771"/>
      <c r="AD2725" s="771"/>
      <c r="AE2725" s="771"/>
      <c r="AF2725" s="771"/>
      <c r="AG2725" s="771"/>
      <c r="AH2725" s="771"/>
      <c r="AI2725" s="771"/>
      <c r="AJ2725" s="771"/>
      <c r="AK2725" s="771"/>
      <c r="AL2725" s="771"/>
      <c r="AM2725" s="771"/>
      <c r="AN2725" s="771"/>
      <c r="AO2725" s="771"/>
      <c r="AP2725" s="771"/>
      <c r="AQ2725" s="771"/>
      <c r="AR2725" s="771"/>
      <c r="AS2725" s="771"/>
      <c r="AT2725" s="771"/>
      <c r="AU2725" s="771"/>
    </row>
    <row r="2726" spans="1:47" s="1418" customFormat="1" outlineLevel="1" x14ac:dyDescent="0.2">
      <c r="A2726" s="8"/>
      <c r="B2726" s="8"/>
      <c r="C2726" s="1989" t="s">
        <v>1098</v>
      </c>
      <c r="D2726" s="1989" t="s">
        <v>1300</v>
      </c>
      <c r="E2726" s="1989">
        <v>4.8099999999999996</v>
      </c>
      <c r="F2726" s="38">
        <f t="shared" si="42"/>
        <v>391.15516439999999</v>
      </c>
      <c r="G2726" s="1547"/>
      <c r="H2726" s="8"/>
      <c r="I2726" s="8"/>
      <c r="J2726" s="8"/>
      <c r="K2726" s="8"/>
      <c r="L2726" s="8"/>
      <c r="M2726" s="8"/>
      <c r="N2726" s="8"/>
      <c r="O2726" s="8"/>
      <c r="P2726" s="8"/>
      <c r="Q2726" s="8"/>
      <c r="R2726" s="8"/>
      <c r="S2726" s="8"/>
      <c r="T2726" s="8"/>
      <c r="U2726" s="8"/>
      <c r="V2726" s="8"/>
      <c r="W2726" s="8"/>
      <c r="X2726" s="771"/>
      <c r="Y2726" s="771"/>
      <c r="Z2726" s="771"/>
      <c r="AA2726" s="771"/>
      <c r="AB2726" s="771"/>
      <c r="AC2726" s="771"/>
      <c r="AD2726" s="771"/>
      <c r="AE2726" s="771"/>
      <c r="AF2726" s="771"/>
      <c r="AG2726" s="771"/>
      <c r="AH2726" s="771"/>
      <c r="AI2726" s="771"/>
      <c r="AJ2726" s="771"/>
      <c r="AK2726" s="771"/>
      <c r="AL2726" s="771"/>
      <c r="AM2726" s="771"/>
      <c r="AN2726" s="771"/>
      <c r="AO2726" s="771"/>
      <c r="AP2726" s="771"/>
      <c r="AQ2726" s="771"/>
      <c r="AR2726" s="771"/>
      <c r="AS2726" s="771"/>
      <c r="AT2726" s="771"/>
      <c r="AU2726" s="771"/>
    </row>
    <row r="2727" spans="1:47" s="1418" customFormat="1" outlineLevel="1" x14ac:dyDescent="0.2">
      <c r="A2727" s="8"/>
      <c r="B2727" s="8"/>
      <c r="C2727" s="1989" t="s">
        <v>1096</v>
      </c>
      <c r="D2727" s="1989" t="s">
        <v>1097</v>
      </c>
      <c r="E2727" s="1989">
        <v>5.03</v>
      </c>
      <c r="F2727" s="38">
        <f t="shared" si="42"/>
        <v>409.04583720000005</v>
      </c>
      <c r="G2727" s="1547"/>
      <c r="H2727" s="8"/>
      <c r="I2727" s="8"/>
      <c r="J2727" s="8"/>
      <c r="K2727" s="8"/>
      <c r="L2727" s="8"/>
      <c r="M2727" s="8"/>
      <c r="N2727" s="8"/>
      <c r="O2727" s="8"/>
      <c r="P2727" s="8"/>
      <c r="Q2727" s="8"/>
      <c r="R2727" s="8"/>
      <c r="S2727" s="8"/>
      <c r="T2727" s="8"/>
      <c r="U2727" s="8"/>
      <c r="V2727" s="8"/>
      <c r="W2727" s="8"/>
      <c r="X2727" s="771"/>
      <c r="Y2727" s="771"/>
      <c r="Z2727" s="771"/>
      <c r="AA2727" s="771"/>
      <c r="AB2727" s="771"/>
      <c r="AC2727" s="771"/>
      <c r="AD2727" s="771"/>
      <c r="AE2727" s="771"/>
      <c r="AF2727" s="771"/>
      <c r="AG2727" s="771"/>
      <c r="AH2727" s="771"/>
      <c r="AI2727" s="771"/>
      <c r="AJ2727" s="771"/>
      <c r="AK2727" s="771"/>
      <c r="AL2727" s="771"/>
      <c r="AM2727" s="771"/>
      <c r="AN2727" s="771"/>
      <c r="AO2727" s="771"/>
      <c r="AP2727" s="771"/>
      <c r="AQ2727" s="771"/>
      <c r="AR2727" s="771"/>
      <c r="AS2727" s="771"/>
      <c r="AT2727" s="771"/>
      <c r="AU2727" s="771"/>
    </row>
    <row r="2728" spans="1:47" s="1418" customFormat="1" outlineLevel="1" x14ac:dyDescent="0.2">
      <c r="A2728" s="8"/>
      <c r="B2728" s="8"/>
      <c r="C2728" s="1989" t="s">
        <v>4177</v>
      </c>
      <c r="D2728" s="1989" t="s">
        <v>4178</v>
      </c>
      <c r="E2728" s="1989">
        <v>4.7</v>
      </c>
      <c r="F2728" s="38">
        <f t="shared" si="42"/>
        <v>382.20982800000002</v>
      </c>
      <c r="G2728" s="1547"/>
      <c r="H2728" s="8"/>
      <c r="I2728" s="8"/>
      <c r="J2728" s="8"/>
      <c r="K2728" s="8"/>
      <c r="L2728" s="8"/>
      <c r="M2728" s="8"/>
      <c r="N2728" s="8"/>
      <c r="O2728" s="8"/>
      <c r="P2728" s="8"/>
      <c r="Q2728" s="8"/>
      <c r="R2728" s="8"/>
      <c r="S2728" s="8"/>
      <c r="T2728" s="8"/>
      <c r="U2728" s="8"/>
      <c r="V2728" s="8"/>
      <c r="W2728" s="8"/>
      <c r="X2728" s="771"/>
      <c r="Y2728" s="771"/>
      <c r="Z2728" s="771"/>
      <c r="AA2728" s="771"/>
      <c r="AB2728" s="771"/>
      <c r="AC2728" s="771"/>
      <c r="AD2728" s="771"/>
      <c r="AE2728" s="771"/>
      <c r="AF2728" s="771"/>
      <c r="AG2728" s="771"/>
      <c r="AH2728" s="771"/>
      <c r="AI2728" s="771"/>
      <c r="AJ2728" s="771"/>
      <c r="AK2728" s="771"/>
      <c r="AL2728" s="771"/>
      <c r="AM2728" s="771"/>
      <c r="AN2728" s="771"/>
      <c r="AO2728" s="771"/>
      <c r="AP2728" s="771"/>
      <c r="AQ2728" s="771"/>
      <c r="AR2728" s="771"/>
      <c r="AS2728" s="771"/>
      <c r="AT2728" s="771"/>
      <c r="AU2728" s="771"/>
    </row>
    <row r="2729" spans="1:47" s="1418" customFormat="1" outlineLevel="1" x14ac:dyDescent="0.2">
      <c r="A2729" s="8"/>
      <c r="B2729" s="8"/>
      <c r="C2729" s="1989" t="s">
        <v>3344</v>
      </c>
      <c r="D2729" s="1989" t="s">
        <v>6301</v>
      </c>
      <c r="E2729" s="1989">
        <v>2.5499999999999998</v>
      </c>
      <c r="F2729" s="38">
        <f t="shared" si="42"/>
        <v>207.36916199999999</v>
      </c>
      <c r="G2729" s="1547"/>
      <c r="H2729" s="8"/>
      <c r="I2729" s="8"/>
      <c r="J2729" s="8"/>
      <c r="K2729" s="8"/>
      <c r="L2729" s="8"/>
      <c r="M2729" s="8"/>
      <c r="N2729" s="8"/>
      <c r="O2729" s="8"/>
      <c r="P2729" s="8"/>
      <c r="Q2729" s="8"/>
      <c r="R2729" s="8"/>
      <c r="S2729" s="8"/>
      <c r="T2729" s="8"/>
      <c r="U2729" s="8"/>
      <c r="V2729" s="8"/>
      <c r="W2729" s="8"/>
      <c r="X2729" s="771"/>
      <c r="Y2729" s="771"/>
      <c r="Z2729" s="771"/>
      <c r="AA2729" s="771"/>
      <c r="AB2729" s="771"/>
      <c r="AC2729" s="771"/>
      <c r="AD2729" s="771"/>
      <c r="AE2729" s="771"/>
      <c r="AF2729" s="771"/>
      <c r="AG2729" s="771"/>
      <c r="AH2729" s="771"/>
      <c r="AI2729" s="771"/>
      <c r="AJ2729" s="771"/>
      <c r="AK2729" s="771"/>
      <c r="AL2729" s="771"/>
      <c r="AM2729" s="771"/>
      <c r="AN2729" s="771"/>
      <c r="AO2729" s="771"/>
      <c r="AP2729" s="771"/>
      <c r="AQ2729" s="771"/>
      <c r="AR2729" s="771"/>
      <c r="AS2729" s="771"/>
      <c r="AT2729" s="771"/>
      <c r="AU2729" s="771"/>
    </row>
    <row r="2730" spans="1:47" s="1418" customFormat="1" outlineLevel="1" x14ac:dyDescent="0.2">
      <c r="A2730" s="8"/>
      <c r="B2730" s="8"/>
      <c r="C2730" s="1989" t="s">
        <v>547</v>
      </c>
      <c r="D2730" s="1989" t="s">
        <v>6302</v>
      </c>
      <c r="E2730" s="1989">
        <v>0.02</v>
      </c>
      <c r="F2730" s="38">
        <f t="shared" si="42"/>
        <v>1.6264248000000001</v>
      </c>
      <c r="G2730" s="1547"/>
      <c r="H2730" s="8"/>
      <c r="I2730" s="8"/>
      <c r="J2730" s="8"/>
      <c r="K2730" s="8"/>
      <c r="L2730" s="8"/>
      <c r="M2730" s="8"/>
      <c r="N2730" s="8"/>
      <c r="O2730" s="8"/>
      <c r="P2730" s="8"/>
      <c r="Q2730" s="8"/>
      <c r="R2730" s="8"/>
      <c r="S2730" s="8"/>
      <c r="T2730" s="8"/>
      <c r="U2730" s="8"/>
      <c r="V2730" s="8"/>
      <c r="W2730" s="8"/>
      <c r="X2730" s="771"/>
      <c r="Y2730" s="771"/>
      <c r="Z2730" s="771"/>
      <c r="AA2730" s="771"/>
      <c r="AB2730" s="771"/>
      <c r="AC2730" s="771"/>
      <c r="AD2730" s="771"/>
      <c r="AE2730" s="771"/>
      <c r="AF2730" s="771"/>
      <c r="AG2730" s="771"/>
      <c r="AH2730" s="771"/>
      <c r="AI2730" s="771"/>
      <c r="AJ2730" s="771"/>
      <c r="AK2730" s="771"/>
      <c r="AL2730" s="771"/>
      <c r="AM2730" s="771"/>
      <c r="AN2730" s="771"/>
      <c r="AO2730" s="771"/>
      <c r="AP2730" s="771"/>
      <c r="AQ2730" s="771"/>
      <c r="AR2730" s="771"/>
      <c r="AS2730" s="771"/>
      <c r="AT2730" s="771"/>
      <c r="AU2730" s="771"/>
    </row>
    <row r="2731" spans="1:47" s="1418" customFormat="1" outlineLevel="1" x14ac:dyDescent="0.2">
      <c r="A2731" s="8"/>
      <c r="B2731" s="8"/>
      <c r="C2731" s="1989" t="s">
        <v>548</v>
      </c>
      <c r="D2731" s="1989" t="s">
        <v>2005</v>
      </c>
      <c r="E2731" s="1989">
        <v>0.02</v>
      </c>
      <c r="F2731" s="38">
        <f t="shared" si="42"/>
        <v>1.6264248000000001</v>
      </c>
      <c r="G2731" s="1547"/>
      <c r="H2731" s="8"/>
      <c r="I2731" s="8"/>
      <c r="J2731" s="8"/>
      <c r="K2731" s="8"/>
      <c r="L2731" s="8"/>
      <c r="M2731" s="8"/>
      <c r="N2731" s="8"/>
      <c r="O2731" s="8"/>
      <c r="P2731" s="8"/>
      <c r="Q2731" s="8"/>
      <c r="R2731" s="8"/>
      <c r="S2731" s="8"/>
      <c r="T2731" s="8"/>
      <c r="U2731" s="8"/>
      <c r="V2731" s="8"/>
      <c r="W2731" s="8"/>
      <c r="X2731" s="771"/>
      <c r="Y2731" s="771"/>
      <c r="Z2731" s="771"/>
      <c r="AA2731" s="771"/>
      <c r="AB2731" s="771"/>
      <c r="AC2731" s="771"/>
      <c r="AD2731" s="771"/>
      <c r="AE2731" s="771"/>
      <c r="AF2731" s="771"/>
      <c r="AG2731" s="771"/>
      <c r="AH2731" s="771"/>
      <c r="AI2731" s="771"/>
      <c r="AJ2731" s="771"/>
      <c r="AK2731" s="771"/>
      <c r="AL2731" s="771"/>
      <c r="AM2731" s="771"/>
      <c r="AN2731" s="771"/>
      <c r="AO2731" s="771"/>
      <c r="AP2731" s="771"/>
      <c r="AQ2731" s="771"/>
      <c r="AR2731" s="771"/>
      <c r="AS2731" s="771"/>
      <c r="AT2731" s="771"/>
      <c r="AU2731" s="771"/>
    </row>
    <row r="2732" spans="1:47" s="1418" customFormat="1" outlineLevel="1" x14ac:dyDescent="0.2">
      <c r="A2732" s="8"/>
      <c r="B2732" s="8"/>
      <c r="C2732" s="1989" t="s">
        <v>822</v>
      </c>
      <c r="D2732" s="1989" t="s">
        <v>6303</v>
      </c>
      <c r="E2732" s="1989">
        <v>0.05</v>
      </c>
      <c r="F2732" s="38">
        <f t="shared" si="42"/>
        <v>4.0660620000000005</v>
      </c>
      <c r="G2732" s="1547"/>
      <c r="H2732" s="8"/>
      <c r="I2732" s="8"/>
      <c r="J2732" s="8"/>
      <c r="K2732" s="8"/>
      <c r="L2732" s="8"/>
      <c r="M2732" s="8"/>
      <c r="N2732" s="8"/>
      <c r="O2732" s="8"/>
      <c r="P2732" s="8"/>
      <c r="Q2732" s="8"/>
      <c r="R2732" s="8"/>
      <c r="S2732" s="8"/>
      <c r="T2732" s="8"/>
      <c r="U2732" s="8"/>
      <c r="V2732" s="8"/>
      <c r="W2732" s="8"/>
      <c r="X2732" s="771"/>
      <c r="Y2732" s="771"/>
      <c r="Z2732" s="771"/>
      <c r="AA2732" s="771"/>
      <c r="AB2732" s="771"/>
      <c r="AC2732" s="771"/>
      <c r="AD2732" s="771"/>
      <c r="AE2732" s="771"/>
      <c r="AF2732" s="771"/>
      <c r="AG2732" s="771"/>
      <c r="AH2732" s="771"/>
      <c r="AI2732" s="771"/>
      <c r="AJ2732" s="771"/>
      <c r="AK2732" s="771"/>
      <c r="AL2732" s="771"/>
      <c r="AM2732" s="771"/>
      <c r="AN2732" s="771"/>
      <c r="AO2732" s="771"/>
      <c r="AP2732" s="771"/>
      <c r="AQ2732" s="771"/>
      <c r="AR2732" s="771"/>
      <c r="AS2732" s="771"/>
      <c r="AT2732" s="771"/>
      <c r="AU2732" s="771"/>
    </row>
    <row r="2733" spans="1:47" s="1418" customFormat="1" outlineLevel="1" x14ac:dyDescent="0.2">
      <c r="A2733" s="8"/>
      <c r="B2733" s="8"/>
      <c r="C2733" s="1989" t="s">
        <v>2425</v>
      </c>
      <c r="D2733" s="1989" t="s">
        <v>6304</v>
      </c>
      <c r="E2733" s="1989">
        <v>0.09</v>
      </c>
      <c r="F2733" s="38">
        <f t="shared" si="42"/>
        <v>7.3189116000000007</v>
      </c>
      <c r="G2733" s="1547"/>
      <c r="H2733" s="8"/>
      <c r="I2733" s="8"/>
      <c r="J2733" s="8"/>
      <c r="K2733" s="8"/>
      <c r="L2733" s="8"/>
      <c r="M2733" s="8"/>
      <c r="N2733" s="8"/>
      <c r="O2733" s="8"/>
      <c r="P2733" s="8"/>
      <c r="Q2733" s="8"/>
      <c r="R2733" s="8"/>
      <c r="S2733" s="8"/>
      <c r="T2733" s="8"/>
      <c r="U2733" s="8"/>
      <c r="V2733" s="8"/>
      <c r="W2733" s="8"/>
      <c r="X2733" s="771"/>
      <c r="Y2733" s="771"/>
      <c r="Z2733" s="771"/>
      <c r="AA2733" s="771"/>
      <c r="AB2733" s="771"/>
      <c r="AC2733" s="771"/>
      <c r="AD2733" s="771"/>
      <c r="AE2733" s="771"/>
      <c r="AF2733" s="771"/>
      <c r="AG2733" s="771"/>
      <c r="AH2733" s="771"/>
      <c r="AI2733" s="771"/>
      <c r="AJ2733" s="771"/>
      <c r="AK2733" s="771"/>
      <c r="AL2733" s="771"/>
      <c r="AM2733" s="771"/>
      <c r="AN2733" s="771"/>
      <c r="AO2733" s="771"/>
      <c r="AP2733" s="771"/>
      <c r="AQ2733" s="771"/>
      <c r="AR2733" s="771"/>
      <c r="AS2733" s="771"/>
      <c r="AT2733" s="771"/>
      <c r="AU2733" s="771"/>
    </row>
    <row r="2734" spans="1:47" s="1418" customFormat="1" outlineLevel="1" x14ac:dyDescent="0.2">
      <c r="A2734" s="8"/>
      <c r="B2734" s="8"/>
      <c r="C2734" s="1989" t="s">
        <v>2426</v>
      </c>
      <c r="D2734" s="1989" t="s">
        <v>8141</v>
      </c>
      <c r="E2734" s="1989">
        <v>0.09</v>
      </c>
      <c r="F2734" s="38">
        <f t="shared" si="42"/>
        <v>7.3189116000000007</v>
      </c>
      <c r="G2734" s="1547"/>
      <c r="H2734" s="8"/>
      <c r="I2734" s="8"/>
      <c r="J2734" s="8"/>
      <c r="K2734" s="8"/>
      <c r="L2734" s="8"/>
      <c r="M2734" s="8"/>
      <c r="N2734" s="8"/>
      <c r="O2734" s="8"/>
      <c r="P2734" s="8"/>
      <c r="Q2734" s="8"/>
      <c r="R2734" s="8"/>
      <c r="S2734" s="8"/>
      <c r="T2734" s="8"/>
      <c r="U2734" s="8"/>
      <c r="V2734" s="8"/>
      <c r="W2734" s="8"/>
      <c r="X2734" s="771"/>
      <c r="Y2734" s="771"/>
      <c r="Z2734" s="771"/>
      <c r="AA2734" s="771"/>
      <c r="AB2734" s="771"/>
      <c r="AC2734" s="771"/>
      <c r="AD2734" s="771"/>
      <c r="AE2734" s="771"/>
      <c r="AF2734" s="771"/>
      <c r="AG2734" s="771"/>
      <c r="AH2734" s="771"/>
      <c r="AI2734" s="771"/>
      <c r="AJ2734" s="771"/>
      <c r="AK2734" s="771"/>
      <c r="AL2734" s="771"/>
      <c r="AM2734" s="771"/>
      <c r="AN2734" s="771"/>
      <c r="AO2734" s="771"/>
      <c r="AP2734" s="771"/>
      <c r="AQ2734" s="771"/>
      <c r="AR2734" s="771"/>
      <c r="AS2734" s="771"/>
      <c r="AT2734" s="771"/>
      <c r="AU2734" s="771"/>
    </row>
    <row r="2735" spans="1:47" s="1418" customFormat="1" outlineLevel="1" x14ac:dyDescent="0.2">
      <c r="A2735" s="8"/>
      <c r="B2735" s="8"/>
      <c r="C2735" s="1989" t="s">
        <v>826</v>
      </c>
      <c r="D2735" s="1989" t="s">
        <v>8142</v>
      </c>
      <c r="E2735" s="1989">
        <v>2.04</v>
      </c>
      <c r="F2735" s="38">
        <f t="shared" si="42"/>
        <v>165.8953296</v>
      </c>
      <c r="G2735" s="1547"/>
      <c r="H2735" s="8"/>
      <c r="I2735" s="8"/>
      <c r="J2735" s="8"/>
      <c r="K2735" s="8"/>
      <c r="L2735" s="8"/>
      <c r="M2735" s="8"/>
      <c r="N2735" s="8"/>
      <c r="O2735" s="8"/>
      <c r="P2735" s="8"/>
      <c r="Q2735" s="8"/>
      <c r="R2735" s="8"/>
      <c r="S2735" s="8"/>
      <c r="T2735" s="8"/>
      <c r="U2735" s="8"/>
      <c r="V2735" s="8"/>
      <c r="W2735" s="8"/>
      <c r="X2735" s="771"/>
      <c r="Y2735" s="771"/>
      <c r="Z2735" s="771"/>
      <c r="AA2735" s="771"/>
      <c r="AB2735" s="771"/>
      <c r="AC2735" s="771"/>
      <c r="AD2735" s="771"/>
      <c r="AE2735" s="771"/>
      <c r="AF2735" s="771"/>
      <c r="AG2735" s="771"/>
      <c r="AH2735" s="771"/>
      <c r="AI2735" s="771"/>
      <c r="AJ2735" s="771"/>
      <c r="AK2735" s="771"/>
      <c r="AL2735" s="771"/>
      <c r="AM2735" s="771"/>
      <c r="AN2735" s="771"/>
      <c r="AO2735" s="771"/>
      <c r="AP2735" s="771"/>
      <c r="AQ2735" s="771"/>
      <c r="AR2735" s="771"/>
      <c r="AS2735" s="771"/>
      <c r="AT2735" s="771"/>
      <c r="AU2735" s="771"/>
    </row>
    <row r="2736" spans="1:47" s="1418" customFormat="1" outlineLevel="1" x14ac:dyDescent="0.2">
      <c r="A2736" s="8"/>
      <c r="B2736" s="8"/>
      <c r="C2736" s="1989" t="s">
        <v>566</v>
      </c>
      <c r="D2736" s="1989" t="s">
        <v>567</v>
      </c>
      <c r="E2736" s="1989">
        <v>2.34</v>
      </c>
      <c r="F2736" s="38">
        <f t="shared" si="42"/>
        <v>190.29170160000001</v>
      </c>
      <c r="G2736" s="1547"/>
      <c r="H2736" s="8"/>
      <c r="I2736" s="8"/>
      <c r="J2736" s="8"/>
      <c r="K2736" s="8"/>
      <c r="L2736" s="8"/>
      <c r="M2736" s="8"/>
      <c r="N2736" s="8"/>
      <c r="O2736" s="8"/>
      <c r="P2736" s="8"/>
      <c r="Q2736" s="8"/>
      <c r="R2736" s="8"/>
      <c r="S2736" s="8"/>
      <c r="T2736" s="8"/>
      <c r="U2736" s="8"/>
      <c r="V2736" s="8"/>
      <c r="W2736" s="8"/>
      <c r="X2736" s="771"/>
      <c r="Y2736" s="771"/>
      <c r="Z2736" s="771"/>
      <c r="AA2736" s="771"/>
      <c r="AB2736" s="771"/>
      <c r="AC2736" s="771"/>
      <c r="AD2736" s="771"/>
      <c r="AE2736" s="771"/>
      <c r="AF2736" s="771"/>
      <c r="AG2736" s="771"/>
      <c r="AH2736" s="771"/>
      <c r="AI2736" s="771"/>
      <c r="AJ2736" s="771"/>
      <c r="AK2736" s="771"/>
      <c r="AL2736" s="771"/>
      <c r="AM2736" s="771"/>
      <c r="AN2736" s="771"/>
      <c r="AO2736" s="771"/>
      <c r="AP2736" s="771"/>
      <c r="AQ2736" s="771"/>
      <c r="AR2736" s="771"/>
      <c r="AS2736" s="771"/>
      <c r="AT2736" s="771"/>
      <c r="AU2736" s="771"/>
    </row>
    <row r="2737" spans="1:47" s="1418" customFormat="1" outlineLevel="1" x14ac:dyDescent="0.2">
      <c r="A2737" s="8"/>
      <c r="B2737" s="8"/>
      <c r="C2737" s="1989" t="s">
        <v>2432</v>
      </c>
      <c r="D2737" s="1989" t="s">
        <v>2433</v>
      </c>
      <c r="E2737" s="1989">
        <v>0.5</v>
      </c>
      <c r="F2737" s="38">
        <f t="shared" si="42"/>
        <v>40.660620000000002</v>
      </c>
      <c r="G2737" s="1547"/>
      <c r="H2737" s="8"/>
      <c r="I2737" s="8"/>
      <c r="J2737" s="8"/>
      <c r="K2737" s="8"/>
      <c r="L2737" s="8"/>
      <c r="M2737" s="8"/>
      <c r="N2737" s="8"/>
      <c r="O2737" s="8"/>
      <c r="P2737" s="8"/>
      <c r="Q2737" s="8"/>
      <c r="R2737" s="8"/>
      <c r="S2737" s="8"/>
      <c r="T2737" s="8"/>
      <c r="U2737" s="8"/>
      <c r="V2737" s="8"/>
      <c r="W2737" s="8"/>
      <c r="X2737" s="771"/>
      <c r="Y2737" s="771"/>
      <c r="Z2737" s="771"/>
      <c r="AA2737" s="771"/>
      <c r="AB2737" s="771"/>
      <c r="AC2737" s="771"/>
      <c r="AD2737" s="771"/>
      <c r="AE2737" s="771"/>
      <c r="AF2737" s="771"/>
      <c r="AG2737" s="771"/>
      <c r="AH2737" s="771"/>
      <c r="AI2737" s="771"/>
      <c r="AJ2737" s="771"/>
      <c r="AK2737" s="771"/>
      <c r="AL2737" s="771"/>
      <c r="AM2737" s="771"/>
      <c r="AN2737" s="771"/>
      <c r="AO2737" s="771"/>
      <c r="AP2737" s="771"/>
      <c r="AQ2737" s="771"/>
      <c r="AR2737" s="771"/>
      <c r="AS2737" s="771"/>
      <c r="AT2737" s="771"/>
      <c r="AU2737" s="771"/>
    </row>
    <row r="2738" spans="1:47" s="1418" customFormat="1" outlineLevel="1" x14ac:dyDescent="0.2">
      <c r="A2738" s="8"/>
      <c r="B2738" s="8"/>
      <c r="C2738" s="1989" t="s">
        <v>830</v>
      </c>
      <c r="D2738" s="1989" t="s">
        <v>6305</v>
      </c>
      <c r="E2738" s="1989">
        <v>2.31</v>
      </c>
      <c r="F2738" s="38">
        <f t="shared" si="42"/>
        <v>187.85206439999999</v>
      </c>
      <c r="G2738" s="1547"/>
      <c r="H2738" s="8"/>
      <c r="I2738" s="8"/>
      <c r="J2738" s="8"/>
      <c r="K2738" s="8"/>
      <c r="L2738" s="8"/>
      <c r="M2738" s="8"/>
      <c r="N2738" s="8"/>
      <c r="O2738" s="8"/>
      <c r="P2738" s="8"/>
      <c r="Q2738" s="8"/>
      <c r="R2738" s="8"/>
      <c r="S2738" s="8"/>
      <c r="T2738" s="8"/>
      <c r="U2738" s="8"/>
      <c r="V2738" s="8"/>
      <c r="W2738" s="8"/>
      <c r="X2738" s="771"/>
      <c r="Y2738" s="771"/>
      <c r="Z2738" s="771"/>
      <c r="AA2738" s="771"/>
      <c r="AB2738" s="771"/>
      <c r="AC2738" s="771"/>
      <c r="AD2738" s="771"/>
      <c r="AE2738" s="771"/>
      <c r="AF2738" s="771"/>
      <c r="AG2738" s="771"/>
      <c r="AH2738" s="771"/>
      <c r="AI2738" s="771"/>
      <c r="AJ2738" s="771"/>
      <c r="AK2738" s="771"/>
      <c r="AL2738" s="771"/>
      <c r="AM2738" s="771"/>
      <c r="AN2738" s="771"/>
      <c r="AO2738" s="771"/>
      <c r="AP2738" s="771"/>
      <c r="AQ2738" s="771"/>
      <c r="AR2738" s="771"/>
      <c r="AS2738" s="771"/>
      <c r="AT2738" s="771"/>
      <c r="AU2738" s="771"/>
    </row>
    <row r="2739" spans="1:47" s="1418" customFormat="1" outlineLevel="1" x14ac:dyDescent="0.2">
      <c r="A2739" s="8"/>
      <c r="B2739" s="8"/>
      <c r="C2739" s="1989" t="s">
        <v>4179</v>
      </c>
      <c r="D2739" s="1989" t="s">
        <v>4180</v>
      </c>
      <c r="E2739" s="1989">
        <v>2.04</v>
      </c>
      <c r="F2739" s="38">
        <f t="shared" si="42"/>
        <v>165.8953296</v>
      </c>
      <c r="G2739" s="1547"/>
      <c r="H2739" s="8"/>
      <c r="I2739" s="8"/>
      <c r="J2739" s="8"/>
      <c r="K2739" s="8"/>
      <c r="L2739" s="8"/>
      <c r="M2739" s="8"/>
      <c r="N2739" s="8"/>
      <c r="O2739" s="8"/>
      <c r="P2739" s="8"/>
      <c r="Q2739" s="8"/>
      <c r="R2739" s="8"/>
      <c r="S2739" s="8"/>
      <c r="T2739" s="8"/>
      <c r="U2739" s="8"/>
      <c r="V2739" s="8"/>
      <c r="W2739" s="8"/>
      <c r="X2739" s="771"/>
      <c r="Y2739" s="771"/>
      <c r="Z2739" s="771"/>
      <c r="AA2739" s="771"/>
      <c r="AB2739" s="771"/>
      <c r="AC2739" s="771"/>
      <c r="AD2739" s="771"/>
      <c r="AE2739" s="771"/>
      <c r="AF2739" s="771"/>
      <c r="AG2739" s="771"/>
      <c r="AH2739" s="771"/>
      <c r="AI2739" s="771"/>
      <c r="AJ2739" s="771"/>
      <c r="AK2739" s="771"/>
      <c r="AL2739" s="771"/>
      <c r="AM2739" s="771"/>
      <c r="AN2739" s="771"/>
      <c r="AO2739" s="771"/>
      <c r="AP2739" s="771"/>
      <c r="AQ2739" s="771"/>
      <c r="AR2739" s="771"/>
      <c r="AS2739" s="771"/>
      <c r="AT2739" s="771"/>
      <c r="AU2739" s="771"/>
    </row>
    <row r="2740" spans="1:47" s="1418" customFormat="1" outlineLevel="1" x14ac:dyDescent="0.2">
      <c r="A2740" s="8"/>
      <c r="B2740" s="8"/>
      <c r="C2740" s="1989" t="s">
        <v>1322</v>
      </c>
      <c r="D2740" s="1989" t="s">
        <v>2450</v>
      </c>
      <c r="E2740" s="1989">
        <v>1.26</v>
      </c>
      <c r="F2740" s="38">
        <f t="shared" si="42"/>
        <v>102.46476240000001</v>
      </c>
      <c r="G2740" s="1547"/>
      <c r="H2740" s="8"/>
      <c r="I2740" s="8"/>
      <c r="J2740" s="8"/>
      <c r="K2740" s="8"/>
      <c r="L2740" s="8"/>
      <c r="M2740" s="8"/>
      <c r="N2740" s="8"/>
      <c r="O2740" s="8"/>
      <c r="P2740" s="8"/>
      <c r="Q2740" s="8"/>
      <c r="R2740" s="8"/>
      <c r="S2740" s="8"/>
      <c r="T2740" s="8"/>
      <c r="U2740" s="8"/>
      <c r="V2740" s="8"/>
      <c r="W2740" s="8"/>
      <c r="X2740" s="771"/>
      <c r="Y2740" s="771"/>
      <c r="Z2740" s="771"/>
      <c r="AA2740" s="771"/>
      <c r="AB2740" s="771"/>
      <c r="AC2740" s="771"/>
      <c r="AD2740" s="771"/>
      <c r="AE2740" s="771"/>
      <c r="AF2740" s="771"/>
      <c r="AG2740" s="771"/>
      <c r="AH2740" s="771"/>
      <c r="AI2740" s="771"/>
      <c r="AJ2740" s="771"/>
      <c r="AK2740" s="771"/>
      <c r="AL2740" s="771"/>
      <c r="AM2740" s="771"/>
      <c r="AN2740" s="771"/>
      <c r="AO2740" s="771"/>
      <c r="AP2740" s="771"/>
      <c r="AQ2740" s="771"/>
      <c r="AR2740" s="771"/>
      <c r="AS2740" s="771"/>
      <c r="AT2740" s="771"/>
      <c r="AU2740" s="771"/>
    </row>
    <row r="2741" spans="1:47" s="1418" customFormat="1" outlineLevel="1" x14ac:dyDescent="0.2">
      <c r="A2741" s="8"/>
      <c r="B2741" s="8"/>
      <c r="C2741" s="1989" t="s">
        <v>3107</v>
      </c>
      <c r="D2741" s="1989" t="s">
        <v>8143</v>
      </c>
      <c r="E2741" s="1989">
        <v>1.84</v>
      </c>
      <c r="F2741" s="38">
        <f t="shared" si="42"/>
        <v>149.63108160000002</v>
      </c>
      <c r="G2741" s="1547"/>
      <c r="H2741" s="8"/>
      <c r="I2741" s="8"/>
      <c r="J2741" s="8"/>
      <c r="K2741" s="8"/>
      <c r="L2741" s="8"/>
      <c r="M2741" s="8"/>
      <c r="N2741" s="8"/>
      <c r="O2741" s="8"/>
      <c r="P2741" s="8"/>
      <c r="Q2741" s="8"/>
      <c r="R2741" s="8"/>
      <c r="S2741" s="8"/>
      <c r="T2741" s="8"/>
      <c r="U2741" s="8"/>
      <c r="V2741" s="8"/>
      <c r="W2741" s="8"/>
      <c r="X2741" s="771"/>
      <c r="Y2741" s="771"/>
      <c r="Z2741" s="771"/>
      <c r="AA2741" s="771"/>
      <c r="AB2741" s="771"/>
      <c r="AC2741" s="771"/>
      <c r="AD2741" s="771"/>
      <c r="AE2741" s="771"/>
      <c r="AF2741" s="771"/>
      <c r="AG2741" s="771"/>
      <c r="AH2741" s="771"/>
      <c r="AI2741" s="771"/>
      <c r="AJ2741" s="771"/>
      <c r="AK2741" s="771"/>
      <c r="AL2741" s="771"/>
      <c r="AM2741" s="771"/>
      <c r="AN2741" s="771"/>
      <c r="AO2741" s="771"/>
      <c r="AP2741" s="771"/>
      <c r="AQ2741" s="771"/>
      <c r="AR2741" s="771"/>
      <c r="AS2741" s="771"/>
      <c r="AT2741" s="771"/>
      <c r="AU2741" s="771"/>
    </row>
    <row r="2742" spans="1:47" s="1418" customFormat="1" outlineLevel="1" x14ac:dyDescent="0.2">
      <c r="A2742" s="8"/>
      <c r="B2742" s="8"/>
      <c r="C2742" s="1989" t="s">
        <v>1783</v>
      </c>
      <c r="D2742" s="1989" t="s">
        <v>8144</v>
      </c>
      <c r="E2742" s="1989">
        <v>0.41</v>
      </c>
      <c r="F2742" s="38">
        <f t="shared" si="42"/>
        <v>33.341708400000002</v>
      </c>
      <c r="G2742" s="1547"/>
      <c r="H2742" s="8"/>
      <c r="I2742" s="8"/>
      <c r="J2742" s="8"/>
      <c r="K2742" s="8"/>
      <c r="L2742" s="8"/>
      <c r="M2742" s="8"/>
      <c r="N2742" s="8"/>
      <c r="O2742" s="8"/>
      <c r="P2742" s="8"/>
      <c r="Q2742" s="8"/>
      <c r="R2742" s="8"/>
      <c r="S2742" s="8"/>
      <c r="T2742" s="8"/>
      <c r="U2742" s="8"/>
      <c r="V2742" s="8"/>
      <c r="W2742" s="8"/>
      <c r="X2742" s="771"/>
      <c r="Y2742" s="771"/>
      <c r="Z2742" s="771"/>
      <c r="AA2742" s="771"/>
      <c r="AB2742" s="771"/>
      <c r="AC2742" s="771"/>
      <c r="AD2742" s="771"/>
      <c r="AE2742" s="771"/>
      <c r="AF2742" s="771"/>
      <c r="AG2742" s="771"/>
      <c r="AH2742" s="771"/>
      <c r="AI2742" s="771"/>
      <c r="AJ2742" s="771"/>
      <c r="AK2742" s="771"/>
      <c r="AL2742" s="771"/>
      <c r="AM2742" s="771"/>
      <c r="AN2742" s="771"/>
      <c r="AO2742" s="771"/>
      <c r="AP2742" s="771"/>
      <c r="AQ2742" s="771"/>
      <c r="AR2742" s="771"/>
      <c r="AS2742" s="771"/>
      <c r="AT2742" s="771"/>
      <c r="AU2742" s="771"/>
    </row>
    <row r="2743" spans="1:47" s="1418" customFormat="1" outlineLevel="1" x14ac:dyDescent="0.2">
      <c r="A2743" s="8"/>
      <c r="B2743" s="8"/>
      <c r="C2743" s="1989" t="s">
        <v>1784</v>
      </c>
      <c r="D2743" s="1989" t="s">
        <v>8145</v>
      </c>
      <c r="E2743" s="1989">
        <v>0.55000000000000004</v>
      </c>
      <c r="F2743" s="38">
        <f t="shared" si="42"/>
        <v>44.726682000000004</v>
      </c>
      <c r="G2743" s="1547"/>
      <c r="H2743" s="8"/>
      <c r="I2743" s="8"/>
      <c r="J2743" s="8"/>
      <c r="K2743" s="8"/>
      <c r="L2743" s="8"/>
      <c r="M2743" s="8"/>
      <c r="N2743" s="8"/>
      <c r="O2743" s="8"/>
      <c r="P2743" s="8"/>
      <c r="Q2743" s="8"/>
      <c r="R2743" s="8"/>
      <c r="S2743" s="8"/>
      <c r="T2743" s="8"/>
      <c r="U2743" s="8"/>
      <c r="V2743" s="8"/>
      <c r="W2743" s="8"/>
      <c r="X2743" s="771"/>
      <c r="Y2743" s="771"/>
      <c r="Z2743" s="771"/>
      <c r="AA2743" s="771"/>
      <c r="AB2743" s="771"/>
      <c r="AC2743" s="771"/>
      <c r="AD2743" s="771"/>
      <c r="AE2743" s="771"/>
      <c r="AF2743" s="771"/>
      <c r="AG2743" s="771"/>
      <c r="AH2743" s="771"/>
      <c r="AI2743" s="771"/>
      <c r="AJ2743" s="771"/>
      <c r="AK2743" s="771"/>
      <c r="AL2743" s="771"/>
      <c r="AM2743" s="771"/>
      <c r="AN2743" s="771"/>
      <c r="AO2743" s="771"/>
      <c r="AP2743" s="771"/>
      <c r="AQ2743" s="771"/>
      <c r="AR2743" s="771"/>
      <c r="AS2743" s="771"/>
      <c r="AT2743" s="771"/>
      <c r="AU2743" s="771"/>
    </row>
    <row r="2744" spans="1:47" s="1418" customFormat="1" outlineLevel="1" x14ac:dyDescent="0.2">
      <c r="A2744" s="8"/>
      <c r="B2744" s="8"/>
      <c r="C2744" s="1989" t="s">
        <v>935</v>
      </c>
      <c r="D2744" s="1989" t="s">
        <v>8146</v>
      </c>
      <c r="E2744" s="1989">
        <v>0.53</v>
      </c>
      <c r="F2744" s="38">
        <f t="shared" si="42"/>
        <v>43.100257200000001</v>
      </c>
      <c r="G2744" s="1547"/>
      <c r="H2744" s="8"/>
      <c r="I2744" s="8"/>
      <c r="J2744" s="8"/>
      <c r="K2744" s="8"/>
      <c r="L2744" s="8"/>
      <c r="M2744" s="8"/>
      <c r="N2744" s="8"/>
      <c r="O2744" s="8"/>
      <c r="P2744" s="8"/>
      <c r="Q2744" s="8"/>
      <c r="R2744" s="8"/>
      <c r="S2744" s="8"/>
      <c r="T2744" s="8"/>
      <c r="U2744" s="8"/>
      <c r="V2744" s="8"/>
      <c r="W2744" s="8"/>
      <c r="X2744" s="771"/>
      <c r="Y2744" s="771"/>
      <c r="Z2744" s="771"/>
      <c r="AA2744" s="771"/>
      <c r="AB2744" s="771"/>
      <c r="AC2744" s="771"/>
      <c r="AD2744" s="771"/>
      <c r="AE2744" s="771"/>
      <c r="AF2744" s="771"/>
      <c r="AG2744" s="771"/>
      <c r="AH2744" s="771"/>
      <c r="AI2744" s="771"/>
      <c r="AJ2744" s="771"/>
      <c r="AK2744" s="771"/>
      <c r="AL2744" s="771"/>
      <c r="AM2744" s="771"/>
      <c r="AN2744" s="771"/>
      <c r="AO2744" s="771"/>
      <c r="AP2744" s="771"/>
      <c r="AQ2744" s="771"/>
      <c r="AR2744" s="771"/>
      <c r="AS2744" s="771"/>
      <c r="AT2744" s="771"/>
      <c r="AU2744" s="771"/>
    </row>
    <row r="2745" spans="1:47" s="1418" customFormat="1" outlineLevel="1" x14ac:dyDescent="0.2">
      <c r="A2745" s="8"/>
      <c r="B2745" s="8"/>
      <c r="C2745" s="1989" t="s">
        <v>3345</v>
      </c>
      <c r="D2745" s="1989" t="s">
        <v>8147</v>
      </c>
      <c r="E2745" s="1989">
        <v>0.57999999999999996</v>
      </c>
      <c r="F2745" s="38">
        <f t="shared" si="42"/>
        <v>47.166319199999997</v>
      </c>
      <c r="G2745" s="1547"/>
      <c r="H2745" s="8"/>
      <c r="I2745" s="8"/>
      <c r="J2745" s="8"/>
      <c r="K2745" s="8"/>
      <c r="L2745" s="8"/>
      <c r="M2745" s="8"/>
      <c r="N2745" s="8"/>
      <c r="O2745" s="8"/>
      <c r="P2745" s="8"/>
      <c r="Q2745" s="8"/>
      <c r="R2745" s="8"/>
      <c r="S2745" s="8"/>
      <c r="T2745" s="8"/>
      <c r="U2745" s="8"/>
      <c r="V2745" s="8"/>
      <c r="W2745" s="8"/>
      <c r="X2745" s="771"/>
      <c r="Y2745" s="771"/>
      <c r="Z2745" s="771"/>
      <c r="AA2745" s="771"/>
      <c r="AB2745" s="771"/>
      <c r="AC2745" s="771"/>
      <c r="AD2745" s="771"/>
      <c r="AE2745" s="771"/>
      <c r="AF2745" s="771"/>
      <c r="AG2745" s="771"/>
      <c r="AH2745" s="771"/>
      <c r="AI2745" s="771"/>
      <c r="AJ2745" s="771"/>
      <c r="AK2745" s="771"/>
      <c r="AL2745" s="771"/>
      <c r="AM2745" s="771"/>
      <c r="AN2745" s="771"/>
      <c r="AO2745" s="771"/>
      <c r="AP2745" s="771"/>
      <c r="AQ2745" s="771"/>
      <c r="AR2745" s="771"/>
      <c r="AS2745" s="771"/>
      <c r="AT2745" s="771"/>
      <c r="AU2745" s="771"/>
    </row>
    <row r="2746" spans="1:47" s="1418" customFormat="1" outlineLevel="1" x14ac:dyDescent="0.2">
      <c r="A2746" s="8"/>
      <c r="B2746" s="8"/>
      <c r="C2746" s="1989" t="s">
        <v>1773</v>
      </c>
      <c r="D2746" s="1989" t="s">
        <v>1805</v>
      </c>
      <c r="E2746" s="1989">
        <v>2.25</v>
      </c>
      <c r="F2746" s="38">
        <f t="shared" si="42"/>
        <v>182.97279</v>
      </c>
      <c r="G2746" s="1547"/>
      <c r="H2746" s="8"/>
      <c r="I2746" s="8"/>
      <c r="J2746" s="8"/>
      <c r="K2746" s="8"/>
      <c r="L2746" s="8"/>
      <c r="M2746" s="8"/>
      <c r="N2746" s="8"/>
      <c r="O2746" s="8"/>
      <c r="P2746" s="8"/>
      <c r="Q2746" s="8"/>
      <c r="R2746" s="8"/>
      <c r="S2746" s="8"/>
      <c r="T2746" s="8"/>
      <c r="U2746" s="8"/>
      <c r="V2746" s="8"/>
      <c r="W2746" s="8"/>
      <c r="X2746" s="771"/>
      <c r="Y2746" s="771"/>
      <c r="Z2746" s="771"/>
      <c r="AA2746" s="771"/>
      <c r="AB2746" s="771"/>
      <c r="AC2746" s="771"/>
      <c r="AD2746" s="771"/>
      <c r="AE2746" s="771"/>
      <c r="AF2746" s="771"/>
      <c r="AG2746" s="771"/>
      <c r="AH2746" s="771"/>
      <c r="AI2746" s="771"/>
      <c r="AJ2746" s="771"/>
      <c r="AK2746" s="771"/>
      <c r="AL2746" s="771"/>
      <c r="AM2746" s="771"/>
      <c r="AN2746" s="771"/>
      <c r="AO2746" s="771"/>
      <c r="AP2746" s="771"/>
      <c r="AQ2746" s="771"/>
      <c r="AR2746" s="771"/>
      <c r="AS2746" s="771"/>
      <c r="AT2746" s="771"/>
      <c r="AU2746" s="771"/>
    </row>
    <row r="2747" spans="1:47" outlineLevel="1" x14ac:dyDescent="0.2">
      <c r="C2747" s="1989" t="s">
        <v>2467</v>
      </c>
      <c r="D2747" s="1989" t="s">
        <v>2468</v>
      </c>
      <c r="E2747" s="1989">
        <v>0</v>
      </c>
      <c r="F2747" s="38">
        <f t="shared" si="42"/>
        <v>0</v>
      </c>
      <c r="G2747" s="1547"/>
    </row>
    <row r="2748" spans="1:47" outlineLevel="1" x14ac:dyDescent="0.2">
      <c r="C2748" s="1989" t="s">
        <v>4181</v>
      </c>
      <c r="D2748" s="1989" t="s">
        <v>8148</v>
      </c>
      <c r="E2748" s="1989">
        <v>0.73</v>
      </c>
      <c r="F2748" s="38">
        <f t="shared" si="42"/>
        <v>59.364505200000004</v>
      </c>
      <c r="G2748" s="1547"/>
    </row>
    <row r="2749" spans="1:47" outlineLevel="1" x14ac:dyDescent="0.2">
      <c r="C2749" s="1989" t="s">
        <v>103</v>
      </c>
      <c r="D2749" s="1989" t="s">
        <v>8149</v>
      </c>
      <c r="E2749" s="1989">
        <v>3.35</v>
      </c>
      <c r="F2749" s="38">
        <f t="shared" si="42"/>
        <v>272.426154</v>
      </c>
      <c r="G2749" s="1547"/>
    </row>
    <row r="2750" spans="1:47" outlineLevel="1" x14ac:dyDescent="0.2">
      <c r="C2750" s="1989" t="s">
        <v>1809</v>
      </c>
      <c r="D2750" s="1989" t="s">
        <v>2487</v>
      </c>
      <c r="E2750" s="1989">
        <v>1.48</v>
      </c>
      <c r="F2750" s="38">
        <f t="shared" si="42"/>
        <v>120.35543520000002</v>
      </c>
      <c r="G2750" s="1547"/>
    </row>
    <row r="2751" spans="1:47" outlineLevel="1" x14ac:dyDescent="0.2">
      <c r="C2751" s="1989" t="s">
        <v>860</v>
      </c>
      <c r="D2751" s="1989" t="s">
        <v>8150</v>
      </c>
      <c r="E2751" s="1989">
        <v>0.54</v>
      </c>
      <c r="F2751" s="38">
        <f t="shared" si="42"/>
        <v>43.913469600000006</v>
      </c>
      <c r="G2751" s="1547"/>
    </row>
    <row r="2752" spans="1:47" outlineLevel="1" x14ac:dyDescent="0.2">
      <c r="C2752" s="1989" t="s">
        <v>1688</v>
      </c>
      <c r="D2752" s="1989" t="s">
        <v>8151</v>
      </c>
      <c r="E2752" s="1989">
        <v>0.25</v>
      </c>
      <c r="F2752" s="38">
        <f t="shared" si="42"/>
        <v>20.330310000000001</v>
      </c>
      <c r="G2752" s="1547"/>
    </row>
    <row r="2753" spans="1:47" outlineLevel="1" x14ac:dyDescent="0.2">
      <c r="C2753" s="1989" t="s">
        <v>114</v>
      </c>
      <c r="D2753" s="1989" t="s">
        <v>8152</v>
      </c>
      <c r="E2753" s="1989">
        <v>0.18</v>
      </c>
      <c r="F2753" s="38">
        <f t="shared" si="42"/>
        <v>14.637823200000001</v>
      </c>
      <c r="G2753" s="1547"/>
    </row>
    <row r="2754" spans="1:47" outlineLevel="1" x14ac:dyDescent="0.2">
      <c r="C2754" s="1989" t="s">
        <v>2501</v>
      </c>
      <c r="D2754" s="1989" t="s">
        <v>8153</v>
      </c>
      <c r="E2754" s="1989">
        <v>0.27</v>
      </c>
      <c r="F2754" s="38">
        <f t="shared" si="42"/>
        <v>21.956734800000003</v>
      </c>
      <c r="G2754" s="1547"/>
    </row>
    <row r="2755" spans="1:47" outlineLevel="1" x14ac:dyDescent="0.2">
      <c r="C2755" s="1989" t="s">
        <v>113</v>
      </c>
      <c r="D2755" s="1989" t="s">
        <v>8154</v>
      </c>
      <c r="E2755" s="1989">
        <v>0.13</v>
      </c>
      <c r="F2755" s="38">
        <f t="shared" si="42"/>
        <v>10.571761200000001</v>
      </c>
      <c r="G2755" s="1547"/>
    </row>
    <row r="2756" spans="1:47" outlineLevel="1" x14ac:dyDescent="0.2">
      <c r="C2756" s="1989" t="s">
        <v>1119</v>
      </c>
      <c r="D2756" s="1989" t="s">
        <v>2508</v>
      </c>
      <c r="E2756" s="1989">
        <v>1.56</v>
      </c>
      <c r="F2756" s="38">
        <f t="shared" si="42"/>
        <v>126.8611344</v>
      </c>
      <c r="G2756" s="1547"/>
    </row>
    <row r="2757" spans="1:47" s="1423" customFormat="1" outlineLevel="1" x14ac:dyDescent="0.2">
      <c r="A2757" s="8"/>
      <c r="B2757" s="8"/>
      <c r="C2757" s="1989" t="s">
        <v>499</v>
      </c>
      <c r="D2757" s="1989" t="s">
        <v>2513</v>
      </c>
      <c r="E2757" s="1989">
        <v>2.0099999999999998</v>
      </c>
      <c r="F2757" s="38">
        <f>E2757*$G$4*$J$4</f>
        <v>163.45569239999998</v>
      </c>
      <c r="G2757" s="1547"/>
      <c r="H2757" s="8"/>
      <c r="I2757" s="8"/>
      <c r="J2757" s="8"/>
      <c r="K2757" s="8"/>
      <c r="L2757" s="8"/>
      <c r="M2757" s="8"/>
      <c r="N2757" s="8"/>
      <c r="O2757" s="8"/>
      <c r="P2757" s="8"/>
      <c r="Q2757" s="8"/>
      <c r="R2757" s="8"/>
      <c r="S2757" s="8"/>
      <c r="T2757" s="8"/>
      <c r="U2757" s="8"/>
      <c r="V2757" s="8"/>
      <c r="W2757" s="8"/>
      <c r="X2757" s="771"/>
      <c r="Y2757" s="771"/>
      <c r="Z2757" s="771"/>
      <c r="AA2757" s="771"/>
      <c r="AB2757" s="771"/>
      <c r="AC2757" s="771"/>
      <c r="AD2757" s="771"/>
      <c r="AE2757" s="771"/>
      <c r="AF2757" s="771"/>
      <c r="AG2757" s="771"/>
      <c r="AH2757" s="771"/>
      <c r="AI2757" s="771"/>
      <c r="AJ2757" s="771"/>
      <c r="AK2757" s="771"/>
      <c r="AL2757" s="771"/>
      <c r="AM2757" s="771"/>
      <c r="AN2757" s="771"/>
      <c r="AO2757" s="771"/>
      <c r="AP2757" s="771"/>
      <c r="AQ2757" s="771"/>
      <c r="AR2757" s="771"/>
      <c r="AS2757" s="771"/>
      <c r="AT2757" s="771"/>
      <c r="AU2757" s="771"/>
    </row>
    <row r="2758" spans="1:47" s="1423" customFormat="1" outlineLevel="1" x14ac:dyDescent="0.2">
      <c r="A2758" s="8"/>
      <c r="B2758" s="8"/>
      <c r="C2758" s="1989" t="s">
        <v>1717</v>
      </c>
      <c r="D2758" s="1989" t="s">
        <v>8155</v>
      </c>
      <c r="E2758" s="1989">
        <v>0.18</v>
      </c>
      <c r="F2758" s="38">
        <f t="shared" ref="F2758:F2821" si="43">E2758*$G$4*$J$4</f>
        <v>14.637823200000001</v>
      </c>
      <c r="G2758" s="1547"/>
      <c r="H2758" s="8"/>
      <c r="I2758" s="8"/>
      <c r="J2758" s="8"/>
      <c r="K2758" s="8"/>
      <c r="L2758" s="8"/>
      <c r="M2758" s="8"/>
      <c r="N2758" s="8"/>
      <c r="O2758" s="8"/>
      <c r="P2758" s="8"/>
      <c r="Q2758" s="8"/>
      <c r="R2758" s="8"/>
      <c r="S2758" s="8"/>
      <c r="T2758" s="8"/>
      <c r="U2758" s="8"/>
      <c r="V2758" s="8"/>
      <c r="W2758" s="8"/>
      <c r="X2758" s="771"/>
      <c r="Y2758" s="771"/>
      <c r="Z2758" s="771"/>
      <c r="AA2758" s="771"/>
      <c r="AB2758" s="771"/>
      <c r="AC2758" s="771"/>
      <c r="AD2758" s="771"/>
      <c r="AE2758" s="771"/>
      <c r="AF2758" s="771"/>
      <c r="AG2758" s="771"/>
      <c r="AH2758" s="771"/>
      <c r="AI2758" s="771"/>
      <c r="AJ2758" s="771"/>
      <c r="AK2758" s="771"/>
      <c r="AL2758" s="771"/>
      <c r="AM2758" s="771"/>
      <c r="AN2758" s="771"/>
      <c r="AO2758" s="771"/>
      <c r="AP2758" s="771"/>
      <c r="AQ2758" s="771"/>
      <c r="AR2758" s="771"/>
      <c r="AS2758" s="771"/>
      <c r="AT2758" s="771"/>
      <c r="AU2758" s="771"/>
    </row>
    <row r="2759" spans="1:47" s="1423" customFormat="1" outlineLevel="1" x14ac:dyDescent="0.2">
      <c r="A2759" s="8"/>
      <c r="B2759" s="8"/>
      <c r="C2759" s="1989" t="s">
        <v>1311</v>
      </c>
      <c r="D2759" s="1989" t="s">
        <v>6306</v>
      </c>
      <c r="E2759" s="1989">
        <v>0.4</v>
      </c>
      <c r="F2759" s="38">
        <f t="shared" si="43"/>
        <v>32.528496000000004</v>
      </c>
      <c r="G2759" s="1547"/>
      <c r="H2759" s="8"/>
      <c r="I2759" s="8"/>
      <c r="J2759" s="8"/>
      <c r="K2759" s="8"/>
      <c r="L2759" s="8"/>
      <c r="M2759" s="8"/>
      <c r="N2759" s="8"/>
      <c r="O2759" s="8"/>
      <c r="P2759" s="8"/>
      <c r="Q2759" s="8"/>
      <c r="R2759" s="8"/>
      <c r="S2759" s="8"/>
      <c r="T2759" s="8"/>
      <c r="U2759" s="8"/>
      <c r="V2759" s="8"/>
      <c r="W2759" s="8"/>
      <c r="X2759" s="771"/>
      <c r="Y2759" s="771"/>
      <c r="Z2759" s="771"/>
      <c r="AA2759" s="771"/>
      <c r="AB2759" s="771"/>
      <c r="AC2759" s="771"/>
      <c r="AD2759" s="771"/>
      <c r="AE2759" s="771"/>
      <c r="AF2759" s="771"/>
      <c r="AG2759" s="771"/>
      <c r="AH2759" s="771"/>
      <c r="AI2759" s="771"/>
      <c r="AJ2759" s="771"/>
      <c r="AK2759" s="771"/>
      <c r="AL2759" s="771"/>
      <c r="AM2759" s="771"/>
      <c r="AN2759" s="771"/>
      <c r="AO2759" s="771"/>
      <c r="AP2759" s="771"/>
      <c r="AQ2759" s="771"/>
      <c r="AR2759" s="771"/>
      <c r="AS2759" s="771"/>
      <c r="AT2759" s="771"/>
      <c r="AU2759" s="771"/>
    </row>
    <row r="2760" spans="1:47" s="1423" customFormat="1" outlineLevel="1" x14ac:dyDescent="0.2">
      <c r="A2760" s="8"/>
      <c r="B2760" s="8"/>
      <c r="C2760" s="1989" t="s">
        <v>3469</v>
      </c>
      <c r="D2760" s="1989" t="s">
        <v>8156</v>
      </c>
      <c r="E2760" s="1989">
        <v>2.34</v>
      </c>
      <c r="F2760" s="38">
        <f t="shared" si="43"/>
        <v>190.29170160000001</v>
      </c>
      <c r="G2760" s="1547"/>
      <c r="H2760" s="8"/>
      <c r="I2760" s="8"/>
      <c r="J2760" s="8"/>
      <c r="K2760" s="8"/>
      <c r="L2760" s="8"/>
      <c r="M2760" s="8"/>
      <c r="N2760" s="8"/>
      <c r="O2760" s="8"/>
      <c r="P2760" s="8"/>
      <c r="Q2760" s="8"/>
      <c r="R2760" s="8"/>
      <c r="S2760" s="8"/>
      <c r="T2760" s="8"/>
      <c r="U2760" s="8"/>
      <c r="V2760" s="8"/>
      <c r="W2760" s="8"/>
      <c r="X2760" s="771"/>
      <c r="Y2760" s="771"/>
      <c r="Z2760" s="771"/>
      <c r="AA2760" s="771"/>
      <c r="AB2760" s="771"/>
      <c r="AC2760" s="771"/>
      <c r="AD2760" s="771"/>
      <c r="AE2760" s="771"/>
      <c r="AF2760" s="771"/>
      <c r="AG2760" s="771"/>
      <c r="AH2760" s="771"/>
      <c r="AI2760" s="771"/>
      <c r="AJ2760" s="771"/>
      <c r="AK2760" s="771"/>
      <c r="AL2760" s="771"/>
      <c r="AM2760" s="771"/>
      <c r="AN2760" s="771"/>
      <c r="AO2760" s="771"/>
      <c r="AP2760" s="771"/>
      <c r="AQ2760" s="771"/>
      <c r="AR2760" s="771"/>
      <c r="AS2760" s="771"/>
      <c r="AT2760" s="771"/>
      <c r="AU2760" s="771"/>
    </row>
    <row r="2761" spans="1:47" s="1423" customFormat="1" outlineLevel="1" x14ac:dyDescent="0.2">
      <c r="A2761" s="8"/>
      <c r="B2761" s="8"/>
      <c r="C2761" s="1989" t="s">
        <v>3468</v>
      </c>
      <c r="D2761" s="1989" t="s">
        <v>8157</v>
      </c>
      <c r="E2761" s="1989">
        <v>3.15</v>
      </c>
      <c r="F2761" s="38">
        <f t="shared" si="43"/>
        <v>256.16190599999999</v>
      </c>
      <c r="G2761" s="1547"/>
      <c r="H2761" s="8"/>
      <c r="I2761" s="8"/>
      <c r="J2761" s="8"/>
      <c r="K2761" s="8"/>
      <c r="L2761" s="8"/>
      <c r="M2761" s="8"/>
      <c r="N2761" s="8"/>
      <c r="O2761" s="8"/>
      <c r="P2761" s="8"/>
      <c r="Q2761" s="8"/>
      <c r="R2761" s="8"/>
      <c r="S2761" s="8"/>
      <c r="T2761" s="8"/>
      <c r="U2761" s="8"/>
      <c r="V2761" s="8"/>
      <c r="W2761" s="8"/>
      <c r="X2761" s="771"/>
      <c r="Y2761" s="771"/>
      <c r="Z2761" s="771"/>
      <c r="AA2761" s="771"/>
      <c r="AB2761" s="771"/>
      <c r="AC2761" s="771"/>
      <c r="AD2761" s="771"/>
      <c r="AE2761" s="771"/>
      <c r="AF2761" s="771"/>
      <c r="AG2761" s="771"/>
      <c r="AH2761" s="771"/>
      <c r="AI2761" s="771"/>
      <c r="AJ2761" s="771"/>
      <c r="AK2761" s="771"/>
      <c r="AL2761" s="771"/>
      <c r="AM2761" s="771"/>
      <c r="AN2761" s="771"/>
      <c r="AO2761" s="771"/>
      <c r="AP2761" s="771"/>
      <c r="AQ2761" s="771"/>
      <c r="AR2761" s="771"/>
      <c r="AS2761" s="771"/>
      <c r="AT2761" s="771"/>
      <c r="AU2761" s="771"/>
    </row>
    <row r="2762" spans="1:47" s="1423" customFormat="1" outlineLevel="1" x14ac:dyDescent="0.2">
      <c r="A2762" s="8"/>
      <c r="B2762" s="8"/>
      <c r="C2762" s="1989" t="s">
        <v>3474</v>
      </c>
      <c r="D2762" s="1989" t="s">
        <v>6307</v>
      </c>
      <c r="E2762" s="1989">
        <v>0.71</v>
      </c>
      <c r="F2762" s="38">
        <f t="shared" si="43"/>
        <v>57.738080400000001</v>
      </c>
      <c r="G2762" s="1547"/>
      <c r="H2762" s="8"/>
      <c r="I2762" s="8"/>
      <c r="J2762" s="8"/>
      <c r="K2762" s="8"/>
      <c r="L2762" s="8"/>
      <c r="M2762" s="8"/>
      <c r="N2762" s="8"/>
      <c r="O2762" s="8"/>
      <c r="P2762" s="8"/>
      <c r="Q2762" s="8"/>
      <c r="R2762" s="8"/>
      <c r="S2762" s="8"/>
      <c r="T2762" s="8"/>
      <c r="U2762" s="8"/>
      <c r="V2762" s="8"/>
      <c r="W2762" s="8"/>
      <c r="X2762" s="771"/>
      <c r="Y2762" s="771"/>
      <c r="Z2762" s="771"/>
      <c r="AA2762" s="771"/>
      <c r="AB2762" s="771"/>
      <c r="AC2762" s="771"/>
      <c r="AD2762" s="771"/>
      <c r="AE2762" s="771"/>
      <c r="AF2762" s="771"/>
      <c r="AG2762" s="771"/>
      <c r="AH2762" s="771"/>
      <c r="AI2762" s="771"/>
      <c r="AJ2762" s="771"/>
      <c r="AK2762" s="771"/>
      <c r="AL2762" s="771"/>
      <c r="AM2762" s="771"/>
      <c r="AN2762" s="771"/>
      <c r="AO2762" s="771"/>
      <c r="AP2762" s="771"/>
      <c r="AQ2762" s="771"/>
      <c r="AR2762" s="771"/>
      <c r="AS2762" s="771"/>
      <c r="AT2762" s="771"/>
      <c r="AU2762" s="771"/>
    </row>
    <row r="2763" spans="1:47" s="1423" customFormat="1" outlineLevel="1" x14ac:dyDescent="0.2">
      <c r="A2763" s="8"/>
      <c r="B2763" s="8"/>
      <c r="C2763" s="1989" t="s">
        <v>1325</v>
      </c>
      <c r="D2763" s="1989" t="s">
        <v>6308</v>
      </c>
      <c r="E2763" s="1989">
        <v>3.34</v>
      </c>
      <c r="F2763" s="38">
        <f t="shared" si="43"/>
        <v>271.6129416</v>
      </c>
      <c r="G2763" s="1547"/>
      <c r="H2763" s="8"/>
      <c r="I2763" s="8"/>
      <c r="J2763" s="8"/>
      <c r="K2763" s="8"/>
      <c r="L2763" s="8"/>
      <c r="M2763" s="8"/>
      <c r="N2763" s="8"/>
      <c r="O2763" s="8"/>
      <c r="P2763" s="8"/>
      <c r="Q2763" s="8"/>
      <c r="R2763" s="8"/>
      <c r="S2763" s="8"/>
      <c r="T2763" s="8"/>
      <c r="U2763" s="8"/>
      <c r="V2763" s="8"/>
      <c r="W2763" s="8"/>
      <c r="X2763" s="771"/>
      <c r="Y2763" s="771"/>
      <c r="Z2763" s="771"/>
      <c r="AA2763" s="771"/>
      <c r="AB2763" s="771"/>
      <c r="AC2763" s="771"/>
      <c r="AD2763" s="771"/>
      <c r="AE2763" s="771"/>
      <c r="AF2763" s="771"/>
      <c r="AG2763" s="771"/>
      <c r="AH2763" s="771"/>
      <c r="AI2763" s="771"/>
      <c r="AJ2763" s="771"/>
      <c r="AK2763" s="771"/>
      <c r="AL2763" s="771"/>
      <c r="AM2763" s="771"/>
      <c r="AN2763" s="771"/>
      <c r="AO2763" s="771"/>
      <c r="AP2763" s="771"/>
      <c r="AQ2763" s="771"/>
      <c r="AR2763" s="771"/>
      <c r="AS2763" s="771"/>
      <c r="AT2763" s="771"/>
      <c r="AU2763" s="771"/>
    </row>
    <row r="2764" spans="1:47" s="1423" customFormat="1" outlineLevel="1" x14ac:dyDescent="0.2">
      <c r="A2764" s="8"/>
      <c r="B2764" s="8"/>
      <c r="C2764" s="1989" t="s">
        <v>3478</v>
      </c>
      <c r="D2764" s="1989" t="s">
        <v>3481</v>
      </c>
      <c r="E2764" s="1989">
        <v>0.71</v>
      </c>
      <c r="F2764" s="38">
        <f t="shared" si="43"/>
        <v>57.738080400000001</v>
      </c>
      <c r="G2764" s="1547"/>
      <c r="H2764" s="8"/>
      <c r="I2764" s="8"/>
      <c r="J2764" s="8"/>
      <c r="K2764" s="8"/>
      <c r="L2764" s="8"/>
      <c r="M2764" s="8"/>
      <c r="N2764" s="8"/>
      <c r="O2764" s="8"/>
      <c r="P2764" s="8"/>
      <c r="Q2764" s="8"/>
      <c r="R2764" s="8"/>
      <c r="S2764" s="8"/>
      <c r="T2764" s="8"/>
      <c r="U2764" s="8"/>
      <c r="V2764" s="8"/>
      <c r="W2764" s="8"/>
      <c r="X2764" s="771"/>
      <c r="Y2764" s="771"/>
      <c r="Z2764" s="771"/>
      <c r="AA2764" s="771"/>
      <c r="AB2764" s="771"/>
      <c r="AC2764" s="771"/>
      <c r="AD2764" s="771"/>
      <c r="AE2764" s="771"/>
      <c r="AF2764" s="771"/>
      <c r="AG2764" s="771"/>
      <c r="AH2764" s="771"/>
      <c r="AI2764" s="771"/>
      <c r="AJ2764" s="771"/>
      <c r="AK2764" s="771"/>
      <c r="AL2764" s="771"/>
      <c r="AM2764" s="771"/>
      <c r="AN2764" s="771"/>
      <c r="AO2764" s="771"/>
      <c r="AP2764" s="771"/>
      <c r="AQ2764" s="771"/>
      <c r="AR2764" s="771"/>
      <c r="AS2764" s="771"/>
      <c r="AT2764" s="771"/>
      <c r="AU2764" s="771"/>
    </row>
    <row r="2765" spans="1:47" s="1423" customFormat="1" outlineLevel="1" x14ac:dyDescent="0.2">
      <c r="A2765" s="8"/>
      <c r="B2765" s="8"/>
      <c r="C2765" s="1989" t="s">
        <v>3475</v>
      </c>
      <c r="D2765" s="1989" t="s">
        <v>6309</v>
      </c>
      <c r="E2765" s="1989">
        <v>0.71</v>
      </c>
      <c r="F2765" s="38">
        <f t="shared" si="43"/>
        <v>57.738080400000001</v>
      </c>
      <c r="G2765" s="1547"/>
      <c r="H2765" s="8"/>
      <c r="I2765" s="8"/>
      <c r="J2765" s="8"/>
      <c r="K2765" s="8"/>
      <c r="L2765" s="8"/>
      <c r="M2765" s="8"/>
      <c r="N2765" s="8"/>
      <c r="O2765" s="8"/>
      <c r="P2765" s="8"/>
      <c r="Q2765" s="8"/>
      <c r="R2765" s="8"/>
      <c r="S2765" s="8"/>
      <c r="T2765" s="8"/>
      <c r="U2765" s="8"/>
      <c r="V2765" s="8"/>
      <c r="W2765" s="8"/>
      <c r="X2765" s="771"/>
      <c r="Y2765" s="771"/>
      <c r="Z2765" s="771"/>
      <c r="AA2765" s="771"/>
      <c r="AB2765" s="771"/>
      <c r="AC2765" s="771"/>
      <c r="AD2765" s="771"/>
      <c r="AE2765" s="771"/>
      <c r="AF2765" s="771"/>
      <c r="AG2765" s="771"/>
      <c r="AH2765" s="771"/>
      <c r="AI2765" s="771"/>
      <c r="AJ2765" s="771"/>
      <c r="AK2765" s="771"/>
      <c r="AL2765" s="771"/>
      <c r="AM2765" s="771"/>
      <c r="AN2765" s="771"/>
      <c r="AO2765" s="771"/>
      <c r="AP2765" s="771"/>
      <c r="AQ2765" s="771"/>
      <c r="AR2765" s="771"/>
      <c r="AS2765" s="771"/>
      <c r="AT2765" s="771"/>
      <c r="AU2765" s="771"/>
    </row>
    <row r="2766" spans="1:47" s="1423" customFormat="1" outlineLevel="1" x14ac:dyDescent="0.2">
      <c r="A2766" s="8"/>
      <c r="B2766" s="8"/>
      <c r="C2766" s="1989" t="s">
        <v>3346</v>
      </c>
      <c r="D2766" s="1989" t="s">
        <v>8158</v>
      </c>
      <c r="E2766" s="1989">
        <v>2.34</v>
      </c>
      <c r="F2766" s="38">
        <f t="shared" si="43"/>
        <v>190.29170160000001</v>
      </c>
      <c r="G2766" s="1547"/>
      <c r="H2766" s="8"/>
      <c r="I2766" s="8"/>
      <c r="J2766" s="8"/>
      <c r="K2766" s="8"/>
      <c r="L2766" s="8"/>
      <c r="M2766" s="8"/>
      <c r="N2766" s="8"/>
      <c r="O2766" s="8"/>
      <c r="P2766" s="8"/>
      <c r="Q2766" s="8"/>
      <c r="R2766" s="8"/>
      <c r="S2766" s="8"/>
      <c r="T2766" s="8"/>
      <c r="U2766" s="8"/>
      <c r="V2766" s="8"/>
      <c r="W2766" s="8"/>
      <c r="X2766" s="771"/>
      <c r="Y2766" s="771"/>
      <c r="Z2766" s="771"/>
      <c r="AA2766" s="771"/>
      <c r="AB2766" s="771"/>
      <c r="AC2766" s="771"/>
      <c r="AD2766" s="771"/>
      <c r="AE2766" s="771"/>
      <c r="AF2766" s="771"/>
      <c r="AG2766" s="771"/>
      <c r="AH2766" s="771"/>
      <c r="AI2766" s="771"/>
      <c r="AJ2766" s="771"/>
      <c r="AK2766" s="771"/>
      <c r="AL2766" s="771"/>
      <c r="AM2766" s="771"/>
      <c r="AN2766" s="771"/>
      <c r="AO2766" s="771"/>
      <c r="AP2766" s="771"/>
      <c r="AQ2766" s="771"/>
      <c r="AR2766" s="771"/>
      <c r="AS2766" s="771"/>
      <c r="AT2766" s="771"/>
      <c r="AU2766" s="771"/>
    </row>
    <row r="2767" spans="1:47" s="1423" customFormat="1" outlineLevel="1" x14ac:dyDescent="0.2">
      <c r="A2767" s="8"/>
      <c r="B2767" s="8"/>
      <c r="C2767" s="1989" t="s">
        <v>3479</v>
      </c>
      <c r="D2767" s="1989" t="s">
        <v>3482</v>
      </c>
      <c r="E2767" s="1989">
        <v>0.71</v>
      </c>
      <c r="F2767" s="38">
        <f t="shared" si="43"/>
        <v>57.738080400000001</v>
      </c>
      <c r="G2767" s="1547"/>
      <c r="H2767" s="8"/>
      <c r="I2767" s="8"/>
      <c r="J2767" s="8"/>
      <c r="K2767" s="8"/>
      <c r="L2767" s="8"/>
      <c r="M2767" s="8"/>
      <c r="N2767" s="8"/>
      <c r="O2767" s="8"/>
      <c r="P2767" s="8"/>
      <c r="Q2767" s="8"/>
      <c r="R2767" s="8"/>
      <c r="S2767" s="8"/>
      <c r="T2767" s="8"/>
      <c r="U2767" s="8"/>
      <c r="V2767" s="8"/>
      <c r="W2767" s="8"/>
      <c r="X2767" s="771"/>
      <c r="Y2767" s="771"/>
      <c r="Z2767" s="771"/>
      <c r="AA2767" s="771"/>
      <c r="AB2767" s="771"/>
      <c r="AC2767" s="771"/>
      <c r="AD2767" s="771"/>
      <c r="AE2767" s="771"/>
      <c r="AF2767" s="771"/>
      <c r="AG2767" s="771"/>
      <c r="AH2767" s="771"/>
      <c r="AI2767" s="771"/>
      <c r="AJ2767" s="771"/>
      <c r="AK2767" s="771"/>
      <c r="AL2767" s="771"/>
      <c r="AM2767" s="771"/>
      <c r="AN2767" s="771"/>
      <c r="AO2767" s="771"/>
      <c r="AP2767" s="771"/>
      <c r="AQ2767" s="771"/>
      <c r="AR2767" s="771"/>
      <c r="AS2767" s="771"/>
      <c r="AT2767" s="771"/>
      <c r="AU2767" s="771"/>
    </row>
    <row r="2768" spans="1:47" s="1423" customFormat="1" outlineLevel="1" x14ac:dyDescent="0.2">
      <c r="A2768" s="8"/>
      <c r="B2768" s="8"/>
      <c r="C2768" s="1989" t="s">
        <v>3347</v>
      </c>
      <c r="D2768" s="1989" t="s">
        <v>8159</v>
      </c>
      <c r="E2768" s="1989">
        <v>2.34</v>
      </c>
      <c r="F2768" s="38">
        <f t="shared" si="43"/>
        <v>190.29170160000001</v>
      </c>
      <c r="G2768" s="1547"/>
      <c r="H2768" s="8"/>
      <c r="I2768" s="8"/>
      <c r="J2768" s="8"/>
      <c r="K2768" s="8"/>
      <c r="L2768" s="8"/>
      <c r="M2768" s="8"/>
      <c r="N2768" s="8"/>
      <c r="O2768" s="8"/>
      <c r="P2768" s="8"/>
      <c r="Q2768" s="8"/>
      <c r="R2768" s="8"/>
      <c r="S2768" s="8"/>
      <c r="T2768" s="8"/>
      <c r="U2768" s="8"/>
      <c r="V2768" s="8"/>
      <c r="W2768" s="8"/>
      <c r="X2768" s="771"/>
      <c r="Y2768" s="771"/>
      <c r="Z2768" s="771"/>
      <c r="AA2768" s="771"/>
      <c r="AB2768" s="771"/>
      <c r="AC2768" s="771"/>
      <c r="AD2768" s="771"/>
      <c r="AE2768" s="771"/>
      <c r="AF2768" s="771"/>
      <c r="AG2768" s="771"/>
      <c r="AH2768" s="771"/>
      <c r="AI2768" s="771"/>
      <c r="AJ2768" s="771"/>
      <c r="AK2768" s="771"/>
      <c r="AL2768" s="771"/>
      <c r="AM2768" s="771"/>
      <c r="AN2768" s="771"/>
      <c r="AO2768" s="771"/>
      <c r="AP2768" s="771"/>
      <c r="AQ2768" s="771"/>
      <c r="AR2768" s="771"/>
      <c r="AS2768" s="771"/>
      <c r="AT2768" s="771"/>
      <c r="AU2768" s="771"/>
    </row>
    <row r="2769" spans="1:47" s="1423" customFormat="1" outlineLevel="1" x14ac:dyDescent="0.2">
      <c r="A2769" s="8"/>
      <c r="B2769" s="8"/>
      <c r="C2769" s="1989" t="s">
        <v>2014</v>
      </c>
      <c r="D2769" s="1989" t="s">
        <v>4182</v>
      </c>
      <c r="E2769" s="1989">
        <v>2.31</v>
      </c>
      <c r="F2769" s="38">
        <f t="shared" si="43"/>
        <v>187.85206439999999</v>
      </c>
      <c r="G2769" s="1547"/>
      <c r="H2769" s="8"/>
      <c r="I2769" s="8"/>
      <c r="J2769" s="8"/>
      <c r="K2769" s="8"/>
      <c r="L2769" s="8"/>
      <c r="M2769" s="8"/>
      <c r="N2769" s="8"/>
      <c r="O2769" s="8"/>
      <c r="P2769" s="8"/>
      <c r="Q2769" s="8"/>
      <c r="R2769" s="8"/>
      <c r="S2769" s="8"/>
      <c r="T2769" s="8"/>
      <c r="U2769" s="8"/>
      <c r="V2769" s="8"/>
      <c r="W2769" s="8"/>
      <c r="X2769" s="771"/>
      <c r="Y2769" s="771"/>
      <c r="Z2769" s="771"/>
      <c r="AA2769" s="771"/>
      <c r="AB2769" s="771"/>
      <c r="AC2769" s="771"/>
      <c r="AD2769" s="771"/>
      <c r="AE2769" s="771"/>
      <c r="AF2769" s="771"/>
      <c r="AG2769" s="771"/>
      <c r="AH2769" s="771"/>
      <c r="AI2769" s="771"/>
      <c r="AJ2769" s="771"/>
      <c r="AK2769" s="771"/>
      <c r="AL2769" s="771"/>
      <c r="AM2769" s="771"/>
      <c r="AN2769" s="771"/>
      <c r="AO2769" s="771"/>
      <c r="AP2769" s="771"/>
      <c r="AQ2769" s="771"/>
      <c r="AR2769" s="771"/>
      <c r="AS2769" s="771"/>
      <c r="AT2769" s="771"/>
      <c r="AU2769" s="771"/>
    </row>
    <row r="2770" spans="1:47" s="1423" customFormat="1" outlineLevel="1" x14ac:dyDescent="0.2">
      <c r="A2770" s="8"/>
      <c r="B2770" s="8"/>
      <c r="C2770" s="1989" t="s">
        <v>1370</v>
      </c>
      <c r="D2770" s="1989" t="s">
        <v>2713</v>
      </c>
      <c r="E2770" s="1989">
        <v>1.4</v>
      </c>
      <c r="F2770" s="38">
        <f t="shared" si="43"/>
        <v>113.84973600000001</v>
      </c>
      <c r="G2770" s="1547"/>
      <c r="H2770" s="8"/>
      <c r="I2770" s="8"/>
      <c r="J2770" s="8"/>
      <c r="K2770" s="8"/>
      <c r="L2770" s="8"/>
      <c r="M2770" s="8"/>
      <c r="N2770" s="8"/>
      <c r="O2770" s="8"/>
      <c r="P2770" s="8"/>
      <c r="Q2770" s="8"/>
      <c r="R2770" s="8"/>
      <c r="S2770" s="8"/>
      <c r="T2770" s="8"/>
      <c r="U2770" s="8"/>
      <c r="V2770" s="8"/>
      <c r="W2770" s="8"/>
      <c r="X2770" s="771"/>
      <c r="Y2770" s="771"/>
      <c r="Z2770" s="771"/>
      <c r="AA2770" s="771"/>
      <c r="AB2770" s="771"/>
      <c r="AC2770" s="771"/>
      <c r="AD2770" s="771"/>
      <c r="AE2770" s="771"/>
      <c r="AF2770" s="771"/>
      <c r="AG2770" s="771"/>
      <c r="AH2770" s="771"/>
      <c r="AI2770" s="771"/>
      <c r="AJ2770" s="771"/>
      <c r="AK2770" s="771"/>
      <c r="AL2770" s="771"/>
      <c r="AM2770" s="771"/>
      <c r="AN2770" s="771"/>
      <c r="AO2770" s="771"/>
      <c r="AP2770" s="771"/>
      <c r="AQ2770" s="771"/>
      <c r="AR2770" s="771"/>
      <c r="AS2770" s="771"/>
      <c r="AT2770" s="771"/>
      <c r="AU2770" s="771"/>
    </row>
    <row r="2771" spans="1:47" s="1423" customFormat="1" outlineLevel="1" x14ac:dyDescent="0.2">
      <c r="A2771" s="8"/>
      <c r="B2771" s="8"/>
      <c r="C2771" s="1989" t="s">
        <v>2714</v>
      </c>
      <c r="D2771" s="1989" t="s">
        <v>2715</v>
      </c>
      <c r="E2771" s="1989">
        <v>1.51</v>
      </c>
      <c r="F2771" s="38">
        <f t="shared" si="43"/>
        <v>122.7950724</v>
      </c>
      <c r="G2771" s="1547"/>
      <c r="H2771" s="8"/>
      <c r="I2771" s="8"/>
      <c r="J2771" s="8"/>
      <c r="K2771" s="8"/>
      <c r="L2771" s="8"/>
      <c r="M2771" s="8"/>
      <c r="N2771" s="8"/>
      <c r="O2771" s="8"/>
      <c r="P2771" s="8"/>
      <c r="Q2771" s="8"/>
      <c r="R2771" s="8"/>
      <c r="S2771" s="8"/>
      <c r="T2771" s="8"/>
      <c r="U2771" s="8"/>
      <c r="V2771" s="8"/>
      <c r="W2771" s="8"/>
      <c r="X2771" s="771"/>
      <c r="Y2771" s="771"/>
      <c r="Z2771" s="771"/>
      <c r="AA2771" s="771"/>
      <c r="AB2771" s="771"/>
      <c r="AC2771" s="771"/>
      <c r="AD2771" s="771"/>
      <c r="AE2771" s="771"/>
      <c r="AF2771" s="771"/>
      <c r="AG2771" s="771"/>
      <c r="AH2771" s="771"/>
      <c r="AI2771" s="771"/>
      <c r="AJ2771" s="771"/>
      <c r="AK2771" s="771"/>
      <c r="AL2771" s="771"/>
      <c r="AM2771" s="771"/>
      <c r="AN2771" s="771"/>
      <c r="AO2771" s="771"/>
      <c r="AP2771" s="771"/>
      <c r="AQ2771" s="771"/>
      <c r="AR2771" s="771"/>
      <c r="AS2771" s="771"/>
      <c r="AT2771" s="771"/>
      <c r="AU2771" s="771"/>
    </row>
    <row r="2772" spans="1:47" s="1423" customFormat="1" outlineLevel="1" x14ac:dyDescent="0.2">
      <c r="A2772" s="8"/>
      <c r="B2772" s="8"/>
      <c r="C2772" s="1989" t="s">
        <v>3467</v>
      </c>
      <c r="D2772" s="1989" t="s">
        <v>8160</v>
      </c>
      <c r="E2772" s="1989">
        <v>3.15</v>
      </c>
      <c r="F2772" s="38">
        <f t="shared" si="43"/>
        <v>256.16190599999999</v>
      </c>
      <c r="G2772" s="1547"/>
      <c r="H2772" s="8"/>
      <c r="I2772" s="8"/>
      <c r="J2772" s="8"/>
      <c r="K2772" s="8"/>
      <c r="L2772" s="8"/>
      <c r="M2772" s="8"/>
      <c r="N2772" s="8"/>
      <c r="O2772" s="8"/>
      <c r="P2772" s="8"/>
      <c r="Q2772" s="8"/>
      <c r="R2772" s="8"/>
      <c r="S2772" s="8"/>
      <c r="T2772" s="8"/>
      <c r="U2772" s="8"/>
      <c r="V2772" s="8"/>
      <c r="W2772" s="8"/>
      <c r="X2772" s="771"/>
      <c r="Y2772" s="771"/>
      <c r="Z2772" s="771"/>
      <c r="AA2772" s="771"/>
      <c r="AB2772" s="771"/>
      <c r="AC2772" s="771"/>
      <c r="AD2772" s="771"/>
      <c r="AE2772" s="771"/>
      <c r="AF2772" s="771"/>
      <c r="AG2772" s="771"/>
      <c r="AH2772" s="771"/>
      <c r="AI2772" s="771"/>
      <c r="AJ2772" s="771"/>
      <c r="AK2772" s="771"/>
      <c r="AL2772" s="771"/>
      <c r="AM2772" s="771"/>
      <c r="AN2772" s="771"/>
      <c r="AO2772" s="771"/>
      <c r="AP2772" s="771"/>
      <c r="AQ2772" s="771"/>
      <c r="AR2772" s="771"/>
      <c r="AS2772" s="771"/>
      <c r="AT2772" s="771"/>
      <c r="AU2772" s="771"/>
    </row>
    <row r="2773" spans="1:47" s="1423" customFormat="1" outlineLevel="1" x14ac:dyDescent="0.2">
      <c r="A2773" s="8"/>
      <c r="B2773" s="8"/>
      <c r="C2773" s="1989" t="s">
        <v>1371</v>
      </c>
      <c r="D2773" s="1989" t="s">
        <v>2737</v>
      </c>
      <c r="E2773" s="1989">
        <v>1.36</v>
      </c>
      <c r="F2773" s="38">
        <f t="shared" si="43"/>
        <v>110.59688640000002</v>
      </c>
      <c r="G2773" s="1547"/>
      <c r="H2773" s="8"/>
      <c r="I2773" s="8"/>
      <c r="J2773" s="8"/>
      <c r="K2773" s="8"/>
      <c r="L2773" s="8"/>
      <c r="M2773" s="8"/>
      <c r="N2773" s="8"/>
      <c r="O2773" s="8"/>
      <c r="P2773" s="8"/>
      <c r="Q2773" s="8"/>
      <c r="R2773" s="8"/>
      <c r="S2773" s="8"/>
      <c r="T2773" s="8"/>
      <c r="U2773" s="8"/>
      <c r="V2773" s="8"/>
      <c r="W2773" s="8"/>
      <c r="X2773" s="771"/>
      <c r="Y2773" s="771"/>
      <c r="Z2773" s="771"/>
      <c r="AA2773" s="771"/>
      <c r="AB2773" s="771"/>
      <c r="AC2773" s="771"/>
      <c r="AD2773" s="771"/>
      <c r="AE2773" s="771"/>
      <c r="AF2773" s="771"/>
      <c r="AG2773" s="771"/>
      <c r="AH2773" s="771"/>
      <c r="AI2773" s="771"/>
      <c r="AJ2773" s="771"/>
      <c r="AK2773" s="771"/>
      <c r="AL2773" s="771"/>
      <c r="AM2773" s="771"/>
      <c r="AN2773" s="771"/>
      <c r="AO2773" s="771"/>
      <c r="AP2773" s="771"/>
      <c r="AQ2773" s="771"/>
      <c r="AR2773" s="771"/>
      <c r="AS2773" s="771"/>
      <c r="AT2773" s="771"/>
      <c r="AU2773" s="771"/>
    </row>
    <row r="2774" spans="1:47" s="1423" customFormat="1" outlineLevel="1" x14ac:dyDescent="0.2">
      <c r="A2774" s="8"/>
      <c r="B2774" s="8"/>
      <c r="C2774" s="1989" t="s">
        <v>3477</v>
      </c>
      <c r="D2774" s="1989" t="s">
        <v>6310</v>
      </c>
      <c r="E2774" s="1989">
        <v>0.51</v>
      </c>
      <c r="F2774" s="38">
        <f t="shared" si="43"/>
        <v>41.473832399999999</v>
      </c>
      <c r="G2774" s="1547"/>
      <c r="H2774" s="8"/>
      <c r="I2774" s="8"/>
      <c r="J2774" s="8"/>
      <c r="K2774" s="8"/>
      <c r="L2774" s="8"/>
      <c r="M2774" s="8"/>
      <c r="N2774" s="8"/>
      <c r="O2774" s="8"/>
      <c r="P2774" s="8"/>
      <c r="Q2774" s="8"/>
      <c r="R2774" s="8"/>
      <c r="S2774" s="8"/>
      <c r="T2774" s="8"/>
      <c r="U2774" s="8"/>
      <c r="V2774" s="8"/>
      <c r="W2774" s="8"/>
      <c r="X2774" s="771"/>
      <c r="Y2774" s="771"/>
      <c r="Z2774" s="771"/>
      <c r="AA2774" s="771"/>
      <c r="AB2774" s="771"/>
      <c r="AC2774" s="771"/>
      <c r="AD2774" s="771"/>
      <c r="AE2774" s="771"/>
      <c r="AF2774" s="771"/>
      <c r="AG2774" s="771"/>
      <c r="AH2774" s="771"/>
      <c r="AI2774" s="771"/>
      <c r="AJ2774" s="771"/>
      <c r="AK2774" s="771"/>
      <c r="AL2774" s="771"/>
      <c r="AM2774" s="771"/>
      <c r="AN2774" s="771"/>
      <c r="AO2774" s="771"/>
      <c r="AP2774" s="771"/>
      <c r="AQ2774" s="771"/>
      <c r="AR2774" s="771"/>
      <c r="AS2774" s="771"/>
      <c r="AT2774" s="771"/>
      <c r="AU2774" s="771"/>
    </row>
    <row r="2775" spans="1:47" s="1423" customFormat="1" outlineLevel="1" x14ac:dyDescent="0.2">
      <c r="A2775" s="8"/>
      <c r="B2775" s="8"/>
      <c r="C2775" s="1989" t="s">
        <v>3470</v>
      </c>
      <c r="D2775" s="1989" t="s">
        <v>8161</v>
      </c>
      <c r="E2775" s="1989">
        <v>3.15</v>
      </c>
      <c r="F2775" s="38">
        <f t="shared" si="43"/>
        <v>256.16190599999999</v>
      </c>
      <c r="G2775" s="1547"/>
      <c r="H2775" s="8"/>
      <c r="I2775" s="8"/>
      <c r="J2775" s="8"/>
      <c r="K2775" s="8"/>
      <c r="L2775" s="8"/>
      <c r="M2775" s="8"/>
      <c r="N2775" s="8"/>
      <c r="O2775" s="8"/>
      <c r="P2775" s="8"/>
      <c r="Q2775" s="8"/>
      <c r="R2775" s="8"/>
      <c r="S2775" s="8"/>
      <c r="T2775" s="8"/>
      <c r="U2775" s="8"/>
      <c r="V2775" s="8"/>
      <c r="W2775" s="8"/>
      <c r="X2775" s="771"/>
      <c r="Y2775" s="771"/>
      <c r="Z2775" s="771"/>
      <c r="AA2775" s="771"/>
      <c r="AB2775" s="771"/>
      <c r="AC2775" s="771"/>
      <c r="AD2775" s="771"/>
      <c r="AE2775" s="771"/>
      <c r="AF2775" s="771"/>
      <c r="AG2775" s="771"/>
      <c r="AH2775" s="771"/>
      <c r="AI2775" s="771"/>
      <c r="AJ2775" s="771"/>
      <c r="AK2775" s="771"/>
      <c r="AL2775" s="771"/>
      <c r="AM2775" s="771"/>
      <c r="AN2775" s="771"/>
      <c r="AO2775" s="771"/>
      <c r="AP2775" s="771"/>
      <c r="AQ2775" s="771"/>
      <c r="AR2775" s="771"/>
      <c r="AS2775" s="771"/>
      <c r="AT2775" s="771"/>
      <c r="AU2775" s="771"/>
    </row>
    <row r="2776" spans="1:47" s="1423" customFormat="1" outlineLevel="1" x14ac:dyDescent="0.2">
      <c r="A2776" s="8"/>
      <c r="B2776" s="8"/>
      <c r="C2776" s="1989" t="s">
        <v>2015</v>
      </c>
      <c r="D2776" s="1989" t="s">
        <v>2738</v>
      </c>
      <c r="E2776" s="1989">
        <v>5.35</v>
      </c>
      <c r="F2776" s="38">
        <f t="shared" si="43"/>
        <v>435.06863399999997</v>
      </c>
      <c r="G2776" s="1547"/>
      <c r="H2776" s="8"/>
      <c r="I2776" s="8"/>
      <c r="J2776" s="8"/>
      <c r="K2776" s="8"/>
      <c r="L2776" s="8"/>
      <c r="M2776" s="8"/>
      <c r="N2776" s="8"/>
      <c r="O2776" s="8"/>
      <c r="P2776" s="8"/>
      <c r="Q2776" s="8"/>
      <c r="R2776" s="8"/>
      <c r="S2776" s="8"/>
      <c r="T2776" s="8"/>
      <c r="U2776" s="8"/>
      <c r="V2776" s="8"/>
      <c r="W2776" s="8"/>
      <c r="X2776" s="771"/>
      <c r="Y2776" s="771"/>
      <c r="Z2776" s="771"/>
      <c r="AA2776" s="771"/>
      <c r="AB2776" s="771"/>
      <c r="AC2776" s="771"/>
      <c r="AD2776" s="771"/>
      <c r="AE2776" s="771"/>
      <c r="AF2776" s="771"/>
      <c r="AG2776" s="771"/>
      <c r="AH2776" s="771"/>
      <c r="AI2776" s="771"/>
      <c r="AJ2776" s="771"/>
      <c r="AK2776" s="771"/>
      <c r="AL2776" s="771"/>
      <c r="AM2776" s="771"/>
      <c r="AN2776" s="771"/>
      <c r="AO2776" s="771"/>
      <c r="AP2776" s="771"/>
      <c r="AQ2776" s="771"/>
      <c r="AR2776" s="771"/>
      <c r="AS2776" s="771"/>
      <c r="AT2776" s="771"/>
      <c r="AU2776" s="771"/>
    </row>
    <row r="2777" spans="1:47" s="1423" customFormat="1" outlineLevel="1" x14ac:dyDescent="0.2">
      <c r="A2777" s="8"/>
      <c r="B2777" s="8"/>
      <c r="C2777" s="1989" t="s">
        <v>3097</v>
      </c>
      <c r="D2777" s="1989" t="s">
        <v>3098</v>
      </c>
      <c r="E2777" s="1989">
        <v>1.69</v>
      </c>
      <c r="F2777" s="38">
        <f t="shared" si="43"/>
        <v>137.43289560000002</v>
      </c>
      <c r="G2777" s="1547"/>
      <c r="H2777" s="8"/>
      <c r="I2777" s="8"/>
      <c r="J2777" s="8"/>
      <c r="K2777" s="8"/>
      <c r="L2777" s="8"/>
      <c r="M2777" s="8"/>
      <c r="N2777" s="8"/>
      <c r="O2777" s="8"/>
      <c r="P2777" s="8"/>
      <c r="Q2777" s="8"/>
      <c r="R2777" s="8"/>
      <c r="S2777" s="8"/>
      <c r="T2777" s="8"/>
      <c r="U2777" s="8"/>
      <c r="V2777" s="8"/>
      <c r="W2777" s="8"/>
      <c r="X2777" s="771"/>
      <c r="Y2777" s="771"/>
      <c r="Z2777" s="771"/>
      <c r="AA2777" s="771"/>
      <c r="AB2777" s="771"/>
      <c r="AC2777" s="771"/>
      <c r="AD2777" s="771"/>
      <c r="AE2777" s="771"/>
      <c r="AF2777" s="771"/>
      <c r="AG2777" s="771"/>
      <c r="AH2777" s="771"/>
      <c r="AI2777" s="771"/>
      <c r="AJ2777" s="771"/>
      <c r="AK2777" s="771"/>
      <c r="AL2777" s="771"/>
      <c r="AM2777" s="771"/>
      <c r="AN2777" s="771"/>
      <c r="AO2777" s="771"/>
      <c r="AP2777" s="771"/>
      <c r="AQ2777" s="771"/>
      <c r="AR2777" s="771"/>
      <c r="AS2777" s="771"/>
      <c r="AT2777" s="771"/>
      <c r="AU2777" s="771"/>
    </row>
    <row r="2778" spans="1:47" s="1423" customFormat="1" outlineLevel="1" x14ac:dyDescent="0.2">
      <c r="A2778" s="8"/>
      <c r="B2778" s="8"/>
      <c r="C2778" s="1989" t="s">
        <v>4183</v>
      </c>
      <c r="D2778" s="1989" t="s">
        <v>4184</v>
      </c>
      <c r="E2778" s="1989">
        <v>1.88</v>
      </c>
      <c r="F2778" s="38">
        <f t="shared" si="43"/>
        <v>152.88393120000001</v>
      </c>
      <c r="G2778" s="1547"/>
      <c r="H2778" s="8"/>
      <c r="I2778" s="8"/>
      <c r="J2778" s="8"/>
      <c r="K2778" s="8"/>
      <c r="L2778" s="8"/>
      <c r="M2778" s="8"/>
      <c r="N2778" s="8"/>
      <c r="O2778" s="8"/>
      <c r="P2778" s="8"/>
      <c r="Q2778" s="8"/>
      <c r="R2778" s="8"/>
      <c r="S2778" s="8"/>
      <c r="T2778" s="8"/>
      <c r="U2778" s="8"/>
      <c r="V2778" s="8"/>
      <c r="W2778" s="8"/>
      <c r="X2778" s="771"/>
      <c r="Y2778" s="771"/>
      <c r="Z2778" s="771"/>
      <c r="AA2778" s="771"/>
      <c r="AB2778" s="771"/>
      <c r="AC2778" s="771"/>
      <c r="AD2778" s="771"/>
      <c r="AE2778" s="771"/>
      <c r="AF2778" s="771"/>
      <c r="AG2778" s="771"/>
      <c r="AH2778" s="771"/>
      <c r="AI2778" s="771"/>
      <c r="AJ2778" s="771"/>
      <c r="AK2778" s="771"/>
      <c r="AL2778" s="771"/>
      <c r="AM2778" s="771"/>
      <c r="AN2778" s="771"/>
      <c r="AO2778" s="771"/>
      <c r="AP2778" s="771"/>
      <c r="AQ2778" s="771"/>
      <c r="AR2778" s="771"/>
      <c r="AS2778" s="771"/>
      <c r="AT2778" s="771"/>
      <c r="AU2778" s="771"/>
    </row>
    <row r="2779" spans="1:47" s="1423" customFormat="1" outlineLevel="1" x14ac:dyDescent="0.2">
      <c r="A2779" s="8"/>
      <c r="B2779" s="8"/>
      <c r="C2779" s="1989" t="s">
        <v>4185</v>
      </c>
      <c r="D2779" s="1989" t="s">
        <v>6311</v>
      </c>
      <c r="E2779" s="1989">
        <v>1.91</v>
      </c>
      <c r="F2779" s="38">
        <f t="shared" si="43"/>
        <v>155.3235684</v>
      </c>
      <c r="G2779" s="1547"/>
      <c r="H2779" s="8"/>
      <c r="I2779" s="8"/>
      <c r="J2779" s="8"/>
      <c r="K2779" s="8"/>
      <c r="L2779" s="8"/>
      <c r="M2779" s="8"/>
      <c r="N2779" s="8"/>
      <c r="O2779" s="8"/>
      <c r="P2779" s="8"/>
      <c r="Q2779" s="8"/>
      <c r="R2779" s="8"/>
      <c r="S2779" s="8"/>
      <c r="T2779" s="8"/>
      <c r="U2779" s="8"/>
      <c r="V2779" s="8"/>
      <c r="W2779" s="8"/>
      <c r="X2779" s="771"/>
      <c r="Y2779" s="771"/>
      <c r="Z2779" s="771"/>
      <c r="AA2779" s="771"/>
      <c r="AB2779" s="771"/>
      <c r="AC2779" s="771"/>
      <c r="AD2779" s="771"/>
      <c r="AE2779" s="771"/>
      <c r="AF2779" s="771"/>
      <c r="AG2779" s="771"/>
      <c r="AH2779" s="771"/>
      <c r="AI2779" s="771"/>
      <c r="AJ2779" s="771"/>
      <c r="AK2779" s="771"/>
      <c r="AL2779" s="771"/>
      <c r="AM2779" s="771"/>
      <c r="AN2779" s="771"/>
      <c r="AO2779" s="771"/>
      <c r="AP2779" s="771"/>
      <c r="AQ2779" s="771"/>
      <c r="AR2779" s="771"/>
      <c r="AS2779" s="771"/>
      <c r="AT2779" s="771"/>
      <c r="AU2779" s="771"/>
    </row>
    <row r="2780" spans="1:47" s="1423" customFormat="1" outlineLevel="1" x14ac:dyDescent="0.2">
      <c r="A2780" s="8"/>
      <c r="B2780" s="8"/>
      <c r="C2780" s="1989" t="s">
        <v>145</v>
      </c>
      <c r="D2780" s="1989" t="s">
        <v>6312</v>
      </c>
      <c r="E2780" s="1989">
        <v>2.34</v>
      </c>
      <c r="F2780" s="38">
        <f t="shared" si="43"/>
        <v>190.29170160000001</v>
      </c>
      <c r="G2780" s="1547"/>
      <c r="H2780" s="8"/>
      <c r="I2780" s="8"/>
      <c r="J2780" s="8"/>
      <c r="K2780" s="8"/>
      <c r="L2780" s="8"/>
      <c r="M2780" s="8"/>
      <c r="N2780" s="8"/>
      <c r="O2780" s="8"/>
      <c r="P2780" s="8"/>
      <c r="Q2780" s="8"/>
      <c r="R2780" s="8"/>
      <c r="S2780" s="8"/>
      <c r="T2780" s="8"/>
      <c r="U2780" s="8"/>
      <c r="V2780" s="8"/>
      <c r="W2780" s="8"/>
      <c r="X2780" s="771"/>
      <c r="Y2780" s="771"/>
      <c r="Z2780" s="771"/>
      <c r="AA2780" s="771"/>
      <c r="AB2780" s="771"/>
      <c r="AC2780" s="771"/>
      <c r="AD2780" s="771"/>
      <c r="AE2780" s="771"/>
      <c r="AF2780" s="771"/>
      <c r="AG2780" s="771"/>
      <c r="AH2780" s="771"/>
      <c r="AI2780" s="771"/>
      <c r="AJ2780" s="771"/>
      <c r="AK2780" s="771"/>
      <c r="AL2780" s="771"/>
      <c r="AM2780" s="771"/>
      <c r="AN2780" s="771"/>
      <c r="AO2780" s="771"/>
      <c r="AP2780" s="771"/>
      <c r="AQ2780" s="771"/>
      <c r="AR2780" s="771"/>
      <c r="AS2780" s="771"/>
      <c r="AT2780" s="771"/>
      <c r="AU2780" s="771"/>
    </row>
    <row r="2781" spans="1:47" s="1423" customFormat="1" outlineLevel="1" x14ac:dyDescent="0.2">
      <c r="A2781" s="8"/>
      <c r="B2781" s="8"/>
      <c r="C2781" s="1989" t="s">
        <v>2747</v>
      </c>
      <c r="D2781" s="1989" t="s">
        <v>2748</v>
      </c>
      <c r="E2781" s="1989">
        <v>2.7</v>
      </c>
      <c r="F2781" s="38">
        <f t="shared" si="43"/>
        <v>219.56734800000004</v>
      </c>
      <c r="G2781" s="1547"/>
      <c r="H2781" s="8"/>
      <c r="I2781" s="8"/>
      <c r="J2781" s="8"/>
      <c r="K2781" s="8"/>
      <c r="L2781" s="8"/>
      <c r="M2781" s="8"/>
      <c r="N2781" s="8"/>
      <c r="O2781" s="8"/>
      <c r="P2781" s="8"/>
      <c r="Q2781" s="8"/>
      <c r="R2781" s="8"/>
      <c r="S2781" s="8"/>
      <c r="T2781" s="8"/>
      <c r="U2781" s="8"/>
      <c r="V2781" s="8"/>
      <c r="W2781" s="8"/>
      <c r="X2781" s="771"/>
      <c r="Y2781" s="771"/>
      <c r="Z2781" s="771"/>
      <c r="AA2781" s="771"/>
      <c r="AB2781" s="771"/>
      <c r="AC2781" s="771"/>
      <c r="AD2781" s="771"/>
      <c r="AE2781" s="771"/>
      <c r="AF2781" s="771"/>
      <c r="AG2781" s="771"/>
      <c r="AH2781" s="771"/>
      <c r="AI2781" s="771"/>
      <c r="AJ2781" s="771"/>
      <c r="AK2781" s="771"/>
      <c r="AL2781" s="771"/>
      <c r="AM2781" s="771"/>
      <c r="AN2781" s="771"/>
      <c r="AO2781" s="771"/>
      <c r="AP2781" s="771"/>
      <c r="AQ2781" s="771"/>
      <c r="AR2781" s="771"/>
      <c r="AS2781" s="771"/>
      <c r="AT2781" s="771"/>
      <c r="AU2781" s="771"/>
    </row>
    <row r="2782" spans="1:47" s="1423" customFormat="1" outlineLevel="1" x14ac:dyDescent="0.2">
      <c r="A2782" s="8"/>
      <c r="B2782" s="8"/>
      <c r="C2782" s="1989" t="s">
        <v>1433</v>
      </c>
      <c r="D2782" s="1989" t="s">
        <v>6313</v>
      </c>
      <c r="E2782" s="1989">
        <v>2.7</v>
      </c>
      <c r="F2782" s="38">
        <f t="shared" si="43"/>
        <v>219.56734800000004</v>
      </c>
      <c r="G2782" s="1547"/>
      <c r="H2782" s="8"/>
      <c r="I2782" s="8"/>
      <c r="J2782" s="8"/>
      <c r="K2782" s="8"/>
      <c r="L2782" s="8"/>
      <c r="M2782" s="8"/>
      <c r="N2782" s="8"/>
      <c r="O2782" s="8"/>
      <c r="P2782" s="8"/>
      <c r="Q2782" s="8"/>
      <c r="R2782" s="8"/>
      <c r="S2782" s="8"/>
      <c r="T2782" s="8"/>
      <c r="U2782" s="8"/>
      <c r="V2782" s="8"/>
      <c r="W2782" s="8"/>
      <c r="X2782" s="771"/>
      <c r="Y2782" s="771"/>
      <c r="Z2782" s="771"/>
      <c r="AA2782" s="771"/>
      <c r="AB2782" s="771"/>
      <c r="AC2782" s="771"/>
      <c r="AD2782" s="771"/>
      <c r="AE2782" s="771"/>
      <c r="AF2782" s="771"/>
      <c r="AG2782" s="771"/>
      <c r="AH2782" s="771"/>
      <c r="AI2782" s="771"/>
      <c r="AJ2782" s="771"/>
      <c r="AK2782" s="771"/>
      <c r="AL2782" s="771"/>
      <c r="AM2782" s="771"/>
      <c r="AN2782" s="771"/>
      <c r="AO2782" s="771"/>
      <c r="AP2782" s="771"/>
      <c r="AQ2782" s="771"/>
      <c r="AR2782" s="771"/>
      <c r="AS2782" s="771"/>
      <c r="AT2782" s="771"/>
      <c r="AU2782" s="771"/>
    </row>
    <row r="2783" spans="1:47" s="1423" customFormat="1" outlineLevel="1" x14ac:dyDescent="0.2">
      <c r="A2783" s="8"/>
      <c r="B2783" s="8"/>
      <c r="C2783" s="1989" t="s">
        <v>2749</v>
      </c>
      <c r="D2783" s="1989" t="s">
        <v>2750</v>
      </c>
      <c r="E2783" s="1989">
        <v>2.7</v>
      </c>
      <c r="F2783" s="38">
        <f t="shared" si="43"/>
        <v>219.56734800000004</v>
      </c>
      <c r="G2783" s="1547"/>
      <c r="H2783" s="8"/>
      <c r="I2783" s="8"/>
      <c r="J2783" s="8"/>
      <c r="K2783" s="8"/>
      <c r="L2783" s="8"/>
      <c r="M2783" s="8"/>
      <c r="N2783" s="8"/>
      <c r="O2783" s="8"/>
      <c r="P2783" s="8"/>
      <c r="Q2783" s="8"/>
      <c r="R2783" s="8"/>
      <c r="S2783" s="8"/>
      <c r="T2783" s="8"/>
      <c r="U2783" s="8"/>
      <c r="V2783" s="8"/>
      <c r="W2783" s="8"/>
      <c r="X2783" s="771"/>
      <c r="Y2783" s="771"/>
      <c r="Z2783" s="771"/>
      <c r="AA2783" s="771"/>
      <c r="AB2783" s="771"/>
      <c r="AC2783" s="771"/>
      <c r="AD2783" s="771"/>
      <c r="AE2783" s="771"/>
      <c r="AF2783" s="771"/>
      <c r="AG2783" s="771"/>
      <c r="AH2783" s="771"/>
      <c r="AI2783" s="771"/>
      <c r="AJ2783" s="771"/>
      <c r="AK2783" s="771"/>
      <c r="AL2783" s="771"/>
      <c r="AM2783" s="771"/>
      <c r="AN2783" s="771"/>
      <c r="AO2783" s="771"/>
      <c r="AP2783" s="771"/>
      <c r="AQ2783" s="771"/>
      <c r="AR2783" s="771"/>
      <c r="AS2783" s="771"/>
      <c r="AT2783" s="771"/>
      <c r="AU2783" s="771"/>
    </row>
    <row r="2784" spans="1:47" s="1423" customFormat="1" outlineLevel="1" x14ac:dyDescent="0.2">
      <c r="A2784" s="8"/>
      <c r="B2784" s="8"/>
      <c r="C2784" s="1989" t="s">
        <v>409</v>
      </c>
      <c r="D2784" s="1989" t="s">
        <v>2751</v>
      </c>
      <c r="E2784" s="1989">
        <v>1.1299999999999999</v>
      </c>
      <c r="F2784" s="38">
        <f t="shared" si="43"/>
        <v>91.8930012</v>
      </c>
      <c r="G2784" s="1547"/>
      <c r="H2784" s="8"/>
      <c r="I2784" s="8"/>
      <c r="J2784" s="8"/>
      <c r="K2784" s="8"/>
      <c r="L2784" s="8"/>
      <c r="M2784" s="8"/>
      <c r="N2784" s="8"/>
      <c r="O2784" s="8"/>
      <c r="P2784" s="8"/>
      <c r="Q2784" s="8"/>
      <c r="R2784" s="8"/>
      <c r="S2784" s="8"/>
      <c r="T2784" s="8"/>
      <c r="U2784" s="8"/>
      <c r="V2784" s="8"/>
      <c r="W2784" s="8"/>
      <c r="X2784" s="771"/>
      <c r="Y2784" s="771"/>
      <c r="Z2784" s="771"/>
      <c r="AA2784" s="771"/>
      <c r="AB2784" s="771"/>
      <c r="AC2784" s="771"/>
      <c r="AD2784" s="771"/>
      <c r="AE2784" s="771"/>
      <c r="AF2784" s="771"/>
      <c r="AG2784" s="771"/>
      <c r="AH2784" s="771"/>
      <c r="AI2784" s="771"/>
      <c r="AJ2784" s="771"/>
      <c r="AK2784" s="771"/>
      <c r="AL2784" s="771"/>
      <c r="AM2784" s="771"/>
      <c r="AN2784" s="771"/>
      <c r="AO2784" s="771"/>
      <c r="AP2784" s="771"/>
      <c r="AQ2784" s="771"/>
      <c r="AR2784" s="771"/>
      <c r="AS2784" s="771"/>
      <c r="AT2784" s="771"/>
      <c r="AU2784" s="771"/>
    </row>
    <row r="2785" spans="1:47" s="1423" customFormat="1" outlineLevel="1" x14ac:dyDescent="0.2">
      <c r="A2785" s="8"/>
      <c r="B2785" s="8"/>
      <c r="C2785" s="1989" t="s">
        <v>3483</v>
      </c>
      <c r="D2785" s="1989" t="s">
        <v>3484</v>
      </c>
      <c r="E2785" s="1989">
        <v>2.7</v>
      </c>
      <c r="F2785" s="38">
        <f t="shared" si="43"/>
        <v>219.56734800000004</v>
      </c>
      <c r="G2785" s="1547"/>
      <c r="H2785" s="8"/>
      <c r="I2785" s="8"/>
      <c r="J2785" s="8"/>
      <c r="K2785" s="8"/>
      <c r="L2785" s="8"/>
      <c r="M2785" s="8"/>
      <c r="N2785" s="8"/>
      <c r="O2785" s="8"/>
      <c r="P2785" s="8"/>
      <c r="Q2785" s="8"/>
      <c r="R2785" s="8"/>
      <c r="S2785" s="8"/>
      <c r="T2785" s="8"/>
      <c r="U2785" s="8"/>
      <c r="V2785" s="8"/>
      <c r="W2785" s="8"/>
      <c r="X2785" s="771"/>
      <c r="Y2785" s="771"/>
      <c r="Z2785" s="771"/>
      <c r="AA2785" s="771"/>
      <c r="AB2785" s="771"/>
      <c r="AC2785" s="771"/>
      <c r="AD2785" s="771"/>
      <c r="AE2785" s="771"/>
      <c r="AF2785" s="771"/>
      <c r="AG2785" s="771"/>
      <c r="AH2785" s="771"/>
      <c r="AI2785" s="771"/>
      <c r="AJ2785" s="771"/>
      <c r="AK2785" s="771"/>
      <c r="AL2785" s="771"/>
      <c r="AM2785" s="771"/>
      <c r="AN2785" s="771"/>
      <c r="AO2785" s="771"/>
      <c r="AP2785" s="771"/>
      <c r="AQ2785" s="771"/>
      <c r="AR2785" s="771"/>
      <c r="AS2785" s="771"/>
      <c r="AT2785" s="771"/>
      <c r="AU2785" s="771"/>
    </row>
    <row r="2786" spans="1:47" s="1423" customFormat="1" outlineLevel="1" x14ac:dyDescent="0.2">
      <c r="A2786" s="8"/>
      <c r="B2786" s="8"/>
      <c r="C2786" s="1989" t="s">
        <v>410</v>
      </c>
      <c r="D2786" s="1989" t="s">
        <v>6314</v>
      </c>
      <c r="E2786" s="1989">
        <v>0.25</v>
      </c>
      <c r="F2786" s="38">
        <f t="shared" si="43"/>
        <v>20.330310000000001</v>
      </c>
      <c r="G2786" s="1547"/>
      <c r="H2786" s="8"/>
      <c r="I2786" s="8"/>
      <c r="J2786" s="8"/>
      <c r="K2786" s="8"/>
      <c r="L2786" s="8"/>
      <c r="M2786" s="8"/>
      <c r="N2786" s="8"/>
      <c r="O2786" s="8"/>
      <c r="P2786" s="8"/>
      <c r="Q2786" s="8"/>
      <c r="R2786" s="8"/>
      <c r="S2786" s="8"/>
      <c r="T2786" s="8"/>
      <c r="U2786" s="8"/>
      <c r="V2786" s="8"/>
      <c r="W2786" s="8"/>
      <c r="X2786" s="771"/>
      <c r="Y2786" s="771"/>
      <c r="Z2786" s="771"/>
      <c r="AA2786" s="771"/>
      <c r="AB2786" s="771"/>
      <c r="AC2786" s="771"/>
      <c r="AD2786" s="771"/>
      <c r="AE2786" s="771"/>
      <c r="AF2786" s="771"/>
      <c r="AG2786" s="771"/>
      <c r="AH2786" s="771"/>
      <c r="AI2786" s="771"/>
      <c r="AJ2786" s="771"/>
      <c r="AK2786" s="771"/>
      <c r="AL2786" s="771"/>
      <c r="AM2786" s="771"/>
      <c r="AN2786" s="771"/>
      <c r="AO2786" s="771"/>
      <c r="AP2786" s="771"/>
      <c r="AQ2786" s="771"/>
      <c r="AR2786" s="771"/>
      <c r="AS2786" s="771"/>
      <c r="AT2786" s="771"/>
      <c r="AU2786" s="771"/>
    </row>
    <row r="2787" spans="1:47" s="1423" customFormat="1" outlineLevel="1" x14ac:dyDescent="0.2">
      <c r="A2787" s="8"/>
      <c r="B2787" s="8"/>
      <c r="C2787" s="1989" t="s">
        <v>406</v>
      </c>
      <c r="D2787" s="1989" t="s">
        <v>413</v>
      </c>
      <c r="E2787" s="1989">
        <v>1.69</v>
      </c>
      <c r="F2787" s="38">
        <f t="shared" si="43"/>
        <v>137.43289560000002</v>
      </c>
      <c r="G2787" s="1547"/>
      <c r="H2787" s="8"/>
      <c r="I2787" s="8"/>
      <c r="J2787" s="8"/>
      <c r="K2787" s="8"/>
      <c r="L2787" s="8"/>
      <c r="M2787" s="8"/>
      <c r="N2787" s="8"/>
      <c r="O2787" s="8"/>
      <c r="P2787" s="8"/>
      <c r="Q2787" s="8"/>
      <c r="R2787" s="8"/>
      <c r="S2787" s="8"/>
      <c r="T2787" s="8"/>
      <c r="U2787" s="8"/>
      <c r="V2787" s="8"/>
      <c r="W2787" s="8"/>
      <c r="X2787" s="771"/>
      <c r="Y2787" s="771"/>
      <c r="Z2787" s="771"/>
      <c r="AA2787" s="771"/>
      <c r="AB2787" s="771"/>
      <c r="AC2787" s="771"/>
      <c r="AD2787" s="771"/>
      <c r="AE2787" s="771"/>
      <c r="AF2787" s="771"/>
      <c r="AG2787" s="771"/>
      <c r="AH2787" s="771"/>
      <c r="AI2787" s="771"/>
      <c r="AJ2787" s="771"/>
      <c r="AK2787" s="771"/>
      <c r="AL2787" s="771"/>
      <c r="AM2787" s="771"/>
      <c r="AN2787" s="771"/>
      <c r="AO2787" s="771"/>
      <c r="AP2787" s="771"/>
      <c r="AQ2787" s="771"/>
      <c r="AR2787" s="771"/>
      <c r="AS2787" s="771"/>
      <c r="AT2787" s="771"/>
      <c r="AU2787" s="771"/>
    </row>
    <row r="2788" spans="1:47" s="1423" customFormat="1" outlineLevel="1" x14ac:dyDescent="0.2">
      <c r="A2788" s="8"/>
      <c r="B2788" s="8"/>
      <c r="C2788" s="1989" t="s">
        <v>3348</v>
      </c>
      <c r="D2788" s="1989" t="s">
        <v>3485</v>
      </c>
      <c r="E2788" s="1989">
        <v>0.63</v>
      </c>
      <c r="F2788" s="38">
        <f t="shared" si="43"/>
        <v>51.232381200000006</v>
      </c>
      <c r="G2788" s="1547"/>
      <c r="H2788" s="8"/>
      <c r="I2788" s="8"/>
      <c r="J2788" s="8"/>
      <c r="K2788" s="8"/>
      <c r="L2788" s="8"/>
      <c r="M2788" s="8"/>
      <c r="N2788" s="8"/>
      <c r="O2788" s="8"/>
      <c r="P2788" s="8"/>
      <c r="Q2788" s="8"/>
      <c r="R2788" s="8"/>
      <c r="S2788" s="8"/>
      <c r="T2788" s="8"/>
      <c r="U2788" s="8"/>
      <c r="V2788" s="8"/>
      <c r="W2788" s="8"/>
      <c r="X2788" s="771"/>
      <c r="Y2788" s="771"/>
      <c r="Z2788" s="771"/>
      <c r="AA2788" s="771"/>
      <c r="AB2788" s="771"/>
      <c r="AC2788" s="771"/>
      <c r="AD2788" s="771"/>
      <c r="AE2788" s="771"/>
      <c r="AF2788" s="771"/>
      <c r="AG2788" s="771"/>
      <c r="AH2788" s="771"/>
      <c r="AI2788" s="771"/>
      <c r="AJ2788" s="771"/>
      <c r="AK2788" s="771"/>
      <c r="AL2788" s="771"/>
      <c r="AM2788" s="771"/>
      <c r="AN2788" s="771"/>
      <c r="AO2788" s="771"/>
      <c r="AP2788" s="771"/>
      <c r="AQ2788" s="771"/>
      <c r="AR2788" s="771"/>
      <c r="AS2788" s="771"/>
      <c r="AT2788" s="771"/>
      <c r="AU2788" s="771"/>
    </row>
    <row r="2789" spans="1:47" s="1423" customFormat="1" outlineLevel="1" x14ac:dyDescent="0.2">
      <c r="A2789" s="8"/>
      <c r="B2789" s="8"/>
      <c r="C2789" s="1989" t="s">
        <v>404</v>
      </c>
      <c r="D2789" s="1989" t="s">
        <v>405</v>
      </c>
      <c r="E2789" s="1989">
        <v>1.98</v>
      </c>
      <c r="F2789" s="38">
        <f t="shared" si="43"/>
        <v>161.01605520000001</v>
      </c>
      <c r="G2789" s="1547"/>
      <c r="H2789" s="8"/>
      <c r="I2789" s="8"/>
      <c r="J2789" s="8"/>
      <c r="K2789" s="8"/>
      <c r="L2789" s="8"/>
      <c r="M2789" s="8"/>
      <c r="N2789" s="8"/>
      <c r="O2789" s="8"/>
      <c r="P2789" s="8"/>
      <c r="Q2789" s="8"/>
      <c r="R2789" s="8"/>
      <c r="S2789" s="8"/>
      <c r="T2789" s="8"/>
      <c r="U2789" s="8"/>
      <c r="V2789" s="8"/>
      <c r="W2789" s="8"/>
      <c r="X2789" s="771"/>
      <c r="Y2789" s="771"/>
      <c r="Z2789" s="771"/>
      <c r="AA2789" s="771"/>
      <c r="AB2789" s="771"/>
      <c r="AC2789" s="771"/>
      <c r="AD2789" s="771"/>
      <c r="AE2789" s="771"/>
      <c r="AF2789" s="771"/>
      <c r="AG2789" s="771"/>
      <c r="AH2789" s="771"/>
      <c r="AI2789" s="771"/>
      <c r="AJ2789" s="771"/>
      <c r="AK2789" s="771"/>
      <c r="AL2789" s="771"/>
      <c r="AM2789" s="771"/>
      <c r="AN2789" s="771"/>
      <c r="AO2789" s="771"/>
      <c r="AP2789" s="771"/>
      <c r="AQ2789" s="771"/>
      <c r="AR2789" s="771"/>
      <c r="AS2789" s="771"/>
      <c r="AT2789" s="771"/>
      <c r="AU2789" s="771"/>
    </row>
    <row r="2790" spans="1:47" s="1423" customFormat="1" outlineLevel="1" x14ac:dyDescent="0.2">
      <c r="A2790" s="8"/>
      <c r="B2790" s="8"/>
      <c r="C2790" s="1989" t="s">
        <v>408</v>
      </c>
      <c r="D2790" s="1989" t="s">
        <v>414</v>
      </c>
      <c r="E2790" s="1989">
        <v>0.68</v>
      </c>
      <c r="F2790" s="38">
        <f t="shared" si="43"/>
        <v>55.298443200000008</v>
      </c>
      <c r="G2790" s="1547"/>
      <c r="H2790" s="8"/>
      <c r="I2790" s="8"/>
      <c r="J2790" s="8"/>
      <c r="K2790" s="8"/>
      <c r="L2790" s="8"/>
      <c r="M2790" s="8"/>
      <c r="N2790" s="8"/>
      <c r="O2790" s="8"/>
      <c r="P2790" s="8"/>
      <c r="Q2790" s="8"/>
      <c r="R2790" s="8"/>
      <c r="S2790" s="8"/>
      <c r="T2790" s="8"/>
      <c r="U2790" s="8"/>
      <c r="V2790" s="8"/>
      <c r="W2790" s="8"/>
      <c r="X2790" s="771"/>
      <c r="Y2790" s="771"/>
      <c r="Z2790" s="771"/>
      <c r="AA2790" s="771"/>
      <c r="AB2790" s="771"/>
      <c r="AC2790" s="771"/>
      <c r="AD2790" s="771"/>
      <c r="AE2790" s="771"/>
      <c r="AF2790" s="771"/>
      <c r="AG2790" s="771"/>
      <c r="AH2790" s="771"/>
      <c r="AI2790" s="771"/>
      <c r="AJ2790" s="771"/>
      <c r="AK2790" s="771"/>
      <c r="AL2790" s="771"/>
      <c r="AM2790" s="771"/>
      <c r="AN2790" s="771"/>
      <c r="AO2790" s="771"/>
      <c r="AP2790" s="771"/>
      <c r="AQ2790" s="771"/>
      <c r="AR2790" s="771"/>
      <c r="AS2790" s="771"/>
      <c r="AT2790" s="771"/>
      <c r="AU2790" s="771"/>
    </row>
    <row r="2791" spans="1:47" s="1423" customFormat="1" outlineLevel="1" x14ac:dyDescent="0.2">
      <c r="A2791" s="8"/>
      <c r="B2791" s="8"/>
      <c r="C2791" s="1989" t="s">
        <v>407</v>
      </c>
      <c r="D2791" s="1989" t="s">
        <v>3108</v>
      </c>
      <c r="E2791" s="1989">
        <v>0.64</v>
      </c>
      <c r="F2791" s="38">
        <f t="shared" si="43"/>
        <v>52.045593600000004</v>
      </c>
      <c r="G2791" s="1547"/>
      <c r="H2791" s="8"/>
      <c r="I2791" s="8"/>
      <c r="J2791" s="8"/>
      <c r="K2791" s="8"/>
      <c r="L2791" s="8"/>
      <c r="M2791" s="8"/>
      <c r="N2791" s="8"/>
      <c r="O2791" s="8"/>
      <c r="P2791" s="8"/>
      <c r="Q2791" s="8"/>
      <c r="R2791" s="8"/>
      <c r="S2791" s="8"/>
      <c r="T2791" s="8"/>
      <c r="U2791" s="8"/>
      <c r="V2791" s="8"/>
      <c r="W2791" s="8"/>
      <c r="X2791" s="771"/>
      <c r="Y2791" s="771"/>
      <c r="Z2791" s="771"/>
      <c r="AA2791" s="771"/>
      <c r="AB2791" s="771"/>
      <c r="AC2791" s="771"/>
      <c r="AD2791" s="771"/>
      <c r="AE2791" s="771"/>
      <c r="AF2791" s="771"/>
      <c r="AG2791" s="771"/>
      <c r="AH2791" s="771"/>
      <c r="AI2791" s="771"/>
      <c r="AJ2791" s="771"/>
      <c r="AK2791" s="771"/>
      <c r="AL2791" s="771"/>
      <c r="AM2791" s="771"/>
      <c r="AN2791" s="771"/>
      <c r="AO2791" s="771"/>
      <c r="AP2791" s="771"/>
      <c r="AQ2791" s="771"/>
      <c r="AR2791" s="771"/>
      <c r="AS2791" s="771"/>
      <c r="AT2791" s="771"/>
      <c r="AU2791" s="771"/>
    </row>
    <row r="2792" spans="1:47" s="1423" customFormat="1" outlineLevel="1" x14ac:dyDescent="0.2">
      <c r="A2792" s="8"/>
      <c r="B2792" s="8"/>
      <c r="C2792" s="1989" t="s">
        <v>2757</v>
      </c>
      <c r="D2792" s="1989" t="s">
        <v>6315</v>
      </c>
      <c r="E2792" s="1989">
        <v>0.6</v>
      </c>
      <c r="F2792" s="38">
        <f t="shared" si="43"/>
        <v>48.792743999999999</v>
      </c>
      <c r="G2792" s="1547"/>
      <c r="H2792" s="8"/>
      <c r="I2792" s="8"/>
      <c r="J2792" s="8"/>
      <c r="K2792" s="8"/>
      <c r="L2792" s="8"/>
      <c r="M2792" s="8"/>
      <c r="N2792" s="8"/>
      <c r="O2792" s="8"/>
      <c r="P2792" s="8"/>
      <c r="Q2792" s="8"/>
      <c r="R2792" s="8"/>
      <c r="S2792" s="8"/>
      <c r="T2792" s="8"/>
      <c r="U2792" s="8"/>
      <c r="V2792" s="8"/>
      <c r="W2792" s="8"/>
      <c r="X2792" s="771"/>
      <c r="Y2792" s="771"/>
      <c r="Z2792" s="771"/>
      <c r="AA2792" s="771"/>
      <c r="AB2792" s="771"/>
      <c r="AC2792" s="771"/>
      <c r="AD2792" s="771"/>
      <c r="AE2792" s="771"/>
      <c r="AF2792" s="771"/>
      <c r="AG2792" s="771"/>
      <c r="AH2792" s="771"/>
      <c r="AI2792" s="771"/>
      <c r="AJ2792" s="771"/>
      <c r="AK2792" s="771"/>
      <c r="AL2792" s="771"/>
      <c r="AM2792" s="771"/>
      <c r="AN2792" s="771"/>
      <c r="AO2792" s="771"/>
      <c r="AP2792" s="771"/>
      <c r="AQ2792" s="771"/>
      <c r="AR2792" s="771"/>
      <c r="AS2792" s="771"/>
      <c r="AT2792" s="771"/>
      <c r="AU2792" s="771"/>
    </row>
    <row r="2793" spans="1:47" s="1423" customFormat="1" outlineLevel="1" x14ac:dyDescent="0.2">
      <c r="A2793" s="8"/>
      <c r="B2793" s="8"/>
      <c r="C2793" s="1989" t="s">
        <v>411</v>
      </c>
      <c r="D2793" s="1989" t="s">
        <v>2759</v>
      </c>
      <c r="E2793" s="1989">
        <v>0.08</v>
      </c>
      <c r="F2793" s="38">
        <f t="shared" si="43"/>
        <v>6.5056992000000005</v>
      </c>
      <c r="G2793" s="1547"/>
      <c r="H2793" s="8"/>
      <c r="I2793" s="8"/>
      <c r="J2793" s="8"/>
      <c r="K2793" s="8"/>
      <c r="L2793" s="8"/>
      <c r="M2793" s="8"/>
      <c r="N2793" s="8"/>
      <c r="O2793" s="8"/>
      <c r="P2793" s="8"/>
      <c r="Q2793" s="8"/>
      <c r="R2793" s="8"/>
      <c r="S2793" s="8"/>
      <c r="T2793" s="8"/>
      <c r="U2793" s="8"/>
      <c r="V2793" s="8"/>
      <c r="W2793" s="8"/>
      <c r="X2793" s="771"/>
      <c r="Y2793" s="771"/>
      <c r="Z2793" s="771"/>
      <c r="AA2793" s="771"/>
      <c r="AB2793" s="771"/>
      <c r="AC2793" s="771"/>
      <c r="AD2793" s="771"/>
      <c r="AE2793" s="771"/>
      <c r="AF2793" s="771"/>
      <c r="AG2793" s="771"/>
      <c r="AH2793" s="771"/>
      <c r="AI2793" s="771"/>
      <c r="AJ2793" s="771"/>
      <c r="AK2793" s="771"/>
      <c r="AL2793" s="771"/>
      <c r="AM2793" s="771"/>
      <c r="AN2793" s="771"/>
      <c r="AO2793" s="771"/>
      <c r="AP2793" s="771"/>
      <c r="AQ2793" s="771"/>
      <c r="AR2793" s="771"/>
      <c r="AS2793" s="771"/>
      <c r="AT2793" s="771"/>
      <c r="AU2793" s="771"/>
    </row>
    <row r="2794" spans="1:47" s="1423" customFormat="1" outlineLevel="1" x14ac:dyDescent="0.2">
      <c r="A2794" s="8"/>
      <c r="B2794" s="8"/>
      <c r="C2794" s="1989" t="s">
        <v>1702</v>
      </c>
      <c r="D2794" s="1989" t="s">
        <v>415</v>
      </c>
      <c r="E2794" s="1989">
        <v>0.12</v>
      </c>
      <c r="F2794" s="38">
        <f t="shared" si="43"/>
        <v>9.7585487999999998</v>
      </c>
      <c r="G2794" s="1547"/>
      <c r="H2794" s="8"/>
      <c r="I2794" s="8"/>
      <c r="J2794" s="8"/>
      <c r="K2794" s="8"/>
      <c r="L2794" s="8"/>
      <c r="M2794" s="8"/>
      <c r="N2794" s="8"/>
      <c r="O2794" s="8"/>
      <c r="P2794" s="8"/>
      <c r="Q2794" s="8"/>
      <c r="R2794" s="8"/>
      <c r="S2794" s="8"/>
      <c r="T2794" s="8"/>
      <c r="U2794" s="8"/>
      <c r="V2794" s="8"/>
      <c r="W2794" s="8"/>
      <c r="X2794" s="771"/>
      <c r="Y2794" s="771"/>
      <c r="Z2794" s="771"/>
      <c r="AA2794" s="771"/>
      <c r="AB2794" s="771"/>
      <c r="AC2794" s="771"/>
      <c r="AD2794" s="771"/>
      <c r="AE2794" s="771"/>
      <c r="AF2794" s="771"/>
      <c r="AG2794" s="771"/>
      <c r="AH2794" s="771"/>
      <c r="AI2794" s="771"/>
      <c r="AJ2794" s="771"/>
      <c r="AK2794" s="771"/>
      <c r="AL2794" s="771"/>
      <c r="AM2794" s="771"/>
      <c r="AN2794" s="771"/>
      <c r="AO2794" s="771"/>
      <c r="AP2794" s="771"/>
      <c r="AQ2794" s="771"/>
      <c r="AR2794" s="771"/>
      <c r="AS2794" s="771"/>
      <c r="AT2794" s="771"/>
      <c r="AU2794" s="771"/>
    </row>
    <row r="2795" spans="1:47" s="1423" customFormat="1" outlineLevel="1" x14ac:dyDescent="0.2">
      <c r="A2795" s="8"/>
      <c r="B2795" s="8"/>
      <c r="C2795" s="1989" t="s">
        <v>3349</v>
      </c>
      <c r="D2795" s="1989" t="s">
        <v>3486</v>
      </c>
      <c r="E2795" s="1989">
        <v>0.63</v>
      </c>
      <c r="F2795" s="38">
        <f t="shared" si="43"/>
        <v>51.232381200000006</v>
      </c>
      <c r="G2795" s="1547"/>
      <c r="H2795" s="8"/>
      <c r="I2795" s="8"/>
      <c r="J2795" s="8"/>
      <c r="K2795" s="8"/>
      <c r="L2795" s="8"/>
      <c r="M2795" s="8"/>
      <c r="N2795" s="8"/>
      <c r="O2795" s="8"/>
      <c r="P2795" s="8"/>
      <c r="Q2795" s="8"/>
      <c r="R2795" s="8"/>
      <c r="S2795" s="8"/>
      <c r="T2795" s="8"/>
      <c r="U2795" s="8"/>
      <c r="V2795" s="8"/>
      <c r="W2795" s="8"/>
      <c r="X2795" s="771"/>
      <c r="Y2795" s="771"/>
      <c r="Z2795" s="771"/>
      <c r="AA2795" s="771"/>
      <c r="AB2795" s="771"/>
      <c r="AC2795" s="771"/>
      <c r="AD2795" s="771"/>
      <c r="AE2795" s="771"/>
      <c r="AF2795" s="771"/>
      <c r="AG2795" s="771"/>
      <c r="AH2795" s="771"/>
      <c r="AI2795" s="771"/>
      <c r="AJ2795" s="771"/>
      <c r="AK2795" s="771"/>
      <c r="AL2795" s="771"/>
      <c r="AM2795" s="771"/>
      <c r="AN2795" s="771"/>
      <c r="AO2795" s="771"/>
      <c r="AP2795" s="771"/>
      <c r="AQ2795" s="771"/>
      <c r="AR2795" s="771"/>
      <c r="AS2795" s="771"/>
      <c r="AT2795" s="771"/>
      <c r="AU2795" s="771"/>
    </row>
    <row r="2796" spans="1:47" s="1423" customFormat="1" outlineLevel="1" x14ac:dyDescent="0.2">
      <c r="A2796" s="8"/>
      <c r="B2796" s="8"/>
      <c r="C2796" s="1989" t="s">
        <v>3476</v>
      </c>
      <c r="D2796" s="1989" t="s">
        <v>6316</v>
      </c>
      <c r="E2796" s="1989">
        <v>0.71</v>
      </c>
      <c r="F2796" s="38">
        <f t="shared" si="43"/>
        <v>57.738080400000001</v>
      </c>
      <c r="G2796" s="1547"/>
      <c r="H2796" s="8"/>
      <c r="I2796" s="8"/>
      <c r="J2796" s="8"/>
      <c r="K2796" s="8"/>
      <c r="L2796" s="8"/>
      <c r="M2796" s="8"/>
      <c r="N2796" s="8"/>
      <c r="O2796" s="8"/>
      <c r="P2796" s="8"/>
      <c r="Q2796" s="8"/>
      <c r="R2796" s="8"/>
      <c r="S2796" s="8"/>
      <c r="T2796" s="8"/>
      <c r="U2796" s="8"/>
      <c r="V2796" s="8"/>
      <c r="W2796" s="8"/>
      <c r="X2796" s="771"/>
      <c r="Y2796" s="771"/>
      <c r="Z2796" s="771"/>
      <c r="AA2796" s="771"/>
      <c r="AB2796" s="771"/>
      <c r="AC2796" s="771"/>
      <c r="AD2796" s="771"/>
      <c r="AE2796" s="771"/>
      <c r="AF2796" s="771"/>
      <c r="AG2796" s="771"/>
      <c r="AH2796" s="771"/>
      <c r="AI2796" s="771"/>
      <c r="AJ2796" s="771"/>
      <c r="AK2796" s="771"/>
      <c r="AL2796" s="771"/>
      <c r="AM2796" s="771"/>
      <c r="AN2796" s="771"/>
      <c r="AO2796" s="771"/>
      <c r="AP2796" s="771"/>
      <c r="AQ2796" s="771"/>
      <c r="AR2796" s="771"/>
      <c r="AS2796" s="771"/>
      <c r="AT2796" s="771"/>
      <c r="AU2796" s="771"/>
    </row>
    <row r="2797" spans="1:47" s="1423" customFormat="1" outlineLevel="1" x14ac:dyDescent="0.2">
      <c r="A2797" s="8"/>
      <c r="B2797" s="8"/>
      <c r="C2797" s="1989" t="s">
        <v>2016</v>
      </c>
      <c r="D2797" s="1989" t="s">
        <v>6317</v>
      </c>
      <c r="E2797" s="1989">
        <v>3.86</v>
      </c>
      <c r="F2797" s="38">
        <f t="shared" si="43"/>
        <v>313.89998639999999</v>
      </c>
      <c r="G2797" s="1547"/>
      <c r="H2797" s="8"/>
      <c r="I2797" s="8"/>
      <c r="J2797" s="8"/>
      <c r="K2797" s="8"/>
      <c r="L2797" s="8"/>
      <c r="M2797" s="8"/>
      <c r="N2797" s="8"/>
      <c r="O2797" s="8"/>
      <c r="P2797" s="8"/>
      <c r="Q2797" s="8"/>
      <c r="R2797" s="8"/>
      <c r="S2797" s="8"/>
      <c r="T2797" s="8"/>
      <c r="U2797" s="8"/>
      <c r="V2797" s="8"/>
      <c r="W2797" s="8"/>
      <c r="X2797" s="771"/>
      <c r="Y2797" s="771"/>
      <c r="Z2797" s="771"/>
      <c r="AA2797" s="771"/>
      <c r="AB2797" s="771"/>
      <c r="AC2797" s="771"/>
      <c r="AD2797" s="771"/>
      <c r="AE2797" s="771"/>
      <c r="AF2797" s="771"/>
      <c r="AG2797" s="771"/>
      <c r="AH2797" s="771"/>
      <c r="AI2797" s="771"/>
      <c r="AJ2797" s="771"/>
      <c r="AK2797" s="771"/>
      <c r="AL2797" s="771"/>
      <c r="AM2797" s="771"/>
      <c r="AN2797" s="771"/>
      <c r="AO2797" s="771"/>
      <c r="AP2797" s="771"/>
      <c r="AQ2797" s="771"/>
      <c r="AR2797" s="771"/>
      <c r="AS2797" s="771"/>
      <c r="AT2797" s="771"/>
      <c r="AU2797" s="771"/>
    </row>
    <row r="2798" spans="1:47" s="1423" customFormat="1" outlineLevel="1" x14ac:dyDescent="0.2">
      <c r="A2798" s="8"/>
      <c r="B2798" s="8"/>
      <c r="C2798" s="1989" t="s">
        <v>3480</v>
      </c>
      <c r="D2798" s="1989" t="s">
        <v>3487</v>
      </c>
      <c r="E2798" s="1989">
        <v>0.71</v>
      </c>
      <c r="F2798" s="38">
        <f t="shared" si="43"/>
        <v>57.738080400000001</v>
      </c>
      <c r="G2798" s="1547"/>
      <c r="H2798" s="8"/>
      <c r="I2798" s="8"/>
      <c r="J2798" s="8"/>
      <c r="K2798" s="8"/>
      <c r="L2798" s="8"/>
      <c r="M2798" s="8"/>
      <c r="N2798" s="8"/>
      <c r="O2798" s="8"/>
      <c r="P2798" s="8"/>
      <c r="Q2798" s="8"/>
      <c r="R2798" s="8"/>
      <c r="S2798" s="8"/>
      <c r="T2798" s="8"/>
      <c r="U2798" s="8"/>
      <c r="V2798" s="8"/>
      <c r="W2798" s="8"/>
      <c r="X2798" s="771"/>
      <c r="Y2798" s="771"/>
      <c r="Z2798" s="771"/>
      <c r="AA2798" s="771"/>
      <c r="AB2798" s="771"/>
      <c r="AC2798" s="771"/>
      <c r="AD2798" s="771"/>
      <c r="AE2798" s="771"/>
      <c r="AF2798" s="771"/>
      <c r="AG2798" s="771"/>
      <c r="AH2798" s="771"/>
      <c r="AI2798" s="771"/>
      <c r="AJ2798" s="771"/>
      <c r="AK2798" s="771"/>
      <c r="AL2798" s="771"/>
      <c r="AM2798" s="771"/>
      <c r="AN2798" s="771"/>
      <c r="AO2798" s="771"/>
      <c r="AP2798" s="771"/>
      <c r="AQ2798" s="771"/>
      <c r="AR2798" s="771"/>
      <c r="AS2798" s="771"/>
      <c r="AT2798" s="771"/>
      <c r="AU2798" s="771"/>
    </row>
    <row r="2799" spans="1:47" s="1423" customFormat="1" outlineLevel="1" x14ac:dyDescent="0.2">
      <c r="A2799" s="8"/>
      <c r="B2799" s="8"/>
      <c r="C2799" s="1989" t="s">
        <v>3101</v>
      </c>
      <c r="D2799" s="1989" t="s">
        <v>3102</v>
      </c>
      <c r="E2799" s="1989">
        <v>1.33</v>
      </c>
      <c r="F2799" s="38">
        <f t="shared" si="43"/>
        <v>108.15724920000001</v>
      </c>
      <c r="G2799" s="1547"/>
      <c r="H2799" s="8"/>
      <c r="I2799" s="8"/>
      <c r="J2799" s="8"/>
      <c r="K2799" s="8"/>
      <c r="L2799" s="8"/>
      <c r="M2799" s="8"/>
      <c r="N2799" s="8"/>
      <c r="O2799" s="8"/>
      <c r="P2799" s="8"/>
      <c r="Q2799" s="8"/>
      <c r="R2799" s="8"/>
      <c r="S2799" s="8"/>
      <c r="T2799" s="8"/>
      <c r="U2799" s="8"/>
      <c r="V2799" s="8"/>
      <c r="W2799" s="8"/>
      <c r="X2799" s="771"/>
      <c r="Y2799" s="771"/>
      <c r="Z2799" s="771"/>
      <c r="AA2799" s="771"/>
      <c r="AB2799" s="771"/>
      <c r="AC2799" s="771"/>
      <c r="AD2799" s="771"/>
      <c r="AE2799" s="771"/>
      <c r="AF2799" s="771"/>
      <c r="AG2799" s="771"/>
      <c r="AH2799" s="771"/>
      <c r="AI2799" s="771"/>
      <c r="AJ2799" s="771"/>
      <c r="AK2799" s="771"/>
      <c r="AL2799" s="771"/>
      <c r="AM2799" s="771"/>
      <c r="AN2799" s="771"/>
      <c r="AO2799" s="771"/>
      <c r="AP2799" s="771"/>
      <c r="AQ2799" s="771"/>
      <c r="AR2799" s="771"/>
      <c r="AS2799" s="771"/>
      <c r="AT2799" s="771"/>
      <c r="AU2799" s="771"/>
    </row>
    <row r="2800" spans="1:47" s="1423" customFormat="1" outlineLevel="1" x14ac:dyDescent="0.2">
      <c r="A2800" s="8"/>
      <c r="B2800" s="8"/>
      <c r="C2800" s="1989" t="s">
        <v>4861</v>
      </c>
      <c r="D2800" s="1989" t="s">
        <v>6318</v>
      </c>
      <c r="E2800" s="1989">
        <v>0</v>
      </c>
      <c r="F2800" s="38">
        <f t="shared" si="43"/>
        <v>0</v>
      </c>
      <c r="G2800" s="1547"/>
      <c r="H2800" s="8"/>
      <c r="I2800" s="8"/>
      <c r="J2800" s="8"/>
      <c r="K2800" s="8"/>
      <c r="L2800" s="8"/>
      <c r="M2800" s="8"/>
      <c r="N2800" s="8"/>
      <c r="O2800" s="8"/>
      <c r="P2800" s="8"/>
      <c r="Q2800" s="8"/>
      <c r="R2800" s="8"/>
      <c r="S2800" s="8"/>
      <c r="T2800" s="8"/>
      <c r="U2800" s="8"/>
      <c r="V2800" s="8"/>
      <c r="W2800" s="8"/>
      <c r="X2800" s="771"/>
      <c r="Y2800" s="771"/>
      <c r="Z2800" s="771"/>
      <c r="AA2800" s="771"/>
      <c r="AB2800" s="771"/>
      <c r="AC2800" s="771"/>
      <c r="AD2800" s="771"/>
      <c r="AE2800" s="771"/>
      <c r="AF2800" s="771"/>
      <c r="AG2800" s="771"/>
      <c r="AH2800" s="771"/>
      <c r="AI2800" s="771"/>
      <c r="AJ2800" s="771"/>
      <c r="AK2800" s="771"/>
      <c r="AL2800" s="771"/>
      <c r="AM2800" s="771"/>
      <c r="AN2800" s="771"/>
      <c r="AO2800" s="771"/>
      <c r="AP2800" s="771"/>
      <c r="AQ2800" s="771"/>
      <c r="AR2800" s="771"/>
      <c r="AS2800" s="771"/>
      <c r="AT2800" s="771"/>
      <c r="AU2800" s="771"/>
    </row>
    <row r="2801" spans="1:47" s="1423" customFormat="1" outlineLevel="1" x14ac:dyDescent="0.2">
      <c r="A2801" s="8"/>
      <c r="B2801" s="8"/>
      <c r="C2801" s="1989" t="s">
        <v>4186</v>
      </c>
      <c r="D2801" s="1989" t="s">
        <v>8162</v>
      </c>
      <c r="E2801" s="1989">
        <v>159.54</v>
      </c>
      <c r="F2801" s="38">
        <f t="shared" si="43"/>
        <v>12973.990629599999</v>
      </c>
      <c r="G2801" s="1547"/>
      <c r="H2801" s="8"/>
      <c r="I2801" s="8"/>
      <c r="J2801" s="8"/>
      <c r="K2801" s="8"/>
      <c r="L2801" s="8"/>
      <c r="M2801" s="8"/>
      <c r="N2801" s="8"/>
      <c r="O2801" s="8"/>
      <c r="P2801" s="8"/>
      <c r="Q2801" s="8"/>
      <c r="R2801" s="8"/>
      <c r="S2801" s="8"/>
      <c r="T2801" s="8"/>
      <c r="U2801" s="8"/>
      <c r="V2801" s="8"/>
      <c r="W2801" s="8"/>
      <c r="X2801" s="771"/>
      <c r="Y2801" s="771"/>
      <c r="Z2801" s="771"/>
      <c r="AA2801" s="771"/>
      <c r="AB2801" s="771"/>
      <c r="AC2801" s="771"/>
      <c r="AD2801" s="771"/>
      <c r="AE2801" s="771"/>
      <c r="AF2801" s="771"/>
      <c r="AG2801" s="771"/>
      <c r="AH2801" s="771"/>
      <c r="AI2801" s="771"/>
      <c r="AJ2801" s="771"/>
      <c r="AK2801" s="771"/>
      <c r="AL2801" s="771"/>
      <c r="AM2801" s="771"/>
      <c r="AN2801" s="771"/>
      <c r="AO2801" s="771"/>
      <c r="AP2801" s="771"/>
      <c r="AQ2801" s="771"/>
      <c r="AR2801" s="771"/>
      <c r="AS2801" s="771"/>
      <c r="AT2801" s="771"/>
      <c r="AU2801" s="771"/>
    </row>
    <row r="2802" spans="1:47" s="1423" customFormat="1" outlineLevel="1" x14ac:dyDescent="0.2">
      <c r="A2802" s="8"/>
      <c r="B2802" s="8"/>
      <c r="C2802" s="1989" t="s">
        <v>1059</v>
      </c>
      <c r="D2802" s="1989" t="s">
        <v>2644</v>
      </c>
      <c r="E2802" s="1989">
        <v>0.04</v>
      </c>
      <c r="F2802" s="38">
        <f t="shared" si="43"/>
        <v>3.2528496000000002</v>
      </c>
      <c r="G2802" s="1547"/>
      <c r="H2802" s="8"/>
      <c r="I2802" s="8"/>
      <c r="J2802" s="8"/>
      <c r="K2802" s="8"/>
      <c r="L2802" s="8"/>
      <c r="M2802" s="8"/>
      <c r="N2802" s="8"/>
      <c r="O2802" s="8"/>
      <c r="P2802" s="8"/>
      <c r="Q2802" s="8"/>
      <c r="R2802" s="8"/>
      <c r="S2802" s="8"/>
      <c r="T2802" s="8"/>
      <c r="U2802" s="8"/>
      <c r="V2802" s="8"/>
      <c r="W2802" s="8"/>
      <c r="X2802" s="771"/>
      <c r="Y2802" s="771"/>
      <c r="Z2802" s="771"/>
      <c r="AA2802" s="771"/>
      <c r="AB2802" s="771"/>
      <c r="AC2802" s="771"/>
      <c r="AD2802" s="771"/>
      <c r="AE2802" s="771"/>
      <c r="AF2802" s="771"/>
      <c r="AG2802" s="771"/>
      <c r="AH2802" s="771"/>
      <c r="AI2802" s="771"/>
      <c r="AJ2802" s="771"/>
      <c r="AK2802" s="771"/>
      <c r="AL2802" s="771"/>
      <c r="AM2802" s="771"/>
      <c r="AN2802" s="771"/>
      <c r="AO2802" s="771"/>
      <c r="AP2802" s="771"/>
      <c r="AQ2802" s="771"/>
      <c r="AR2802" s="771"/>
      <c r="AS2802" s="771"/>
      <c r="AT2802" s="771"/>
      <c r="AU2802" s="771"/>
    </row>
    <row r="2803" spans="1:47" s="1423" customFormat="1" outlineLevel="1" x14ac:dyDescent="0.2">
      <c r="A2803" s="8"/>
      <c r="B2803" s="8"/>
      <c r="C2803" s="1989" t="s">
        <v>2653</v>
      </c>
      <c r="D2803" s="1989" t="s">
        <v>6319</v>
      </c>
      <c r="E2803" s="1989">
        <v>1.0900000000000001</v>
      </c>
      <c r="F2803" s="38">
        <f t="shared" si="43"/>
        <v>88.64015160000001</v>
      </c>
      <c r="G2803" s="1547"/>
      <c r="H2803" s="8"/>
      <c r="I2803" s="8"/>
      <c r="J2803" s="8"/>
      <c r="K2803" s="8"/>
      <c r="L2803" s="8"/>
      <c r="M2803" s="8"/>
      <c r="N2803" s="8"/>
      <c r="O2803" s="8"/>
      <c r="P2803" s="8"/>
      <c r="Q2803" s="8"/>
      <c r="R2803" s="8"/>
      <c r="S2803" s="8"/>
      <c r="T2803" s="8"/>
      <c r="U2803" s="8"/>
      <c r="V2803" s="8"/>
      <c r="W2803" s="8"/>
      <c r="X2803" s="771"/>
      <c r="Y2803" s="771"/>
      <c r="Z2803" s="771"/>
      <c r="AA2803" s="771"/>
      <c r="AB2803" s="771"/>
      <c r="AC2803" s="771"/>
      <c r="AD2803" s="771"/>
      <c r="AE2803" s="771"/>
      <c r="AF2803" s="771"/>
      <c r="AG2803" s="771"/>
      <c r="AH2803" s="771"/>
      <c r="AI2803" s="771"/>
      <c r="AJ2803" s="771"/>
      <c r="AK2803" s="771"/>
      <c r="AL2803" s="771"/>
      <c r="AM2803" s="771"/>
      <c r="AN2803" s="771"/>
      <c r="AO2803" s="771"/>
      <c r="AP2803" s="771"/>
      <c r="AQ2803" s="771"/>
      <c r="AR2803" s="771"/>
      <c r="AS2803" s="771"/>
      <c r="AT2803" s="771"/>
      <c r="AU2803" s="771"/>
    </row>
    <row r="2804" spans="1:47" s="1423" customFormat="1" outlineLevel="1" x14ac:dyDescent="0.2">
      <c r="A2804" s="8"/>
      <c r="B2804" s="8"/>
      <c r="C2804" s="1989" t="s">
        <v>4862</v>
      </c>
      <c r="D2804" s="1989" t="s">
        <v>8163</v>
      </c>
      <c r="E2804" s="1989">
        <v>7.0000000000000007E-2</v>
      </c>
      <c r="F2804" s="38">
        <f t="shared" si="43"/>
        <v>5.6924868000000011</v>
      </c>
      <c r="G2804" s="1547"/>
      <c r="H2804" s="8"/>
      <c r="I2804" s="8"/>
      <c r="J2804" s="8"/>
      <c r="K2804" s="8"/>
      <c r="L2804" s="8"/>
      <c r="M2804" s="8"/>
      <c r="N2804" s="8"/>
      <c r="O2804" s="8"/>
      <c r="P2804" s="8"/>
      <c r="Q2804" s="8"/>
      <c r="R2804" s="8"/>
      <c r="S2804" s="8"/>
      <c r="T2804" s="8"/>
      <c r="U2804" s="8"/>
      <c r="V2804" s="8"/>
      <c r="W2804" s="8"/>
      <c r="X2804" s="771"/>
      <c r="Y2804" s="771"/>
      <c r="Z2804" s="771"/>
      <c r="AA2804" s="771"/>
      <c r="AB2804" s="771"/>
      <c r="AC2804" s="771"/>
      <c r="AD2804" s="771"/>
      <c r="AE2804" s="771"/>
      <c r="AF2804" s="771"/>
      <c r="AG2804" s="771"/>
      <c r="AH2804" s="771"/>
      <c r="AI2804" s="771"/>
      <c r="AJ2804" s="771"/>
      <c r="AK2804" s="771"/>
      <c r="AL2804" s="771"/>
      <c r="AM2804" s="771"/>
      <c r="AN2804" s="771"/>
      <c r="AO2804" s="771"/>
      <c r="AP2804" s="771"/>
      <c r="AQ2804" s="771"/>
      <c r="AR2804" s="771"/>
      <c r="AS2804" s="771"/>
      <c r="AT2804" s="771"/>
      <c r="AU2804" s="771"/>
    </row>
    <row r="2805" spans="1:47" s="1423" customFormat="1" outlineLevel="1" x14ac:dyDescent="0.2">
      <c r="A2805" s="8"/>
      <c r="B2805" s="8"/>
      <c r="C2805" s="1989" t="s">
        <v>658</v>
      </c>
      <c r="D2805" s="1989" t="s">
        <v>6320</v>
      </c>
      <c r="E2805" s="1989">
        <v>0.44</v>
      </c>
      <c r="F2805" s="38">
        <f t="shared" si="43"/>
        <v>35.781345600000002</v>
      </c>
      <c r="G2805" s="1547"/>
      <c r="H2805" s="8"/>
      <c r="I2805" s="8"/>
      <c r="J2805" s="8"/>
      <c r="K2805" s="8"/>
      <c r="L2805" s="8"/>
      <c r="M2805" s="8"/>
      <c r="N2805" s="8"/>
      <c r="O2805" s="8"/>
      <c r="P2805" s="8"/>
      <c r="Q2805" s="8"/>
      <c r="R2805" s="8"/>
      <c r="S2805" s="8"/>
      <c r="T2805" s="8"/>
      <c r="U2805" s="8"/>
      <c r="V2805" s="8"/>
      <c r="W2805" s="8"/>
      <c r="X2805" s="771"/>
      <c r="Y2805" s="771"/>
      <c r="Z2805" s="771"/>
      <c r="AA2805" s="771"/>
      <c r="AB2805" s="771"/>
      <c r="AC2805" s="771"/>
      <c r="AD2805" s="771"/>
      <c r="AE2805" s="771"/>
      <c r="AF2805" s="771"/>
      <c r="AG2805" s="771"/>
      <c r="AH2805" s="771"/>
      <c r="AI2805" s="771"/>
      <c r="AJ2805" s="771"/>
      <c r="AK2805" s="771"/>
      <c r="AL2805" s="771"/>
      <c r="AM2805" s="771"/>
      <c r="AN2805" s="771"/>
      <c r="AO2805" s="771"/>
      <c r="AP2805" s="771"/>
      <c r="AQ2805" s="771"/>
      <c r="AR2805" s="771"/>
      <c r="AS2805" s="771"/>
      <c r="AT2805" s="771"/>
      <c r="AU2805" s="771"/>
    </row>
    <row r="2806" spans="1:47" s="1423" customFormat="1" outlineLevel="1" x14ac:dyDescent="0.2">
      <c r="A2806" s="8"/>
      <c r="B2806" s="8"/>
      <c r="C2806" s="1989" t="s">
        <v>2163</v>
      </c>
      <c r="D2806" s="1989" t="s">
        <v>8164</v>
      </c>
      <c r="E2806" s="1989">
        <v>0.15</v>
      </c>
      <c r="F2806" s="38">
        <f t="shared" si="43"/>
        <v>12.198186</v>
      </c>
      <c r="G2806" s="1547"/>
      <c r="H2806" s="8"/>
      <c r="I2806" s="8"/>
      <c r="J2806" s="8"/>
      <c r="K2806" s="8"/>
      <c r="L2806" s="8"/>
      <c r="M2806" s="8"/>
      <c r="N2806" s="8"/>
      <c r="O2806" s="8"/>
      <c r="P2806" s="8"/>
      <c r="Q2806" s="8"/>
      <c r="R2806" s="8"/>
      <c r="S2806" s="8"/>
      <c r="T2806" s="8"/>
      <c r="U2806" s="8"/>
      <c r="V2806" s="8"/>
      <c r="W2806" s="8"/>
      <c r="X2806" s="771"/>
      <c r="Y2806" s="771"/>
      <c r="Z2806" s="771"/>
      <c r="AA2806" s="771"/>
      <c r="AB2806" s="771"/>
      <c r="AC2806" s="771"/>
      <c r="AD2806" s="771"/>
      <c r="AE2806" s="771"/>
      <c r="AF2806" s="771"/>
      <c r="AG2806" s="771"/>
      <c r="AH2806" s="771"/>
      <c r="AI2806" s="771"/>
      <c r="AJ2806" s="771"/>
      <c r="AK2806" s="771"/>
      <c r="AL2806" s="771"/>
      <c r="AM2806" s="771"/>
      <c r="AN2806" s="771"/>
      <c r="AO2806" s="771"/>
      <c r="AP2806" s="771"/>
      <c r="AQ2806" s="771"/>
      <c r="AR2806" s="771"/>
      <c r="AS2806" s="771"/>
      <c r="AT2806" s="771"/>
      <c r="AU2806" s="771"/>
    </row>
    <row r="2807" spans="1:47" s="1423" customFormat="1" outlineLevel="1" x14ac:dyDescent="0.2">
      <c r="A2807" s="8"/>
      <c r="B2807" s="8"/>
      <c r="C2807" s="1989" t="s">
        <v>2164</v>
      </c>
      <c r="D2807" s="1989" t="s">
        <v>680</v>
      </c>
      <c r="E2807" s="1989">
        <v>0.26</v>
      </c>
      <c r="F2807" s="38">
        <f t="shared" si="43"/>
        <v>21.143522400000002</v>
      </c>
      <c r="G2807" s="1547"/>
      <c r="H2807" s="8"/>
      <c r="I2807" s="8"/>
      <c r="J2807" s="8"/>
      <c r="K2807" s="8"/>
      <c r="L2807" s="8"/>
      <c r="M2807" s="8"/>
      <c r="N2807" s="8"/>
      <c r="O2807" s="8"/>
      <c r="P2807" s="8"/>
      <c r="Q2807" s="8"/>
      <c r="R2807" s="8"/>
      <c r="S2807" s="8"/>
      <c r="T2807" s="8"/>
      <c r="U2807" s="8"/>
      <c r="V2807" s="8"/>
      <c r="W2807" s="8"/>
      <c r="X2807" s="771"/>
      <c r="Y2807" s="771"/>
      <c r="Z2807" s="771"/>
      <c r="AA2807" s="771"/>
      <c r="AB2807" s="771"/>
      <c r="AC2807" s="771"/>
      <c r="AD2807" s="771"/>
      <c r="AE2807" s="771"/>
      <c r="AF2807" s="771"/>
      <c r="AG2807" s="771"/>
      <c r="AH2807" s="771"/>
      <c r="AI2807" s="771"/>
      <c r="AJ2807" s="771"/>
      <c r="AK2807" s="771"/>
      <c r="AL2807" s="771"/>
      <c r="AM2807" s="771"/>
      <c r="AN2807" s="771"/>
      <c r="AO2807" s="771"/>
      <c r="AP2807" s="771"/>
      <c r="AQ2807" s="771"/>
      <c r="AR2807" s="771"/>
      <c r="AS2807" s="771"/>
      <c r="AT2807" s="771"/>
      <c r="AU2807" s="771"/>
    </row>
    <row r="2808" spans="1:47" s="1423" customFormat="1" outlineLevel="1" x14ac:dyDescent="0.2">
      <c r="A2808" s="8"/>
      <c r="B2808" s="8"/>
      <c r="C2808" s="1989" t="s">
        <v>543</v>
      </c>
      <c r="D2808" s="1989" t="s">
        <v>8165</v>
      </c>
      <c r="E2808" s="1989">
        <v>0.22</v>
      </c>
      <c r="F2808" s="38">
        <f t="shared" si="43"/>
        <v>17.890672800000001</v>
      </c>
      <c r="G2808" s="1547"/>
      <c r="H2808" s="8"/>
      <c r="I2808" s="8"/>
      <c r="J2808" s="8"/>
      <c r="K2808" s="8"/>
      <c r="L2808" s="8"/>
      <c r="M2808" s="8"/>
      <c r="N2808" s="8"/>
      <c r="O2808" s="8"/>
      <c r="P2808" s="8"/>
      <c r="Q2808" s="8"/>
      <c r="R2808" s="8"/>
      <c r="S2808" s="8"/>
      <c r="T2808" s="8"/>
      <c r="U2808" s="8"/>
      <c r="V2808" s="8"/>
      <c r="W2808" s="8"/>
      <c r="X2808" s="771"/>
      <c r="Y2808" s="771"/>
      <c r="Z2808" s="771"/>
      <c r="AA2808" s="771"/>
      <c r="AB2808" s="771"/>
      <c r="AC2808" s="771"/>
      <c r="AD2808" s="771"/>
      <c r="AE2808" s="771"/>
      <c r="AF2808" s="771"/>
      <c r="AG2808" s="771"/>
      <c r="AH2808" s="771"/>
      <c r="AI2808" s="771"/>
      <c r="AJ2808" s="771"/>
      <c r="AK2808" s="771"/>
      <c r="AL2808" s="771"/>
      <c r="AM2808" s="771"/>
      <c r="AN2808" s="771"/>
      <c r="AO2808" s="771"/>
      <c r="AP2808" s="771"/>
      <c r="AQ2808" s="771"/>
      <c r="AR2808" s="771"/>
      <c r="AS2808" s="771"/>
      <c r="AT2808" s="771"/>
      <c r="AU2808" s="771"/>
    </row>
    <row r="2809" spans="1:47" s="1423" customFormat="1" outlineLevel="1" x14ac:dyDescent="0.2">
      <c r="A2809" s="8"/>
      <c r="B2809" s="8"/>
      <c r="C2809" s="1989" t="s">
        <v>1434</v>
      </c>
      <c r="D2809" s="1989" t="s">
        <v>2669</v>
      </c>
      <c r="E2809" s="1989">
        <v>0.55000000000000004</v>
      </c>
      <c r="F2809" s="38">
        <f t="shared" si="43"/>
        <v>44.726682000000004</v>
      </c>
      <c r="G2809" s="1547"/>
      <c r="H2809" s="8"/>
      <c r="I2809" s="8"/>
      <c r="J2809" s="8"/>
      <c r="K2809" s="8"/>
      <c r="L2809" s="8"/>
      <c r="M2809" s="8"/>
      <c r="N2809" s="8"/>
      <c r="O2809" s="8"/>
      <c r="P2809" s="8"/>
      <c r="Q2809" s="8"/>
      <c r="R2809" s="8"/>
      <c r="S2809" s="8"/>
      <c r="T2809" s="8"/>
      <c r="U2809" s="8"/>
      <c r="V2809" s="8"/>
      <c r="W2809" s="8"/>
      <c r="X2809" s="771"/>
      <c r="Y2809" s="771"/>
      <c r="Z2809" s="771"/>
      <c r="AA2809" s="771"/>
      <c r="AB2809" s="771"/>
      <c r="AC2809" s="771"/>
      <c r="AD2809" s="771"/>
      <c r="AE2809" s="771"/>
      <c r="AF2809" s="771"/>
      <c r="AG2809" s="771"/>
      <c r="AH2809" s="771"/>
      <c r="AI2809" s="771"/>
      <c r="AJ2809" s="771"/>
      <c r="AK2809" s="771"/>
      <c r="AL2809" s="771"/>
      <c r="AM2809" s="771"/>
      <c r="AN2809" s="771"/>
      <c r="AO2809" s="771"/>
      <c r="AP2809" s="771"/>
      <c r="AQ2809" s="771"/>
      <c r="AR2809" s="771"/>
      <c r="AS2809" s="771"/>
      <c r="AT2809" s="771"/>
      <c r="AU2809" s="771"/>
    </row>
    <row r="2810" spans="1:47" s="1423" customFormat="1" outlineLevel="1" x14ac:dyDescent="0.2">
      <c r="A2810" s="8"/>
      <c r="B2810" s="8"/>
      <c r="C2810" s="1989" t="s">
        <v>1416</v>
      </c>
      <c r="D2810" s="1989" t="s">
        <v>2670</v>
      </c>
      <c r="E2810" s="1989">
        <v>0.13</v>
      </c>
      <c r="F2810" s="38">
        <f t="shared" si="43"/>
        <v>10.571761200000001</v>
      </c>
      <c r="G2810" s="1547"/>
      <c r="H2810" s="8"/>
      <c r="I2810" s="8"/>
      <c r="J2810" s="8"/>
      <c r="K2810" s="8"/>
      <c r="L2810" s="8"/>
      <c r="M2810" s="8"/>
      <c r="N2810" s="8"/>
      <c r="O2810" s="8"/>
      <c r="P2810" s="8"/>
      <c r="Q2810" s="8"/>
      <c r="R2810" s="8"/>
      <c r="S2810" s="8"/>
      <c r="T2810" s="8"/>
      <c r="U2810" s="8"/>
      <c r="V2810" s="8"/>
      <c r="W2810" s="8"/>
      <c r="X2810" s="771"/>
      <c r="Y2810" s="771"/>
      <c r="Z2810" s="771"/>
      <c r="AA2810" s="771"/>
      <c r="AB2810" s="771"/>
      <c r="AC2810" s="771"/>
      <c r="AD2810" s="771"/>
      <c r="AE2810" s="771"/>
      <c r="AF2810" s="771"/>
      <c r="AG2810" s="771"/>
      <c r="AH2810" s="771"/>
      <c r="AI2810" s="771"/>
      <c r="AJ2810" s="771"/>
      <c r="AK2810" s="771"/>
      <c r="AL2810" s="771"/>
      <c r="AM2810" s="771"/>
      <c r="AN2810" s="771"/>
      <c r="AO2810" s="771"/>
      <c r="AP2810" s="771"/>
      <c r="AQ2810" s="771"/>
      <c r="AR2810" s="771"/>
      <c r="AS2810" s="771"/>
      <c r="AT2810" s="771"/>
      <c r="AU2810" s="771"/>
    </row>
    <row r="2811" spans="1:47" s="1423" customFormat="1" outlineLevel="1" x14ac:dyDescent="0.2">
      <c r="A2811" s="8"/>
      <c r="B2811" s="8"/>
      <c r="C2811" s="1989" t="s">
        <v>1312</v>
      </c>
      <c r="D2811" s="1989" t="s">
        <v>6321</v>
      </c>
      <c r="E2811" s="1989">
        <v>1.3</v>
      </c>
      <c r="F2811" s="38">
        <f t="shared" si="43"/>
        <v>105.71761200000002</v>
      </c>
      <c r="G2811" s="1547"/>
      <c r="H2811" s="8"/>
      <c r="I2811" s="8"/>
      <c r="J2811" s="8"/>
      <c r="K2811" s="8"/>
      <c r="L2811" s="8"/>
      <c r="M2811" s="8"/>
      <c r="N2811" s="8"/>
      <c r="O2811" s="8"/>
      <c r="P2811" s="8"/>
      <c r="Q2811" s="8"/>
      <c r="R2811" s="8"/>
      <c r="S2811" s="8"/>
      <c r="T2811" s="8"/>
      <c r="U2811" s="8"/>
      <c r="V2811" s="8"/>
      <c r="W2811" s="8"/>
      <c r="X2811" s="771"/>
      <c r="Y2811" s="771"/>
      <c r="Z2811" s="771"/>
      <c r="AA2811" s="771"/>
      <c r="AB2811" s="771"/>
      <c r="AC2811" s="771"/>
      <c r="AD2811" s="771"/>
      <c r="AE2811" s="771"/>
      <c r="AF2811" s="771"/>
      <c r="AG2811" s="771"/>
      <c r="AH2811" s="771"/>
      <c r="AI2811" s="771"/>
      <c r="AJ2811" s="771"/>
      <c r="AK2811" s="771"/>
      <c r="AL2811" s="771"/>
      <c r="AM2811" s="771"/>
      <c r="AN2811" s="771"/>
      <c r="AO2811" s="771"/>
      <c r="AP2811" s="771"/>
      <c r="AQ2811" s="771"/>
      <c r="AR2811" s="771"/>
      <c r="AS2811" s="771"/>
      <c r="AT2811" s="771"/>
      <c r="AU2811" s="771"/>
    </row>
    <row r="2812" spans="1:47" s="1423" customFormat="1" outlineLevel="1" x14ac:dyDescent="0.2">
      <c r="A2812" s="8"/>
      <c r="B2812" s="8"/>
      <c r="C2812" s="1989" t="s">
        <v>370</v>
      </c>
      <c r="D2812" s="1989" t="s">
        <v>6322</v>
      </c>
      <c r="E2812" s="1989">
        <v>1.3</v>
      </c>
      <c r="F2812" s="38">
        <f t="shared" si="43"/>
        <v>105.71761200000002</v>
      </c>
      <c r="G2812" s="1547"/>
      <c r="H2812" s="8"/>
      <c r="I2812" s="8"/>
      <c r="J2812" s="8"/>
      <c r="K2812" s="8"/>
      <c r="L2812" s="8"/>
      <c r="M2812" s="8"/>
      <c r="N2812" s="8"/>
      <c r="O2812" s="8"/>
      <c r="P2812" s="8"/>
      <c r="Q2812" s="8"/>
      <c r="R2812" s="8"/>
      <c r="S2812" s="8"/>
      <c r="T2812" s="8"/>
      <c r="U2812" s="8"/>
      <c r="V2812" s="8"/>
      <c r="W2812" s="8"/>
      <c r="X2812" s="771"/>
      <c r="Y2812" s="771"/>
      <c r="Z2812" s="771"/>
      <c r="AA2812" s="771"/>
      <c r="AB2812" s="771"/>
      <c r="AC2812" s="771"/>
      <c r="AD2812" s="771"/>
      <c r="AE2812" s="771"/>
      <c r="AF2812" s="771"/>
      <c r="AG2812" s="771"/>
      <c r="AH2812" s="771"/>
      <c r="AI2812" s="771"/>
      <c r="AJ2812" s="771"/>
      <c r="AK2812" s="771"/>
      <c r="AL2812" s="771"/>
      <c r="AM2812" s="771"/>
      <c r="AN2812" s="771"/>
      <c r="AO2812" s="771"/>
      <c r="AP2812" s="771"/>
      <c r="AQ2812" s="771"/>
      <c r="AR2812" s="771"/>
      <c r="AS2812" s="771"/>
      <c r="AT2812" s="771"/>
      <c r="AU2812" s="771"/>
    </row>
    <row r="2813" spans="1:47" s="1423" customFormat="1" outlineLevel="1" x14ac:dyDescent="0.2">
      <c r="A2813" s="8"/>
      <c r="B2813" s="8"/>
      <c r="C2813" s="1989" t="s">
        <v>374</v>
      </c>
      <c r="D2813" s="1989" t="s">
        <v>6323</v>
      </c>
      <c r="E2813" s="1989">
        <v>2.4500000000000002</v>
      </c>
      <c r="F2813" s="38">
        <f t="shared" si="43"/>
        <v>199.23703800000001</v>
      </c>
      <c r="G2813" s="1547"/>
      <c r="H2813" s="8"/>
      <c r="I2813" s="8"/>
      <c r="J2813" s="8"/>
      <c r="K2813" s="8"/>
      <c r="L2813" s="8"/>
      <c r="M2813" s="8"/>
      <c r="N2813" s="8"/>
      <c r="O2813" s="8"/>
      <c r="P2813" s="8"/>
      <c r="Q2813" s="8"/>
      <c r="R2813" s="8"/>
      <c r="S2813" s="8"/>
      <c r="T2813" s="8"/>
      <c r="U2813" s="8"/>
      <c r="V2813" s="8"/>
      <c r="W2813" s="8"/>
      <c r="X2813" s="771"/>
      <c r="Y2813" s="771"/>
      <c r="Z2813" s="771"/>
      <c r="AA2813" s="771"/>
      <c r="AB2813" s="771"/>
      <c r="AC2813" s="771"/>
      <c r="AD2813" s="771"/>
      <c r="AE2813" s="771"/>
      <c r="AF2813" s="771"/>
      <c r="AG2813" s="771"/>
      <c r="AH2813" s="771"/>
      <c r="AI2813" s="771"/>
      <c r="AJ2813" s="771"/>
      <c r="AK2813" s="771"/>
      <c r="AL2813" s="771"/>
      <c r="AM2813" s="771"/>
      <c r="AN2813" s="771"/>
      <c r="AO2813" s="771"/>
      <c r="AP2813" s="771"/>
      <c r="AQ2813" s="771"/>
      <c r="AR2813" s="771"/>
      <c r="AS2813" s="771"/>
      <c r="AT2813" s="771"/>
      <c r="AU2813" s="771"/>
    </row>
    <row r="2814" spans="1:47" s="1423" customFormat="1" outlineLevel="1" x14ac:dyDescent="0.2">
      <c r="A2814" s="8"/>
      <c r="B2814" s="8"/>
      <c r="C2814" s="1989" t="s">
        <v>2730</v>
      </c>
      <c r="D2814" s="1989" t="s">
        <v>6324</v>
      </c>
      <c r="E2814" s="1989">
        <v>0</v>
      </c>
      <c r="F2814" s="38">
        <f t="shared" si="43"/>
        <v>0</v>
      </c>
      <c r="G2814" s="1547"/>
      <c r="H2814" s="8"/>
      <c r="I2814" s="8"/>
      <c r="J2814" s="8"/>
      <c r="K2814" s="8"/>
      <c r="L2814" s="8"/>
      <c r="M2814" s="8"/>
      <c r="N2814" s="8"/>
      <c r="O2814" s="8"/>
      <c r="P2814" s="8"/>
      <c r="Q2814" s="8"/>
      <c r="R2814" s="8"/>
      <c r="S2814" s="8"/>
      <c r="T2814" s="8"/>
      <c r="U2814" s="8"/>
      <c r="V2814" s="8"/>
      <c r="W2814" s="8"/>
      <c r="X2814" s="771"/>
      <c r="Y2814" s="771"/>
      <c r="Z2814" s="771"/>
      <c r="AA2814" s="771"/>
      <c r="AB2814" s="771"/>
      <c r="AC2814" s="771"/>
      <c r="AD2814" s="771"/>
      <c r="AE2814" s="771"/>
      <c r="AF2814" s="771"/>
      <c r="AG2814" s="771"/>
      <c r="AH2814" s="771"/>
      <c r="AI2814" s="771"/>
      <c r="AJ2814" s="771"/>
      <c r="AK2814" s="771"/>
      <c r="AL2814" s="771"/>
      <c r="AM2814" s="771"/>
      <c r="AN2814" s="771"/>
      <c r="AO2814" s="771"/>
      <c r="AP2814" s="771"/>
      <c r="AQ2814" s="771"/>
      <c r="AR2814" s="771"/>
      <c r="AS2814" s="771"/>
      <c r="AT2814" s="771"/>
      <c r="AU2814" s="771"/>
    </row>
    <row r="2815" spans="1:47" s="1423" customFormat="1" outlineLevel="1" x14ac:dyDescent="0.2">
      <c r="A2815" s="8"/>
      <c r="B2815" s="8"/>
      <c r="C2815" s="1989" t="s">
        <v>2736</v>
      </c>
      <c r="D2815" s="1989" t="s">
        <v>6325</v>
      </c>
      <c r="E2815" s="1989">
        <v>2.66</v>
      </c>
      <c r="F2815" s="38">
        <f t="shared" si="43"/>
        <v>216.31449840000002</v>
      </c>
      <c r="G2815" s="1547"/>
      <c r="H2815" s="8"/>
      <c r="I2815" s="8"/>
      <c r="J2815" s="8"/>
      <c r="K2815" s="8"/>
      <c r="L2815" s="8"/>
      <c r="M2815" s="8"/>
      <c r="N2815" s="8"/>
      <c r="O2815" s="8"/>
      <c r="P2815" s="8"/>
      <c r="Q2815" s="8"/>
      <c r="R2815" s="8"/>
      <c r="S2815" s="8"/>
      <c r="T2815" s="8"/>
      <c r="U2815" s="8"/>
      <c r="V2815" s="8"/>
      <c r="W2815" s="8"/>
      <c r="X2815" s="771"/>
      <c r="Y2815" s="771"/>
      <c r="Z2815" s="771"/>
      <c r="AA2815" s="771"/>
      <c r="AB2815" s="771"/>
      <c r="AC2815" s="771"/>
      <c r="AD2815" s="771"/>
      <c r="AE2815" s="771"/>
      <c r="AF2815" s="771"/>
      <c r="AG2815" s="771"/>
      <c r="AH2815" s="771"/>
      <c r="AI2815" s="771"/>
      <c r="AJ2815" s="771"/>
      <c r="AK2815" s="771"/>
      <c r="AL2815" s="771"/>
      <c r="AM2815" s="771"/>
      <c r="AN2815" s="771"/>
      <c r="AO2815" s="771"/>
      <c r="AP2815" s="771"/>
      <c r="AQ2815" s="771"/>
      <c r="AR2815" s="771"/>
      <c r="AS2815" s="771"/>
      <c r="AT2815" s="771"/>
      <c r="AU2815" s="771"/>
    </row>
    <row r="2816" spans="1:47" s="1423" customFormat="1" outlineLevel="1" x14ac:dyDescent="0.2">
      <c r="A2816" s="8"/>
      <c r="B2816" s="8"/>
      <c r="C2816" s="1989" t="s">
        <v>134</v>
      </c>
      <c r="D2816" s="1989" t="s">
        <v>8166</v>
      </c>
      <c r="E2816" s="1989">
        <v>2.95</v>
      </c>
      <c r="F2816" s="38">
        <f t="shared" si="43"/>
        <v>239.89765800000001</v>
      </c>
      <c r="G2816" s="1547"/>
      <c r="H2816" s="8"/>
      <c r="I2816" s="8"/>
      <c r="J2816" s="8"/>
      <c r="K2816" s="8"/>
      <c r="L2816" s="8"/>
      <c r="M2816" s="8"/>
      <c r="N2816" s="8"/>
      <c r="O2816" s="8"/>
      <c r="P2816" s="8"/>
      <c r="Q2816" s="8"/>
      <c r="R2816" s="8"/>
      <c r="S2816" s="8"/>
      <c r="T2816" s="8"/>
      <c r="U2816" s="8"/>
      <c r="V2816" s="8"/>
      <c r="W2816" s="8"/>
      <c r="X2816" s="771"/>
      <c r="Y2816" s="771"/>
      <c r="Z2816" s="771"/>
      <c r="AA2816" s="771"/>
      <c r="AB2816" s="771"/>
      <c r="AC2816" s="771"/>
      <c r="AD2816" s="771"/>
      <c r="AE2816" s="771"/>
      <c r="AF2816" s="771"/>
      <c r="AG2816" s="771"/>
      <c r="AH2816" s="771"/>
      <c r="AI2816" s="771"/>
      <c r="AJ2816" s="771"/>
      <c r="AK2816" s="771"/>
      <c r="AL2816" s="771"/>
      <c r="AM2816" s="771"/>
      <c r="AN2816" s="771"/>
      <c r="AO2816" s="771"/>
      <c r="AP2816" s="771"/>
      <c r="AQ2816" s="771"/>
      <c r="AR2816" s="771"/>
      <c r="AS2816" s="771"/>
      <c r="AT2816" s="771"/>
      <c r="AU2816" s="771"/>
    </row>
    <row r="2817" spans="1:47" s="1423" customFormat="1" outlineLevel="1" x14ac:dyDescent="0.2">
      <c r="A2817" s="8"/>
      <c r="B2817" s="8"/>
      <c r="C2817" s="1989" t="s">
        <v>1372</v>
      </c>
      <c r="D2817" s="1989" t="s">
        <v>8167</v>
      </c>
      <c r="E2817" s="1989">
        <v>2.12</v>
      </c>
      <c r="F2817" s="38">
        <f t="shared" si="43"/>
        <v>172.40102880000001</v>
      </c>
      <c r="G2817" s="1547"/>
      <c r="H2817" s="8"/>
      <c r="I2817" s="8"/>
      <c r="J2817" s="8"/>
      <c r="K2817" s="8"/>
      <c r="L2817" s="8"/>
      <c r="M2817" s="8"/>
      <c r="N2817" s="8"/>
      <c r="O2817" s="8"/>
      <c r="P2817" s="8"/>
      <c r="Q2817" s="8"/>
      <c r="R2817" s="8"/>
      <c r="S2817" s="8"/>
      <c r="T2817" s="8"/>
      <c r="U2817" s="8"/>
      <c r="V2817" s="8"/>
      <c r="W2817" s="8"/>
      <c r="X2817" s="771"/>
      <c r="Y2817" s="771"/>
      <c r="Z2817" s="771"/>
      <c r="AA2817" s="771"/>
      <c r="AB2817" s="771"/>
      <c r="AC2817" s="771"/>
      <c r="AD2817" s="771"/>
      <c r="AE2817" s="771"/>
      <c r="AF2817" s="771"/>
      <c r="AG2817" s="771"/>
      <c r="AH2817" s="771"/>
      <c r="AI2817" s="771"/>
      <c r="AJ2817" s="771"/>
      <c r="AK2817" s="771"/>
      <c r="AL2817" s="771"/>
      <c r="AM2817" s="771"/>
      <c r="AN2817" s="771"/>
      <c r="AO2817" s="771"/>
      <c r="AP2817" s="771"/>
      <c r="AQ2817" s="771"/>
      <c r="AR2817" s="771"/>
      <c r="AS2817" s="771"/>
      <c r="AT2817" s="771"/>
      <c r="AU2817" s="771"/>
    </row>
    <row r="2818" spans="1:47" s="1423" customFormat="1" outlineLevel="1" x14ac:dyDescent="0.2">
      <c r="A2818" s="8"/>
      <c r="B2818" s="8"/>
      <c r="C2818" s="1989" t="s">
        <v>373</v>
      </c>
      <c r="D2818" s="1989" t="s">
        <v>8168</v>
      </c>
      <c r="E2818" s="1989">
        <v>2.71</v>
      </c>
      <c r="F2818" s="38">
        <f t="shared" si="43"/>
        <v>220.38056040000001</v>
      </c>
      <c r="G2818" s="1547"/>
      <c r="H2818" s="8"/>
      <c r="I2818" s="8"/>
      <c r="J2818" s="8"/>
      <c r="K2818" s="8"/>
      <c r="L2818" s="8"/>
      <c r="M2818" s="8"/>
      <c r="N2818" s="8"/>
      <c r="O2818" s="8"/>
      <c r="P2818" s="8"/>
      <c r="Q2818" s="8"/>
      <c r="R2818" s="8"/>
      <c r="S2818" s="8"/>
      <c r="T2818" s="8"/>
      <c r="U2818" s="8"/>
      <c r="V2818" s="8"/>
      <c r="W2818" s="8"/>
      <c r="X2818" s="771"/>
      <c r="Y2818" s="771"/>
      <c r="Z2818" s="771"/>
      <c r="AA2818" s="771"/>
      <c r="AB2818" s="771"/>
      <c r="AC2818" s="771"/>
      <c r="AD2818" s="771"/>
      <c r="AE2818" s="771"/>
      <c r="AF2818" s="771"/>
      <c r="AG2818" s="771"/>
      <c r="AH2818" s="771"/>
      <c r="AI2818" s="771"/>
      <c r="AJ2818" s="771"/>
      <c r="AK2818" s="771"/>
      <c r="AL2818" s="771"/>
      <c r="AM2818" s="771"/>
      <c r="AN2818" s="771"/>
      <c r="AO2818" s="771"/>
      <c r="AP2818" s="771"/>
      <c r="AQ2818" s="771"/>
      <c r="AR2818" s="771"/>
      <c r="AS2818" s="771"/>
      <c r="AT2818" s="771"/>
      <c r="AU2818" s="771"/>
    </row>
    <row r="2819" spans="1:47" s="1423" customFormat="1" outlineLevel="1" x14ac:dyDescent="0.2">
      <c r="A2819" s="8"/>
      <c r="B2819" s="8"/>
      <c r="C2819" s="1989" t="s">
        <v>372</v>
      </c>
      <c r="D2819" s="1989" t="s">
        <v>8169</v>
      </c>
      <c r="E2819" s="1989">
        <v>1.92</v>
      </c>
      <c r="F2819" s="38">
        <f t="shared" si="43"/>
        <v>156.1367808</v>
      </c>
      <c r="G2819" s="1547"/>
      <c r="H2819" s="8"/>
      <c r="I2819" s="8"/>
      <c r="J2819" s="8"/>
      <c r="K2819" s="8"/>
      <c r="L2819" s="8"/>
      <c r="M2819" s="8"/>
      <c r="N2819" s="8"/>
      <c r="O2819" s="8"/>
      <c r="P2819" s="8"/>
      <c r="Q2819" s="8"/>
      <c r="R2819" s="8"/>
      <c r="S2819" s="8"/>
      <c r="T2819" s="8"/>
      <c r="U2819" s="8"/>
      <c r="V2819" s="8"/>
      <c r="W2819" s="8"/>
      <c r="X2819" s="771"/>
      <c r="Y2819" s="771"/>
      <c r="Z2819" s="771"/>
      <c r="AA2819" s="771"/>
      <c r="AB2819" s="771"/>
      <c r="AC2819" s="771"/>
      <c r="AD2819" s="771"/>
      <c r="AE2819" s="771"/>
      <c r="AF2819" s="771"/>
      <c r="AG2819" s="771"/>
      <c r="AH2819" s="771"/>
      <c r="AI2819" s="771"/>
      <c r="AJ2819" s="771"/>
      <c r="AK2819" s="771"/>
      <c r="AL2819" s="771"/>
      <c r="AM2819" s="771"/>
      <c r="AN2819" s="771"/>
      <c r="AO2819" s="771"/>
      <c r="AP2819" s="771"/>
      <c r="AQ2819" s="771"/>
      <c r="AR2819" s="771"/>
      <c r="AS2819" s="771"/>
      <c r="AT2819" s="771"/>
      <c r="AU2819" s="771"/>
    </row>
    <row r="2820" spans="1:47" s="1423" customFormat="1" outlineLevel="1" x14ac:dyDescent="0.2">
      <c r="A2820" s="8"/>
      <c r="B2820" s="8"/>
      <c r="C2820" s="1989" t="s">
        <v>371</v>
      </c>
      <c r="D2820" s="1989" t="s">
        <v>8170</v>
      </c>
      <c r="E2820" s="1989">
        <v>2.09</v>
      </c>
      <c r="F2820" s="38">
        <f t="shared" si="43"/>
        <v>169.96139159999998</v>
      </c>
      <c r="G2820" s="1547"/>
      <c r="H2820" s="8"/>
      <c r="I2820" s="8"/>
      <c r="J2820" s="8"/>
      <c r="K2820" s="8"/>
      <c r="L2820" s="8"/>
      <c r="M2820" s="8"/>
      <c r="N2820" s="8"/>
      <c r="O2820" s="8"/>
      <c r="P2820" s="8"/>
      <c r="Q2820" s="8"/>
      <c r="R2820" s="8"/>
      <c r="S2820" s="8"/>
      <c r="T2820" s="8"/>
      <c r="U2820" s="8"/>
      <c r="V2820" s="8"/>
      <c r="W2820" s="8"/>
      <c r="X2820" s="771"/>
      <c r="Y2820" s="771"/>
      <c r="Z2820" s="771"/>
      <c r="AA2820" s="771"/>
      <c r="AB2820" s="771"/>
      <c r="AC2820" s="771"/>
      <c r="AD2820" s="771"/>
      <c r="AE2820" s="771"/>
      <c r="AF2820" s="771"/>
      <c r="AG2820" s="771"/>
      <c r="AH2820" s="771"/>
      <c r="AI2820" s="771"/>
      <c r="AJ2820" s="771"/>
      <c r="AK2820" s="771"/>
      <c r="AL2820" s="771"/>
      <c r="AM2820" s="771"/>
      <c r="AN2820" s="771"/>
      <c r="AO2820" s="771"/>
      <c r="AP2820" s="771"/>
      <c r="AQ2820" s="771"/>
      <c r="AR2820" s="771"/>
      <c r="AS2820" s="771"/>
      <c r="AT2820" s="771"/>
      <c r="AU2820" s="771"/>
    </row>
    <row r="2821" spans="1:47" s="1423" customFormat="1" outlineLevel="1" x14ac:dyDescent="0.2">
      <c r="A2821" s="8"/>
      <c r="B2821" s="8"/>
      <c r="C2821" s="1989" t="s">
        <v>677</v>
      </c>
      <c r="D2821" s="1989" t="s">
        <v>8171</v>
      </c>
      <c r="E2821" s="1989">
        <v>1.1299999999999999</v>
      </c>
      <c r="F2821" s="38">
        <f t="shared" si="43"/>
        <v>91.8930012</v>
      </c>
      <c r="G2821" s="1547"/>
      <c r="H2821" s="8"/>
      <c r="I2821" s="8"/>
      <c r="J2821" s="8"/>
      <c r="K2821" s="8"/>
      <c r="L2821" s="8"/>
      <c r="M2821" s="8"/>
      <c r="N2821" s="8"/>
      <c r="O2821" s="8"/>
      <c r="P2821" s="8"/>
      <c r="Q2821" s="8"/>
      <c r="R2821" s="8"/>
      <c r="S2821" s="8"/>
      <c r="T2821" s="8"/>
      <c r="U2821" s="8"/>
      <c r="V2821" s="8"/>
      <c r="W2821" s="8"/>
      <c r="X2821" s="771"/>
      <c r="Y2821" s="771"/>
      <c r="Z2821" s="771"/>
      <c r="AA2821" s="771"/>
      <c r="AB2821" s="771"/>
      <c r="AC2821" s="771"/>
      <c r="AD2821" s="771"/>
      <c r="AE2821" s="771"/>
      <c r="AF2821" s="771"/>
      <c r="AG2821" s="771"/>
      <c r="AH2821" s="771"/>
      <c r="AI2821" s="771"/>
      <c r="AJ2821" s="771"/>
      <c r="AK2821" s="771"/>
      <c r="AL2821" s="771"/>
      <c r="AM2821" s="771"/>
      <c r="AN2821" s="771"/>
      <c r="AO2821" s="771"/>
      <c r="AP2821" s="771"/>
      <c r="AQ2821" s="771"/>
      <c r="AR2821" s="771"/>
      <c r="AS2821" s="771"/>
      <c r="AT2821" s="771"/>
      <c r="AU2821" s="771"/>
    </row>
    <row r="2822" spans="1:47" s="1423" customFormat="1" outlineLevel="1" x14ac:dyDescent="0.2">
      <c r="A2822" s="8"/>
      <c r="B2822" s="8"/>
      <c r="C2822" s="1989" t="s">
        <v>2085</v>
      </c>
      <c r="D2822" s="1989" t="s">
        <v>8172</v>
      </c>
      <c r="E2822" s="1989">
        <v>2.71</v>
      </c>
      <c r="F2822" s="38">
        <f t="shared" ref="F2822:F2885" si="44">E2822*$G$4*$J$4</f>
        <v>220.38056040000001</v>
      </c>
      <c r="G2822" s="1547"/>
      <c r="H2822" s="8"/>
      <c r="I2822" s="8"/>
      <c r="J2822" s="8"/>
      <c r="K2822" s="8"/>
      <c r="L2822" s="8"/>
      <c r="M2822" s="8"/>
      <c r="N2822" s="8"/>
      <c r="O2822" s="8"/>
      <c r="P2822" s="8"/>
      <c r="Q2822" s="8"/>
      <c r="R2822" s="8"/>
      <c r="S2822" s="8"/>
      <c r="T2822" s="8"/>
      <c r="U2822" s="8"/>
      <c r="V2822" s="8"/>
      <c r="W2822" s="8"/>
      <c r="X2822" s="771"/>
      <c r="Y2822" s="771"/>
      <c r="Z2822" s="771"/>
      <c r="AA2822" s="771"/>
      <c r="AB2822" s="771"/>
      <c r="AC2822" s="771"/>
      <c r="AD2822" s="771"/>
      <c r="AE2822" s="771"/>
      <c r="AF2822" s="771"/>
      <c r="AG2822" s="771"/>
      <c r="AH2822" s="771"/>
      <c r="AI2822" s="771"/>
      <c r="AJ2822" s="771"/>
      <c r="AK2822" s="771"/>
      <c r="AL2822" s="771"/>
      <c r="AM2822" s="771"/>
      <c r="AN2822" s="771"/>
      <c r="AO2822" s="771"/>
      <c r="AP2822" s="771"/>
      <c r="AQ2822" s="771"/>
      <c r="AR2822" s="771"/>
      <c r="AS2822" s="771"/>
      <c r="AT2822" s="771"/>
      <c r="AU2822" s="771"/>
    </row>
    <row r="2823" spans="1:47" s="1423" customFormat="1" outlineLevel="1" x14ac:dyDescent="0.2">
      <c r="A2823" s="8"/>
      <c r="B2823" s="8"/>
      <c r="C2823" s="1989" t="s">
        <v>1716</v>
      </c>
      <c r="D2823" s="1989" t="s">
        <v>8173</v>
      </c>
      <c r="E2823" s="1989">
        <v>2.71</v>
      </c>
      <c r="F2823" s="38">
        <f t="shared" si="44"/>
        <v>220.38056040000001</v>
      </c>
      <c r="G2823" s="1547"/>
      <c r="H2823" s="8"/>
      <c r="I2823" s="8"/>
      <c r="J2823" s="8"/>
      <c r="K2823" s="8"/>
      <c r="L2823" s="8"/>
      <c r="M2823" s="8"/>
      <c r="N2823" s="8"/>
      <c r="O2823" s="8"/>
      <c r="P2823" s="8"/>
      <c r="Q2823" s="8"/>
      <c r="R2823" s="8"/>
      <c r="S2823" s="8"/>
      <c r="T2823" s="8"/>
      <c r="U2823" s="8"/>
      <c r="V2823" s="8"/>
      <c r="W2823" s="8"/>
      <c r="X2823" s="771"/>
      <c r="Y2823" s="771"/>
      <c r="Z2823" s="771"/>
      <c r="AA2823" s="771"/>
      <c r="AB2823" s="771"/>
      <c r="AC2823" s="771"/>
      <c r="AD2823" s="771"/>
      <c r="AE2823" s="771"/>
      <c r="AF2823" s="771"/>
      <c r="AG2823" s="771"/>
      <c r="AH2823" s="771"/>
      <c r="AI2823" s="771"/>
      <c r="AJ2823" s="771"/>
      <c r="AK2823" s="771"/>
      <c r="AL2823" s="771"/>
      <c r="AM2823" s="771"/>
      <c r="AN2823" s="771"/>
      <c r="AO2823" s="771"/>
      <c r="AP2823" s="771"/>
      <c r="AQ2823" s="771"/>
      <c r="AR2823" s="771"/>
      <c r="AS2823" s="771"/>
      <c r="AT2823" s="771"/>
      <c r="AU2823" s="771"/>
    </row>
    <row r="2824" spans="1:47" s="1423" customFormat="1" outlineLevel="1" x14ac:dyDescent="0.2">
      <c r="A2824" s="8"/>
      <c r="B2824" s="8"/>
      <c r="C2824" s="1989" t="s">
        <v>2095</v>
      </c>
      <c r="D2824" s="1989" t="s">
        <v>8174</v>
      </c>
      <c r="E2824" s="1989">
        <v>1.36</v>
      </c>
      <c r="F2824" s="38">
        <f t="shared" si="44"/>
        <v>110.59688640000002</v>
      </c>
      <c r="G2824" s="1547"/>
      <c r="H2824" s="8"/>
      <c r="I2824" s="8"/>
      <c r="J2824" s="8"/>
      <c r="K2824" s="8"/>
      <c r="L2824" s="8"/>
      <c r="M2824" s="8"/>
      <c r="N2824" s="8"/>
      <c r="O2824" s="8"/>
      <c r="P2824" s="8"/>
      <c r="Q2824" s="8"/>
      <c r="R2824" s="8"/>
      <c r="S2824" s="8"/>
      <c r="T2824" s="8"/>
      <c r="U2824" s="8"/>
      <c r="V2824" s="8"/>
      <c r="W2824" s="8"/>
      <c r="X2824" s="771"/>
      <c r="Y2824" s="771"/>
      <c r="Z2824" s="771"/>
      <c r="AA2824" s="771"/>
      <c r="AB2824" s="771"/>
      <c r="AC2824" s="771"/>
      <c r="AD2824" s="771"/>
      <c r="AE2824" s="771"/>
      <c r="AF2824" s="771"/>
      <c r="AG2824" s="771"/>
      <c r="AH2824" s="771"/>
      <c r="AI2824" s="771"/>
      <c r="AJ2824" s="771"/>
      <c r="AK2824" s="771"/>
      <c r="AL2824" s="771"/>
      <c r="AM2824" s="771"/>
      <c r="AN2824" s="771"/>
      <c r="AO2824" s="771"/>
      <c r="AP2824" s="771"/>
      <c r="AQ2824" s="771"/>
      <c r="AR2824" s="771"/>
      <c r="AS2824" s="771"/>
      <c r="AT2824" s="771"/>
      <c r="AU2824" s="771"/>
    </row>
    <row r="2825" spans="1:47" s="1423" customFormat="1" outlineLevel="1" x14ac:dyDescent="0.2">
      <c r="A2825" s="8"/>
      <c r="B2825" s="8"/>
      <c r="C2825" s="1989" t="s">
        <v>4863</v>
      </c>
      <c r="D2825" s="1989" t="s">
        <v>6326</v>
      </c>
      <c r="E2825" s="1989">
        <v>4.45</v>
      </c>
      <c r="F2825" s="38">
        <f t="shared" si="44"/>
        <v>361.87951800000002</v>
      </c>
      <c r="G2825" s="1547"/>
      <c r="H2825" s="8"/>
      <c r="I2825" s="8"/>
      <c r="J2825" s="8"/>
      <c r="K2825" s="8"/>
      <c r="L2825" s="8"/>
      <c r="M2825" s="8"/>
      <c r="N2825" s="8"/>
      <c r="O2825" s="8"/>
      <c r="P2825" s="8"/>
      <c r="Q2825" s="8"/>
      <c r="R2825" s="8"/>
      <c r="S2825" s="8"/>
      <c r="T2825" s="8"/>
      <c r="U2825" s="8"/>
      <c r="V2825" s="8"/>
      <c r="W2825" s="8"/>
      <c r="X2825" s="771"/>
      <c r="Y2825" s="771"/>
      <c r="Z2825" s="771"/>
      <c r="AA2825" s="771"/>
      <c r="AB2825" s="771"/>
      <c r="AC2825" s="771"/>
      <c r="AD2825" s="771"/>
      <c r="AE2825" s="771"/>
      <c r="AF2825" s="771"/>
      <c r="AG2825" s="771"/>
      <c r="AH2825" s="771"/>
      <c r="AI2825" s="771"/>
      <c r="AJ2825" s="771"/>
      <c r="AK2825" s="771"/>
      <c r="AL2825" s="771"/>
      <c r="AM2825" s="771"/>
      <c r="AN2825" s="771"/>
      <c r="AO2825" s="771"/>
      <c r="AP2825" s="771"/>
      <c r="AQ2825" s="771"/>
      <c r="AR2825" s="771"/>
      <c r="AS2825" s="771"/>
      <c r="AT2825" s="771"/>
      <c r="AU2825" s="771"/>
    </row>
    <row r="2826" spans="1:47" s="1423" customFormat="1" outlineLevel="1" x14ac:dyDescent="0.2">
      <c r="A2826" s="8"/>
      <c r="B2826" s="8"/>
      <c r="C2826" s="1989" t="s">
        <v>4864</v>
      </c>
      <c r="D2826" s="1989" t="s">
        <v>4865</v>
      </c>
      <c r="E2826" s="1989">
        <v>0.17</v>
      </c>
      <c r="F2826" s="38">
        <f t="shared" si="44"/>
        <v>13.824610800000002</v>
      </c>
      <c r="G2826" s="1547"/>
      <c r="H2826" s="8"/>
      <c r="I2826" s="8"/>
      <c r="J2826" s="8"/>
      <c r="K2826" s="8"/>
      <c r="L2826" s="8"/>
      <c r="M2826" s="8"/>
      <c r="N2826" s="8"/>
      <c r="O2826" s="8"/>
      <c r="P2826" s="8"/>
      <c r="Q2826" s="8"/>
      <c r="R2826" s="8"/>
      <c r="S2826" s="8"/>
      <c r="T2826" s="8"/>
      <c r="U2826" s="8"/>
      <c r="V2826" s="8"/>
      <c r="W2826" s="8"/>
      <c r="X2826" s="771"/>
      <c r="Y2826" s="771"/>
      <c r="Z2826" s="771"/>
      <c r="AA2826" s="771"/>
      <c r="AB2826" s="771"/>
      <c r="AC2826" s="771"/>
      <c r="AD2826" s="771"/>
      <c r="AE2826" s="771"/>
      <c r="AF2826" s="771"/>
      <c r="AG2826" s="771"/>
      <c r="AH2826" s="771"/>
      <c r="AI2826" s="771"/>
      <c r="AJ2826" s="771"/>
      <c r="AK2826" s="771"/>
      <c r="AL2826" s="771"/>
      <c r="AM2826" s="771"/>
      <c r="AN2826" s="771"/>
      <c r="AO2826" s="771"/>
      <c r="AP2826" s="771"/>
      <c r="AQ2826" s="771"/>
      <c r="AR2826" s="771"/>
      <c r="AS2826" s="771"/>
      <c r="AT2826" s="771"/>
      <c r="AU2826" s="771"/>
    </row>
    <row r="2827" spans="1:47" s="1423" customFormat="1" outlineLevel="1" x14ac:dyDescent="0.2">
      <c r="A2827" s="8"/>
      <c r="B2827" s="8"/>
      <c r="C2827" s="1989" t="s">
        <v>8175</v>
      </c>
      <c r="D2827" s="1989" t="s">
        <v>8176</v>
      </c>
      <c r="E2827" s="1989">
        <v>4.5199999999999996</v>
      </c>
      <c r="F2827" s="38">
        <f t="shared" si="44"/>
        <v>367.5720048</v>
      </c>
      <c r="G2827" s="1547"/>
      <c r="H2827" s="8"/>
      <c r="I2827" s="8"/>
      <c r="J2827" s="8"/>
      <c r="K2827" s="8"/>
      <c r="L2827" s="8"/>
      <c r="M2827" s="8"/>
      <c r="N2827" s="8"/>
      <c r="O2827" s="8"/>
      <c r="P2827" s="8"/>
      <c r="Q2827" s="8"/>
      <c r="R2827" s="8"/>
      <c r="S2827" s="8"/>
      <c r="T2827" s="8"/>
      <c r="U2827" s="8"/>
      <c r="V2827" s="8"/>
      <c r="W2827" s="8"/>
      <c r="X2827" s="771"/>
      <c r="Y2827" s="771"/>
      <c r="Z2827" s="771"/>
      <c r="AA2827" s="771"/>
      <c r="AB2827" s="771"/>
      <c r="AC2827" s="771"/>
      <c r="AD2827" s="771"/>
      <c r="AE2827" s="771"/>
      <c r="AF2827" s="771"/>
      <c r="AG2827" s="771"/>
      <c r="AH2827" s="771"/>
      <c r="AI2827" s="771"/>
      <c r="AJ2827" s="771"/>
      <c r="AK2827" s="771"/>
      <c r="AL2827" s="771"/>
      <c r="AM2827" s="771"/>
      <c r="AN2827" s="771"/>
      <c r="AO2827" s="771"/>
      <c r="AP2827" s="771"/>
      <c r="AQ2827" s="771"/>
      <c r="AR2827" s="771"/>
      <c r="AS2827" s="771"/>
      <c r="AT2827" s="771"/>
      <c r="AU2827" s="771"/>
    </row>
    <row r="2828" spans="1:47" s="1423" customFormat="1" outlineLevel="1" x14ac:dyDescent="0.2">
      <c r="A2828" s="8"/>
      <c r="B2828" s="8"/>
      <c r="C2828" s="1989" t="s">
        <v>4866</v>
      </c>
      <c r="D2828" s="1989" t="s">
        <v>4867</v>
      </c>
      <c r="E2828" s="1989">
        <v>2.78</v>
      </c>
      <c r="F2828" s="38">
        <f t="shared" si="44"/>
        <v>226.07304720000002</v>
      </c>
      <c r="G2828" s="1547"/>
      <c r="H2828" s="8"/>
      <c r="I2828" s="8"/>
      <c r="J2828" s="8"/>
      <c r="K2828" s="8"/>
      <c r="L2828" s="8"/>
      <c r="M2828" s="8"/>
      <c r="N2828" s="8"/>
      <c r="O2828" s="8"/>
      <c r="P2828" s="8"/>
      <c r="Q2828" s="8"/>
      <c r="R2828" s="8"/>
      <c r="S2828" s="8"/>
      <c r="T2828" s="8"/>
      <c r="U2828" s="8"/>
      <c r="V2828" s="8"/>
      <c r="W2828" s="8"/>
      <c r="X2828" s="771"/>
      <c r="Y2828" s="771"/>
      <c r="Z2828" s="771"/>
      <c r="AA2828" s="771"/>
      <c r="AB2828" s="771"/>
      <c r="AC2828" s="771"/>
      <c r="AD2828" s="771"/>
      <c r="AE2828" s="771"/>
      <c r="AF2828" s="771"/>
      <c r="AG2828" s="771"/>
      <c r="AH2828" s="771"/>
      <c r="AI2828" s="771"/>
      <c r="AJ2828" s="771"/>
      <c r="AK2828" s="771"/>
      <c r="AL2828" s="771"/>
      <c r="AM2828" s="771"/>
      <c r="AN2828" s="771"/>
      <c r="AO2828" s="771"/>
      <c r="AP2828" s="771"/>
      <c r="AQ2828" s="771"/>
      <c r="AR2828" s="771"/>
      <c r="AS2828" s="771"/>
      <c r="AT2828" s="771"/>
      <c r="AU2828" s="771"/>
    </row>
    <row r="2829" spans="1:47" s="1423" customFormat="1" outlineLevel="1" x14ac:dyDescent="0.2">
      <c r="A2829" s="8"/>
      <c r="B2829" s="8"/>
      <c r="C2829" s="1989" t="s">
        <v>4868</v>
      </c>
      <c r="D2829" s="1989" t="s">
        <v>4869</v>
      </c>
      <c r="E2829" s="1989">
        <v>4.83</v>
      </c>
      <c r="F2829" s="38">
        <f t="shared" si="44"/>
        <v>392.78158920000004</v>
      </c>
      <c r="G2829" s="1547"/>
      <c r="H2829" s="8"/>
      <c r="I2829" s="8"/>
      <c r="J2829" s="8"/>
      <c r="K2829" s="8"/>
      <c r="L2829" s="8"/>
      <c r="M2829" s="8"/>
      <c r="N2829" s="8"/>
      <c r="O2829" s="8"/>
      <c r="P2829" s="8"/>
      <c r="Q2829" s="8"/>
      <c r="R2829" s="8"/>
      <c r="S2829" s="8"/>
      <c r="T2829" s="8"/>
      <c r="U2829" s="8"/>
      <c r="V2829" s="8"/>
      <c r="W2829" s="8"/>
      <c r="X2829" s="771"/>
      <c r="Y2829" s="771"/>
      <c r="Z2829" s="771"/>
      <c r="AA2829" s="771"/>
      <c r="AB2829" s="771"/>
      <c r="AC2829" s="771"/>
      <c r="AD2829" s="771"/>
      <c r="AE2829" s="771"/>
      <c r="AF2829" s="771"/>
      <c r="AG2829" s="771"/>
      <c r="AH2829" s="771"/>
      <c r="AI2829" s="771"/>
      <c r="AJ2829" s="771"/>
      <c r="AK2829" s="771"/>
      <c r="AL2829" s="771"/>
      <c r="AM2829" s="771"/>
      <c r="AN2829" s="771"/>
      <c r="AO2829" s="771"/>
      <c r="AP2829" s="771"/>
      <c r="AQ2829" s="771"/>
      <c r="AR2829" s="771"/>
      <c r="AS2829" s="771"/>
      <c r="AT2829" s="771"/>
      <c r="AU2829" s="771"/>
    </row>
    <row r="2830" spans="1:47" s="1423" customFormat="1" outlineLevel="1" x14ac:dyDescent="0.2">
      <c r="A2830" s="8"/>
      <c r="B2830" s="8"/>
      <c r="C2830" s="1989" t="s">
        <v>4870</v>
      </c>
      <c r="D2830" s="1989" t="s">
        <v>4871</v>
      </c>
      <c r="E2830" s="1989">
        <v>2.69</v>
      </c>
      <c r="F2830" s="38">
        <f t="shared" si="44"/>
        <v>218.75413560000001</v>
      </c>
      <c r="G2830" s="1547"/>
      <c r="H2830" s="8"/>
      <c r="I2830" s="8"/>
      <c r="J2830" s="8"/>
      <c r="K2830" s="8"/>
      <c r="L2830" s="8"/>
      <c r="M2830" s="8"/>
      <c r="N2830" s="8"/>
      <c r="O2830" s="8"/>
      <c r="P2830" s="8"/>
      <c r="Q2830" s="8"/>
      <c r="R2830" s="8"/>
      <c r="S2830" s="8"/>
      <c r="T2830" s="8"/>
      <c r="U2830" s="8"/>
      <c r="V2830" s="8"/>
      <c r="W2830" s="8"/>
      <c r="X2830" s="771"/>
      <c r="Y2830" s="771"/>
      <c r="Z2830" s="771"/>
      <c r="AA2830" s="771"/>
      <c r="AB2830" s="771"/>
      <c r="AC2830" s="771"/>
      <c r="AD2830" s="771"/>
      <c r="AE2830" s="771"/>
      <c r="AF2830" s="771"/>
      <c r="AG2830" s="771"/>
      <c r="AH2830" s="771"/>
      <c r="AI2830" s="771"/>
      <c r="AJ2830" s="771"/>
      <c r="AK2830" s="771"/>
      <c r="AL2830" s="771"/>
      <c r="AM2830" s="771"/>
      <c r="AN2830" s="771"/>
      <c r="AO2830" s="771"/>
      <c r="AP2830" s="771"/>
      <c r="AQ2830" s="771"/>
      <c r="AR2830" s="771"/>
      <c r="AS2830" s="771"/>
      <c r="AT2830" s="771"/>
      <c r="AU2830" s="771"/>
    </row>
    <row r="2831" spans="1:47" s="1423" customFormat="1" outlineLevel="1" x14ac:dyDescent="0.2">
      <c r="A2831" s="8"/>
      <c r="B2831" s="8"/>
      <c r="C2831" s="1989" t="s">
        <v>4872</v>
      </c>
      <c r="D2831" s="1989" t="s">
        <v>8177</v>
      </c>
      <c r="E2831" s="1989">
        <v>3</v>
      </c>
      <c r="F2831" s="38">
        <f t="shared" si="44"/>
        <v>243.96372</v>
      </c>
      <c r="G2831" s="1547"/>
      <c r="H2831" s="8"/>
      <c r="I2831" s="8"/>
      <c r="J2831" s="8"/>
      <c r="K2831" s="8"/>
      <c r="L2831" s="8"/>
      <c r="M2831" s="8"/>
      <c r="N2831" s="8"/>
      <c r="O2831" s="8"/>
      <c r="P2831" s="8"/>
      <c r="Q2831" s="8"/>
      <c r="R2831" s="8"/>
      <c r="S2831" s="8"/>
      <c r="T2831" s="8"/>
      <c r="U2831" s="8"/>
      <c r="V2831" s="8"/>
      <c r="W2831" s="8"/>
      <c r="X2831" s="771"/>
      <c r="Y2831" s="771"/>
      <c r="Z2831" s="771"/>
      <c r="AA2831" s="771"/>
      <c r="AB2831" s="771"/>
      <c r="AC2831" s="771"/>
      <c r="AD2831" s="771"/>
      <c r="AE2831" s="771"/>
      <c r="AF2831" s="771"/>
      <c r="AG2831" s="771"/>
      <c r="AH2831" s="771"/>
      <c r="AI2831" s="771"/>
      <c r="AJ2831" s="771"/>
      <c r="AK2831" s="771"/>
      <c r="AL2831" s="771"/>
      <c r="AM2831" s="771"/>
      <c r="AN2831" s="771"/>
      <c r="AO2831" s="771"/>
      <c r="AP2831" s="771"/>
      <c r="AQ2831" s="771"/>
      <c r="AR2831" s="771"/>
      <c r="AS2831" s="771"/>
      <c r="AT2831" s="771"/>
      <c r="AU2831" s="771"/>
    </row>
    <row r="2832" spans="1:47" s="1423" customFormat="1" outlineLevel="1" x14ac:dyDescent="0.2">
      <c r="A2832" s="8"/>
      <c r="B2832" s="8"/>
      <c r="C2832" s="1989" t="s">
        <v>4873</v>
      </c>
      <c r="D2832" s="1989" t="s">
        <v>6327</v>
      </c>
      <c r="E2832" s="1989">
        <v>0.55000000000000004</v>
      </c>
      <c r="F2832" s="38">
        <f t="shared" si="44"/>
        <v>44.726682000000004</v>
      </c>
      <c r="G2832" s="1547"/>
      <c r="H2832" s="8"/>
      <c r="I2832" s="8"/>
      <c r="J2832" s="8"/>
      <c r="K2832" s="8"/>
      <c r="L2832" s="8"/>
      <c r="M2832" s="8"/>
      <c r="N2832" s="8"/>
      <c r="O2832" s="8"/>
      <c r="P2832" s="8"/>
      <c r="Q2832" s="8"/>
      <c r="R2832" s="8"/>
      <c r="S2832" s="8"/>
      <c r="T2832" s="8"/>
      <c r="U2832" s="8"/>
      <c r="V2832" s="8"/>
      <c r="W2832" s="8"/>
      <c r="X2832" s="771"/>
      <c r="Y2832" s="771"/>
      <c r="Z2832" s="771"/>
      <c r="AA2832" s="771"/>
      <c r="AB2832" s="771"/>
      <c r="AC2832" s="771"/>
      <c r="AD2832" s="771"/>
      <c r="AE2832" s="771"/>
      <c r="AF2832" s="771"/>
      <c r="AG2832" s="771"/>
      <c r="AH2832" s="771"/>
      <c r="AI2832" s="771"/>
      <c r="AJ2832" s="771"/>
      <c r="AK2832" s="771"/>
      <c r="AL2832" s="771"/>
      <c r="AM2832" s="771"/>
      <c r="AN2832" s="771"/>
      <c r="AO2832" s="771"/>
      <c r="AP2832" s="771"/>
      <c r="AQ2832" s="771"/>
      <c r="AR2832" s="771"/>
      <c r="AS2832" s="771"/>
      <c r="AT2832" s="771"/>
      <c r="AU2832" s="771"/>
    </row>
    <row r="2833" spans="1:47" s="1423" customFormat="1" outlineLevel="1" x14ac:dyDescent="0.2">
      <c r="A2833" s="8"/>
      <c r="B2833" s="8"/>
      <c r="C2833" s="1989" t="s">
        <v>5224</v>
      </c>
      <c r="D2833" s="1989" t="s">
        <v>6328</v>
      </c>
      <c r="E2833" s="1989">
        <v>0.59</v>
      </c>
      <c r="F2833" s="38">
        <f t="shared" si="44"/>
        <v>47.979531600000001</v>
      </c>
      <c r="G2833" s="1547"/>
      <c r="H2833" s="8"/>
      <c r="I2833" s="8"/>
      <c r="J2833" s="8"/>
      <c r="K2833" s="8"/>
      <c r="L2833" s="8"/>
      <c r="M2833" s="8"/>
      <c r="N2833" s="8"/>
      <c r="O2833" s="8"/>
      <c r="P2833" s="8"/>
      <c r="Q2833" s="8"/>
      <c r="R2833" s="8"/>
      <c r="S2833" s="8"/>
      <c r="T2833" s="8"/>
      <c r="U2833" s="8"/>
      <c r="V2833" s="8"/>
      <c r="W2833" s="8"/>
      <c r="X2833" s="771"/>
      <c r="Y2833" s="771"/>
      <c r="Z2833" s="771"/>
      <c r="AA2833" s="771"/>
      <c r="AB2833" s="771"/>
      <c r="AC2833" s="771"/>
      <c r="AD2833" s="771"/>
      <c r="AE2833" s="771"/>
      <c r="AF2833" s="771"/>
      <c r="AG2833" s="771"/>
      <c r="AH2833" s="771"/>
      <c r="AI2833" s="771"/>
      <c r="AJ2833" s="771"/>
      <c r="AK2833" s="771"/>
      <c r="AL2833" s="771"/>
      <c r="AM2833" s="771"/>
      <c r="AN2833" s="771"/>
      <c r="AO2833" s="771"/>
      <c r="AP2833" s="771"/>
      <c r="AQ2833" s="771"/>
      <c r="AR2833" s="771"/>
      <c r="AS2833" s="771"/>
      <c r="AT2833" s="771"/>
      <c r="AU2833" s="771"/>
    </row>
    <row r="2834" spans="1:47" s="1423" customFormat="1" outlineLevel="1" x14ac:dyDescent="0.2">
      <c r="A2834" s="8"/>
      <c r="B2834" s="8"/>
      <c r="C2834" s="1989" t="s">
        <v>4874</v>
      </c>
      <c r="D2834" s="1989" t="s">
        <v>4875</v>
      </c>
      <c r="E2834" s="1989">
        <v>0.12</v>
      </c>
      <c r="F2834" s="38">
        <f t="shared" si="44"/>
        <v>9.7585487999999998</v>
      </c>
      <c r="G2834" s="1547"/>
      <c r="H2834" s="8"/>
      <c r="I2834" s="8"/>
      <c r="J2834" s="8"/>
      <c r="K2834" s="8"/>
      <c r="L2834" s="8"/>
      <c r="M2834" s="8"/>
      <c r="N2834" s="8"/>
      <c r="O2834" s="8"/>
      <c r="P2834" s="8"/>
      <c r="Q2834" s="8"/>
      <c r="R2834" s="8"/>
      <c r="S2834" s="8"/>
      <c r="T2834" s="8"/>
      <c r="U2834" s="8"/>
      <c r="V2834" s="8"/>
      <c r="W2834" s="8"/>
      <c r="X2834" s="771"/>
      <c r="Y2834" s="771"/>
      <c r="Z2834" s="771"/>
      <c r="AA2834" s="771"/>
      <c r="AB2834" s="771"/>
      <c r="AC2834" s="771"/>
      <c r="AD2834" s="771"/>
      <c r="AE2834" s="771"/>
      <c r="AF2834" s="771"/>
      <c r="AG2834" s="771"/>
      <c r="AH2834" s="771"/>
      <c r="AI2834" s="771"/>
      <c r="AJ2834" s="771"/>
      <c r="AK2834" s="771"/>
      <c r="AL2834" s="771"/>
      <c r="AM2834" s="771"/>
      <c r="AN2834" s="771"/>
      <c r="AO2834" s="771"/>
      <c r="AP2834" s="771"/>
      <c r="AQ2834" s="771"/>
      <c r="AR2834" s="771"/>
      <c r="AS2834" s="771"/>
      <c r="AT2834" s="771"/>
      <c r="AU2834" s="771"/>
    </row>
    <row r="2835" spans="1:47" s="1423" customFormat="1" outlineLevel="1" x14ac:dyDescent="0.2">
      <c r="A2835" s="8"/>
      <c r="B2835" s="8"/>
      <c r="C2835" s="1989" t="s">
        <v>8178</v>
      </c>
      <c r="D2835" s="1989" t="s">
        <v>8179</v>
      </c>
      <c r="E2835" s="1989">
        <v>2.87</v>
      </c>
      <c r="F2835" s="38">
        <f t="shared" si="44"/>
        <v>233.39195880000003</v>
      </c>
      <c r="G2835" s="1547"/>
      <c r="H2835" s="8"/>
      <c r="I2835" s="8"/>
      <c r="J2835" s="8"/>
      <c r="K2835" s="8"/>
      <c r="L2835" s="8"/>
      <c r="M2835" s="8"/>
      <c r="N2835" s="8"/>
      <c r="O2835" s="8"/>
      <c r="P2835" s="8"/>
      <c r="Q2835" s="8"/>
      <c r="R2835" s="8"/>
      <c r="S2835" s="8"/>
      <c r="T2835" s="8"/>
      <c r="U2835" s="8"/>
      <c r="V2835" s="8"/>
      <c r="W2835" s="8"/>
      <c r="X2835" s="771"/>
      <c r="Y2835" s="771"/>
      <c r="Z2835" s="771"/>
      <c r="AA2835" s="771"/>
      <c r="AB2835" s="771"/>
      <c r="AC2835" s="771"/>
      <c r="AD2835" s="771"/>
      <c r="AE2835" s="771"/>
      <c r="AF2835" s="771"/>
      <c r="AG2835" s="771"/>
      <c r="AH2835" s="771"/>
      <c r="AI2835" s="771"/>
      <c r="AJ2835" s="771"/>
      <c r="AK2835" s="771"/>
      <c r="AL2835" s="771"/>
      <c r="AM2835" s="771"/>
      <c r="AN2835" s="771"/>
      <c r="AO2835" s="771"/>
      <c r="AP2835" s="771"/>
      <c r="AQ2835" s="771"/>
      <c r="AR2835" s="771"/>
      <c r="AS2835" s="771"/>
      <c r="AT2835" s="771"/>
      <c r="AU2835" s="771"/>
    </row>
    <row r="2836" spans="1:47" s="1423" customFormat="1" outlineLevel="1" x14ac:dyDescent="0.2">
      <c r="A2836" s="8"/>
      <c r="B2836" s="8"/>
      <c r="C2836" s="1989" t="s">
        <v>5226</v>
      </c>
      <c r="D2836" s="1989" t="s">
        <v>5227</v>
      </c>
      <c r="E2836" s="1989">
        <v>0.5</v>
      </c>
      <c r="F2836" s="38">
        <f t="shared" si="44"/>
        <v>40.660620000000002</v>
      </c>
      <c r="G2836" s="1547"/>
      <c r="H2836" s="8"/>
      <c r="I2836" s="8"/>
      <c r="J2836" s="8"/>
      <c r="K2836" s="8"/>
      <c r="L2836" s="8"/>
      <c r="M2836" s="8"/>
      <c r="N2836" s="8"/>
      <c r="O2836" s="8"/>
      <c r="P2836" s="8"/>
      <c r="Q2836" s="8"/>
      <c r="R2836" s="8"/>
      <c r="S2836" s="8"/>
      <c r="T2836" s="8"/>
      <c r="U2836" s="8"/>
      <c r="V2836" s="8"/>
      <c r="W2836" s="8"/>
      <c r="X2836" s="771"/>
      <c r="Y2836" s="771"/>
      <c r="Z2836" s="771"/>
      <c r="AA2836" s="771"/>
      <c r="AB2836" s="771"/>
      <c r="AC2836" s="771"/>
      <c r="AD2836" s="771"/>
      <c r="AE2836" s="771"/>
      <c r="AF2836" s="771"/>
      <c r="AG2836" s="771"/>
      <c r="AH2836" s="771"/>
      <c r="AI2836" s="771"/>
      <c r="AJ2836" s="771"/>
      <c r="AK2836" s="771"/>
      <c r="AL2836" s="771"/>
      <c r="AM2836" s="771"/>
      <c r="AN2836" s="771"/>
      <c r="AO2836" s="771"/>
      <c r="AP2836" s="771"/>
      <c r="AQ2836" s="771"/>
      <c r="AR2836" s="771"/>
      <c r="AS2836" s="771"/>
      <c r="AT2836" s="771"/>
      <c r="AU2836" s="771"/>
    </row>
    <row r="2837" spans="1:47" s="1423" customFormat="1" outlineLevel="1" x14ac:dyDescent="0.2">
      <c r="A2837" s="8"/>
      <c r="B2837" s="8"/>
      <c r="C2837" s="1989" t="s">
        <v>6840</v>
      </c>
      <c r="D2837" s="1989" t="s">
        <v>6329</v>
      </c>
      <c r="E2837" s="1989">
        <v>3.27</v>
      </c>
      <c r="F2837" s="38">
        <f t="shared" si="44"/>
        <v>265.92045480000002</v>
      </c>
      <c r="G2837" s="1547"/>
      <c r="H2837" s="8"/>
      <c r="I2837" s="8"/>
      <c r="J2837" s="8"/>
      <c r="K2837" s="8"/>
      <c r="L2837" s="8"/>
      <c r="M2837" s="8"/>
      <c r="N2837" s="8"/>
      <c r="O2837" s="8"/>
      <c r="P2837" s="8"/>
      <c r="Q2837" s="8"/>
      <c r="R2837" s="8"/>
      <c r="S2837" s="8"/>
      <c r="T2837" s="8"/>
      <c r="U2837" s="8"/>
      <c r="V2837" s="8"/>
      <c r="W2837" s="8"/>
      <c r="X2837" s="771"/>
      <c r="Y2837" s="771"/>
      <c r="Z2837" s="771"/>
      <c r="AA2837" s="771"/>
      <c r="AB2837" s="771"/>
      <c r="AC2837" s="771"/>
      <c r="AD2837" s="771"/>
      <c r="AE2837" s="771"/>
      <c r="AF2837" s="771"/>
      <c r="AG2837" s="771"/>
      <c r="AH2837" s="771"/>
      <c r="AI2837" s="771"/>
      <c r="AJ2837" s="771"/>
      <c r="AK2837" s="771"/>
      <c r="AL2837" s="771"/>
      <c r="AM2837" s="771"/>
      <c r="AN2837" s="771"/>
      <c r="AO2837" s="771"/>
      <c r="AP2837" s="771"/>
      <c r="AQ2837" s="771"/>
      <c r="AR2837" s="771"/>
      <c r="AS2837" s="771"/>
      <c r="AT2837" s="771"/>
      <c r="AU2837" s="771"/>
    </row>
    <row r="2838" spans="1:47" s="1423" customFormat="1" outlineLevel="1" x14ac:dyDescent="0.2">
      <c r="A2838" s="8"/>
      <c r="B2838" s="8"/>
      <c r="C2838" s="1989" t="s">
        <v>5218</v>
      </c>
      <c r="D2838" s="1989" t="s">
        <v>5228</v>
      </c>
      <c r="E2838" s="1989">
        <v>0.13</v>
      </c>
      <c r="F2838" s="38">
        <f t="shared" si="44"/>
        <v>10.571761200000001</v>
      </c>
      <c r="G2838" s="1547"/>
      <c r="H2838" s="8"/>
      <c r="I2838" s="8"/>
      <c r="J2838" s="8"/>
      <c r="K2838" s="8"/>
      <c r="L2838" s="8"/>
      <c r="M2838" s="8"/>
      <c r="N2838" s="8"/>
      <c r="O2838" s="8"/>
      <c r="P2838" s="8"/>
      <c r="Q2838" s="8"/>
      <c r="R2838" s="8"/>
      <c r="S2838" s="8"/>
      <c r="T2838" s="8"/>
      <c r="U2838" s="8"/>
      <c r="V2838" s="8"/>
      <c r="W2838" s="8"/>
      <c r="X2838" s="771"/>
      <c r="Y2838" s="771"/>
      <c r="Z2838" s="771"/>
      <c r="AA2838" s="771"/>
      <c r="AB2838" s="771"/>
      <c r="AC2838" s="771"/>
      <c r="AD2838" s="771"/>
      <c r="AE2838" s="771"/>
      <c r="AF2838" s="771"/>
      <c r="AG2838" s="771"/>
      <c r="AH2838" s="771"/>
      <c r="AI2838" s="771"/>
      <c r="AJ2838" s="771"/>
      <c r="AK2838" s="771"/>
      <c r="AL2838" s="771"/>
      <c r="AM2838" s="771"/>
      <c r="AN2838" s="771"/>
      <c r="AO2838" s="771"/>
      <c r="AP2838" s="771"/>
      <c r="AQ2838" s="771"/>
      <c r="AR2838" s="771"/>
      <c r="AS2838" s="771"/>
      <c r="AT2838" s="771"/>
      <c r="AU2838" s="771"/>
    </row>
    <row r="2839" spans="1:47" s="1423" customFormat="1" outlineLevel="1" x14ac:dyDescent="0.2">
      <c r="A2839" s="8"/>
      <c r="B2839" s="8"/>
      <c r="C2839" s="1989" t="s">
        <v>4876</v>
      </c>
      <c r="D2839" s="1989" t="s">
        <v>4877</v>
      </c>
      <c r="E2839" s="1989">
        <v>4.93</v>
      </c>
      <c r="F2839" s="38">
        <f t="shared" si="44"/>
        <v>400.91371320000002</v>
      </c>
      <c r="G2839" s="1547"/>
      <c r="H2839" s="8"/>
      <c r="I2839" s="8"/>
      <c r="J2839" s="8"/>
      <c r="K2839" s="8"/>
      <c r="L2839" s="8"/>
      <c r="M2839" s="8"/>
      <c r="N2839" s="8"/>
      <c r="O2839" s="8"/>
      <c r="P2839" s="8"/>
      <c r="Q2839" s="8"/>
      <c r="R2839" s="8"/>
      <c r="S2839" s="8"/>
      <c r="T2839" s="8"/>
      <c r="U2839" s="8"/>
      <c r="V2839" s="8"/>
      <c r="W2839" s="8"/>
      <c r="X2839" s="771"/>
      <c r="Y2839" s="771"/>
      <c r="Z2839" s="771"/>
      <c r="AA2839" s="771"/>
      <c r="AB2839" s="771"/>
      <c r="AC2839" s="771"/>
      <c r="AD2839" s="771"/>
      <c r="AE2839" s="771"/>
      <c r="AF2839" s="771"/>
      <c r="AG2839" s="771"/>
      <c r="AH2839" s="771"/>
      <c r="AI2839" s="771"/>
      <c r="AJ2839" s="771"/>
      <c r="AK2839" s="771"/>
      <c r="AL2839" s="771"/>
      <c r="AM2839" s="771"/>
      <c r="AN2839" s="771"/>
      <c r="AO2839" s="771"/>
      <c r="AP2839" s="771"/>
      <c r="AQ2839" s="771"/>
      <c r="AR2839" s="771"/>
      <c r="AS2839" s="771"/>
      <c r="AT2839" s="771"/>
      <c r="AU2839" s="771"/>
    </row>
    <row r="2840" spans="1:47" s="1423" customFormat="1" outlineLevel="1" x14ac:dyDescent="0.2">
      <c r="A2840" s="8"/>
      <c r="B2840" s="8"/>
      <c r="C2840" s="1989" t="s">
        <v>4878</v>
      </c>
      <c r="D2840" s="1989" t="s">
        <v>6330</v>
      </c>
      <c r="E2840" s="1989">
        <v>2.96</v>
      </c>
      <c r="F2840" s="38">
        <f t="shared" si="44"/>
        <v>240.71087040000003</v>
      </c>
      <c r="G2840" s="1547"/>
      <c r="H2840" s="8"/>
      <c r="I2840" s="8"/>
      <c r="J2840" s="8"/>
      <c r="K2840" s="8"/>
      <c r="L2840" s="8"/>
      <c r="M2840" s="8"/>
      <c r="N2840" s="8"/>
      <c r="O2840" s="8"/>
      <c r="P2840" s="8"/>
      <c r="Q2840" s="8"/>
      <c r="R2840" s="8"/>
      <c r="S2840" s="8"/>
      <c r="T2840" s="8"/>
      <c r="U2840" s="8"/>
      <c r="V2840" s="8"/>
      <c r="W2840" s="8"/>
      <c r="X2840" s="771"/>
      <c r="Y2840" s="771"/>
      <c r="Z2840" s="771"/>
      <c r="AA2840" s="771"/>
      <c r="AB2840" s="771"/>
      <c r="AC2840" s="771"/>
      <c r="AD2840" s="771"/>
      <c r="AE2840" s="771"/>
      <c r="AF2840" s="771"/>
      <c r="AG2840" s="771"/>
      <c r="AH2840" s="771"/>
      <c r="AI2840" s="771"/>
      <c r="AJ2840" s="771"/>
      <c r="AK2840" s="771"/>
      <c r="AL2840" s="771"/>
      <c r="AM2840" s="771"/>
      <c r="AN2840" s="771"/>
      <c r="AO2840" s="771"/>
      <c r="AP2840" s="771"/>
      <c r="AQ2840" s="771"/>
      <c r="AR2840" s="771"/>
      <c r="AS2840" s="771"/>
      <c r="AT2840" s="771"/>
      <c r="AU2840" s="771"/>
    </row>
    <row r="2841" spans="1:47" s="1423" customFormat="1" outlineLevel="1" x14ac:dyDescent="0.2">
      <c r="A2841" s="8"/>
      <c r="B2841" s="8"/>
      <c r="C2841" s="1989" t="s">
        <v>8180</v>
      </c>
      <c r="D2841" s="1989" t="s">
        <v>8181</v>
      </c>
      <c r="E2841" s="1989">
        <v>1.99</v>
      </c>
      <c r="F2841" s="38">
        <f t="shared" si="44"/>
        <v>161.82926760000001</v>
      </c>
      <c r="G2841" s="1547"/>
      <c r="H2841" s="8"/>
      <c r="I2841" s="8"/>
      <c r="J2841" s="8"/>
      <c r="K2841" s="8"/>
      <c r="L2841" s="8"/>
      <c r="M2841" s="8"/>
      <c r="N2841" s="8"/>
      <c r="O2841" s="8"/>
      <c r="P2841" s="8"/>
      <c r="Q2841" s="8"/>
      <c r="R2841" s="8"/>
      <c r="S2841" s="8"/>
      <c r="T2841" s="8"/>
      <c r="U2841" s="8"/>
      <c r="V2841" s="8"/>
      <c r="W2841" s="8"/>
      <c r="X2841" s="771"/>
      <c r="Y2841" s="771"/>
      <c r="Z2841" s="771"/>
      <c r="AA2841" s="771"/>
      <c r="AB2841" s="771"/>
      <c r="AC2841" s="771"/>
      <c r="AD2841" s="771"/>
      <c r="AE2841" s="771"/>
      <c r="AF2841" s="771"/>
      <c r="AG2841" s="771"/>
      <c r="AH2841" s="771"/>
      <c r="AI2841" s="771"/>
      <c r="AJ2841" s="771"/>
      <c r="AK2841" s="771"/>
      <c r="AL2841" s="771"/>
      <c r="AM2841" s="771"/>
      <c r="AN2841" s="771"/>
      <c r="AO2841" s="771"/>
      <c r="AP2841" s="771"/>
      <c r="AQ2841" s="771"/>
      <c r="AR2841" s="771"/>
      <c r="AS2841" s="771"/>
      <c r="AT2841" s="771"/>
      <c r="AU2841" s="771"/>
    </row>
    <row r="2842" spans="1:47" s="1423" customFormat="1" outlineLevel="1" x14ac:dyDescent="0.2">
      <c r="A2842" s="8"/>
      <c r="B2842" s="8"/>
      <c r="C2842" s="1989" t="s">
        <v>8182</v>
      </c>
      <c r="D2842" s="1989" t="s">
        <v>8183</v>
      </c>
      <c r="E2842" s="1989">
        <v>0.12</v>
      </c>
      <c r="F2842" s="38">
        <f t="shared" si="44"/>
        <v>9.7585487999999998</v>
      </c>
      <c r="G2842" s="1547"/>
      <c r="H2842" s="8"/>
      <c r="I2842" s="8"/>
      <c r="J2842" s="8"/>
      <c r="K2842" s="8"/>
      <c r="L2842" s="8"/>
      <c r="M2842" s="8"/>
      <c r="N2842" s="8"/>
      <c r="O2842" s="8"/>
      <c r="P2842" s="8"/>
      <c r="Q2842" s="8"/>
      <c r="R2842" s="8"/>
      <c r="S2842" s="8"/>
      <c r="T2842" s="8"/>
      <c r="U2842" s="8"/>
      <c r="V2842" s="8"/>
      <c r="W2842" s="8"/>
      <c r="X2842" s="771"/>
      <c r="Y2842" s="771"/>
      <c r="Z2842" s="771"/>
      <c r="AA2842" s="771"/>
      <c r="AB2842" s="771"/>
      <c r="AC2842" s="771"/>
      <c r="AD2842" s="771"/>
      <c r="AE2842" s="771"/>
      <c r="AF2842" s="771"/>
      <c r="AG2842" s="771"/>
      <c r="AH2842" s="771"/>
      <c r="AI2842" s="771"/>
      <c r="AJ2842" s="771"/>
      <c r="AK2842" s="771"/>
      <c r="AL2842" s="771"/>
      <c r="AM2842" s="771"/>
      <c r="AN2842" s="771"/>
      <c r="AO2842" s="771"/>
      <c r="AP2842" s="771"/>
      <c r="AQ2842" s="771"/>
      <c r="AR2842" s="771"/>
      <c r="AS2842" s="771"/>
      <c r="AT2842" s="771"/>
      <c r="AU2842" s="771"/>
    </row>
    <row r="2843" spans="1:47" s="1423" customFormat="1" outlineLevel="1" x14ac:dyDescent="0.2">
      <c r="A2843" s="8"/>
      <c r="B2843" s="8"/>
      <c r="C2843" s="1989" t="s">
        <v>4879</v>
      </c>
      <c r="D2843" s="1989" t="s">
        <v>8184</v>
      </c>
      <c r="E2843" s="1989">
        <v>1.43</v>
      </c>
      <c r="F2843" s="38">
        <f t="shared" si="44"/>
        <v>116.2893732</v>
      </c>
      <c r="G2843" s="1547"/>
      <c r="H2843" s="8"/>
      <c r="I2843" s="8"/>
      <c r="J2843" s="8"/>
      <c r="K2843" s="8"/>
      <c r="L2843" s="8"/>
      <c r="M2843" s="8"/>
      <c r="N2843" s="8"/>
      <c r="O2843" s="8"/>
      <c r="P2843" s="8"/>
      <c r="Q2843" s="8"/>
      <c r="R2843" s="8"/>
      <c r="S2843" s="8"/>
      <c r="T2843" s="8"/>
      <c r="U2843" s="8"/>
      <c r="V2843" s="8"/>
      <c r="W2843" s="8"/>
      <c r="X2843" s="771"/>
      <c r="Y2843" s="771"/>
      <c r="Z2843" s="771"/>
      <c r="AA2843" s="771"/>
      <c r="AB2843" s="771"/>
      <c r="AC2843" s="771"/>
      <c r="AD2843" s="771"/>
      <c r="AE2843" s="771"/>
      <c r="AF2843" s="771"/>
      <c r="AG2843" s="771"/>
      <c r="AH2843" s="771"/>
      <c r="AI2843" s="771"/>
      <c r="AJ2843" s="771"/>
      <c r="AK2843" s="771"/>
      <c r="AL2843" s="771"/>
      <c r="AM2843" s="771"/>
      <c r="AN2843" s="771"/>
      <c r="AO2843" s="771"/>
      <c r="AP2843" s="771"/>
      <c r="AQ2843" s="771"/>
      <c r="AR2843" s="771"/>
      <c r="AS2843" s="771"/>
      <c r="AT2843" s="771"/>
      <c r="AU2843" s="771"/>
    </row>
    <row r="2844" spans="1:47" s="1423" customFormat="1" outlineLevel="1" x14ac:dyDescent="0.2">
      <c r="A2844" s="8"/>
      <c r="B2844" s="8"/>
      <c r="C2844" s="1989" t="s">
        <v>4880</v>
      </c>
      <c r="D2844" s="1989" t="s">
        <v>4881</v>
      </c>
      <c r="E2844" s="1989">
        <v>0.45</v>
      </c>
      <c r="F2844" s="38">
        <f t="shared" si="44"/>
        <v>36.594558000000006</v>
      </c>
      <c r="G2844" s="1547"/>
      <c r="H2844" s="8"/>
      <c r="I2844" s="8"/>
      <c r="J2844" s="8"/>
      <c r="K2844" s="8"/>
      <c r="L2844" s="8"/>
      <c r="M2844" s="8"/>
      <c r="N2844" s="8"/>
      <c r="O2844" s="8"/>
      <c r="P2844" s="8"/>
      <c r="Q2844" s="8"/>
      <c r="R2844" s="8"/>
      <c r="S2844" s="8"/>
      <c r="T2844" s="8"/>
      <c r="U2844" s="8"/>
      <c r="V2844" s="8"/>
      <c r="W2844" s="8"/>
      <c r="X2844" s="771"/>
      <c r="Y2844" s="771"/>
      <c r="Z2844" s="771"/>
      <c r="AA2844" s="771"/>
      <c r="AB2844" s="771"/>
      <c r="AC2844" s="771"/>
      <c r="AD2844" s="771"/>
      <c r="AE2844" s="771"/>
      <c r="AF2844" s="771"/>
      <c r="AG2844" s="771"/>
      <c r="AH2844" s="771"/>
      <c r="AI2844" s="771"/>
      <c r="AJ2844" s="771"/>
      <c r="AK2844" s="771"/>
      <c r="AL2844" s="771"/>
      <c r="AM2844" s="771"/>
      <c r="AN2844" s="771"/>
      <c r="AO2844" s="771"/>
      <c r="AP2844" s="771"/>
      <c r="AQ2844" s="771"/>
      <c r="AR2844" s="771"/>
      <c r="AS2844" s="771"/>
      <c r="AT2844" s="771"/>
      <c r="AU2844" s="771"/>
    </row>
    <row r="2845" spans="1:47" s="1423" customFormat="1" outlineLevel="1" x14ac:dyDescent="0.2">
      <c r="A2845" s="8"/>
      <c r="B2845" s="8"/>
      <c r="C2845" s="1989" t="s">
        <v>6841</v>
      </c>
      <c r="D2845" s="1989" t="s">
        <v>6331</v>
      </c>
      <c r="E2845" s="1989">
        <v>3.56</v>
      </c>
      <c r="F2845" s="38">
        <f t="shared" si="44"/>
        <v>289.50361440000006</v>
      </c>
      <c r="G2845" s="1547"/>
      <c r="H2845" s="8"/>
      <c r="I2845" s="8"/>
      <c r="J2845" s="8"/>
      <c r="K2845" s="8"/>
      <c r="L2845" s="8"/>
      <c r="M2845" s="8"/>
      <c r="N2845" s="8"/>
      <c r="O2845" s="8"/>
      <c r="P2845" s="8"/>
      <c r="Q2845" s="8"/>
      <c r="R2845" s="8"/>
      <c r="S2845" s="8"/>
      <c r="T2845" s="8"/>
      <c r="U2845" s="8"/>
      <c r="V2845" s="8"/>
      <c r="W2845" s="8"/>
      <c r="X2845" s="771"/>
      <c r="Y2845" s="771"/>
      <c r="Z2845" s="771"/>
      <c r="AA2845" s="771"/>
      <c r="AB2845" s="771"/>
      <c r="AC2845" s="771"/>
      <c r="AD2845" s="771"/>
      <c r="AE2845" s="771"/>
      <c r="AF2845" s="771"/>
      <c r="AG2845" s="771"/>
      <c r="AH2845" s="771"/>
      <c r="AI2845" s="771"/>
      <c r="AJ2845" s="771"/>
      <c r="AK2845" s="771"/>
      <c r="AL2845" s="771"/>
      <c r="AM2845" s="771"/>
      <c r="AN2845" s="771"/>
      <c r="AO2845" s="771"/>
      <c r="AP2845" s="771"/>
      <c r="AQ2845" s="771"/>
      <c r="AR2845" s="771"/>
      <c r="AS2845" s="771"/>
      <c r="AT2845" s="771"/>
      <c r="AU2845" s="771"/>
    </row>
    <row r="2846" spans="1:47" s="1423" customFormat="1" outlineLevel="1" x14ac:dyDescent="0.2">
      <c r="A2846" s="8"/>
      <c r="B2846" s="8"/>
      <c r="C2846" s="1989" t="s">
        <v>312</v>
      </c>
      <c r="D2846" s="1989" t="s">
        <v>6332</v>
      </c>
      <c r="E2846" s="1989">
        <v>0.7</v>
      </c>
      <c r="F2846" s="38">
        <f t="shared" si="44"/>
        <v>56.924868000000004</v>
      </c>
      <c r="G2846" s="1547"/>
      <c r="H2846" s="8"/>
      <c r="I2846" s="8"/>
      <c r="J2846" s="8"/>
      <c r="K2846" s="8"/>
      <c r="L2846" s="8"/>
      <c r="M2846" s="8"/>
      <c r="N2846" s="8"/>
      <c r="O2846" s="8"/>
      <c r="P2846" s="8"/>
      <c r="Q2846" s="8"/>
      <c r="R2846" s="8"/>
      <c r="S2846" s="8"/>
      <c r="T2846" s="8"/>
      <c r="U2846" s="8"/>
      <c r="V2846" s="8"/>
      <c r="W2846" s="8"/>
      <c r="X2846" s="771"/>
      <c r="Y2846" s="771"/>
      <c r="Z2846" s="771"/>
      <c r="AA2846" s="771"/>
      <c r="AB2846" s="771"/>
      <c r="AC2846" s="771"/>
      <c r="AD2846" s="771"/>
      <c r="AE2846" s="771"/>
      <c r="AF2846" s="771"/>
      <c r="AG2846" s="771"/>
      <c r="AH2846" s="771"/>
      <c r="AI2846" s="771"/>
      <c r="AJ2846" s="771"/>
      <c r="AK2846" s="771"/>
      <c r="AL2846" s="771"/>
      <c r="AM2846" s="771"/>
      <c r="AN2846" s="771"/>
      <c r="AO2846" s="771"/>
      <c r="AP2846" s="771"/>
      <c r="AQ2846" s="771"/>
      <c r="AR2846" s="771"/>
      <c r="AS2846" s="771"/>
      <c r="AT2846" s="771"/>
      <c r="AU2846" s="771"/>
    </row>
    <row r="2847" spans="1:47" s="1423" customFormat="1" outlineLevel="1" x14ac:dyDescent="0.2">
      <c r="A2847" s="8"/>
      <c r="B2847" s="8"/>
      <c r="C2847" s="1989" t="s">
        <v>313</v>
      </c>
      <c r="D2847" s="1989" t="s">
        <v>6333</v>
      </c>
      <c r="E2847" s="1989">
        <v>0.59</v>
      </c>
      <c r="F2847" s="38">
        <f t="shared" si="44"/>
        <v>47.979531600000001</v>
      </c>
      <c r="G2847" s="1547"/>
      <c r="H2847" s="8"/>
      <c r="I2847" s="8"/>
      <c r="J2847" s="8"/>
      <c r="K2847" s="8"/>
      <c r="L2847" s="8"/>
      <c r="M2847" s="8"/>
      <c r="N2847" s="8"/>
      <c r="O2847" s="8"/>
      <c r="P2847" s="8"/>
      <c r="Q2847" s="8"/>
      <c r="R2847" s="8"/>
      <c r="S2847" s="8"/>
      <c r="T2847" s="8"/>
      <c r="U2847" s="8"/>
      <c r="V2847" s="8"/>
      <c r="W2847" s="8"/>
      <c r="X2847" s="771"/>
      <c r="Y2847" s="771"/>
      <c r="Z2847" s="771"/>
      <c r="AA2847" s="771"/>
      <c r="AB2847" s="771"/>
      <c r="AC2847" s="771"/>
      <c r="AD2847" s="771"/>
      <c r="AE2847" s="771"/>
      <c r="AF2847" s="771"/>
      <c r="AG2847" s="771"/>
      <c r="AH2847" s="771"/>
      <c r="AI2847" s="771"/>
      <c r="AJ2847" s="771"/>
      <c r="AK2847" s="771"/>
      <c r="AL2847" s="771"/>
      <c r="AM2847" s="771"/>
      <c r="AN2847" s="771"/>
      <c r="AO2847" s="771"/>
      <c r="AP2847" s="771"/>
      <c r="AQ2847" s="771"/>
      <c r="AR2847" s="771"/>
      <c r="AS2847" s="771"/>
      <c r="AT2847" s="771"/>
      <c r="AU2847" s="771"/>
    </row>
    <row r="2848" spans="1:47" s="1423" customFormat="1" outlineLevel="1" x14ac:dyDescent="0.2">
      <c r="A2848" s="8"/>
      <c r="B2848" s="8"/>
      <c r="C2848" s="1989" t="s">
        <v>314</v>
      </c>
      <c r="D2848" s="1989" t="s">
        <v>6334</v>
      </c>
      <c r="E2848" s="1989">
        <v>0.53</v>
      </c>
      <c r="F2848" s="38">
        <f t="shared" si="44"/>
        <v>43.100257200000001</v>
      </c>
      <c r="G2848" s="1547"/>
      <c r="H2848" s="8"/>
      <c r="I2848" s="8"/>
      <c r="J2848" s="8"/>
      <c r="K2848" s="8"/>
      <c r="L2848" s="8"/>
      <c r="M2848" s="8"/>
      <c r="N2848" s="8"/>
      <c r="O2848" s="8"/>
      <c r="P2848" s="8"/>
      <c r="Q2848" s="8"/>
      <c r="R2848" s="8"/>
      <c r="S2848" s="8"/>
      <c r="T2848" s="8"/>
      <c r="U2848" s="8"/>
      <c r="V2848" s="8"/>
      <c r="W2848" s="8"/>
      <c r="X2848" s="771"/>
      <c r="Y2848" s="771"/>
      <c r="Z2848" s="771"/>
      <c r="AA2848" s="771"/>
      <c r="AB2848" s="771"/>
      <c r="AC2848" s="771"/>
      <c r="AD2848" s="771"/>
      <c r="AE2848" s="771"/>
      <c r="AF2848" s="771"/>
      <c r="AG2848" s="771"/>
      <c r="AH2848" s="771"/>
      <c r="AI2848" s="771"/>
      <c r="AJ2848" s="771"/>
      <c r="AK2848" s="771"/>
      <c r="AL2848" s="771"/>
      <c r="AM2848" s="771"/>
      <c r="AN2848" s="771"/>
      <c r="AO2848" s="771"/>
      <c r="AP2848" s="771"/>
      <c r="AQ2848" s="771"/>
      <c r="AR2848" s="771"/>
      <c r="AS2848" s="771"/>
      <c r="AT2848" s="771"/>
      <c r="AU2848" s="771"/>
    </row>
    <row r="2849" spans="1:47" s="1423" customFormat="1" outlineLevel="1" x14ac:dyDescent="0.2">
      <c r="A2849" s="8"/>
      <c r="B2849" s="8"/>
      <c r="C2849" s="1989" t="s">
        <v>315</v>
      </c>
      <c r="D2849" s="1989" t="s">
        <v>2661</v>
      </c>
      <c r="E2849" s="1989">
        <v>0.44</v>
      </c>
      <c r="F2849" s="38">
        <f t="shared" si="44"/>
        <v>35.781345600000002</v>
      </c>
      <c r="G2849" s="1547"/>
      <c r="H2849" s="8"/>
      <c r="I2849" s="8"/>
      <c r="J2849" s="8"/>
      <c r="K2849" s="8"/>
      <c r="L2849" s="8"/>
      <c r="M2849" s="8"/>
      <c r="N2849" s="8"/>
      <c r="O2849" s="8"/>
      <c r="P2849" s="8"/>
      <c r="Q2849" s="8"/>
      <c r="R2849" s="8"/>
      <c r="S2849" s="8"/>
      <c r="T2849" s="8"/>
      <c r="U2849" s="8"/>
      <c r="V2849" s="8"/>
      <c r="W2849" s="8"/>
      <c r="X2849" s="771"/>
      <c r="Y2849" s="771"/>
      <c r="Z2849" s="771"/>
      <c r="AA2849" s="771"/>
      <c r="AB2849" s="771"/>
      <c r="AC2849" s="771"/>
      <c r="AD2849" s="771"/>
      <c r="AE2849" s="771"/>
      <c r="AF2849" s="771"/>
      <c r="AG2849" s="771"/>
      <c r="AH2849" s="771"/>
      <c r="AI2849" s="771"/>
      <c r="AJ2849" s="771"/>
      <c r="AK2849" s="771"/>
      <c r="AL2849" s="771"/>
      <c r="AM2849" s="771"/>
      <c r="AN2849" s="771"/>
      <c r="AO2849" s="771"/>
      <c r="AP2849" s="771"/>
      <c r="AQ2849" s="771"/>
      <c r="AR2849" s="771"/>
      <c r="AS2849" s="771"/>
      <c r="AT2849" s="771"/>
      <c r="AU2849" s="771"/>
    </row>
    <row r="2850" spans="1:47" s="1423" customFormat="1" outlineLevel="1" x14ac:dyDescent="0.2">
      <c r="A2850" s="8"/>
      <c r="B2850" s="8"/>
      <c r="C2850" s="1989" t="s">
        <v>2638</v>
      </c>
      <c r="D2850" s="1989" t="s">
        <v>6335</v>
      </c>
      <c r="E2850" s="1989">
        <v>7.76</v>
      </c>
      <c r="F2850" s="38">
        <f t="shared" si="44"/>
        <v>631.05282239999997</v>
      </c>
      <c r="G2850" s="1547"/>
      <c r="H2850" s="8"/>
      <c r="I2850" s="8"/>
      <c r="J2850" s="8"/>
      <c r="K2850" s="8"/>
      <c r="L2850" s="8"/>
      <c r="M2850" s="8"/>
      <c r="N2850" s="8"/>
      <c r="O2850" s="8"/>
      <c r="P2850" s="8"/>
      <c r="Q2850" s="8"/>
      <c r="R2850" s="8"/>
      <c r="S2850" s="8"/>
      <c r="T2850" s="8"/>
      <c r="U2850" s="8"/>
      <c r="V2850" s="8"/>
      <c r="W2850" s="8"/>
      <c r="X2850" s="771"/>
      <c r="Y2850" s="771"/>
      <c r="Z2850" s="771"/>
      <c r="AA2850" s="771"/>
      <c r="AB2850" s="771"/>
      <c r="AC2850" s="771"/>
      <c r="AD2850" s="771"/>
      <c r="AE2850" s="771"/>
      <c r="AF2850" s="771"/>
      <c r="AG2850" s="771"/>
      <c r="AH2850" s="771"/>
      <c r="AI2850" s="771"/>
      <c r="AJ2850" s="771"/>
      <c r="AK2850" s="771"/>
      <c r="AL2850" s="771"/>
      <c r="AM2850" s="771"/>
      <c r="AN2850" s="771"/>
      <c r="AO2850" s="771"/>
      <c r="AP2850" s="771"/>
      <c r="AQ2850" s="771"/>
      <c r="AR2850" s="771"/>
      <c r="AS2850" s="771"/>
      <c r="AT2850" s="771"/>
      <c r="AU2850" s="771"/>
    </row>
    <row r="2851" spans="1:47" s="1423" customFormat="1" outlineLevel="1" x14ac:dyDescent="0.2">
      <c r="A2851" s="8"/>
      <c r="B2851" s="8"/>
      <c r="C2851" s="1989" t="s">
        <v>2610</v>
      </c>
      <c r="D2851" s="1989" t="s">
        <v>2611</v>
      </c>
      <c r="E2851" s="1989">
        <v>0.4</v>
      </c>
      <c r="F2851" s="38">
        <f t="shared" si="44"/>
        <v>32.528496000000004</v>
      </c>
      <c r="G2851" s="1547"/>
      <c r="H2851" s="8"/>
      <c r="I2851" s="8"/>
      <c r="J2851" s="8"/>
      <c r="K2851" s="8"/>
      <c r="L2851" s="8"/>
      <c r="M2851" s="8"/>
      <c r="N2851" s="8"/>
      <c r="O2851" s="8"/>
      <c r="P2851" s="8"/>
      <c r="Q2851" s="8"/>
      <c r="R2851" s="8"/>
      <c r="S2851" s="8"/>
      <c r="T2851" s="8"/>
      <c r="U2851" s="8"/>
      <c r="V2851" s="8"/>
      <c r="W2851" s="8"/>
      <c r="X2851" s="771"/>
      <c r="Y2851" s="771"/>
      <c r="Z2851" s="771"/>
      <c r="AA2851" s="771"/>
      <c r="AB2851" s="771"/>
      <c r="AC2851" s="771"/>
      <c r="AD2851" s="771"/>
      <c r="AE2851" s="771"/>
      <c r="AF2851" s="771"/>
      <c r="AG2851" s="771"/>
      <c r="AH2851" s="771"/>
      <c r="AI2851" s="771"/>
      <c r="AJ2851" s="771"/>
      <c r="AK2851" s="771"/>
      <c r="AL2851" s="771"/>
      <c r="AM2851" s="771"/>
      <c r="AN2851" s="771"/>
      <c r="AO2851" s="771"/>
      <c r="AP2851" s="771"/>
      <c r="AQ2851" s="771"/>
      <c r="AR2851" s="771"/>
      <c r="AS2851" s="771"/>
      <c r="AT2851" s="771"/>
      <c r="AU2851" s="771"/>
    </row>
    <row r="2852" spans="1:47" s="1423" customFormat="1" outlineLevel="1" x14ac:dyDescent="0.2">
      <c r="A2852" s="8"/>
      <c r="B2852" s="8"/>
      <c r="C2852" s="1989" t="s">
        <v>2612</v>
      </c>
      <c r="D2852" s="1989" t="s">
        <v>8185</v>
      </c>
      <c r="E2852" s="1989">
        <v>7.61</v>
      </c>
      <c r="F2852" s="38">
        <f t="shared" si="44"/>
        <v>618.8546364</v>
      </c>
      <c r="G2852" s="1547"/>
      <c r="H2852" s="8"/>
      <c r="I2852" s="8"/>
      <c r="J2852" s="8"/>
      <c r="K2852" s="8"/>
      <c r="L2852" s="8"/>
      <c r="M2852" s="8"/>
      <c r="N2852" s="8"/>
      <c r="O2852" s="8"/>
      <c r="P2852" s="8"/>
      <c r="Q2852" s="8"/>
      <c r="R2852" s="8"/>
      <c r="S2852" s="8"/>
      <c r="T2852" s="8"/>
      <c r="U2852" s="8"/>
      <c r="V2852" s="8"/>
      <c r="W2852" s="8"/>
      <c r="X2852" s="771"/>
      <c r="Y2852" s="771"/>
      <c r="Z2852" s="771"/>
      <c r="AA2852" s="771"/>
      <c r="AB2852" s="771"/>
      <c r="AC2852" s="771"/>
      <c r="AD2852" s="771"/>
      <c r="AE2852" s="771"/>
      <c r="AF2852" s="771"/>
      <c r="AG2852" s="771"/>
      <c r="AH2852" s="771"/>
      <c r="AI2852" s="771"/>
      <c r="AJ2852" s="771"/>
      <c r="AK2852" s="771"/>
      <c r="AL2852" s="771"/>
      <c r="AM2852" s="771"/>
      <c r="AN2852" s="771"/>
      <c r="AO2852" s="771"/>
      <c r="AP2852" s="771"/>
      <c r="AQ2852" s="771"/>
      <c r="AR2852" s="771"/>
      <c r="AS2852" s="771"/>
      <c r="AT2852" s="771"/>
      <c r="AU2852" s="771"/>
    </row>
    <row r="2853" spans="1:47" s="1423" customFormat="1" outlineLevel="1" x14ac:dyDescent="0.2">
      <c r="A2853" s="8"/>
      <c r="B2853" s="8"/>
      <c r="C2853" s="1989" t="s">
        <v>2214</v>
      </c>
      <c r="D2853" s="1989" t="s">
        <v>6336</v>
      </c>
      <c r="E2853" s="1989">
        <v>0.26</v>
      </c>
      <c r="F2853" s="38">
        <f t="shared" si="44"/>
        <v>21.143522400000002</v>
      </c>
      <c r="G2853" s="1547"/>
      <c r="H2853" s="8"/>
      <c r="I2853" s="8"/>
      <c r="J2853" s="8"/>
      <c r="K2853" s="8"/>
      <c r="L2853" s="8"/>
      <c r="M2853" s="8"/>
      <c r="N2853" s="8"/>
      <c r="O2853" s="8"/>
      <c r="P2853" s="8"/>
      <c r="Q2853" s="8"/>
      <c r="R2853" s="8"/>
      <c r="S2853" s="8"/>
      <c r="T2853" s="8"/>
      <c r="U2853" s="8"/>
      <c r="V2853" s="8"/>
      <c r="W2853" s="8"/>
      <c r="X2853" s="771"/>
      <c r="Y2853" s="771"/>
      <c r="Z2853" s="771"/>
      <c r="AA2853" s="771"/>
      <c r="AB2853" s="771"/>
      <c r="AC2853" s="771"/>
      <c r="AD2853" s="771"/>
      <c r="AE2853" s="771"/>
      <c r="AF2853" s="771"/>
      <c r="AG2853" s="771"/>
      <c r="AH2853" s="771"/>
      <c r="AI2853" s="771"/>
      <c r="AJ2853" s="771"/>
      <c r="AK2853" s="771"/>
      <c r="AL2853" s="771"/>
      <c r="AM2853" s="771"/>
      <c r="AN2853" s="771"/>
      <c r="AO2853" s="771"/>
      <c r="AP2853" s="771"/>
      <c r="AQ2853" s="771"/>
      <c r="AR2853" s="771"/>
      <c r="AS2853" s="771"/>
      <c r="AT2853" s="771"/>
      <c r="AU2853" s="771"/>
    </row>
    <row r="2854" spans="1:47" s="1423" customFormat="1" outlineLevel="1" x14ac:dyDescent="0.2">
      <c r="A2854" s="8"/>
      <c r="B2854" s="8"/>
      <c r="C2854" s="1989" t="s">
        <v>3350</v>
      </c>
      <c r="D2854" s="1989" t="s">
        <v>8186</v>
      </c>
      <c r="E2854" s="1989">
        <v>0.46</v>
      </c>
      <c r="F2854" s="38">
        <f t="shared" si="44"/>
        <v>37.407770400000004</v>
      </c>
      <c r="G2854" s="1547"/>
      <c r="H2854" s="8"/>
      <c r="I2854" s="8"/>
      <c r="J2854" s="8"/>
      <c r="K2854" s="8"/>
      <c r="L2854" s="8"/>
      <c r="M2854" s="8"/>
      <c r="N2854" s="8"/>
      <c r="O2854" s="8"/>
      <c r="P2854" s="8"/>
      <c r="Q2854" s="8"/>
      <c r="R2854" s="8"/>
      <c r="S2854" s="8"/>
      <c r="T2854" s="8"/>
      <c r="U2854" s="8"/>
      <c r="V2854" s="8"/>
      <c r="W2854" s="8"/>
      <c r="X2854" s="771"/>
      <c r="Y2854" s="771"/>
      <c r="Z2854" s="771"/>
      <c r="AA2854" s="771"/>
      <c r="AB2854" s="771"/>
      <c r="AC2854" s="771"/>
      <c r="AD2854" s="771"/>
      <c r="AE2854" s="771"/>
      <c r="AF2854" s="771"/>
      <c r="AG2854" s="771"/>
      <c r="AH2854" s="771"/>
      <c r="AI2854" s="771"/>
      <c r="AJ2854" s="771"/>
      <c r="AK2854" s="771"/>
      <c r="AL2854" s="771"/>
      <c r="AM2854" s="771"/>
      <c r="AN2854" s="771"/>
      <c r="AO2854" s="771"/>
      <c r="AP2854" s="771"/>
      <c r="AQ2854" s="771"/>
      <c r="AR2854" s="771"/>
      <c r="AS2854" s="771"/>
      <c r="AT2854" s="771"/>
      <c r="AU2854" s="771"/>
    </row>
    <row r="2855" spans="1:47" s="1423" customFormat="1" outlineLevel="1" x14ac:dyDescent="0.2">
      <c r="A2855" s="8"/>
      <c r="B2855" s="8"/>
      <c r="C2855" s="1989" t="s">
        <v>6842</v>
      </c>
      <c r="D2855" s="1989" t="s">
        <v>6337</v>
      </c>
      <c r="E2855" s="1989">
        <v>1.6</v>
      </c>
      <c r="F2855" s="38">
        <f t="shared" si="44"/>
        <v>130.11398400000002</v>
      </c>
      <c r="G2855" s="1547"/>
      <c r="H2855" s="8"/>
      <c r="I2855" s="8"/>
      <c r="J2855" s="8"/>
      <c r="K2855" s="8"/>
      <c r="L2855" s="8"/>
      <c r="M2855" s="8"/>
      <c r="N2855" s="8"/>
      <c r="O2855" s="8"/>
      <c r="P2855" s="8"/>
      <c r="Q2855" s="8"/>
      <c r="R2855" s="8"/>
      <c r="S2855" s="8"/>
      <c r="T2855" s="8"/>
      <c r="U2855" s="8"/>
      <c r="V2855" s="8"/>
      <c r="W2855" s="8"/>
      <c r="X2855" s="771"/>
      <c r="Y2855" s="771"/>
      <c r="Z2855" s="771"/>
      <c r="AA2855" s="771"/>
      <c r="AB2855" s="771"/>
      <c r="AC2855" s="771"/>
      <c r="AD2855" s="771"/>
      <c r="AE2855" s="771"/>
      <c r="AF2855" s="771"/>
      <c r="AG2855" s="771"/>
      <c r="AH2855" s="771"/>
      <c r="AI2855" s="771"/>
      <c r="AJ2855" s="771"/>
      <c r="AK2855" s="771"/>
      <c r="AL2855" s="771"/>
      <c r="AM2855" s="771"/>
      <c r="AN2855" s="771"/>
      <c r="AO2855" s="771"/>
      <c r="AP2855" s="771"/>
      <c r="AQ2855" s="771"/>
      <c r="AR2855" s="771"/>
      <c r="AS2855" s="771"/>
      <c r="AT2855" s="771"/>
      <c r="AU2855" s="771"/>
    </row>
    <row r="2856" spans="1:47" s="1423" customFormat="1" outlineLevel="1" x14ac:dyDescent="0.2">
      <c r="A2856" s="8"/>
      <c r="B2856" s="8"/>
      <c r="C2856" s="1989" t="s">
        <v>3352</v>
      </c>
      <c r="D2856" s="1989" t="s">
        <v>6338</v>
      </c>
      <c r="E2856" s="1989">
        <v>2.23</v>
      </c>
      <c r="F2856" s="38">
        <f t="shared" si="44"/>
        <v>181.34636519999998</v>
      </c>
      <c r="G2856" s="1547"/>
      <c r="H2856" s="8"/>
      <c r="I2856" s="8"/>
      <c r="J2856" s="8"/>
      <c r="K2856" s="8"/>
      <c r="L2856" s="8"/>
      <c r="M2856" s="8"/>
      <c r="N2856" s="8"/>
      <c r="O2856" s="8"/>
      <c r="P2856" s="8"/>
      <c r="Q2856" s="8"/>
      <c r="R2856" s="8"/>
      <c r="S2856" s="8"/>
      <c r="T2856" s="8"/>
      <c r="U2856" s="8"/>
      <c r="V2856" s="8"/>
      <c r="W2856" s="8"/>
      <c r="X2856" s="771"/>
      <c r="Y2856" s="771"/>
      <c r="Z2856" s="771"/>
      <c r="AA2856" s="771"/>
      <c r="AB2856" s="771"/>
      <c r="AC2856" s="771"/>
      <c r="AD2856" s="771"/>
      <c r="AE2856" s="771"/>
      <c r="AF2856" s="771"/>
      <c r="AG2856" s="771"/>
      <c r="AH2856" s="771"/>
      <c r="AI2856" s="771"/>
      <c r="AJ2856" s="771"/>
      <c r="AK2856" s="771"/>
      <c r="AL2856" s="771"/>
      <c r="AM2856" s="771"/>
      <c r="AN2856" s="771"/>
      <c r="AO2856" s="771"/>
      <c r="AP2856" s="771"/>
      <c r="AQ2856" s="771"/>
      <c r="AR2856" s="771"/>
      <c r="AS2856" s="771"/>
      <c r="AT2856" s="771"/>
      <c r="AU2856" s="771"/>
    </row>
    <row r="2857" spans="1:47" s="1423" customFormat="1" outlineLevel="1" x14ac:dyDescent="0.2">
      <c r="A2857" s="8"/>
      <c r="B2857" s="8"/>
      <c r="C2857" s="1989" t="s">
        <v>3354</v>
      </c>
      <c r="D2857" s="1989" t="s">
        <v>8187</v>
      </c>
      <c r="E2857" s="1989">
        <v>7.3</v>
      </c>
      <c r="F2857" s="38">
        <f t="shared" si="44"/>
        <v>593.64505200000008</v>
      </c>
      <c r="G2857" s="1547"/>
      <c r="H2857" s="8"/>
      <c r="I2857" s="8"/>
      <c r="J2857" s="8"/>
      <c r="K2857" s="8"/>
      <c r="L2857" s="8"/>
      <c r="M2857" s="8"/>
      <c r="N2857" s="8"/>
      <c r="O2857" s="8"/>
      <c r="P2857" s="8"/>
      <c r="Q2857" s="8"/>
      <c r="R2857" s="8"/>
      <c r="S2857" s="8"/>
      <c r="T2857" s="8"/>
      <c r="U2857" s="8"/>
      <c r="V2857" s="8"/>
      <c r="W2857" s="8"/>
      <c r="X2857" s="771"/>
      <c r="Y2857" s="771"/>
      <c r="Z2857" s="771"/>
      <c r="AA2857" s="771"/>
      <c r="AB2857" s="771"/>
      <c r="AC2857" s="771"/>
      <c r="AD2857" s="771"/>
      <c r="AE2857" s="771"/>
      <c r="AF2857" s="771"/>
      <c r="AG2857" s="771"/>
      <c r="AH2857" s="771"/>
      <c r="AI2857" s="771"/>
      <c r="AJ2857" s="771"/>
      <c r="AK2857" s="771"/>
      <c r="AL2857" s="771"/>
      <c r="AM2857" s="771"/>
      <c r="AN2857" s="771"/>
      <c r="AO2857" s="771"/>
      <c r="AP2857" s="771"/>
      <c r="AQ2857" s="771"/>
      <c r="AR2857" s="771"/>
      <c r="AS2857" s="771"/>
      <c r="AT2857" s="771"/>
      <c r="AU2857" s="771"/>
    </row>
    <row r="2858" spans="1:47" s="1423" customFormat="1" outlineLevel="1" x14ac:dyDescent="0.2">
      <c r="A2858" s="8"/>
      <c r="B2858" s="8"/>
      <c r="C2858" s="1989" t="s">
        <v>262</v>
      </c>
      <c r="D2858" s="1989" t="s">
        <v>6339</v>
      </c>
      <c r="E2858" s="1989">
        <v>0.57999999999999996</v>
      </c>
      <c r="F2858" s="38">
        <f t="shared" si="44"/>
        <v>47.166319199999997</v>
      </c>
      <c r="G2858" s="1547"/>
      <c r="H2858" s="8"/>
      <c r="I2858" s="8"/>
      <c r="J2858" s="8"/>
      <c r="K2858" s="8"/>
      <c r="L2858" s="8"/>
      <c r="M2858" s="8"/>
      <c r="N2858" s="8"/>
      <c r="O2858" s="8"/>
      <c r="P2858" s="8"/>
      <c r="Q2858" s="8"/>
      <c r="R2858" s="8"/>
      <c r="S2858" s="8"/>
      <c r="T2858" s="8"/>
      <c r="U2858" s="8"/>
      <c r="V2858" s="8"/>
      <c r="W2858" s="8"/>
      <c r="X2858" s="771"/>
      <c r="Y2858" s="771"/>
      <c r="Z2858" s="771"/>
      <c r="AA2858" s="771"/>
      <c r="AB2858" s="771"/>
      <c r="AC2858" s="771"/>
      <c r="AD2858" s="771"/>
      <c r="AE2858" s="771"/>
      <c r="AF2858" s="771"/>
      <c r="AG2858" s="771"/>
      <c r="AH2858" s="771"/>
      <c r="AI2858" s="771"/>
      <c r="AJ2858" s="771"/>
      <c r="AK2858" s="771"/>
      <c r="AL2858" s="771"/>
      <c r="AM2858" s="771"/>
      <c r="AN2858" s="771"/>
      <c r="AO2858" s="771"/>
      <c r="AP2858" s="771"/>
      <c r="AQ2858" s="771"/>
      <c r="AR2858" s="771"/>
      <c r="AS2858" s="771"/>
      <c r="AT2858" s="771"/>
      <c r="AU2858" s="771"/>
    </row>
    <row r="2859" spans="1:47" s="1423" customFormat="1" outlineLevel="1" x14ac:dyDescent="0.2">
      <c r="A2859" s="8"/>
      <c r="B2859" s="8"/>
      <c r="C2859" s="1989" t="s">
        <v>8188</v>
      </c>
      <c r="D2859" s="1989" t="s">
        <v>8189</v>
      </c>
      <c r="E2859" s="1989">
        <v>1.33</v>
      </c>
      <c r="F2859" s="38">
        <f t="shared" si="44"/>
        <v>108.15724920000001</v>
      </c>
      <c r="G2859" s="1547"/>
      <c r="H2859" s="8"/>
      <c r="I2859" s="8"/>
      <c r="J2859" s="8"/>
      <c r="K2859" s="8"/>
      <c r="L2859" s="8"/>
      <c r="M2859" s="8"/>
      <c r="N2859" s="8"/>
      <c r="O2859" s="8"/>
      <c r="P2859" s="8"/>
      <c r="Q2859" s="8"/>
      <c r="R2859" s="8"/>
      <c r="S2859" s="8"/>
      <c r="T2859" s="8"/>
      <c r="U2859" s="8"/>
      <c r="V2859" s="8"/>
      <c r="W2859" s="8"/>
      <c r="X2859" s="771"/>
      <c r="Y2859" s="771"/>
      <c r="Z2859" s="771"/>
      <c r="AA2859" s="771"/>
      <c r="AB2859" s="771"/>
      <c r="AC2859" s="771"/>
      <c r="AD2859" s="771"/>
      <c r="AE2859" s="771"/>
      <c r="AF2859" s="771"/>
      <c r="AG2859" s="771"/>
      <c r="AH2859" s="771"/>
      <c r="AI2859" s="771"/>
      <c r="AJ2859" s="771"/>
      <c r="AK2859" s="771"/>
      <c r="AL2859" s="771"/>
      <c r="AM2859" s="771"/>
      <c r="AN2859" s="771"/>
      <c r="AO2859" s="771"/>
      <c r="AP2859" s="771"/>
      <c r="AQ2859" s="771"/>
      <c r="AR2859" s="771"/>
      <c r="AS2859" s="771"/>
      <c r="AT2859" s="771"/>
      <c r="AU2859" s="771"/>
    </row>
    <row r="2860" spans="1:47" s="1423" customFormat="1" outlineLevel="1" x14ac:dyDescent="0.2">
      <c r="A2860" s="8"/>
      <c r="B2860" s="8"/>
      <c r="C2860" s="1989" t="s">
        <v>2613</v>
      </c>
      <c r="D2860" s="1989" t="s">
        <v>8190</v>
      </c>
      <c r="E2860" s="1989">
        <v>13.98</v>
      </c>
      <c r="F2860" s="38">
        <f t="shared" si="44"/>
        <v>1136.8709352000001</v>
      </c>
      <c r="G2860" s="1547"/>
      <c r="H2860" s="8"/>
      <c r="I2860" s="8"/>
      <c r="J2860" s="8"/>
      <c r="K2860" s="8"/>
      <c r="L2860" s="8"/>
      <c r="M2860" s="8"/>
      <c r="N2860" s="8"/>
      <c r="O2860" s="8"/>
      <c r="P2860" s="8"/>
      <c r="Q2860" s="8"/>
      <c r="R2860" s="8"/>
      <c r="S2860" s="8"/>
      <c r="T2860" s="8"/>
      <c r="U2860" s="8"/>
      <c r="V2860" s="8"/>
      <c r="W2860" s="8"/>
      <c r="X2860" s="771"/>
      <c r="Y2860" s="771"/>
      <c r="Z2860" s="771"/>
      <c r="AA2860" s="771"/>
      <c r="AB2860" s="771"/>
      <c r="AC2860" s="771"/>
      <c r="AD2860" s="771"/>
      <c r="AE2860" s="771"/>
      <c r="AF2860" s="771"/>
      <c r="AG2860" s="771"/>
      <c r="AH2860" s="771"/>
      <c r="AI2860" s="771"/>
      <c r="AJ2860" s="771"/>
      <c r="AK2860" s="771"/>
      <c r="AL2860" s="771"/>
      <c r="AM2860" s="771"/>
      <c r="AN2860" s="771"/>
      <c r="AO2860" s="771"/>
      <c r="AP2860" s="771"/>
      <c r="AQ2860" s="771"/>
      <c r="AR2860" s="771"/>
      <c r="AS2860" s="771"/>
      <c r="AT2860" s="771"/>
      <c r="AU2860" s="771"/>
    </row>
    <row r="2861" spans="1:47" s="1423" customFormat="1" outlineLevel="1" x14ac:dyDescent="0.2">
      <c r="A2861" s="8"/>
      <c r="B2861" s="8"/>
      <c r="C2861" s="1989" t="s">
        <v>1435</v>
      </c>
      <c r="D2861" s="1989" t="s">
        <v>6340</v>
      </c>
      <c r="E2861" s="1989">
        <v>1.22</v>
      </c>
      <c r="F2861" s="38">
        <f t="shared" si="44"/>
        <v>99.211912800000007</v>
      </c>
      <c r="G2861" s="1547"/>
      <c r="H2861" s="8"/>
      <c r="I2861" s="8"/>
      <c r="J2861" s="8"/>
      <c r="K2861" s="8"/>
      <c r="L2861" s="8"/>
      <c r="M2861" s="8"/>
      <c r="N2861" s="8"/>
      <c r="O2861" s="8"/>
      <c r="P2861" s="8"/>
      <c r="Q2861" s="8"/>
      <c r="R2861" s="8"/>
      <c r="S2861" s="8"/>
      <c r="T2861" s="8"/>
      <c r="U2861" s="8"/>
      <c r="V2861" s="8"/>
      <c r="W2861" s="8"/>
      <c r="X2861" s="771"/>
      <c r="Y2861" s="771"/>
      <c r="Z2861" s="771"/>
      <c r="AA2861" s="771"/>
      <c r="AB2861" s="771"/>
      <c r="AC2861" s="771"/>
      <c r="AD2861" s="771"/>
      <c r="AE2861" s="771"/>
      <c r="AF2861" s="771"/>
      <c r="AG2861" s="771"/>
      <c r="AH2861" s="771"/>
      <c r="AI2861" s="771"/>
      <c r="AJ2861" s="771"/>
      <c r="AK2861" s="771"/>
      <c r="AL2861" s="771"/>
      <c r="AM2861" s="771"/>
      <c r="AN2861" s="771"/>
      <c r="AO2861" s="771"/>
      <c r="AP2861" s="771"/>
      <c r="AQ2861" s="771"/>
      <c r="AR2861" s="771"/>
      <c r="AS2861" s="771"/>
      <c r="AT2861" s="771"/>
      <c r="AU2861" s="771"/>
    </row>
    <row r="2862" spans="1:47" s="1423" customFormat="1" outlineLevel="1" x14ac:dyDescent="0.2">
      <c r="A2862" s="8"/>
      <c r="B2862" s="8"/>
      <c r="C2862" s="1989" t="s">
        <v>2614</v>
      </c>
      <c r="D2862" s="1989" t="s">
        <v>6341</v>
      </c>
      <c r="E2862" s="1989">
        <v>8.56</v>
      </c>
      <c r="F2862" s="38">
        <f t="shared" si="44"/>
        <v>696.10981440000012</v>
      </c>
      <c r="G2862" s="1547"/>
      <c r="H2862" s="8"/>
      <c r="I2862" s="8"/>
      <c r="J2862" s="8"/>
      <c r="K2862" s="8"/>
      <c r="L2862" s="8"/>
      <c r="M2862" s="8"/>
      <c r="N2862" s="8"/>
      <c r="O2862" s="8"/>
      <c r="P2862" s="8"/>
      <c r="Q2862" s="8"/>
      <c r="R2862" s="8"/>
      <c r="S2862" s="8"/>
      <c r="T2862" s="8"/>
      <c r="U2862" s="8"/>
      <c r="V2862" s="8"/>
      <c r="W2862" s="8"/>
      <c r="X2862" s="771"/>
      <c r="Y2862" s="771"/>
      <c r="Z2862" s="771"/>
      <c r="AA2862" s="771"/>
      <c r="AB2862" s="771"/>
      <c r="AC2862" s="771"/>
      <c r="AD2862" s="771"/>
      <c r="AE2862" s="771"/>
      <c r="AF2862" s="771"/>
      <c r="AG2862" s="771"/>
      <c r="AH2862" s="771"/>
      <c r="AI2862" s="771"/>
      <c r="AJ2862" s="771"/>
      <c r="AK2862" s="771"/>
      <c r="AL2862" s="771"/>
      <c r="AM2862" s="771"/>
      <c r="AN2862" s="771"/>
      <c r="AO2862" s="771"/>
      <c r="AP2862" s="771"/>
      <c r="AQ2862" s="771"/>
      <c r="AR2862" s="771"/>
      <c r="AS2862" s="771"/>
      <c r="AT2862" s="771"/>
      <c r="AU2862" s="771"/>
    </row>
    <row r="2863" spans="1:47" s="1423" customFormat="1" outlineLevel="1" x14ac:dyDescent="0.2">
      <c r="A2863" s="8"/>
      <c r="B2863" s="8"/>
      <c r="C2863" s="1989" t="s">
        <v>3356</v>
      </c>
      <c r="D2863" s="1989" t="s">
        <v>8191</v>
      </c>
      <c r="E2863" s="1989">
        <v>0.55000000000000004</v>
      </c>
      <c r="F2863" s="38">
        <f t="shared" si="44"/>
        <v>44.726682000000004</v>
      </c>
      <c r="G2863" s="1547"/>
      <c r="H2863" s="8"/>
      <c r="I2863" s="8"/>
      <c r="J2863" s="8"/>
      <c r="K2863" s="8"/>
      <c r="L2863" s="8"/>
      <c r="M2863" s="8"/>
      <c r="N2863" s="8"/>
      <c r="O2863" s="8"/>
      <c r="P2863" s="8"/>
      <c r="Q2863" s="8"/>
      <c r="R2863" s="8"/>
      <c r="S2863" s="8"/>
      <c r="T2863" s="8"/>
      <c r="U2863" s="8"/>
      <c r="V2863" s="8"/>
      <c r="W2863" s="8"/>
      <c r="X2863" s="771"/>
      <c r="Y2863" s="771"/>
      <c r="Z2863" s="771"/>
      <c r="AA2863" s="771"/>
      <c r="AB2863" s="771"/>
      <c r="AC2863" s="771"/>
      <c r="AD2863" s="771"/>
      <c r="AE2863" s="771"/>
      <c r="AF2863" s="771"/>
      <c r="AG2863" s="771"/>
      <c r="AH2863" s="771"/>
      <c r="AI2863" s="771"/>
      <c r="AJ2863" s="771"/>
      <c r="AK2863" s="771"/>
      <c r="AL2863" s="771"/>
      <c r="AM2863" s="771"/>
      <c r="AN2863" s="771"/>
      <c r="AO2863" s="771"/>
      <c r="AP2863" s="771"/>
      <c r="AQ2863" s="771"/>
      <c r="AR2863" s="771"/>
      <c r="AS2863" s="771"/>
      <c r="AT2863" s="771"/>
      <c r="AU2863" s="771"/>
    </row>
    <row r="2864" spans="1:47" s="1423" customFormat="1" outlineLevel="1" x14ac:dyDescent="0.2">
      <c r="A2864" s="8"/>
      <c r="B2864" s="8"/>
      <c r="C2864" s="1989" t="s">
        <v>8192</v>
      </c>
      <c r="D2864" s="1989" t="s">
        <v>8193</v>
      </c>
      <c r="E2864" s="1989">
        <v>1.6</v>
      </c>
      <c r="F2864" s="38">
        <f t="shared" si="44"/>
        <v>130.11398400000002</v>
      </c>
      <c r="G2864" s="1547"/>
      <c r="H2864" s="8"/>
      <c r="I2864" s="8"/>
      <c r="J2864" s="8"/>
      <c r="K2864" s="8"/>
      <c r="L2864" s="8"/>
      <c r="M2864" s="8"/>
      <c r="N2864" s="8"/>
      <c r="O2864" s="8"/>
      <c r="P2864" s="8"/>
      <c r="Q2864" s="8"/>
      <c r="R2864" s="8"/>
      <c r="S2864" s="8"/>
      <c r="T2864" s="8"/>
      <c r="U2864" s="8"/>
      <c r="V2864" s="8"/>
      <c r="W2864" s="8"/>
      <c r="X2864" s="771"/>
      <c r="Y2864" s="771"/>
      <c r="Z2864" s="771"/>
      <c r="AA2864" s="771"/>
      <c r="AB2864" s="771"/>
      <c r="AC2864" s="771"/>
      <c r="AD2864" s="771"/>
      <c r="AE2864" s="771"/>
      <c r="AF2864" s="771"/>
      <c r="AG2864" s="771"/>
      <c r="AH2864" s="771"/>
      <c r="AI2864" s="771"/>
      <c r="AJ2864" s="771"/>
      <c r="AK2864" s="771"/>
      <c r="AL2864" s="771"/>
      <c r="AM2864" s="771"/>
      <c r="AN2864" s="771"/>
      <c r="AO2864" s="771"/>
      <c r="AP2864" s="771"/>
      <c r="AQ2864" s="771"/>
      <c r="AR2864" s="771"/>
      <c r="AS2864" s="771"/>
      <c r="AT2864" s="771"/>
      <c r="AU2864" s="771"/>
    </row>
    <row r="2865" spans="1:47" s="1423" customFormat="1" outlineLevel="1" x14ac:dyDescent="0.2">
      <c r="A2865" s="8"/>
      <c r="B2865" s="8"/>
      <c r="C2865" s="1989" t="s">
        <v>2659</v>
      </c>
      <c r="D2865" s="1989" t="s">
        <v>8194</v>
      </c>
      <c r="E2865" s="1989">
        <v>13.22</v>
      </c>
      <c r="F2865" s="38">
        <f t="shared" si="44"/>
        <v>1075.0667928</v>
      </c>
      <c r="G2865" s="1547"/>
      <c r="H2865" s="8"/>
      <c r="I2865" s="8"/>
      <c r="J2865" s="8"/>
      <c r="K2865" s="8"/>
      <c r="L2865" s="8"/>
      <c r="M2865" s="8"/>
      <c r="N2865" s="8"/>
      <c r="O2865" s="8"/>
      <c r="P2865" s="8"/>
      <c r="Q2865" s="8"/>
      <c r="R2865" s="8"/>
      <c r="S2865" s="8"/>
      <c r="T2865" s="8"/>
      <c r="U2865" s="8"/>
      <c r="V2865" s="8"/>
      <c r="W2865" s="8"/>
      <c r="X2865" s="771"/>
      <c r="Y2865" s="771"/>
      <c r="Z2865" s="771"/>
      <c r="AA2865" s="771"/>
      <c r="AB2865" s="771"/>
      <c r="AC2865" s="771"/>
      <c r="AD2865" s="771"/>
      <c r="AE2865" s="771"/>
      <c r="AF2865" s="771"/>
      <c r="AG2865" s="771"/>
      <c r="AH2865" s="771"/>
      <c r="AI2865" s="771"/>
      <c r="AJ2865" s="771"/>
      <c r="AK2865" s="771"/>
      <c r="AL2865" s="771"/>
      <c r="AM2865" s="771"/>
      <c r="AN2865" s="771"/>
      <c r="AO2865" s="771"/>
      <c r="AP2865" s="771"/>
      <c r="AQ2865" s="771"/>
      <c r="AR2865" s="771"/>
      <c r="AS2865" s="771"/>
      <c r="AT2865" s="771"/>
      <c r="AU2865" s="771"/>
    </row>
    <row r="2866" spans="1:47" s="1423" customFormat="1" outlineLevel="1" x14ac:dyDescent="0.2">
      <c r="A2866" s="8"/>
      <c r="B2866" s="8"/>
      <c r="C2866" s="1989" t="s">
        <v>3553</v>
      </c>
      <c r="D2866" s="1989" t="s">
        <v>8195</v>
      </c>
      <c r="E2866" s="1989">
        <v>2.12</v>
      </c>
      <c r="F2866" s="38">
        <f t="shared" si="44"/>
        <v>172.40102880000001</v>
      </c>
      <c r="G2866" s="1547"/>
      <c r="H2866" s="8"/>
      <c r="I2866" s="8"/>
      <c r="J2866" s="8"/>
      <c r="K2866" s="8"/>
      <c r="L2866" s="8"/>
      <c r="M2866" s="8"/>
      <c r="N2866" s="8"/>
      <c r="O2866" s="8"/>
      <c r="P2866" s="8"/>
      <c r="Q2866" s="8"/>
      <c r="R2866" s="8"/>
      <c r="S2866" s="8"/>
      <c r="T2866" s="8"/>
      <c r="U2866" s="8"/>
      <c r="V2866" s="8"/>
      <c r="W2866" s="8"/>
      <c r="X2866" s="771"/>
      <c r="Y2866" s="771"/>
      <c r="Z2866" s="771"/>
      <c r="AA2866" s="771"/>
      <c r="AB2866" s="771"/>
      <c r="AC2866" s="771"/>
      <c r="AD2866" s="771"/>
      <c r="AE2866" s="771"/>
      <c r="AF2866" s="771"/>
      <c r="AG2866" s="771"/>
      <c r="AH2866" s="771"/>
      <c r="AI2866" s="771"/>
      <c r="AJ2866" s="771"/>
      <c r="AK2866" s="771"/>
      <c r="AL2866" s="771"/>
      <c r="AM2866" s="771"/>
      <c r="AN2866" s="771"/>
      <c r="AO2866" s="771"/>
      <c r="AP2866" s="771"/>
      <c r="AQ2866" s="771"/>
      <c r="AR2866" s="771"/>
      <c r="AS2866" s="771"/>
      <c r="AT2866" s="771"/>
      <c r="AU2866" s="771"/>
    </row>
    <row r="2867" spans="1:47" s="1423" customFormat="1" outlineLevel="1" x14ac:dyDescent="0.2">
      <c r="A2867" s="8"/>
      <c r="B2867" s="8"/>
      <c r="C2867" s="1989" t="s">
        <v>3554</v>
      </c>
      <c r="D2867" s="1989" t="s">
        <v>8196</v>
      </c>
      <c r="E2867" s="1989">
        <v>2.12</v>
      </c>
      <c r="F2867" s="38">
        <f t="shared" si="44"/>
        <v>172.40102880000001</v>
      </c>
      <c r="G2867" s="1547"/>
      <c r="H2867" s="8"/>
      <c r="I2867" s="8"/>
      <c r="J2867" s="8"/>
      <c r="K2867" s="8"/>
      <c r="L2867" s="8"/>
      <c r="M2867" s="8"/>
      <c r="N2867" s="8"/>
      <c r="O2867" s="8"/>
      <c r="P2867" s="8"/>
      <c r="Q2867" s="8"/>
      <c r="R2867" s="8"/>
      <c r="S2867" s="8"/>
      <c r="T2867" s="8"/>
      <c r="U2867" s="8"/>
      <c r="V2867" s="8"/>
      <c r="W2867" s="8"/>
      <c r="X2867" s="771"/>
      <c r="Y2867" s="771"/>
      <c r="Z2867" s="771"/>
      <c r="AA2867" s="771"/>
      <c r="AB2867" s="771"/>
      <c r="AC2867" s="771"/>
      <c r="AD2867" s="771"/>
      <c r="AE2867" s="771"/>
      <c r="AF2867" s="771"/>
      <c r="AG2867" s="771"/>
      <c r="AH2867" s="771"/>
      <c r="AI2867" s="771"/>
      <c r="AJ2867" s="771"/>
      <c r="AK2867" s="771"/>
      <c r="AL2867" s="771"/>
      <c r="AM2867" s="771"/>
      <c r="AN2867" s="771"/>
      <c r="AO2867" s="771"/>
      <c r="AP2867" s="771"/>
      <c r="AQ2867" s="771"/>
      <c r="AR2867" s="771"/>
      <c r="AS2867" s="771"/>
      <c r="AT2867" s="771"/>
      <c r="AU2867" s="771"/>
    </row>
    <row r="2868" spans="1:47" s="1423" customFormat="1" outlineLevel="1" x14ac:dyDescent="0.2">
      <c r="A2868" s="8"/>
      <c r="B2868" s="8"/>
      <c r="C2868" s="1989" t="s">
        <v>2615</v>
      </c>
      <c r="D2868" s="1989" t="s">
        <v>6342</v>
      </c>
      <c r="E2868" s="1989">
        <v>0.46</v>
      </c>
      <c r="F2868" s="38">
        <f t="shared" si="44"/>
        <v>37.407770400000004</v>
      </c>
      <c r="G2868" s="1547"/>
      <c r="H2868" s="8"/>
      <c r="I2868" s="8"/>
      <c r="J2868" s="8"/>
      <c r="K2868" s="8"/>
      <c r="L2868" s="8"/>
      <c r="M2868" s="8"/>
      <c r="N2868" s="8"/>
      <c r="O2868" s="8"/>
      <c r="P2868" s="8"/>
      <c r="Q2868" s="8"/>
      <c r="R2868" s="8"/>
      <c r="S2868" s="8"/>
      <c r="T2868" s="8"/>
      <c r="U2868" s="8"/>
      <c r="V2868" s="8"/>
      <c r="W2868" s="8"/>
      <c r="X2868" s="771"/>
      <c r="Y2868" s="771"/>
      <c r="Z2868" s="771"/>
      <c r="AA2868" s="771"/>
      <c r="AB2868" s="771"/>
      <c r="AC2868" s="771"/>
      <c r="AD2868" s="771"/>
      <c r="AE2868" s="771"/>
      <c r="AF2868" s="771"/>
      <c r="AG2868" s="771"/>
      <c r="AH2868" s="771"/>
      <c r="AI2868" s="771"/>
      <c r="AJ2868" s="771"/>
      <c r="AK2868" s="771"/>
      <c r="AL2868" s="771"/>
      <c r="AM2868" s="771"/>
      <c r="AN2868" s="771"/>
      <c r="AO2868" s="771"/>
      <c r="AP2868" s="771"/>
      <c r="AQ2868" s="771"/>
      <c r="AR2868" s="771"/>
      <c r="AS2868" s="771"/>
      <c r="AT2868" s="771"/>
      <c r="AU2868" s="771"/>
    </row>
    <row r="2869" spans="1:47" s="1423" customFormat="1" outlineLevel="1" x14ac:dyDescent="0.2">
      <c r="A2869" s="8"/>
      <c r="B2869" s="8"/>
      <c r="C2869" s="1989" t="s">
        <v>1417</v>
      </c>
      <c r="D2869" s="1989" t="s">
        <v>3109</v>
      </c>
      <c r="E2869" s="1989">
        <v>0.54</v>
      </c>
      <c r="F2869" s="38">
        <f t="shared" si="44"/>
        <v>43.913469600000006</v>
      </c>
      <c r="G2869" s="1547"/>
      <c r="H2869" s="8"/>
      <c r="I2869" s="8"/>
      <c r="J2869" s="8"/>
      <c r="K2869" s="8"/>
      <c r="L2869" s="8"/>
      <c r="M2869" s="8"/>
      <c r="N2869" s="8"/>
      <c r="O2869" s="8"/>
      <c r="P2869" s="8"/>
      <c r="Q2869" s="8"/>
      <c r="R2869" s="8"/>
      <c r="S2869" s="8"/>
      <c r="T2869" s="8"/>
      <c r="U2869" s="8"/>
      <c r="V2869" s="8"/>
      <c r="W2869" s="8"/>
      <c r="X2869" s="771"/>
      <c r="Y2869" s="771"/>
      <c r="Z2869" s="771"/>
      <c r="AA2869" s="771"/>
      <c r="AB2869" s="771"/>
      <c r="AC2869" s="771"/>
      <c r="AD2869" s="771"/>
      <c r="AE2869" s="771"/>
      <c r="AF2869" s="771"/>
      <c r="AG2869" s="771"/>
      <c r="AH2869" s="771"/>
      <c r="AI2869" s="771"/>
      <c r="AJ2869" s="771"/>
      <c r="AK2869" s="771"/>
      <c r="AL2869" s="771"/>
      <c r="AM2869" s="771"/>
      <c r="AN2869" s="771"/>
      <c r="AO2869" s="771"/>
      <c r="AP2869" s="771"/>
      <c r="AQ2869" s="771"/>
      <c r="AR2869" s="771"/>
      <c r="AS2869" s="771"/>
      <c r="AT2869" s="771"/>
      <c r="AU2869" s="771"/>
    </row>
    <row r="2870" spans="1:47" s="1423" customFormat="1" outlineLevel="1" x14ac:dyDescent="0.2">
      <c r="A2870" s="8"/>
      <c r="B2870" s="8"/>
      <c r="C2870" s="1989" t="s">
        <v>268</v>
      </c>
      <c r="D2870" s="1989" t="s">
        <v>6343</v>
      </c>
      <c r="E2870" s="1989">
        <v>1.07</v>
      </c>
      <c r="F2870" s="38">
        <f t="shared" si="44"/>
        <v>87.013726800000015</v>
      </c>
      <c r="G2870" s="1547"/>
      <c r="H2870" s="8"/>
      <c r="I2870" s="8"/>
      <c r="J2870" s="8"/>
      <c r="K2870" s="8"/>
      <c r="L2870" s="8"/>
      <c r="M2870" s="8"/>
      <c r="N2870" s="8"/>
      <c r="O2870" s="8"/>
      <c r="P2870" s="8"/>
      <c r="Q2870" s="8"/>
      <c r="R2870" s="8"/>
      <c r="S2870" s="8"/>
      <c r="T2870" s="8"/>
      <c r="U2870" s="8"/>
      <c r="V2870" s="8"/>
      <c r="W2870" s="8"/>
      <c r="X2870" s="771"/>
      <c r="Y2870" s="771"/>
      <c r="Z2870" s="771"/>
      <c r="AA2870" s="771"/>
      <c r="AB2870" s="771"/>
      <c r="AC2870" s="771"/>
      <c r="AD2870" s="771"/>
      <c r="AE2870" s="771"/>
      <c r="AF2870" s="771"/>
      <c r="AG2870" s="771"/>
      <c r="AH2870" s="771"/>
      <c r="AI2870" s="771"/>
      <c r="AJ2870" s="771"/>
      <c r="AK2870" s="771"/>
      <c r="AL2870" s="771"/>
      <c r="AM2870" s="771"/>
      <c r="AN2870" s="771"/>
      <c r="AO2870" s="771"/>
      <c r="AP2870" s="771"/>
      <c r="AQ2870" s="771"/>
      <c r="AR2870" s="771"/>
      <c r="AS2870" s="771"/>
      <c r="AT2870" s="771"/>
      <c r="AU2870" s="771"/>
    </row>
    <row r="2871" spans="1:47" s="1423" customFormat="1" outlineLevel="1" x14ac:dyDescent="0.2">
      <c r="A2871" s="8"/>
      <c r="B2871" s="8"/>
      <c r="C2871" s="1989" t="s">
        <v>2616</v>
      </c>
      <c r="D2871" s="1989" t="s">
        <v>2617</v>
      </c>
      <c r="E2871" s="1989">
        <v>5.59</v>
      </c>
      <c r="F2871" s="38">
        <f t="shared" si="44"/>
        <v>454.58573159999997</v>
      </c>
      <c r="G2871" s="1547"/>
      <c r="H2871" s="8"/>
      <c r="I2871" s="8"/>
      <c r="J2871" s="8"/>
      <c r="K2871" s="8"/>
      <c r="L2871" s="8"/>
      <c r="M2871" s="8"/>
      <c r="N2871" s="8"/>
      <c r="O2871" s="8"/>
      <c r="P2871" s="8"/>
      <c r="Q2871" s="8"/>
      <c r="R2871" s="8"/>
      <c r="S2871" s="8"/>
      <c r="T2871" s="8"/>
      <c r="U2871" s="8"/>
      <c r="V2871" s="8"/>
      <c r="W2871" s="8"/>
      <c r="X2871" s="771"/>
      <c r="Y2871" s="771"/>
      <c r="Z2871" s="771"/>
      <c r="AA2871" s="771"/>
      <c r="AB2871" s="771"/>
      <c r="AC2871" s="771"/>
      <c r="AD2871" s="771"/>
      <c r="AE2871" s="771"/>
      <c r="AF2871" s="771"/>
      <c r="AG2871" s="771"/>
      <c r="AH2871" s="771"/>
      <c r="AI2871" s="771"/>
      <c r="AJ2871" s="771"/>
      <c r="AK2871" s="771"/>
      <c r="AL2871" s="771"/>
      <c r="AM2871" s="771"/>
      <c r="AN2871" s="771"/>
      <c r="AO2871" s="771"/>
      <c r="AP2871" s="771"/>
      <c r="AQ2871" s="771"/>
      <c r="AR2871" s="771"/>
      <c r="AS2871" s="771"/>
      <c r="AT2871" s="771"/>
      <c r="AU2871" s="771"/>
    </row>
    <row r="2872" spans="1:47" s="1423" customFormat="1" outlineLevel="1" x14ac:dyDescent="0.2">
      <c r="A2872" s="8"/>
      <c r="B2872" s="8"/>
      <c r="C2872" s="1989" t="s">
        <v>8197</v>
      </c>
      <c r="D2872" s="1989" t="s">
        <v>8198</v>
      </c>
      <c r="E2872" s="1989">
        <v>1.5</v>
      </c>
      <c r="F2872" s="38">
        <f t="shared" si="44"/>
        <v>121.98186</v>
      </c>
      <c r="G2872" s="1547"/>
      <c r="H2872" s="8"/>
      <c r="I2872" s="8"/>
      <c r="J2872" s="8"/>
      <c r="K2872" s="8"/>
      <c r="L2872" s="8"/>
      <c r="M2872" s="8"/>
      <c r="N2872" s="8"/>
      <c r="O2872" s="8"/>
      <c r="P2872" s="8"/>
      <c r="Q2872" s="8"/>
      <c r="R2872" s="8"/>
      <c r="S2872" s="8"/>
      <c r="T2872" s="8"/>
      <c r="U2872" s="8"/>
      <c r="V2872" s="8"/>
      <c r="W2872" s="8"/>
      <c r="X2872" s="771"/>
      <c r="Y2872" s="771"/>
      <c r="Z2872" s="771"/>
      <c r="AA2872" s="771"/>
      <c r="AB2872" s="771"/>
      <c r="AC2872" s="771"/>
      <c r="AD2872" s="771"/>
      <c r="AE2872" s="771"/>
      <c r="AF2872" s="771"/>
      <c r="AG2872" s="771"/>
      <c r="AH2872" s="771"/>
      <c r="AI2872" s="771"/>
      <c r="AJ2872" s="771"/>
      <c r="AK2872" s="771"/>
      <c r="AL2872" s="771"/>
      <c r="AM2872" s="771"/>
      <c r="AN2872" s="771"/>
      <c r="AO2872" s="771"/>
      <c r="AP2872" s="771"/>
      <c r="AQ2872" s="771"/>
      <c r="AR2872" s="771"/>
      <c r="AS2872" s="771"/>
      <c r="AT2872" s="771"/>
      <c r="AU2872" s="771"/>
    </row>
    <row r="2873" spans="1:47" s="1423" customFormat="1" outlineLevel="1" x14ac:dyDescent="0.2">
      <c r="A2873" s="8"/>
      <c r="B2873" s="8"/>
      <c r="C2873" s="1989" t="s">
        <v>3357</v>
      </c>
      <c r="D2873" s="1989" t="s">
        <v>6344</v>
      </c>
      <c r="E2873" s="1989">
        <v>0.52</v>
      </c>
      <c r="F2873" s="38">
        <f t="shared" si="44"/>
        <v>42.287044800000004</v>
      </c>
      <c r="G2873" s="1547"/>
      <c r="H2873" s="8"/>
      <c r="I2873" s="8"/>
      <c r="J2873" s="8"/>
      <c r="K2873" s="8"/>
      <c r="L2873" s="8"/>
      <c r="M2873" s="8"/>
      <c r="N2873" s="8"/>
      <c r="O2873" s="8"/>
      <c r="P2873" s="8"/>
      <c r="Q2873" s="8"/>
      <c r="R2873" s="8"/>
      <c r="S2873" s="8"/>
      <c r="T2873" s="8"/>
      <c r="U2873" s="8"/>
      <c r="V2873" s="8"/>
      <c r="W2873" s="8"/>
      <c r="X2873" s="771"/>
      <c r="Y2873" s="771"/>
      <c r="Z2873" s="771"/>
      <c r="AA2873" s="771"/>
      <c r="AB2873" s="771"/>
      <c r="AC2873" s="771"/>
      <c r="AD2873" s="771"/>
      <c r="AE2873" s="771"/>
      <c r="AF2873" s="771"/>
      <c r="AG2873" s="771"/>
      <c r="AH2873" s="771"/>
      <c r="AI2873" s="771"/>
      <c r="AJ2873" s="771"/>
      <c r="AK2873" s="771"/>
      <c r="AL2873" s="771"/>
      <c r="AM2873" s="771"/>
      <c r="AN2873" s="771"/>
      <c r="AO2873" s="771"/>
      <c r="AP2873" s="771"/>
      <c r="AQ2873" s="771"/>
      <c r="AR2873" s="771"/>
      <c r="AS2873" s="771"/>
      <c r="AT2873" s="771"/>
      <c r="AU2873" s="771"/>
    </row>
    <row r="2874" spans="1:47" s="1423" customFormat="1" outlineLevel="1" x14ac:dyDescent="0.2">
      <c r="A2874" s="8"/>
      <c r="B2874" s="8"/>
      <c r="C2874" s="1989" t="s">
        <v>2679</v>
      </c>
      <c r="D2874" s="1989" t="s">
        <v>8199</v>
      </c>
      <c r="E2874" s="1989">
        <v>12.84</v>
      </c>
      <c r="F2874" s="38">
        <f t="shared" si="44"/>
        <v>1044.1647216000001</v>
      </c>
      <c r="G2874" s="1547"/>
      <c r="H2874" s="8"/>
      <c r="I2874" s="8"/>
      <c r="J2874" s="8"/>
      <c r="K2874" s="8"/>
      <c r="L2874" s="8"/>
      <c r="M2874" s="8"/>
      <c r="N2874" s="8"/>
      <c r="O2874" s="8"/>
      <c r="P2874" s="8"/>
      <c r="Q2874" s="8"/>
      <c r="R2874" s="8"/>
      <c r="S2874" s="8"/>
      <c r="T2874" s="8"/>
      <c r="U2874" s="8"/>
      <c r="V2874" s="8"/>
      <c r="W2874" s="8"/>
      <c r="X2874" s="771"/>
      <c r="Y2874" s="771"/>
      <c r="Z2874" s="771"/>
      <c r="AA2874" s="771"/>
      <c r="AB2874" s="771"/>
      <c r="AC2874" s="771"/>
      <c r="AD2874" s="771"/>
      <c r="AE2874" s="771"/>
      <c r="AF2874" s="771"/>
      <c r="AG2874" s="771"/>
      <c r="AH2874" s="771"/>
      <c r="AI2874" s="771"/>
      <c r="AJ2874" s="771"/>
      <c r="AK2874" s="771"/>
      <c r="AL2874" s="771"/>
      <c r="AM2874" s="771"/>
      <c r="AN2874" s="771"/>
      <c r="AO2874" s="771"/>
      <c r="AP2874" s="771"/>
      <c r="AQ2874" s="771"/>
      <c r="AR2874" s="771"/>
      <c r="AS2874" s="771"/>
      <c r="AT2874" s="771"/>
      <c r="AU2874" s="771"/>
    </row>
    <row r="2875" spans="1:47" s="1423" customFormat="1" outlineLevel="1" x14ac:dyDescent="0.2">
      <c r="A2875" s="8"/>
      <c r="B2875" s="8"/>
      <c r="C2875" s="1989" t="s">
        <v>3358</v>
      </c>
      <c r="D2875" s="1989" t="s">
        <v>6345</v>
      </c>
      <c r="E2875" s="1989">
        <v>0.46</v>
      </c>
      <c r="F2875" s="38">
        <f t="shared" si="44"/>
        <v>37.407770400000004</v>
      </c>
      <c r="G2875" s="1547"/>
      <c r="H2875" s="8"/>
      <c r="I2875" s="8"/>
      <c r="J2875" s="8"/>
      <c r="K2875" s="8"/>
      <c r="L2875" s="8"/>
      <c r="M2875" s="8"/>
      <c r="N2875" s="8"/>
      <c r="O2875" s="8"/>
      <c r="P2875" s="8"/>
      <c r="Q2875" s="8"/>
      <c r="R2875" s="8"/>
      <c r="S2875" s="8"/>
      <c r="T2875" s="8"/>
      <c r="U2875" s="8"/>
      <c r="V2875" s="8"/>
      <c r="W2875" s="8"/>
      <c r="X2875" s="771"/>
      <c r="Y2875" s="771"/>
      <c r="Z2875" s="771"/>
      <c r="AA2875" s="771"/>
      <c r="AB2875" s="771"/>
      <c r="AC2875" s="771"/>
      <c r="AD2875" s="771"/>
      <c r="AE2875" s="771"/>
      <c r="AF2875" s="771"/>
      <c r="AG2875" s="771"/>
      <c r="AH2875" s="771"/>
      <c r="AI2875" s="771"/>
      <c r="AJ2875" s="771"/>
      <c r="AK2875" s="771"/>
      <c r="AL2875" s="771"/>
      <c r="AM2875" s="771"/>
      <c r="AN2875" s="771"/>
      <c r="AO2875" s="771"/>
      <c r="AP2875" s="771"/>
      <c r="AQ2875" s="771"/>
      <c r="AR2875" s="771"/>
      <c r="AS2875" s="771"/>
      <c r="AT2875" s="771"/>
      <c r="AU2875" s="771"/>
    </row>
    <row r="2876" spans="1:47" s="1423" customFormat="1" outlineLevel="1" x14ac:dyDescent="0.2">
      <c r="A2876" s="8"/>
      <c r="B2876" s="8"/>
      <c r="C2876" s="1989" t="s">
        <v>2685</v>
      </c>
      <c r="D2876" s="1989" t="s">
        <v>6346</v>
      </c>
      <c r="E2876" s="1989">
        <v>7.76</v>
      </c>
      <c r="F2876" s="38">
        <f t="shared" si="44"/>
        <v>631.05282239999997</v>
      </c>
      <c r="G2876" s="1547"/>
      <c r="H2876" s="8"/>
      <c r="I2876" s="8"/>
      <c r="J2876" s="8"/>
      <c r="K2876" s="8"/>
      <c r="L2876" s="8"/>
      <c r="M2876" s="8"/>
      <c r="N2876" s="8"/>
      <c r="O2876" s="8"/>
      <c r="P2876" s="8"/>
      <c r="Q2876" s="8"/>
      <c r="R2876" s="8"/>
      <c r="S2876" s="8"/>
      <c r="T2876" s="8"/>
      <c r="U2876" s="8"/>
      <c r="V2876" s="8"/>
      <c r="W2876" s="8"/>
      <c r="X2876" s="771"/>
      <c r="Y2876" s="771"/>
      <c r="Z2876" s="771"/>
      <c r="AA2876" s="771"/>
      <c r="AB2876" s="771"/>
      <c r="AC2876" s="771"/>
      <c r="AD2876" s="771"/>
      <c r="AE2876" s="771"/>
      <c r="AF2876" s="771"/>
      <c r="AG2876" s="771"/>
      <c r="AH2876" s="771"/>
      <c r="AI2876" s="771"/>
      <c r="AJ2876" s="771"/>
      <c r="AK2876" s="771"/>
      <c r="AL2876" s="771"/>
      <c r="AM2876" s="771"/>
      <c r="AN2876" s="771"/>
      <c r="AO2876" s="771"/>
      <c r="AP2876" s="771"/>
      <c r="AQ2876" s="771"/>
      <c r="AR2876" s="771"/>
      <c r="AS2876" s="771"/>
      <c r="AT2876" s="771"/>
      <c r="AU2876" s="771"/>
    </row>
    <row r="2877" spans="1:47" s="1423" customFormat="1" outlineLevel="1" x14ac:dyDescent="0.2">
      <c r="A2877" s="8"/>
      <c r="B2877" s="8"/>
      <c r="C2877" s="1989" t="s">
        <v>2618</v>
      </c>
      <c r="D2877" s="1989" t="s">
        <v>2619</v>
      </c>
      <c r="E2877" s="1989">
        <v>0.22</v>
      </c>
      <c r="F2877" s="38">
        <f t="shared" si="44"/>
        <v>17.890672800000001</v>
      </c>
      <c r="G2877" s="1547"/>
      <c r="H2877" s="8"/>
      <c r="I2877" s="8"/>
      <c r="J2877" s="8"/>
      <c r="K2877" s="8"/>
      <c r="L2877" s="8"/>
      <c r="M2877" s="8"/>
      <c r="N2877" s="8"/>
      <c r="O2877" s="8"/>
      <c r="P2877" s="8"/>
      <c r="Q2877" s="8"/>
      <c r="R2877" s="8"/>
      <c r="S2877" s="8"/>
      <c r="T2877" s="8"/>
      <c r="U2877" s="8"/>
      <c r="V2877" s="8"/>
      <c r="W2877" s="8"/>
      <c r="X2877" s="771"/>
      <c r="Y2877" s="771"/>
      <c r="Z2877" s="771"/>
      <c r="AA2877" s="771"/>
      <c r="AB2877" s="771"/>
      <c r="AC2877" s="771"/>
      <c r="AD2877" s="771"/>
      <c r="AE2877" s="771"/>
      <c r="AF2877" s="771"/>
      <c r="AG2877" s="771"/>
      <c r="AH2877" s="771"/>
      <c r="AI2877" s="771"/>
      <c r="AJ2877" s="771"/>
      <c r="AK2877" s="771"/>
      <c r="AL2877" s="771"/>
      <c r="AM2877" s="771"/>
      <c r="AN2877" s="771"/>
      <c r="AO2877" s="771"/>
      <c r="AP2877" s="771"/>
      <c r="AQ2877" s="771"/>
      <c r="AR2877" s="771"/>
      <c r="AS2877" s="771"/>
      <c r="AT2877" s="771"/>
      <c r="AU2877" s="771"/>
    </row>
    <row r="2878" spans="1:47" s="1423" customFormat="1" outlineLevel="1" x14ac:dyDescent="0.2">
      <c r="A2878" s="8"/>
      <c r="B2878" s="8"/>
      <c r="C2878" s="1989" t="s">
        <v>8200</v>
      </c>
      <c r="D2878" s="1989" t="s">
        <v>8201</v>
      </c>
      <c r="E2878" s="1989">
        <v>1.5</v>
      </c>
      <c r="F2878" s="38">
        <f t="shared" si="44"/>
        <v>121.98186</v>
      </c>
      <c r="G2878" s="1547"/>
      <c r="H2878" s="8"/>
      <c r="I2878" s="8"/>
      <c r="J2878" s="8"/>
      <c r="K2878" s="8"/>
      <c r="L2878" s="8"/>
      <c r="M2878" s="8"/>
      <c r="N2878" s="8"/>
      <c r="O2878" s="8"/>
      <c r="P2878" s="8"/>
      <c r="Q2878" s="8"/>
      <c r="R2878" s="8"/>
      <c r="S2878" s="8"/>
      <c r="T2878" s="8"/>
      <c r="U2878" s="8"/>
      <c r="V2878" s="8"/>
      <c r="W2878" s="8"/>
      <c r="X2878" s="771"/>
      <c r="Y2878" s="771"/>
      <c r="Z2878" s="771"/>
      <c r="AA2878" s="771"/>
      <c r="AB2878" s="771"/>
      <c r="AC2878" s="771"/>
      <c r="AD2878" s="771"/>
      <c r="AE2878" s="771"/>
      <c r="AF2878" s="771"/>
      <c r="AG2878" s="771"/>
      <c r="AH2878" s="771"/>
      <c r="AI2878" s="771"/>
      <c r="AJ2878" s="771"/>
      <c r="AK2878" s="771"/>
      <c r="AL2878" s="771"/>
      <c r="AM2878" s="771"/>
      <c r="AN2878" s="771"/>
      <c r="AO2878" s="771"/>
      <c r="AP2878" s="771"/>
      <c r="AQ2878" s="771"/>
      <c r="AR2878" s="771"/>
      <c r="AS2878" s="771"/>
      <c r="AT2878" s="771"/>
      <c r="AU2878" s="771"/>
    </row>
    <row r="2879" spans="1:47" s="1423" customFormat="1" outlineLevel="1" x14ac:dyDescent="0.2">
      <c r="A2879" s="8"/>
      <c r="B2879" s="8"/>
      <c r="C2879" s="1989" t="s">
        <v>863</v>
      </c>
      <c r="D2879" s="1989" t="s">
        <v>132</v>
      </c>
      <c r="E2879" s="1989">
        <v>0.35</v>
      </c>
      <c r="F2879" s="38">
        <f t="shared" si="44"/>
        <v>28.462434000000002</v>
      </c>
      <c r="G2879" s="1547"/>
      <c r="H2879" s="8"/>
      <c r="I2879" s="8"/>
      <c r="J2879" s="8"/>
      <c r="K2879" s="8"/>
      <c r="L2879" s="8"/>
      <c r="M2879" s="8"/>
      <c r="N2879" s="8"/>
      <c r="O2879" s="8"/>
      <c r="P2879" s="8"/>
      <c r="Q2879" s="8"/>
      <c r="R2879" s="8"/>
      <c r="S2879" s="8"/>
      <c r="T2879" s="8"/>
      <c r="U2879" s="8"/>
      <c r="V2879" s="8"/>
      <c r="W2879" s="8"/>
      <c r="X2879" s="771"/>
      <c r="Y2879" s="771"/>
      <c r="Z2879" s="771"/>
      <c r="AA2879" s="771"/>
      <c r="AB2879" s="771"/>
      <c r="AC2879" s="771"/>
      <c r="AD2879" s="771"/>
      <c r="AE2879" s="771"/>
      <c r="AF2879" s="771"/>
      <c r="AG2879" s="771"/>
      <c r="AH2879" s="771"/>
      <c r="AI2879" s="771"/>
      <c r="AJ2879" s="771"/>
      <c r="AK2879" s="771"/>
      <c r="AL2879" s="771"/>
      <c r="AM2879" s="771"/>
      <c r="AN2879" s="771"/>
      <c r="AO2879" s="771"/>
      <c r="AP2879" s="771"/>
      <c r="AQ2879" s="771"/>
      <c r="AR2879" s="771"/>
      <c r="AS2879" s="771"/>
      <c r="AT2879" s="771"/>
      <c r="AU2879" s="771"/>
    </row>
    <row r="2880" spans="1:47" s="1423" customFormat="1" outlineLevel="1" x14ac:dyDescent="0.2">
      <c r="A2880" s="8"/>
      <c r="B2880" s="8"/>
      <c r="C2880" s="1989" t="s">
        <v>3359</v>
      </c>
      <c r="D2880" s="1989" t="s">
        <v>8202</v>
      </c>
      <c r="E2880" s="1989">
        <v>0.55000000000000004</v>
      </c>
      <c r="F2880" s="38">
        <f t="shared" si="44"/>
        <v>44.726682000000004</v>
      </c>
      <c r="G2880" s="1547"/>
      <c r="H2880" s="8"/>
      <c r="I2880" s="8"/>
      <c r="J2880" s="8"/>
      <c r="K2880" s="8"/>
      <c r="L2880" s="8"/>
      <c r="M2880" s="8"/>
      <c r="N2880" s="8"/>
      <c r="O2880" s="8"/>
      <c r="P2880" s="8"/>
      <c r="Q2880" s="8"/>
      <c r="R2880" s="8"/>
      <c r="S2880" s="8"/>
      <c r="T2880" s="8"/>
      <c r="U2880" s="8"/>
      <c r="V2880" s="8"/>
      <c r="W2880" s="8"/>
      <c r="X2880" s="771"/>
      <c r="Y2880" s="771"/>
      <c r="Z2880" s="771"/>
      <c r="AA2880" s="771"/>
      <c r="AB2880" s="771"/>
      <c r="AC2880" s="771"/>
      <c r="AD2880" s="771"/>
      <c r="AE2880" s="771"/>
      <c r="AF2880" s="771"/>
      <c r="AG2880" s="771"/>
      <c r="AH2880" s="771"/>
      <c r="AI2880" s="771"/>
      <c r="AJ2880" s="771"/>
      <c r="AK2880" s="771"/>
      <c r="AL2880" s="771"/>
      <c r="AM2880" s="771"/>
      <c r="AN2880" s="771"/>
      <c r="AO2880" s="771"/>
      <c r="AP2880" s="771"/>
      <c r="AQ2880" s="771"/>
      <c r="AR2880" s="771"/>
      <c r="AS2880" s="771"/>
      <c r="AT2880" s="771"/>
      <c r="AU2880" s="771"/>
    </row>
    <row r="2881" spans="1:47" s="1423" customFormat="1" outlineLevel="1" x14ac:dyDescent="0.2">
      <c r="A2881" s="8"/>
      <c r="B2881" s="8"/>
      <c r="C2881" s="1989" t="s">
        <v>3360</v>
      </c>
      <c r="D2881" s="1989" t="s">
        <v>8203</v>
      </c>
      <c r="E2881" s="1989">
        <v>5.7</v>
      </c>
      <c r="F2881" s="38">
        <f t="shared" si="44"/>
        <v>463.531068</v>
      </c>
      <c r="G2881" s="1547"/>
      <c r="H2881" s="8"/>
      <c r="I2881" s="8"/>
      <c r="J2881" s="8"/>
      <c r="K2881" s="8"/>
      <c r="L2881" s="8"/>
      <c r="M2881" s="8"/>
      <c r="N2881" s="8"/>
      <c r="O2881" s="8"/>
      <c r="P2881" s="8"/>
      <c r="Q2881" s="8"/>
      <c r="R2881" s="8"/>
      <c r="S2881" s="8"/>
      <c r="T2881" s="8"/>
      <c r="U2881" s="8"/>
      <c r="V2881" s="8"/>
      <c r="W2881" s="8"/>
      <c r="X2881" s="771"/>
      <c r="Y2881" s="771"/>
      <c r="Z2881" s="771"/>
      <c r="AA2881" s="771"/>
      <c r="AB2881" s="771"/>
      <c r="AC2881" s="771"/>
      <c r="AD2881" s="771"/>
      <c r="AE2881" s="771"/>
      <c r="AF2881" s="771"/>
      <c r="AG2881" s="771"/>
      <c r="AH2881" s="771"/>
      <c r="AI2881" s="771"/>
      <c r="AJ2881" s="771"/>
      <c r="AK2881" s="771"/>
      <c r="AL2881" s="771"/>
      <c r="AM2881" s="771"/>
      <c r="AN2881" s="771"/>
      <c r="AO2881" s="771"/>
      <c r="AP2881" s="771"/>
      <c r="AQ2881" s="771"/>
      <c r="AR2881" s="771"/>
      <c r="AS2881" s="771"/>
      <c r="AT2881" s="771"/>
      <c r="AU2881" s="771"/>
    </row>
    <row r="2882" spans="1:47" s="1423" customFormat="1" outlineLevel="1" x14ac:dyDescent="0.2">
      <c r="A2882" s="8"/>
      <c r="B2882" s="8"/>
      <c r="C2882" s="1989" t="s">
        <v>8204</v>
      </c>
      <c r="D2882" s="1989" t="s">
        <v>8205</v>
      </c>
      <c r="E2882" s="1989">
        <v>1.5</v>
      </c>
      <c r="F2882" s="38">
        <f t="shared" si="44"/>
        <v>121.98186</v>
      </c>
      <c r="G2882" s="1547"/>
      <c r="H2882" s="8"/>
      <c r="I2882" s="8"/>
      <c r="J2882" s="8"/>
      <c r="K2882" s="8"/>
      <c r="L2882" s="8"/>
      <c r="M2882" s="8"/>
      <c r="N2882" s="8"/>
      <c r="O2882" s="8"/>
      <c r="P2882" s="8"/>
      <c r="Q2882" s="8"/>
      <c r="R2882" s="8"/>
      <c r="S2882" s="8"/>
      <c r="T2882" s="8"/>
      <c r="U2882" s="8"/>
      <c r="V2882" s="8"/>
      <c r="W2882" s="8"/>
      <c r="X2882" s="771"/>
      <c r="Y2882" s="771"/>
      <c r="Z2882" s="771"/>
      <c r="AA2882" s="771"/>
      <c r="AB2882" s="771"/>
      <c r="AC2882" s="771"/>
      <c r="AD2882" s="771"/>
      <c r="AE2882" s="771"/>
      <c r="AF2882" s="771"/>
      <c r="AG2882" s="771"/>
      <c r="AH2882" s="771"/>
      <c r="AI2882" s="771"/>
      <c r="AJ2882" s="771"/>
      <c r="AK2882" s="771"/>
      <c r="AL2882" s="771"/>
      <c r="AM2882" s="771"/>
      <c r="AN2882" s="771"/>
      <c r="AO2882" s="771"/>
      <c r="AP2882" s="771"/>
      <c r="AQ2882" s="771"/>
      <c r="AR2882" s="771"/>
      <c r="AS2882" s="771"/>
      <c r="AT2882" s="771"/>
      <c r="AU2882" s="771"/>
    </row>
    <row r="2883" spans="1:47" s="1423" customFormat="1" outlineLevel="1" x14ac:dyDescent="0.2">
      <c r="A2883" s="8"/>
      <c r="B2883" s="8"/>
      <c r="C2883" s="1989" t="s">
        <v>2620</v>
      </c>
      <c r="D2883" s="1989" t="s">
        <v>6347</v>
      </c>
      <c r="E2883" s="1989">
        <v>7.75</v>
      </c>
      <c r="F2883" s="38">
        <f t="shared" si="44"/>
        <v>630.23960999999997</v>
      </c>
      <c r="G2883" s="1547"/>
      <c r="H2883" s="8"/>
      <c r="I2883" s="8"/>
      <c r="J2883" s="8"/>
      <c r="K2883" s="8"/>
      <c r="L2883" s="8"/>
      <c r="M2883" s="8"/>
      <c r="N2883" s="8"/>
      <c r="O2883" s="8"/>
      <c r="P2883" s="8"/>
      <c r="Q2883" s="8"/>
      <c r="R2883" s="8"/>
      <c r="S2883" s="8"/>
      <c r="T2883" s="8"/>
      <c r="U2883" s="8"/>
      <c r="V2883" s="8"/>
      <c r="W2883" s="8"/>
      <c r="X2883" s="771"/>
      <c r="Y2883" s="771"/>
      <c r="Z2883" s="771"/>
      <c r="AA2883" s="771"/>
      <c r="AB2883" s="771"/>
      <c r="AC2883" s="771"/>
      <c r="AD2883" s="771"/>
      <c r="AE2883" s="771"/>
      <c r="AF2883" s="771"/>
      <c r="AG2883" s="771"/>
      <c r="AH2883" s="771"/>
      <c r="AI2883" s="771"/>
      <c r="AJ2883" s="771"/>
      <c r="AK2883" s="771"/>
      <c r="AL2883" s="771"/>
      <c r="AM2883" s="771"/>
      <c r="AN2883" s="771"/>
      <c r="AO2883" s="771"/>
      <c r="AP2883" s="771"/>
      <c r="AQ2883" s="771"/>
      <c r="AR2883" s="771"/>
      <c r="AS2883" s="771"/>
      <c r="AT2883" s="771"/>
      <c r="AU2883" s="771"/>
    </row>
    <row r="2884" spans="1:47" s="1423" customFormat="1" outlineLevel="1" x14ac:dyDescent="0.2">
      <c r="A2884" s="8"/>
      <c r="B2884" s="8"/>
      <c r="C2884" s="1989" t="s">
        <v>3361</v>
      </c>
      <c r="D2884" s="1989" t="s">
        <v>6348</v>
      </c>
      <c r="E2884" s="1989">
        <v>7.86</v>
      </c>
      <c r="F2884" s="38">
        <f t="shared" si="44"/>
        <v>639.18494640000006</v>
      </c>
      <c r="G2884" s="1547"/>
      <c r="H2884" s="8"/>
      <c r="I2884" s="8"/>
      <c r="J2884" s="8"/>
      <c r="K2884" s="8"/>
      <c r="L2884" s="8"/>
      <c r="M2884" s="8"/>
      <c r="N2884" s="8"/>
      <c r="O2884" s="8"/>
      <c r="P2884" s="8"/>
      <c r="Q2884" s="8"/>
      <c r="R2884" s="8"/>
      <c r="S2884" s="8"/>
      <c r="T2884" s="8"/>
      <c r="U2884" s="8"/>
      <c r="V2884" s="8"/>
      <c r="W2884" s="8"/>
      <c r="X2884" s="771"/>
      <c r="Y2884" s="771"/>
      <c r="Z2884" s="771"/>
      <c r="AA2884" s="771"/>
      <c r="AB2884" s="771"/>
      <c r="AC2884" s="771"/>
      <c r="AD2884" s="771"/>
      <c r="AE2884" s="771"/>
      <c r="AF2884" s="771"/>
      <c r="AG2884" s="771"/>
      <c r="AH2884" s="771"/>
      <c r="AI2884" s="771"/>
      <c r="AJ2884" s="771"/>
      <c r="AK2884" s="771"/>
      <c r="AL2884" s="771"/>
      <c r="AM2884" s="771"/>
      <c r="AN2884" s="771"/>
      <c r="AO2884" s="771"/>
      <c r="AP2884" s="771"/>
      <c r="AQ2884" s="771"/>
      <c r="AR2884" s="771"/>
      <c r="AS2884" s="771"/>
      <c r="AT2884" s="771"/>
      <c r="AU2884" s="771"/>
    </row>
    <row r="2885" spans="1:47" s="1423" customFormat="1" outlineLevel="1" x14ac:dyDescent="0.2">
      <c r="A2885" s="8"/>
      <c r="B2885" s="8"/>
      <c r="C2885" s="1989" t="s">
        <v>3363</v>
      </c>
      <c r="D2885" s="1989" t="s">
        <v>3364</v>
      </c>
      <c r="E2885" s="1989">
        <v>0.21</v>
      </c>
      <c r="F2885" s="38">
        <f t="shared" si="44"/>
        <v>17.0774604</v>
      </c>
      <c r="G2885" s="1547"/>
      <c r="H2885" s="8"/>
      <c r="I2885" s="8"/>
      <c r="J2885" s="8"/>
      <c r="K2885" s="8"/>
      <c r="L2885" s="8"/>
      <c r="M2885" s="8"/>
      <c r="N2885" s="8"/>
      <c r="O2885" s="8"/>
      <c r="P2885" s="8"/>
      <c r="Q2885" s="8"/>
      <c r="R2885" s="8"/>
      <c r="S2885" s="8"/>
      <c r="T2885" s="8"/>
      <c r="U2885" s="8"/>
      <c r="V2885" s="8"/>
      <c r="W2885" s="8"/>
      <c r="X2885" s="771"/>
      <c r="Y2885" s="771"/>
      <c r="Z2885" s="771"/>
      <c r="AA2885" s="771"/>
      <c r="AB2885" s="771"/>
      <c r="AC2885" s="771"/>
      <c r="AD2885" s="771"/>
      <c r="AE2885" s="771"/>
      <c r="AF2885" s="771"/>
      <c r="AG2885" s="771"/>
      <c r="AH2885" s="771"/>
      <c r="AI2885" s="771"/>
      <c r="AJ2885" s="771"/>
      <c r="AK2885" s="771"/>
      <c r="AL2885" s="771"/>
      <c r="AM2885" s="771"/>
      <c r="AN2885" s="771"/>
      <c r="AO2885" s="771"/>
      <c r="AP2885" s="771"/>
      <c r="AQ2885" s="771"/>
      <c r="AR2885" s="771"/>
      <c r="AS2885" s="771"/>
      <c r="AT2885" s="771"/>
      <c r="AU2885" s="771"/>
    </row>
    <row r="2886" spans="1:47" s="1423" customFormat="1" outlineLevel="1" x14ac:dyDescent="0.2">
      <c r="A2886" s="8"/>
      <c r="B2886" s="8"/>
      <c r="C2886" s="1989" t="s">
        <v>8206</v>
      </c>
      <c r="D2886" s="1989" t="s">
        <v>8207</v>
      </c>
      <c r="E2886" s="1989">
        <v>1.5</v>
      </c>
      <c r="F2886" s="38">
        <f t="shared" ref="F2886:F3211" si="45">E2886*$G$4*$J$4</f>
        <v>121.98186</v>
      </c>
      <c r="G2886" s="1547"/>
      <c r="H2886" s="8"/>
      <c r="I2886" s="8"/>
      <c r="J2886" s="8"/>
      <c r="K2886" s="8"/>
      <c r="L2886" s="8"/>
      <c r="M2886" s="8"/>
      <c r="N2886" s="8"/>
      <c r="O2886" s="8"/>
      <c r="P2886" s="8"/>
      <c r="Q2886" s="8"/>
      <c r="R2886" s="8"/>
      <c r="S2886" s="8"/>
      <c r="T2886" s="8"/>
      <c r="U2886" s="8"/>
      <c r="V2886" s="8"/>
      <c r="W2886" s="8"/>
      <c r="X2886" s="771"/>
      <c r="Y2886" s="771"/>
      <c r="Z2886" s="771"/>
      <c r="AA2886" s="771"/>
      <c r="AB2886" s="771"/>
      <c r="AC2886" s="771"/>
      <c r="AD2886" s="771"/>
      <c r="AE2886" s="771"/>
      <c r="AF2886" s="771"/>
      <c r="AG2886" s="771"/>
      <c r="AH2886" s="771"/>
      <c r="AI2886" s="771"/>
      <c r="AJ2886" s="771"/>
      <c r="AK2886" s="771"/>
      <c r="AL2886" s="771"/>
      <c r="AM2886" s="771"/>
      <c r="AN2886" s="771"/>
      <c r="AO2886" s="771"/>
      <c r="AP2886" s="771"/>
      <c r="AQ2886" s="771"/>
      <c r="AR2886" s="771"/>
      <c r="AS2886" s="771"/>
      <c r="AT2886" s="771"/>
      <c r="AU2886" s="771"/>
    </row>
    <row r="2887" spans="1:47" s="1423" customFormat="1" outlineLevel="1" x14ac:dyDescent="0.2">
      <c r="A2887" s="8"/>
      <c r="B2887" s="8"/>
      <c r="C2887" s="1989" t="s">
        <v>2621</v>
      </c>
      <c r="D2887" s="1989" t="s">
        <v>8208</v>
      </c>
      <c r="E2887" s="1989">
        <v>13.78</v>
      </c>
      <c r="F2887" s="38">
        <f t="shared" si="45"/>
        <v>1120.6066871999999</v>
      </c>
      <c r="G2887" s="1547"/>
      <c r="H2887" s="8"/>
      <c r="I2887" s="8"/>
      <c r="J2887" s="8"/>
      <c r="K2887" s="8"/>
      <c r="L2887" s="8"/>
      <c r="M2887" s="8"/>
      <c r="N2887" s="8"/>
      <c r="O2887" s="8"/>
      <c r="P2887" s="8"/>
      <c r="Q2887" s="8"/>
      <c r="R2887" s="8"/>
      <c r="S2887" s="8"/>
      <c r="T2887" s="8"/>
      <c r="U2887" s="8"/>
      <c r="V2887" s="8"/>
      <c r="W2887" s="8"/>
      <c r="X2887" s="771"/>
      <c r="Y2887" s="771"/>
      <c r="Z2887" s="771"/>
      <c r="AA2887" s="771"/>
      <c r="AB2887" s="771"/>
      <c r="AC2887" s="771"/>
      <c r="AD2887" s="771"/>
      <c r="AE2887" s="771"/>
      <c r="AF2887" s="771"/>
      <c r="AG2887" s="771"/>
      <c r="AH2887" s="771"/>
      <c r="AI2887" s="771"/>
      <c r="AJ2887" s="771"/>
      <c r="AK2887" s="771"/>
      <c r="AL2887" s="771"/>
      <c r="AM2887" s="771"/>
      <c r="AN2887" s="771"/>
      <c r="AO2887" s="771"/>
      <c r="AP2887" s="771"/>
      <c r="AQ2887" s="771"/>
      <c r="AR2887" s="771"/>
      <c r="AS2887" s="771"/>
      <c r="AT2887" s="771"/>
      <c r="AU2887" s="771"/>
    </row>
    <row r="2888" spans="1:47" s="1423" customFormat="1" outlineLevel="1" x14ac:dyDescent="0.2">
      <c r="A2888" s="8"/>
      <c r="B2888" s="8"/>
      <c r="C2888" s="1989" t="s">
        <v>6843</v>
      </c>
      <c r="D2888" s="1989" t="s">
        <v>6349</v>
      </c>
      <c r="E2888" s="1989">
        <v>0.18</v>
      </c>
      <c r="F2888" s="38">
        <f t="shared" si="45"/>
        <v>14.637823200000001</v>
      </c>
      <c r="G2888" s="1547"/>
      <c r="H2888" s="8"/>
      <c r="I2888" s="8"/>
      <c r="J2888" s="8"/>
      <c r="K2888" s="8"/>
      <c r="L2888" s="8"/>
      <c r="M2888" s="8"/>
      <c r="N2888" s="8"/>
      <c r="O2888" s="8"/>
      <c r="P2888" s="8"/>
      <c r="Q2888" s="8"/>
      <c r="R2888" s="8"/>
      <c r="S2888" s="8"/>
      <c r="T2888" s="8"/>
      <c r="U2888" s="8"/>
      <c r="V2888" s="8"/>
      <c r="W2888" s="8"/>
      <c r="X2888" s="771"/>
      <c r="Y2888" s="771"/>
      <c r="Z2888" s="771"/>
      <c r="AA2888" s="771"/>
      <c r="AB2888" s="771"/>
      <c r="AC2888" s="771"/>
      <c r="AD2888" s="771"/>
      <c r="AE2888" s="771"/>
      <c r="AF2888" s="771"/>
      <c r="AG2888" s="771"/>
      <c r="AH2888" s="771"/>
      <c r="AI2888" s="771"/>
      <c r="AJ2888" s="771"/>
      <c r="AK2888" s="771"/>
      <c r="AL2888" s="771"/>
      <c r="AM2888" s="771"/>
      <c r="AN2888" s="771"/>
      <c r="AO2888" s="771"/>
      <c r="AP2888" s="771"/>
      <c r="AQ2888" s="771"/>
      <c r="AR2888" s="771"/>
      <c r="AS2888" s="771"/>
      <c r="AT2888" s="771"/>
      <c r="AU2888" s="771"/>
    </row>
    <row r="2889" spans="1:47" s="1423" customFormat="1" outlineLevel="1" x14ac:dyDescent="0.2">
      <c r="A2889" s="8"/>
      <c r="B2889" s="8"/>
      <c r="C2889" s="1989" t="s">
        <v>2622</v>
      </c>
      <c r="D2889" s="1989" t="s">
        <v>6350</v>
      </c>
      <c r="E2889" s="1989">
        <v>8.39</v>
      </c>
      <c r="F2889" s="38">
        <f t="shared" si="45"/>
        <v>682.28520360000005</v>
      </c>
      <c r="G2889" s="1547"/>
      <c r="H2889" s="8"/>
      <c r="I2889" s="8"/>
      <c r="J2889" s="8"/>
      <c r="K2889" s="8"/>
      <c r="L2889" s="8"/>
      <c r="M2889" s="8"/>
      <c r="N2889" s="8"/>
      <c r="O2889" s="8"/>
      <c r="P2889" s="8"/>
      <c r="Q2889" s="8"/>
      <c r="R2889" s="8"/>
      <c r="S2889" s="8"/>
      <c r="T2889" s="8"/>
      <c r="U2889" s="8"/>
      <c r="V2889" s="8"/>
      <c r="W2889" s="8"/>
      <c r="X2889" s="771"/>
      <c r="Y2889" s="771"/>
      <c r="Z2889" s="771"/>
      <c r="AA2889" s="771"/>
      <c r="AB2889" s="771"/>
      <c r="AC2889" s="771"/>
      <c r="AD2889" s="771"/>
      <c r="AE2889" s="771"/>
      <c r="AF2889" s="771"/>
      <c r="AG2889" s="771"/>
      <c r="AH2889" s="771"/>
      <c r="AI2889" s="771"/>
      <c r="AJ2889" s="771"/>
      <c r="AK2889" s="771"/>
      <c r="AL2889" s="771"/>
      <c r="AM2889" s="771"/>
      <c r="AN2889" s="771"/>
      <c r="AO2889" s="771"/>
      <c r="AP2889" s="771"/>
      <c r="AQ2889" s="771"/>
      <c r="AR2889" s="771"/>
      <c r="AS2889" s="771"/>
      <c r="AT2889" s="771"/>
      <c r="AU2889" s="771"/>
    </row>
    <row r="2890" spans="1:47" s="1423" customFormat="1" outlineLevel="1" x14ac:dyDescent="0.2">
      <c r="A2890" s="8"/>
      <c r="B2890" s="8"/>
      <c r="C2890" s="1989" t="s">
        <v>2701</v>
      </c>
      <c r="D2890" s="1989" t="s">
        <v>8209</v>
      </c>
      <c r="E2890" s="1989">
        <v>11.69</v>
      </c>
      <c r="F2890" s="38">
        <f t="shared" si="45"/>
        <v>950.64529559999994</v>
      </c>
      <c r="G2890" s="1547"/>
      <c r="H2890" s="8"/>
      <c r="I2890" s="8"/>
      <c r="J2890" s="8"/>
      <c r="K2890" s="8"/>
      <c r="L2890" s="8"/>
      <c r="M2890" s="8"/>
      <c r="N2890" s="8"/>
      <c r="O2890" s="8"/>
      <c r="P2890" s="8"/>
      <c r="Q2890" s="8"/>
      <c r="R2890" s="8"/>
      <c r="S2890" s="8"/>
      <c r="T2890" s="8"/>
      <c r="U2890" s="8"/>
      <c r="V2890" s="8"/>
      <c r="W2890" s="8"/>
      <c r="X2890" s="771"/>
      <c r="Y2890" s="771"/>
      <c r="Z2890" s="771"/>
      <c r="AA2890" s="771"/>
      <c r="AB2890" s="771"/>
      <c r="AC2890" s="771"/>
      <c r="AD2890" s="771"/>
      <c r="AE2890" s="771"/>
      <c r="AF2890" s="771"/>
      <c r="AG2890" s="771"/>
      <c r="AH2890" s="771"/>
      <c r="AI2890" s="771"/>
      <c r="AJ2890" s="771"/>
      <c r="AK2890" s="771"/>
      <c r="AL2890" s="771"/>
      <c r="AM2890" s="771"/>
      <c r="AN2890" s="771"/>
      <c r="AO2890" s="771"/>
      <c r="AP2890" s="771"/>
      <c r="AQ2890" s="771"/>
      <c r="AR2890" s="771"/>
      <c r="AS2890" s="771"/>
      <c r="AT2890" s="771"/>
      <c r="AU2890" s="771"/>
    </row>
    <row r="2891" spans="1:47" s="1423" customFormat="1" outlineLevel="1" x14ac:dyDescent="0.2">
      <c r="A2891" s="8"/>
      <c r="B2891" s="8"/>
      <c r="C2891" s="1989" t="s">
        <v>2046</v>
      </c>
      <c r="D2891" s="1989" t="s">
        <v>2047</v>
      </c>
      <c r="E2891" s="1989">
        <v>1.5</v>
      </c>
      <c r="F2891" s="38">
        <f t="shared" si="45"/>
        <v>121.98186</v>
      </c>
      <c r="G2891" s="1547"/>
      <c r="H2891" s="8"/>
      <c r="I2891" s="8"/>
      <c r="J2891" s="8"/>
      <c r="K2891" s="8"/>
      <c r="L2891" s="8"/>
      <c r="M2891" s="8"/>
      <c r="N2891" s="8"/>
      <c r="O2891" s="8"/>
      <c r="P2891" s="8"/>
      <c r="Q2891" s="8"/>
      <c r="R2891" s="8"/>
      <c r="S2891" s="8"/>
      <c r="T2891" s="8"/>
      <c r="U2891" s="8"/>
      <c r="V2891" s="8"/>
      <c r="W2891" s="8"/>
      <c r="X2891" s="771"/>
      <c r="Y2891" s="771"/>
      <c r="Z2891" s="771"/>
      <c r="AA2891" s="771"/>
      <c r="AB2891" s="771"/>
      <c r="AC2891" s="771"/>
      <c r="AD2891" s="771"/>
      <c r="AE2891" s="771"/>
      <c r="AF2891" s="771"/>
      <c r="AG2891" s="771"/>
      <c r="AH2891" s="771"/>
      <c r="AI2891" s="771"/>
      <c r="AJ2891" s="771"/>
      <c r="AK2891" s="771"/>
      <c r="AL2891" s="771"/>
      <c r="AM2891" s="771"/>
      <c r="AN2891" s="771"/>
      <c r="AO2891" s="771"/>
      <c r="AP2891" s="771"/>
      <c r="AQ2891" s="771"/>
      <c r="AR2891" s="771"/>
      <c r="AS2891" s="771"/>
      <c r="AT2891" s="771"/>
      <c r="AU2891" s="771"/>
    </row>
    <row r="2892" spans="1:47" s="1423" customFormat="1" outlineLevel="1" x14ac:dyDescent="0.2">
      <c r="A2892" s="8"/>
      <c r="B2892" s="8"/>
      <c r="C2892" s="1989" t="s">
        <v>2106</v>
      </c>
      <c r="D2892" s="1989" t="s">
        <v>2107</v>
      </c>
      <c r="E2892" s="1989">
        <v>1.33</v>
      </c>
      <c r="F2892" s="38">
        <f t="shared" si="45"/>
        <v>108.15724920000001</v>
      </c>
      <c r="G2892" s="1547"/>
      <c r="H2892" s="8"/>
      <c r="I2892" s="8"/>
      <c r="J2892" s="8"/>
      <c r="K2892" s="8"/>
      <c r="L2892" s="8"/>
      <c r="M2892" s="8"/>
      <c r="N2892" s="8"/>
      <c r="O2892" s="8"/>
      <c r="P2892" s="8"/>
      <c r="Q2892" s="8"/>
      <c r="R2892" s="8"/>
      <c r="S2892" s="8"/>
      <c r="T2892" s="8"/>
      <c r="U2892" s="8"/>
      <c r="V2892" s="8"/>
      <c r="W2892" s="8"/>
      <c r="X2892" s="771"/>
      <c r="Y2892" s="771"/>
      <c r="Z2892" s="771"/>
      <c r="AA2892" s="771"/>
      <c r="AB2892" s="771"/>
      <c r="AC2892" s="771"/>
      <c r="AD2892" s="771"/>
      <c r="AE2892" s="771"/>
      <c r="AF2892" s="771"/>
      <c r="AG2892" s="771"/>
      <c r="AH2892" s="771"/>
      <c r="AI2892" s="771"/>
      <c r="AJ2892" s="771"/>
      <c r="AK2892" s="771"/>
      <c r="AL2892" s="771"/>
      <c r="AM2892" s="771"/>
      <c r="AN2892" s="771"/>
      <c r="AO2892" s="771"/>
      <c r="AP2892" s="771"/>
      <c r="AQ2892" s="771"/>
      <c r="AR2892" s="771"/>
      <c r="AS2892" s="771"/>
      <c r="AT2892" s="771"/>
      <c r="AU2892" s="771"/>
    </row>
    <row r="2893" spans="1:47" s="1423" customFormat="1" outlineLevel="1" x14ac:dyDescent="0.2">
      <c r="A2893" s="8"/>
      <c r="B2893" s="8"/>
      <c r="C2893" s="1989" t="s">
        <v>1576</v>
      </c>
      <c r="D2893" s="1989" t="s">
        <v>1252</v>
      </c>
      <c r="E2893" s="1989">
        <v>2.2400000000000002</v>
      </c>
      <c r="F2893" s="38">
        <f t="shared" si="45"/>
        <v>182.15957760000003</v>
      </c>
      <c r="G2893" s="1547"/>
      <c r="H2893" s="8"/>
      <c r="I2893" s="8"/>
      <c r="J2893" s="8"/>
      <c r="K2893" s="8"/>
      <c r="L2893" s="8"/>
      <c r="M2893" s="8"/>
      <c r="N2893" s="8"/>
      <c r="O2893" s="8"/>
      <c r="P2893" s="8"/>
      <c r="Q2893" s="8"/>
      <c r="R2893" s="8"/>
      <c r="S2893" s="8"/>
      <c r="T2893" s="8"/>
      <c r="U2893" s="8"/>
      <c r="V2893" s="8"/>
      <c r="W2893" s="8"/>
      <c r="X2893" s="771"/>
      <c r="Y2893" s="771"/>
      <c r="Z2893" s="771"/>
      <c r="AA2893" s="771"/>
      <c r="AB2893" s="771"/>
      <c r="AC2893" s="771"/>
      <c r="AD2893" s="771"/>
      <c r="AE2893" s="771"/>
      <c r="AF2893" s="771"/>
      <c r="AG2893" s="771"/>
      <c r="AH2893" s="771"/>
      <c r="AI2893" s="771"/>
      <c r="AJ2893" s="771"/>
      <c r="AK2893" s="771"/>
      <c r="AL2893" s="771"/>
      <c r="AM2893" s="771"/>
      <c r="AN2893" s="771"/>
      <c r="AO2893" s="771"/>
      <c r="AP2893" s="771"/>
      <c r="AQ2893" s="771"/>
      <c r="AR2893" s="771"/>
      <c r="AS2893" s="771"/>
      <c r="AT2893" s="771"/>
      <c r="AU2893" s="771"/>
    </row>
    <row r="2894" spans="1:47" s="1423" customFormat="1" outlineLevel="1" x14ac:dyDescent="0.2">
      <c r="A2894" s="8"/>
      <c r="B2894" s="8"/>
      <c r="C2894" s="1989" t="s">
        <v>1253</v>
      </c>
      <c r="D2894" s="1989" t="s">
        <v>1094</v>
      </c>
      <c r="E2894" s="1989">
        <v>2.2400000000000002</v>
      </c>
      <c r="F2894" s="38">
        <f t="shared" si="45"/>
        <v>182.15957760000003</v>
      </c>
      <c r="G2894" s="1547"/>
      <c r="H2894" s="8"/>
      <c r="I2894" s="8"/>
      <c r="J2894" s="8"/>
      <c r="K2894" s="8"/>
      <c r="L2894" s="8"/>
      <c r="M2894" s="8"/>
      <c r="N2894" s="8"/>
      <c r="O2894" s="8"/>
      <c r="P2894" s="8"/>
      <c r="Q2894" s="8"/>
      <c r="R2894" s="8"/>
      <c r="S2894" s="8"/>
      <c r="T2894" s="8"/>
      <c r="U2894" s="8"/>
      <c r="V2894" s="8"/>
      <c r="W2894" s="8"/>
      <c r="X2894" s="771"/>
      <c r="Y2894" s="771"/>
      <c r="Z2894" s="771"/>
      <c r="AA2894" s="771"/>
      <c r="AB2894" s="771"/>
      <c r="AC2894" s="771"/>
      <c r="AD2894" s="771"/>
      <c r="AE2894" s="771"/>
      <c r="AF2894" s="771"/>
      <c r="AG2894" s="771"/>
      <c r="AH2894" s="771"/>
      <c r="AI2894" s="771"/>
      <c r="AJ2894" s="771"/>
      <c r="AK2894" s="771"/>
      <c r="AL2894" s="771"/>
      <c r="AM2894" s="771"/>
      <c r="AN2894" s="771"/>
      <c r="AO2894" s="771"/>
      <c r="AP2894" s="771"/>
      <c r="AQ2894" s="771"/>
      <c r="AR2894" s="771"/>
      <c r="AS2894" s="771"/>
      <c r="AT2894" s="771"/>
      <c r="AU2894" s="771"/>
    </row>
    <row r="2895" spans="1:47" s="1423" customFormat="1" outlineLevel="1" x14ac:dyDescent="0.2">
      <c r="A2895" s="8"/>
      <c r="B2895" s="8"/>
      <c r="C2895" s="1989" t="s">
        <v>1254</v>
      </c>
      <c r="D2895" s="1989" t="s">
        <v>6351</v>
      </c>
      <c r="E2895" s="1989">
        <v>2.2400000000000002</v>
      </c>
      <c r="F2895" s="38">
        <f t="shared" si="45"/>
        <v>182.15957760000003</v>
      </c>
      <c r="G2895" s="1547"/>
      <c r="H2895" s="8"/>
      <c r="I2895" s="8"/>
      <c r="J2895" s="8"/>
      <c r="K2895" s="8"/>
      <c r="L2895" s="8"/>
      <c r="M2895" s="8"/>
      <c r="N2895" s="8"/>
      <c r="O2895" s="8"/>
      <c r="P2895" s="8"/>
      <c r="Q2895" s="8"/>
      <c r="R2895" s="8"/>
      <c r="S2895" s="8"/>
      <c r="T2895" s="8"/>
      <c r="U2895" s="8"/>
      <c r="V2895" s="8"/>
      <c r="W2895" s="8"/>
      <c r="X2895" s="771"/>
      <c r="Y2895" s="771"/>
      <c r="Z2895" s="771"/>
      <c r="AA2895" s="771"/>
      <c r="AB2895" s="771"/>
      <c r="AC2895" s="771"/>
      <c r="AD2895" s="771"/>
      <c r="AE2895" s="771"/>
      <c r="AF2895" s="771"/>
      <c r="AG2895" s="771"/>
      <c r="AH2895" s="771"/>
      <c r="AI2895" s="771"/>
      <c r="AJ2895" s="771"/>
      <c r="AK2895" s="771"/>
      <c r="AL2895" s="771"/>
      <c r="AM2895" s="771"/>
      <c r="AN2895" s="771"/>
      <c r="AO2895" s="771"/>
      <c r="AP2895" s="771"/>
      <c r="AQ2895" s="771"/>
      <c r="AR2895" s="771"/>
      <c r="AS2895" s="771"/>
      <c r="AT2895" s="771"/>
      <c r="AU2895" s="771"/>
    </row>
    <row r="2896" spans="1:47" s="1423" customFormat="1" outlineLevel="1" x14ac:dyDescent="0.2">
      <c r="A2896" s="8"/>
      <c r="B2896" s="8"/>
      <c r="C2896" s="1989" t="s">
        <v>2108</v>
      </c>
      <c r="D2896" s="1989" t="s">
        <v>1572</v>
      </c>
      <c r="E2896" s="1989">
        <v>2.44</v>
      </c>
      <c r="F2896" s="38">
        <f t="shared" si="45"/>
        <v>198.42382560000001</v>
      </c>
      <c r="G2896" s="1547"/>
      <c r="H2896" s="8"/>
      <c r="I2896" s="8"/>
      <c r="J2896" s="8"/>
      <c r="K2896" s="8"/>
      <c r="L2896" s="8"/>
      <c r="M2896" s="8"/>
      <c r="N2896" s="8"/>
      <c r="O2896" s="8"/>
      <c r="P2896" s="8"/>
      <c r="Q2896" s="8"/>
      <c r="R2896" s="8"/>
      <c r="S2896" s="8"/>
      <c r="T2896" s="8"/>
      <c r="U2896" s="8"/>
      <c r="V2896" s="8"/>
      <c r="W2896" s="8"/>
      <c r="X2896" s="771"/>
      <c r="Y2896" s="771"/>
      <c r="Z2896" s="771"/>
      <c r="AA2896" s="771"/>
      <c r="AB2896" s="771"/>
      <c r="AC2896" s="771"/>
      <c r="AD2896" s="771"/>
      <c r="AE2896" s="771"/>
      <c r="AF2896" s="771"/>
      <c r="AG2896" s="771"/>
      <c r="AH2896" s="771"/>
      <c r="AI2896" s="771"/>
      <c r="AJ2896" s="771"/>
      <c r="AK2896" s="771"/>
      <c r="AL2896" s="771"/>
      <c r="AM2896" s="771"/>
      <c r="AN2896" s="771"/>
      <c r="AO2896" s="771"/>
      <c r="AP2896" s="771"/>
      <c r="AQ2896" s="771"/>
      <c r="AR2896" s="771"/>
      <c r="AS2896" s="771"/>
      <c r="AT2896" s="771"/>
      <c r="AU2896" s="771"/>
    </row>
    <row r="2897" spans="1:47" s="1423" customFormat="1" outlineLevel="1" x14ac:dyDescent="0.2">
      <c r="A2897" s="8"/>
      <c r="B2897" s="8"/>
      <c r="C2897" s="1989" t="s">
        <v>4187</v>
      </c>
      <c r="D2897" s="1989" t="s">
        <v>4188</v>
      </c>
      <c r="E2897" s="1989">
        <v>2.5299999999999998</v>
      </c>
      <c r="F2897" s="38">
        <f t="shared" si="45"/>
        <v>205.74273719999999</v>
      </c>
      <c r="G2897" s="1547"/>
      <c r="H2897" s="8"/>
      <c r="I2897" s="8"/>
      <c r="J2897" s="8"/>
      <c r="K2897" s="8"/>
      <c r="L2897" s="8"/>
      <c r="M2897" s="8"/>
      <c r="N2897" s="8"/>
      <c r="O2897" s="8"/>
      <c r="P2897" s="8"/>
      <c r="Q2897" s="8"/>
      <c r="R2897" s="8"/>
      <c r="S2897" s="8"/>
      <c r="T2897" s="8"/>
      <c r="U2897" s="8"/>
      <c r="V2897" s="8"/>
      <c r="W2897" s="8"/>
      <c r="X2897" s="771"/>
      <c r="Y2897" s="771"/>
      <c r="Z2897" s="771"/>
      <c r="AA2897" s="771"/>
      <c r="AB2897" s="771"/>
      <c r="AC2897" s="771"/>
      <c r="AD2897" s="771"/>
      <c r="AE2897" s="771"/>
      <c r="AF2897" s="771"/>
      <c r="AG2897" s="771"/>
      <c r="AH2897" s="771"/>
      <c r="AI2897" s="771"/>
      <c r="AJ2897" s="771"/>
      <c r="AK2897" s="771"/>
      <c r="AL2897" s="771"/>
      <c r="AM2897" s="771"/>
      <c r="AN2897" s="771"/>
      <c r="AO2897" s="771"/>
      <c r="AP2897" s="771"/>
      <c r="AQ2897" s="771"/>
      <c r="AR2897" s="771"/>
      <c r="AS2897" s="771"/>
      <c r="AT2897" s="771"/>
      <c r="AU2897" s="771"/>
    </row>
    <row r="2898" spans="1:47" s="1423" customFormat="1" outlineLevel="1" x14ac:dyDescent="0.2">
      <c r="A2898" s="8"/>
      <c r="B2898" s="8"/>
      <c r="C2898" s="1989" t="s">
        <v>1255</v>
      </c>
      <c r="D2898" s="1989" t="s">
        <v>1256</v>
      </c>
      <c r="E2898" s="1989">
        <v>2.68</v>
      </c>
      <c r="F2898" s="38">
        <f t="shared" si="45"/>
        <v>217.94092320000004</v>
      </c>
      <c r="G2898" s="1547"/>
      <c r="H2898" s="8"/>
      <c r="I2898" s="8"/>
      <c r="J2898" s="8"/>
      <c r="K2898" s="8"/>
      <c r="L2898" s="8"/>
      <c r="M2898" s="8"/>
      <c r="N2898" s="8"/>
      <c r="O2898" s="8"/>
      <c r="P2898" s="8"/>
      <c r="Q2898" s="8"/>
      <c r="R2898" s="8"/>
      <c r="S2898" s="8"/>
      <c r="T2898" s="8"/>
      <c r="U2898" s="8"/>
      <c r="V2898" s="8"/>
      <c r="W2898" s="8"/>
      <c r="X2898" s="771"/>
      <c r="Y2898" s="771"/>
      <c r="Z2898" s="771"/>
      <c r="AA2898" s="771"/>
      <c r="AB2898" s="771"/>
      <c r="AC2898" s="771"/>
      <c r="AD2898" s="771"/>
      <c r="AE2898" s="771"/>
      <c r="AF2898" s="771"/>
      <c r="AG2898" s="771"/>
      <c r="AH2898" s="771"/>
      <c r="AI2898" s="771"/>
      <c r="AJ2898" s="771"/>
      <c r="AK2898" s="771"/>
      <c r="AL2898" s="771"/>
      <c r="AM2898" s="771"/>
      <c r="AN2898" s="771"/>
      <c r="AO2898" s="771"/>
      <c r="AP2898" s="771"/>
      <c r="AQ2898" s="771"/>
      <c r="AR2898" s="771"/>
      <c r="AS2898" s="771"/>
      <c r="AT2898" s="771"/>
      <c r="AU2898" s="771"/>
    </row>
    <row r="2899" spans="1:47" s="1423" customFormat="1" outlineLevel="1" x14ac:dyDescent="0.2">
      <c r="A2899" s="8"/>
      <c r="B2899" s="8"/>
      <c r="C2899" s="1989" t="s">
        <v>3365</v>
      </c>
      <c r="D2899" s="1989" t="s">
        <v>8210</v>
      </c>
      <c r="E2899" s="1989">
        <v>0.18</v>
      </c>
      <c r="F2899" s="38">
        <f t="shared" si="45"/>
        <v>14.637823200000001</v>
      </c>
      <c r="G2899" s="1547"/>
      <c r="H2899" s="8"/>
      <c r="I2899" s="8"/>
      <c r="J2899" s="8"/>
      <c r="K2899" s="8"/>
      <c r="L2899" s="8"/>
      <c r="M2899" s="8"/>
      <c r="N2899" s="8"/>
      <c r="O2899" s="8"/>
      <c r="P2899" s="8"/>
      <c r="Q2899" s="8"/>
      <c r="R2899" s="8"/>
      <c r="S2899" s="8"/>
      <c r="T2899" s="8"/>
      <c r="U2899" s="8"/>
      <c r="V2899" s="8"/>
      <c r="W2899" s="8"/>
      <c r="X2899" s="771"/>
      <c r="Y2899" s="771"/>
      <c r="Z2899" s="771"/>
      <c r="AA2899" s="771"/>
      <c r="AB2899" s="771"/>
      <c r="AC2899" s="771"/>
      <c r="AD2899" s="771"/>
      <c r="AE2899" s="771"/>
      <c r="AF2899" s="771"/>
      <c r="AG2899" s="771"/>
      <c r="AH2899" s="771"/>
      <c r="AI2899" s="771"/>
      <c r="AJ2899" s="771"/>
      <c r="AK2899" s="771"/>
      <c r="AL2899" s="771"/>
      <c r="AM2899" s="771"/>
      <c r="AN2899" s="771"/>
      <c r="AO2899" s="771"/>
      <c r="AP2899" s="771"/>
      <c r="AQ2899" s="771"/>
      <c r="AR2899" s="771"/>
      <c r="AS2899" s="771"/>
      <c r="AT2899" s="771"/>
      <c r="AU2899" s="771"/>
    </row>
    <row r="2900" spans="1:47" s="1423" customFormat="1" outlineLevel="1" x14ac:dyDescent="0.2">
      <c r="A2900" s="8"/>
      <c r="B2900" s="8"/>
      <c r="C2900" s="1989" t="s">
        <v>2150</v>
      </c>
      <c r="D2900" s="1989" t="s">
        <v>8211</v>
      </c>
      <c r="E2900" s="1989">
        <v>3.33</v>
      </c>
      <c r="F2900" s="38">
        <f t="shared" si="45"/>
        <v>270.7997292</v>
      </c>
      <c r="G2900" s="1547"/>
      <c r="H2900" s="8"/>
      <c r="I2900" s="8"/>
      <c r="J2900" s="8"/>
      <c r="K2900" s="8"/>
      <c r="L2900" s="8"/>
      <c r="M2900" s="8"/>
      <c r="N2900" s="8"/>
      <c r="O2900" s="8"/>
      <c r="P2900" s="8"/>
      <c r="Q2900" s="8"/>
      <c r="R2900" s="8"/>
      <c r="S2900" s="8"/>
      <c r="T2900" s="8"/>
      <c r="U2900" s="8"/>
      <c r="V2900" s="8"/>
      <c r="W2900" s="8"/>
      <c r="X2900" s="771"/>
      <c r="Y2900" s="771"/>
      <c r="Z2900" s="771"/>
      <c r="AA2900" s="771"/>
      <c r="AB2900" s="771"/>
      <c r="AC2900" s="771"/>
      <c r="AD2900" s="771"/>
      <c r="AE2900" s="771"/>
      <c r="AF2900" s="771"/>
      <c r="AG2900" s="771"/>
      <c r="AH2900" s="771"/>
      <c r="AI2900" s="771"/>
      <c r="AJ2900" s="771"/>
      <c r="AK2900" s="771"/>
      <c r="AL2900" s="771"/>
      <c r="AM2900" s="771"/>
      <c r="AN2900" s="771"/>
      <c r="AO2900" s="771"/>
      <c r="AP2900" s="771"/>
      <c r="AQ2900" s="771"/>
      <c r="AR2900" s="771"/>
      <c r="AS2900" s="771"/>
      <c r="AT2900" s="771"/>
      <c r="AU2900" s="771"/>
    </row>
    <row r="2901" spans="1:47" s="1423" customFormat="1" outlineLevel="1" x14ac:dyDescent="0.2">
      <c r="A2901" s="8"/>
      <c r="B2901" s="8"/>
      <c r="C2901" s="1989" t="s">
        <v>369</v>
      </c>
      <c r="D2901" s="1989" t="s">
        <v>8212</v>
      </c>
      <c r="E2901" s="1989">
        <v>7.49</v>
      </c>
      <c r="F2901" s="38">
        <f t="shared" si="45"/>
        <v>609.09608760000003</v>
      </c>
      <c r="G2901" s="1547"/>
      <c r="H2901" s="8"/>
      <c r="I2901" s="8"/>
      <c r="J2901" s="8"/>
      <c r="K2901" s="8"/>
      <c r="L2901" s="8"/>
      <c r="M2901" s="8"/>
      <c r="N2901" s="8"/>
      <c r="O2901" s="8"/>
      <c r="P2901" s="8"/>
      <c r="Q2901" s="8"/>
      <c r="R2901" s="8"/>
      <c r="S2901" s="8"/>
      <c r="T2901" s="8"/>
      <c r="U2901" s="8"/>
      <c r="V2901" s="8"/>
      <c r="W2901" s="8"/>
      <c r="X2901" s="771"/>
      <c r="Y2901" s="771"/>
      <c r="Z2901" s="771"/>
      <c r="AA2901" s="771"/>
      <c r="AB2901" s="771"/>
      <c r="AC2901" s="771"/>
      <c r="AD2901" s="771"/>
      <c r="AE2901" s="771"/>
      <c r="AF2901" s="771"/>
      <c r="AG2901" s="771"/>
      <c r="AH2901" s="771"/>
      <c r="AI2901" s="771"/>
      <c r="AJ2901" s="771"/>
      <c r="AK2901" s="771"/>
      <c r="AL2901" s="771"/>
      <c r="AM2901" s="771"/>
      <c r="AN2901" s="771"/>
      <c r="AO2901" s="771"/>
      <c r="AP2901" s="771"/>
      <c r="AQ2901" s="771"/>
      <c r="AR2901" s="771"/>
      <c r="AS2901" s="771"/>
      <c r="AT2901" s="771"/>
      <c r="AU2901" s="771"/>
    </row>
    <row r="2902" spans="1:47" s="1423" customFormat="1" outlineLevel="1" x14ac:dyDescent="0.2">
      <c r="A2902" s="8"/>
      <c r="B2902" s="8"/>
      <c r="C2902" s="1989" t="s">
        <v>2148</v>
      </c>
      <c r="D2902" s="1989" t="s">
        <v>6352</v>
      </c>
      <c r="E2902" s="1989">
        <v>1.5</v>
      </c>
      <c r="F2902" s="38">
        <f t="shared" si="45"/>
        <v>121.98186</v>
      </c>
      <c r="G2902" s="1547"/>
      <c r="H2902" s="8"/>
      <c r="I2902" s="8"/>
      <c r="J2902" s="8"/>
      <c r="K2902" s="8"/>
      <c r="L2902" s="8"/>
      <c r="M2902" s="8"/>
      <c r="N2902" s="8"/>
      <c r="O2902" s="8"/>
      <c r="P2902" s="8"/>
      <c r="Q2902" s="8"/>
      <c r="R2902" s="8"/>
      <c r="S2902" s="8"/>
      <c r="T2902" s="8"/>
      <c r="U2902" s="8"/>
      <c r="V2902" s="8"/>
      <c r="W2902" s="8"/>
      <c r="X2902" s="771"/>
      <c r="Y2902" s="771"/>
      <c r="Z2902" s="771"/>
      <c r="AA2902" s="771"/>
      <c r="AB2902" s="771"/>
      <c r="AC2902" s="771"/>
      <c r="AD2902" s="771"/>
      <c r="AE2902" s="771"/>
      <c r="AF2902" s="771"/>
      <c r="AG2902" s="771"/>
      <c r="AH2902" s="771"/>
      <c r="AI2902" s="771"/>
      <c r="AJ2902" s="771"/>
      <c r="AK2902" s="771"/>
      <c r="AL2902" s="771"/>
      <c r="AM2902" s="771"/>
      <c r="AN2902" s="771"/>
      <c r="AO2902" s="771"/>
      <c r="AP2902" s="771"/>
      <c r="AQ2902" s="771"/>
      <c r="AR2902" s="771"/>
      <c r="AS2902" s="771"/>
      <c r="AT2902" s="771"/>
      <c r="AU2902" s="771"/>
    </row>
    <row r="2903" spans="1:47" s="1423" customFormat="1" outlineLevel="1" x14ac:dyDescent="0.2">
      <c r="A2903" s="8"/>
      <c r="B2903" s="8"/>
      <c r="C2903" s="1989" t="s">
        <v>1574</v>
      </c>
      <c r="D2903" s="1989" t="s">
        <v>6353</v>
      </c>
      <c r="E2903" s="1989">
        <v>1.22</v>
      </c>
      <c r="F2903" s="38">
        <f t="shared" si="45"/>
        <v>99.211912800000007</v>
      </c>
      <c r="G2903" s="1547"/>
      <c r="H2903" s="8"/>
      <c r="I2903" s="8"/>
      <c r="J2903" s="8"/>
      <c r="K2903" s="8"/>
      <c r="L2903" s="8"/>
      <c r="M2903" s="8"/>
      <c r="N2903" s="8"/>
      <c r="O2903" s="8"/>
      <c r="P2903" s="8"/>
      <c r="Q2903" s="8"/>
      <c r="R2903" s="8"/>
      <c r="S2903" s="8"/>
      <c r="T2903" s="8"/>
      <c r="U2903" s="8"/>
      <c r="V2903" s="8"/>
      <c r="W2903" s="8"/>
      <c r="X2903" s="771"/>
      <c r="Y2903" s="771"/>
      <c r="Z2903" s="771"/>
      <c r="AA2903" s="771"/>
      <c r="AB2903" s="771"/>
      <c r="AC2903" s="771"/>
      <c r="AD2903" s="771"/>
      <c r="AE2903" s="771"/>
      <c r="AF2903" s="771"/>
      <c r="AG2903" s="771"/>
      <c r="AH2903" s="771"/>
      <c r="AI2903" s="771"/>
      <c r="AJ2903" s="771"/>
      <c r="AK2903" s="771"/>
      <c r="AL2903" s="771"/>
      <c r="AM2903" s="771"/>
      <c r="AN2903" s="771"/>
      <c r="AO2903" s="771"/>
      <c r="AP2903" s="771"/>
      <c r="AQ2903" s="771"/>
      <c r="AR2903" s="771"/>
      <c r="AS2903" s="771"/>
      <c r="AT2903" s="771"/>
      <c r="AU2903" s="771"/>
    </row>
    <row r="2904" spans="1:47" s="1423" customFormat="1" outlineLevel="1" x14ac:dyDescent="0.2">
      <c r="A2904" s="8"/>
      <c r="B2904" s="8"/>
      <c r="C2904" s="1989" t="s">
        <v>2147</v>
      </c>
      <c r="D2904" s="1989" t="s">
        <v>8213</v>
      </c>
      <c r="E2904" s="1989">
        <v>1.5</v>
      </c>
      <c r="F2904" s="38">
        <f t="shared" si="45"/>
        <v>121.98186</v>
      </c>
      <c r="G2904" s="1547"/>
      <c r="H2904" s="8"/>
      <c r="I2904" s="8"/>
      <c r="J2904" s="8"/>
      <c r="K2904" s="8"/>
      <c r="L2904" s="8"/>
      <c r="M2904" s="8"/>
      <c r="N2904" s="8"/>
      <c r="O2904" s="8"/>
      <c r="P2904" s="8"/>
      <c r="Q2904" s="8"/>
      <c r="R2904" s="8"/>
      <c r="S2904" s="8"/>
      <c r="T2904" s="8"/>
      <c r="U2904" s="8"/>
      <c r="V2904" s="8"/>
      <c r="W2904" s="8"/>
      <c r="X2904" s="771"/>
      <c r="Y2904" s="771"/>
      <c r="Z2904" s="771"/>
      <c r="AA2904" s="771"/>
      <c r="AB2904" s="771"/>
      <c r="AC2904" s="771"/>
      <c r="AD2904" s="771"/>
      <c r="AE2904" s="771"/>
      <c r="AF2904" s="771"/>
      <c r="AG2904" s="771"/>
      <c r="AH2904" s="771"/>
      <c r="AI2904" s="771"/>
      <c r="AJ2904" s="771"/>
      <c r="AK2904" s="771"/>
      <c r="AL2904" s="771"/>
      <c r="AM2904" s="771"/>
      <c r="AN2904" s="771"/>
      <c r="AO2904" s="771"/>
      <c r="AP2904" s="771"/>
      <c r="AQ2904" s="771"/>
      <c r="AR2904" s="771"/>
      <c r="AS2904" s="771"/>
      <c r="AT2904" s="771"/>
      <c r="AU2904" s="771"/>
    </row>
    <row r="2905" spans="1:47" s="1423" customFormat="1" outlineLevel="1" x14ac:dyDescent="0.2">
      <c r="A2905" s="8"/>
      <c r="B2905" s="8"/>
      <c r="C2905" s="1989" t="s">
        <v>1575</v>
      </c>
      <c r="D2905" s="1989" t="s">
        <v>8214</v>
      </c>
      <c r="E2905" s="1989">
        <v>1.22</v>
      </c>
      <c r="F2905" s="38">
        <f t="shared" si="45"/>
        <v>99.211912800000007</v>
      </c>
      <c r="G2905" s="1547"/>
      <c r="H2905" s="8"/>
      <c r="I2905" s="8"/>
      <c r="J2905" s="8"/>
      <c r="K2905" s="8"/>
      <c r="L2905" s="8"/>
      <c r="M2905" s="8"/>
      <c r="N2905" s="8"/>
      <c r="O2905" s="8"/>
      <c r="P2905" s="8"/>
      <c r="Q2905" s="8"/>
      <c r="R2905" s="8"/>
      <c r="S2905" s="8"/>
      <c r="T2905" s="8"/>
      <c r="U2905" s="8"/>
      <c r="V2905" s="8"/>
      <c r="W2905" s="8"/>
      <c r="X2905" s="771"/>
      <c r="Y2905" s="771"/>
      <c r="Z2905" s="771"/>
      <c r="AA2905" s="771"/>
      <c r="AB2905" s="771"/>
      <c r="AC2905" s="771"/>
      <c r="AD2905" s="771"/>
      <c r="AE2905" s="771"/>
      <c r="AF2905" s="771"/>
      <c r="AG2905" s="771"/>
      <c r="AH2905" s="771"/>
      <c r="AI2905" s="771"/>
      <c r="AJ2905" s="771"/>
      <c r="AK2905" s="771"/>
      <c r="AL2905" s="771"/>
      <c r="AM2905" s="771"/>
      <c r="AN2905" s="771"/>
      <c r="AO2905" s="771"/>
      <c r="AP2905" s="771"/>
      <c r="AQ2905" s="771"/>
      <c r="AR2905" s="771"/>
      <c r="AS2905" s="771"/>
      <c r="AT2905" s="771"/>
      <c r="AU2905" s="771"/>
    </row>
    <row r="2906" spans="1:47" s="1423" customFormat="1" outlineLevel="1" x14ac:dyDescent="0.2">
      <c r="A2906" s="8"/>
      <c r="B2906" s="8"/>
      <c r="C2906" s="1989" t="s">
        <v>4189</v>
      </c>
      <c r="D2906" s="1989" t="s">
        <v>4190</v>
      </c>
      <c r="E2906" s="1989">
        <v>1.42</v>
      </c>
      <c r="F2906" s="38">
        <f t="shared" si="45"/>
        <v>115.4761608</v>
      </c>
      <c r="G2906" s="1547"/>
      <c r="H2906" s="8"/>
      <c r="I2906" s="8"/>
      <c r="J2906" s="8"/>
      <c r="K2906" s="8"/>
      <c r="L2906" s="8"/>
      <c r="M2906" s="8"/>
      <c r="N2906" s="8"/>
      <c r="O2906" s="8"/>
      <c r="P2906" s="8"/>
      <c r="Q2906" s="8"/>
      <c r="R2906" s="8"/>
      <c r="S2906" s="8"/>
      <c r="T2906" s="8"/>
      <c r="U2906" s="8"/>
      <c r="V2906" s="8"/>
      <c r="W2906" s="8"/>
      <c r="X2906" s="771"/>
      <c r="Y2906" s="771"/>
      <c r="Z2906" s="771"/>
      <c r="AA2906" s="771"/>
      <c r="AB2906" s="771"/>
      <c r="AC2906" s="771"/>
      <c r="AD2906" s="771"/>
      <c r="AE2906" s="771"/>
      <c r="AF2906" s="771"/>
      <c r="AG2906" s="771"/>
      <c r="AH2906" s="771"/>
      <c r="AI2906" s="771"/>
      <c r="AJ2906" s="771"/>
      <c r="AK2906" s="771"/>
      <c r="AL2906" s="771"/>
      <c r="AM2906" s="771"/>
      <c r="AN2906" s="771"/>
      <c r="AO2906" s="771"/>
      <c r="AP2906" s="771"/>
      <c r="AQ2906" s="771"/>
      <c r="AR2906" s="771"/>
      <c r="AS2906" s="771"/>
      <c r="AT2906" s="771"/>
      <c r="AU2906" s="771"/>
    </row>
    <row r="2907" spans="1:47" s="1423" customFormat="1" outlineLevel="1" x14ac:dyDescent="0.2">
      <c r="A2907" s="8"/>
      <c r="B2907" s="8"/>
      <c r="C2907" s="1989" t="s">
        <v>2048</v>
      </c>
      <c r="D2907" s="1989" t="s">
        <v>6354</v>
      </c>
      <c r="E2907" s="1989">
        <v>1.5</v>
      </c>
      <c r="F2907" s="38">
        <f t="shared" si="45"/>
        <v>121.98186</v>
      </c>
      <c r="G2907" s="1547"/>
      <c r="H2907" s="8"/>
      <c r="I2907" s="8"/>
      <c r="J2907" s="8"/>
      <c r="K2907" s="8"/>
      <c r="L2907" s="8"/>
      <c r="M2907" s="8"/>
      <c r="N2907" s="8"/>
      <c r="O2907" s="8"/>
      <c r="P2907" s="8"/>
      <c r="Q2907" s="8"/>
      <c r="R2907" s="8"/>
      <c r="S2907" s="8"/>
      <c r="T2907" s="8"/>
      <c r="U2907" s="8"/>
      <c r="V2907" s="8"/>
      <c r="W2907" s="8"/>
      <c r="X2907" s="771"/>
      <c r="Y2907" s="771"/>
      <c r="Z2907" s="771"/>
      <c r="AA2907" s="771"/>
      <c r="AB2907" s="771"/>
      <c r="AC2907" s="771"/>
      <c r="AD2907" s="771"/>
      <c r="AE2907" s="771"/>
      <c r="AF2907" s="771"/>
      <c r="AG2907" s="771"/>
      <c r="AH2907" s="771"/>
      <c r="AI2907" s="771"/>
      <c r="AJ2907" s="771"/>
      <c r="AK2907" s="771"/>
      <c r="AL2907" s="771"/>
      <c r="AM2907" s="771"/>
      <c r="AN2907" s="771"/>
      <c r="AO2907" s="771"/>
      <c r="AP2907" s="771"/>
      <c r="AQ2907" s="771"/>
      <c r="AR2907" s="771"/>
      <c r="AS2907" s="771"/>
      <c r="AT2907" s="771"/>
      <c r="AU2907" s="771"/>
    </row>
    <row r="2908" spans="1:47" outlineLevel="1" x14ac:dyDescent="0.2">
      <c r="C2908" s="1989" t="s">
        <v>6844</v>
      </c>
      <c r="D2908" s="1989" t="s">
        <v>6355</v>
      </c>
      <c r="E2908" s="1989">
        <v>0.18</v>
      </c>
      <c r="F2908" s="38">
        <f t="shared" si="45"/>
        <v>14.637823200000001</v>
      </c>
      <c r="G2908" s="1547"/>
    </row>
    <row r="2909" spans="1:47" outlineLevel="1" x14ac:dyDescent="0.2">
      <c r="C2909" s="1989" t="s">
        <v>1142</v>
      </c>
      <c r="D2909" s="1989" t="s">
        <v>6356</v>
      </c>
      <c r="E2909" s="1989">
        <v>0.91</v>
      </c>
      <c r="F2909" s="38">
        <f t="shared" si="45"/>
        <v>74.00232840000001</v>
      </c>
      <c r="G2909" s="1547"/>
    </row>
    <row r="2910" spans="1:47" outlineLevel="1" x14ac:dyDescent="0.2">
      <c r="C2910" s="1989" t="s">
        <v>2740</v>
      </c>
      <c r="D2910" s="1989" t="s">
        <v>8215</v>
      </c>
      <c r="E2910" s="1989">
        <v>13.4</v>
      </c>
      <c r="F2910" s="38">
        <f t="shared" si="45"/>
        <v>1089.704616</v>
      </c>
      <c r="G2910" s="1547"/>
    </row>
    <row r="2911" spans="1:47" outlineLevel="1" x14ac:dyDescent="0.2">
      <c r="C2911" s="1989" t="s">
        <v>1697</v>
      </c>
      <c r="D2911" s="1989" t="s">
        <v>8216</v>
      </c>
      <c r="E2911" s="1989">
        <v>0.38</v>
      </c>
      <c r="F2911" s="38">
        <f t="shared" si="45"/>
        <v>30.902071199999998</v>
      </c>
      <c r="G2911" s="1547"/>
    </row>
    <row r="2912" spans="1:47" outlineLevel="1" x14ac:dyDescent="0.2">
      <c r="C2912" s="1989" t="s">
        <v>657</v>
      </c>
      <c r="D2912" s="1989" t="s">
        <v>6357</v>
      </c>
      <c r="E2912" s="1989">
        <v>1.5</v>
      </c>
      <c r="F2912" s="38">
        <f t="shared" si="45"/>
        <v>121.98186</v>
      </c>
      <c r="G2912" s="1547"/>
    </row>
    <row r="2913" spans="1:47" outlineLevel="1" x14ac:dyDescent="0.2">
      <c r="C2913" s="1989" t="s">
        <v>2078</v>
      </c>
      <c r="D2913" s="1989" t="s">
        <v>6358</v>
      </c>
      <c r="E2913" s="1989">
        <v>1.22</v>
      </c>
      <c r="F2913" s="38">
        <f t="shared" si="45"/>
        <v>99.211912800000007</v>
      </c>
      <c r="G2913" s="1547"/>
    </row>
    <row r="2914" spans="1:47" outlineLevel="1" x14ac:dyDescent="0.2">
      <c r="C2914" s="1989" t="s">
        <v>656</v>
      </c>
      <c r="D2914" s="1989" t="s">
        <v>8217</v>
      </c>
      <c r="E2914" s="1989">
        <v>1.5</v>
      </c>
      <c r="F2914" s="38">
        <f t="shared" si="45"/>
        <v>121.98186</v>
      </c>
      <c r="G2914" s="1547"/>
    </row>
    <row r="2915" spans="1:47" outlineLevel="1" x14ac:dyDescent="0.2">
      <c r="C2915" s="1989" t="s">
        <v>2079</v>
      </c>
      <c r="D2915" s="1989" t="s">
        <v>8218</v>
      </c>
      <c r="E2915" s="1989">
        <v>1.22</v>
      </c>
      <c r="F2915" s="38">
        <f t="shared" si="45"/>
        <v>99.211912800000007</v>
      </c>
      <c r="G2915" s="1547"/>
    </row>
    <row r="2916" spans="1:47" s="1432" customFormat="1" outlineLevel="1" x14ac:dyDescent="0.2">
      <c r="A2916" s="8"/>
      <c r="B2916" s="8"/>
      <c r="C2916" s="1989" t="s">
        <v>2080</v>
      </c>
      <c r="D2916" s="1989" t="s">
        <v>8219</v>
      </c>
      <c r="E2916" s="1989">
        <v>11.33</v>
      </c>
      <c r="F2916" s="38">
        <f t="shared" si="45"/>
        <v>921.36964920000003</v>
      </c>
      <c r="G2916" s="1547"/>
      <c r="H2916" s="8"/>
      <c r="I2916" s="8"/>
      <c r="J2916" s="8"/>
      <c r="K2916" s="8"/>
      <c r="L2916" s="8"/>
      <c r="M2916" s="8"/>
      <c r="N2916" s="8"/>
      <c r="O2916" s="8"/>
      <c r="P2916" s="8"/>
      <c r="Q2916" s="8"/>
      <c r="R2916" s="8"/>
      <c r="S2916" s="8"/>
      <c r="T2916" s="8"/>
      <c r="U2916" s="8"/>
      <c r="V2916" s="8"/>
      <c r="W2916" s="8"/>
      <c r="X2916" s="771"/>
      <c r="Y2916" s="771"/>
      <c r="Z2916" s="771"/>
      <c r="AA2916" s="771"/>
      <c r="AB2916" s="771"/>
      <c r="AC2916" s="771"/>
      <c r="AD2916" s="771"/>
      <c r="AE2916" s="771"/>
      <c r="AF2916" s="771"/>
      <c r="AG2916" s="771"/>
      <c r="AH2916" s="771"/>
      <c r="AI2916" s="771"/>
      <c r="AJ2916" s="771"/>
      <c r="AK2916" s="771"/>
      <c r="AL2916" s="771"/>
      <c r="AM2916" s="771"/>
      <c r="AN2916" s="771"/>
      <c r="AO2916" s="771"/>
      <c r="AP2916" s="771"/>
      <c r="AQ2916" s="771"/>
      <c r="AR2916" s="771"/>
      <c r="AS2916" s="771"/>
      <c r="AT2916" s="771"/>
      <c r="AU2916" s="771"/>
    </row>
    <row r="2917" spans="1:47" s="1432" customFormat="1" outlineLevel="1" x14ac:dyDescent="0.2">
      <c r="A2917" s="8"/>
      <c r="B2917" s="8"/>
      <c r="C2917" s="1989" t="s">
        <v>2081</v>
      </c>
      <c r="D2917" s="1989" t="s">
        <v>6359</v>
      </c>
      <c r="E2917" s="1989">
        <v>11.33</v>
      </c>
      <c r="F2917" s="38">
        <f t="shared" si="45"/>
        <v>921.36964920000003</v>
      </c>
      <c r="G2917" s="1547"/>
      <c r="H2917" s="8"/>
      <c r="I2917" s="8"/>
      <c r="J2917" s="8"/>
      <c r="K2917" s="8"/>
      <c r="L2917" s="8"/>
      <c r="M2917" s="8"/>
      <c r="N2917" s="8"/>
      <c r="O2917" s="8"/>
      <c r="P2917" s="8"/>
      <c r="Q2917" s="8"/>
      <c r="R2917" s="8"/>
      <c r="S2917" s="8"/>
      <c r="T2917" s="8"/>
      <c r="U2917" s="8"/>
      <c r="V2917" s="8"/>
      <c r="W2917" s="8"/>
      <c r="X2917" s="771"/>
      <c r="Y2917" s="771"/>
      <c r="Z2917" s="771"/>
      <c r="AA2917" s="771"/>
      <c r="AB2917" s="771"/>
      <c r="AC2917" s="771"/>
      <c r="AD2917" s="771"/>
      <c r="AE2917" s="771"/>
      <c r="AF2917" s="771"/>
      <c r="AG2917" s="771"/>
      <c r="AH2917" s="771"/>
      <c r="AI2917" s="771"/>
      <c r="AJ2917" s="771"/>
      <c r="AK2917" s="771"/>
      <c r="AL2917" s="771"/>
      <c r="AM2917" s="771"/>
      <c r="AN2917" s="771"/>
      <c r="AO2917" s="771"/>
      <c r="AP2917" s="771"/>
      <c r="AQ2917" s="771"/>
      <c r="AR2917" s="771"/>
      <c r="AS2917" s="771"/>
      <c r="AT2917" s="771"/>
      <c r="AU2917" s="771"/>
    </row>
    <row r="2918" spans="1:47" s="1432" customFormat="1" outlineLevel="1" x14ac:dyDescent="0.2">
      <c r="A2918" s="8"/>
      <c r="B2918" s="8"/>
      <c r="C2918" s="1989" t="s">
        <v>1693</v>
      </c>
      <c r="D2918" s="1989" t="s">
        <v>6360</v>
      </c>
      <c r="E2918" s="1989">
        <v>0.96</v>
      </c>
      <c r="F2918" s="38">
        <f t="shared" si="45"/>
        <v>78.068390399999998</v>
      </c>
      <c r="G2918" s="1547"/>
      <c r="H2918" s="8"/>
      <c r="I2918" s="8"/>
      <c r="J2918" s="8"/>
      <c r="K2918" s="8"/>
      <c r="L2918" s="8"/>
      <c r="M2918" s="8"/>
      <c r="N2918" s="8"/>
      <c r="O2918" s="8"/>
      <c r="P2918" s="8"/>
      <c r="Q2918" s="8"/>
      <c r="R2918" s="8"/>
      <c r="S2918" s="8"/>
      <c r="T2918" s="8"/>
      <c r="U2918" s="8"/>
      <c r="V2918" s="8"/>
      <c r="W2918" s="8"/>
      <c r="X2918" s="771"/>
      <c r="Y2918" s="771"/>
      <c r="Z2918" s="771"/>
      <c r="AA2918" s="771"/>
      <c r="AB2918" s="771"/>
      <c r="AC2918" s="771"/>
      <c r="AD2918" s="771"/>
      <c r="AE2918" s="771"/>
      <c r="AF2918" s="771"/>
      <c r="AG2918" s="771"/>
      <c r="AH2918" s="771"/>
      <c r="AI2918" s="771"/>
      <c r="AJ2918" s="771"/>
      <c r="AK2918" s="771"/>
      <c r="AL2918" s="771"/>
      <c r="AM2918" s="771"/>
      <c r="AN2918" s="771"/>
      <c r="AO2918" s="771"/>
      <c r="AP2918" s="771"/>
      <c r="AQ2918" s="771"/>
      <c r="AR2918" s="771"/>
      <c r="AS2918" s="771"/>
      <c r="AT2918" s="771"/>
      <c r="AU2918" s="771"/>
    </row>
    <row r="2919" spans="1:47" s="1432" customFormat="1" outlineLevel="1" x14ac:dyDescent="0.2">
      <c r="A2919" s="8"/>
      <c r="B2919" s="8"/>
      <c r="C2919" s="1989" t="s">
        <v>342</v>
      </c>
      <c r="D2919" s="1989" t="s">
        <v>6361</v>
      </c>
      <c r="E2919" s="1989">
        <v>8.1199999999999992</v>
      </c>
      <c r="F2919" s="38">
        <f t="shared" si="45"/>
        <v>660.32846879999988</v>
      </c>
      <c r="G2919" s="1547"/>
      <c r="H2919" s="8"/>
      <c r="I2919" s="8"/>
      <c r="J2919" s="8"/>
      <c r="K2919" s="8"/>
      <c r="L2919" s="8"/>
      <c r="M2919" s="8"/>
      <c r="N2919" s="8"/>
      <c r="O2919" s="8"/>
      <c r="P2919" s="8"/>
      <c r="Q2919" s="8"/>
      <c r="R2919" s="8"/>
      <c r="S2919" s="8"/>
      <c r="T2919" s="8"/>
      <c r="U2919" s="8"/>
      <c r="V2919" s="8"/>
      <c r="W2919" s="8"/>
      <c r="X2919" s="771"/>
      <c r="Y2919" s="771"/>
      <c r="Z2919" s="771"/>
      <c r="AA2919" s="771"/>
      <c r="AB2919" s="771"/>
      <c r="AC2919" s="771"/>
      <c r="AD2919" s="771"/>
      <c r="AE2919" s="771"/>
      <c r="AF2919" s="771"/>
      <c r="AG2919" s="771"/>
      <c r="AH2919" s="771"/>
      <c r="AI2919" s="771"/>
      <c r="AJ2919" s="771"/>
      <c r="AK2919" s="771"/>
      <c r="AL2919" s="771"/>
      <c r="AM2919" s="771"/>
      <c r="AN2919" s="771"/>
      <c r="AO2919" s="771"/>
      <c r="AP2919" s="771"/>
      <c r="AQ2919" s="771"/>
      <c r="AR2919" s="771"/>
      <c r="AS2919" s="771"/>
      <c r="AT2919" s="771"/>
      <c r="AU2919" s="771"/>
    </row>
    <row r="2920" spans="1:47" s="1432" customFormat="1" outlineLevel="1" x14ac:dyDescent="0.2">
      <c r="A2920" s="8"/>
      <c r="B2920" s="8"/>
      <c r="C2920" s="1989" t="s">
        <v>343</v>
      </c>
      <c r="D2920" s="1989" t="s">
        <v>6362</v>
      </c>
      <c r="E2920" s="1989">
        <v>8.17</v>
      </c>
      <c r="F2920" s="38">
        <f t="shared" si="45"/>
        <v>664.3945308000001</v>
      </c>
      <c r="G2920" s="1547"/>
      <c r="H2920" s="8"/>
      <c r="I2920" s="8"/>
      <c r="J2920" s="8"/>
      <c r="K2920" s="8"/>
      <c r="L2920" s="8"/>
      <c r="M2920" s="8"/>
      <c r="N2920" s="8"/>
      <c r="O2920" s="8"/>
      <c r="P2920" s="8"/>
      <c r="Q2920" s="8"/>
      <c r="R2920" s="8"/>
      <c r="S2920" s="8"/>
      <c r="T2920" s="8"/>
      <c r="U2920" s="8"/>
      <c r="V2920" s="8"/>
      <c r="W2920" s="8"/>
      <c r="X2920" s="771"/>
      <c r="Y2920" s="771"/>
      <c r="Z2920" s="771"/>
      <c r="AA2920" s="771"/>
      <c r="AB2920" s="771"/>
      <c r="AC2920" s="771"/>
      <c r="AD2920" s="771"/>
      <c r="AE2920" s="771"/>
      <c r="AF2920" s="771"/>
      <c r="AG2920" s="771"/>
      <c r="AH2920" s="771"/>
      <c r="AI2920" s="771"/>
      <c r="AJ2920" s="771"/>
      <c r="AK2920" s="771"/>
      <c r="AL2920" s="771"/>
      <c r="AM2920" s="771"/>
      <c r="AN2920" s="771"/>
      <c r="AO2920" s="771"/>
      <c r="AP2920" s="771"/>
      <c r="AQ2920" s="771"/>
      <c r="AR2920" s="771"/>
      <c r="AS2920" s="771"/>
      <c r="AT2920" s="771"/>
      <c r="AU2920" s="771"/>
    </row>
    <row r="2921" spans="1:47" s="1432" customFormat="1" outlineLevel="1" x14ac:dyDescent="0.2">
      <c r="A2921" s="8"/>
      <c r="B2921" s="8"/>
      <c r="C2921" s="1989" t="s">
        <v>1031</v>
      </c>
      <c r="D2921" s="1989" t="s">
        <v>6363</v>
      </c>
      <c r="E2921" s="1989">
        <v>9.06</v>
      </c>
      <c r="F2921" s="38">
        <f t="shared" si="45"/>
        <v>736.7704344</v>
      </c>
      <c r="G2921" s="1547"/>
      <c r="H2921" s="8"/>
      <c r="I2921" s="8"/>
      <c r="J2921" s="8"/>
      <c r="K2921" s="8"/>
      <c r="L2921" s="8"/>
      <c r="M2921" s="8"/>
      <c r="N2921" s="8"/>
      <c r="O2921" s="8"/>
      <c r="P2921" s="8"/>
      <c r="Q2921" s="8"/>
      <c r="R2921" s="8"/>
      <c r="S2921" s="8"/>
      <c r="T2921" s="8"/>
      <c r="U2921" s="8"/>
      <c r="V2921" s="8"/>
      <c r="W2921" s="8"/>
      <c r="X2921" s="771"/>
      <c r="Y2921" s="771"/>
      <c r="Z2921" s="771"/>
      <c r="AA2921" s="771"/>
      <c r="AB2921" s="771"/>
      <c r="AC2921" s="771"/>
      <c r="AD2921" s="771"/>
      <c r="AE2921" s="771"/>
      <c r="AF2921" s="771"/>
      <c r="AG2921" s="771"/>
      <c r="AH2921" s="771"/>
      <c r="AI2921" s="771"/>
      <c r="AJ2921" s="771"/>
      <c r="AK2921" s="771"/>
      <c r="AL2921" s="771"/>
      <c r="AM2921" s="771"/>
      <c r="AN2921" s="771"/>
      <c r="AO2921" s="771"/>
      <c r="AP2921" s="771"/>
      <c r="AQ2921" s="771"/>
      <c r="AR2921" s="771"/>
      <c r="AS2921" s="771"/>
      <c r="AT2921" s="771"/>
      <c r="AU2921" s="771"/>
    </row>
    <row r="2922" spans="1:47" s="1432" customFormat="1" outlineLevel="1" x14ac:dyDescent="0.2">
      <c r="A2922" s="8"/>
      <c r="B2922" s="8"/>
      <c r="C2922" s="1989" t="s">
        <v>304</v>
      </c>
      <c r="D2922" s="1989" t="s">
        <v>303</v>
      </c>
      <c r="E2922" s="1989">
        <v>1.22</v>
      </c>
      <c r="F2922" s="38">
        <f t="shared" si="45"/>
        <v>99.211912800000007</v>
      </c>
      <c r="G2922" s="1547"/>
      <c r="H2922" s="8"/>
      <c r="I2922" s="8"/>
      <c r="J2922" s="8"/>
      <c r="K2922" s="8"/>
      <c r="L2922" s="8"/>
      <c r="M2922" s="8"/>
      <c r="N2922" s="8"/>
      <c r="O2922" s="8"/>
      <c r="P2922" s="8"/>
      <c r="Q2922" s="8"/>
      <c r="R2922" s="8"/>
      <c r="S2922" s="8"/>
      <c r="T2922" s="8"/>
      <c r="U2922" s="8"/>
      <c r="V2922" s="8"/>
      <c r="W2922" s="8"/>
      <c r="X2922" s="771"/>
      <c r="Y2922" s="771"/>
      <c r="Z2922" s="771"/>
      <c r="AA2922" s="771"/>
      <c r="AB2922" s="771"/>
      <c r="AC2922" s="771"/>
      <c r="AD2922" s="771"/>
      <c r="AE2922" s="771"/>
      <c r="AF2922" s="771"/>
      <c r="AG2922" s="771"/>
      <c r="AH2922" s="771"/>
      <c r="AI2922" s="771"/>
      <c r="AJ2922" s="771"/>
      <c r="AK2922" s="771"/>
      <c r="AL2922" s="771"/>
      <c r="AM2922" s="771"/>
      <c r="AN2922" s="771"/>
      <c r="AO2922" s="771"/>
      <c r="AP2922" s="771"/>
      <c r="AQ2922" s="771"/>
      <c r="AR2922" s="771"/>
      <c r="AS2922" s="771"/>
      <c r="AT2922" s="771"/>
      <c r="AU2922" s="771"/>
    </row>
    <row r="2923" spans="1:47" s="1432" customFormat="1" outlineLevel="1" x14ac:dyDescent="0.2">
      <c r="A2923" s="8"/>
      <c r="B2923" s="8"/>
      <c r="C2923" s="1989" t="s">
        <v>1032</v>
      </c>
      <c r="D2923" s="1989" t="s">
        <v>6364</v>
      </c>
      <c r="E2923" s="1989">
        <v>15.45</v>
      </c>
      <c r="F2923" s="38">
        <f t="shared" si="45"/>
        <v>1256.4131580000001</v>
      </c>
      <c r="G2923" s="1547"/>
      <c r="H2923" s="8"/>
      <c r="I2923" s="8"/>
      <c r="J2923" s="8"/>
      <c r="K2923" s="8"/>
      <c r="L2923" s="8"/>
      <c r="M2923" s="8"/>
      <c r="N2923" s="8"/>
      <c r="O2923" s="8"/>
      <c r="P2923" s="8"/>
      <c r="Q2923" s="8"/>
      <c r="R2923" s="8"/>
      <c r="S2923" s="8"/>
      <c r="T2923" s="8"/>
      <c r="U2923" s="8"/>
      <c r="V2923" s="8"/>
      <c r="W2923" s="8"/>
      <c r="X2923" s="771"/>
      <c r="Y2923" s="771"/>
      <c r="Z2923" s="771"/>
      <c r="AA2923" s="771"/>
      <c r="AB2923" s="771"/>
      <c r="AC2923" s="771"/>
      <c r="AD2923" s="771"/>
      <c r="AE2923" s="771"/>
      <c r="AF2923" s="771"/>
      <c r="AG2923" s="771"/>
      <c r="AH2923" s="771"/>
      <c r="AI2923" s="771"/>
      <c r="AJ2923" s="771"/>
      <c r="AK2923" s="771"/>
      <c r="AL2923" s="771"/>
      <c r="AM2923" s="771"/>
      <c r="AN2923" s="771"/>
      <c r="AO2923" s="771"/>
      <c r="AP2923" s="771"/>
      <c r="AQ2923" s="771"/>
      <c r="AR2923" s="771"/>
      <c r="AS2923" s="771"/>
      <c r="AT2923" s="771"/>
      <c r="AU2923" s="771"/>
    </row>
    <row r="2924" spans="1:47" s="1432" customFormat="1" outlineLevel="1" x14ac:dyDescent="0.2">
      <c r="A2924" s="8"/>
      <c r="B2924" s="8"/>
      <c r="C2924" s="1989" t="s">
        <v>831</v>
      </c>
      <c r="D2924" s="1989" t="s">
        <v>6365</v>
      </c>
      <c r="E2924" s="1989">
        <v>9.06</v>
      </c>
      <c r="F2924" s="38">
        <f t="shared" si="45"/>
        <v>736.7704344</v>
      </c>
      <c r="G2924" s="1547"/>
      <c r="H2924" s="8"/>
      <c r="I2924" s="8"/>
      <c r="J2924" s="8"/>
      <c r="K2924" s="8"/>
      <c r="L2924" s="8"/>
      <c r="M2924" s="8"/>
      <c r="N2924" s="8"/>
      <c r="O2924" s="8"/>
      <c r="P2924" s="8"/>
      <c r="Q2924" s="8"/>
      <c r="R2924" s="8"/>
      <c r="S2924" s="8"/>
      <c r="T2924" s="8"/>
      <c r="U2924" s="8"/>
      <c r="V2924" s="8"/>
      <c r="W2924" s="8"/>
      <c r="X2924" s="771"/>
      <c r="Y2924" s="771"/>
      <c r="Z2924" s="771"/>
      <c r="AA2924" s="771"/>
      <c r="AB2924" s="771"/>
      <c r="AC2924" s="771"/>
      <c r="AD2924" s="771"/>
      <c r="AE2924" s="771"/>
      <c r="AF2924" s="771"/>
      <c r="AG2924" s="771"/>
      <c r="AH2924" s="771"/>
      <c r="AI2924" s="771"/>
      <c r="AJ2924" s="771"/>
      <c r="AK2924" s="771"/>
      <c r="AL2924" s="771"/>
      <c r="AM2924" s="771"/>
      <c r="AN2924" s="771"/>
      <c r="AO2924" s="771"/>
      <c r="AP2924" s="771"/>
      <c r="AQ2924" s="771"/>
      <c r="AR2924" s="771"/>
      <c r="AS2924" s="771"/>
      <c r="AT2924" s="771"/>
      <c r="AU2924" s="771"/>
    </row>
    <row r="2925" spans="1:47" s="1432" customFormat="1" outlineLevel="1" x14ac:dyDescent="0.2">
      <c r="A2925" s="8"/>
      <c r="B2925" s="8"/>
      <c r="C2925" s="1989" t="s">
        <v>896</v>
      </c>
      <c r="D2925" s="1989" t="s">
        <v>6366</v>
      </c>
      <c r="E2925" s="1989">
        <v>15.45</v>
      </c>
      <c r="F2925" s="38">
        <f t="shared" si="45"/>
        <v>1256.4131580000001</v>
      </c>
      <c r="G2925" s="1547"/>
      <c r="H2925" s="8"/>
      <c r="I2925" s="8"/>
      <c r="J2925" s="8"/>
      <c r="K2925" s="8"/>
      <c r="L2925" s="8"/>
      <c r="M2925" s="8"/>
      <c r="N2925" s="8"/>
      <c r="O2925" s="8"/>
      <c r="P2925" s="8"/>
      <c r="Q2925" s="8"/>
      <c r="R2925" s="8"/>
      <c r="S2925" s="8"/>
      <c r="T2925" s="8"/>
      <c r="U2925" s="8"/>
      <c r="V2925" s="8"/>
      <c r="W2925" s="8"/>
      <c r="X2925" s="771"/>
      <c r="Y2925" s="771"/>
      <c r="Z2925" s="771"/>
      <c r="AA2925" s="771"/>
      <c r="AB2925" s="771"/>
      <c r="AC2925" s="771"/>
      <c r="AD2925" s="771"/>
      <c r="AE2925" s="771"/>
      <c r="AF2925" s="771"/>
      <c r="AG2925" s="771"/>
      <c r="AH2925" s="771"/>
      <c r="AI2925" s="771"/>
      <c r="AJ2925" s="771"/>
      <c r="AK2925" s="771"/>
      <c r="AL2925" s="771"/>
      <c r="AM2925" s="771"/>
      <c r="AN2925" s="771"/>
      <c r="AO2925" s="771"/>
      <c r="AP2925" s="771"/>
      <c r="AQ2925" s="771"/>
      <c r="AR2925" s="771"/>
      <c r="AS2925" s="771"/>
      <c r="AT2925" s="771"/>
      <c r="AU2925" s="771"/>
    </row>
    <row r="2926" spans="1:47" s="1432" customFormat="1" outlineLevel="1" x14ac:dyDescent="0.2">
      <c r="A2926" s="8"/>
      <c r="B2926" s="8"/>
      <c r="C2926" s="1989" t="s">
        <v>1694</v>
      </c>
      <c r="D2926" s="1989" t="s">
        <v>3366</v>
      </c>
      <c r="E2926" s="1989">
        <v>0.15</v>
      </c>
      <c r="F2926" s="38">
        <f t="shared" si="45"/>
        <v>12.198186</v>
      </c>
      <c r="G2926" s="1547"/>
      <c r="H2926" s="8"/>
      <c r="I2926" s="8"/>
      <c r="J2926" s="8"/>
      <c r="K2926" s="8"/>
      <c r="L2926" s="8"/>
      <c r="M2926" s="8"/>
      <c r="N2926" s="8"/>
      <c r="O2926" s="8"/>
      <c r="P2926" s="8"/>
      <c r="Q2926" s="8"/>
      <c r="R2926" s="8"/>
      <c r="S2926" s="8"/>
      <c r="T2926" s="8"/>
      <c r="U2926" s="8"/>
      <c r="V2926" s="8"/>
      <c r="W2926" s="8"/>
      <c r="X2926" s="771"/>
      <c r="Y2926" s="771"/>
      <c r="Z2926" s="771"/>
      <c r="AA2926" s="771"/>
      <c r="AB2926" s="771"/>
      <c r="AC2926" s="771"/>
      <c r="AD2926" s="771"/>
      <c r="AE2926" s="771"/>
      <c r="AF2926" s="771"/>
      <c r="AG2926" s="771"/>
      <c r="AH2926" s="771"/>
      <c r="AI2926" s="771"/>
      <c r="AJ2926" s="771"/>
      <c r="AK2926" s="771"/>
      <c r="AL2926" s="771"/>
      <c r="AM2926" s="771"/>
      <c r="AN2926" s="771"/>
      <c r="AO2926" s="771"/>
      <c r="AP2926" s="771"/>
      <c r="AQ2926" s="771"/>
      <c r="AR2926" s="771"/>
      <c r="AS2926" s="771"/>
      <c r="AT2926" s="771"/>
      <c r="AU2926" s="771"/>
    </row>
    <row r="2927" spans="1:47" s="1432" customFormat="1" outlineLevel="1" x14ac:dyDescent="0.2">
      <c r="A2927" s="8"/>
      <c r="B2927" s="8"/>
      <c r="C2927" s="1989" t="s">
        <v>71</v>
      </c>
      <c r="D2927" s="1989" t="s">
        <v>6367</v>
      </c>
      <c r="E2927" s="1989">
        <v>0.91</v>
      </c>
      <c r="F2927" s="38">
        <f t="shared" si="45"/>
        <v>74.00232840000001</v>
      </c>
      <c r="G2927" s="1547"/>
      <c r="H2927" s="8"/>
      <c r="I2927" s="8"/>
      <c r="J2927" s="8"/>
      <c r="K2927" s="8"/>
      <c r="L2927" s="8"/>
      <c r="M2927" s="8"/>
      <c r="N2927" s="8"/>
      <c r="O2927" s="8"/>
      <c r="P2927" s="8"/>
      <c r="Q2927" s="8"/>
      <c r="R2927" s="8"/>
      <c r="S2927" s="8"/>
      <c r="T2927" s="8"/>
      <c r="U2927" s="8"/>
      <c r="V2927" s="8"/>
      <c r="W2927" s="8"/>
      <c r="X2927" s="771"/>
      <c r="Y2927" s="771"/>
      <c r="Z2927" s="771"/>
      <c r="AA2927" s="771"/>
      <c r="AB2927" s="771"/>
      <c r="AC2927" s="771"/>
      <c r="AD2927" s="771"/>
      <c r="AE2927" s="771"/>
      <c r="AF2927" s="771"/>
      <c r="AG2927" s="771"/>
      <c r="AH2927" s="771"/>
      <c r="AI2927" s="771"/>
      <c r="AJ2927" s="771"/>
      <c r="AK2927" s="771"/>
      <c r="AL2927" s="771"/>
      <c r="AM2927" s="771"/>
      <c r="AN2927" s="771"/>
      <c r="AO2927" s="771"/>
      <c r="AP2927" s="771"/>
      <c r="AQ2927" s="771"/>
      <c r="AR2927" s="771"/>
      <c r="AS2927" s="771"/>
      <c r="AT2927" s="771"/>
      <c r="AU2927" s="771"/>
    </row>
    <row r="2928" spans="1:47" s="1432" customFormat="1" outlineLevel="1" x14ac:dyDescent="0.2">
      <c r="A2928" s="8"/>
      <c r="B2928" s="8"/>
      <c r="C2928" s="1989" t="s">
        <v>3367</v>
      </c>
      <c r="D2928" s="1989" t="s">
        <v>8220</v>
      </c>
      <c r="E2928" s="1989">
        <v>0</v>
      </c>
      <c r="F2928" s="38">
        <f t="shared" si="45"/>
        <v>0</v>
      </c>
      <c r="G2928" s="1547"/>
      <c r="H2928" s="8"/>
      <c r="I2928" s="8"/>
      <c r="J2928" s="8"/>
      <c r="K2928" s="8"/>
      <c r="L2928" s="8"/>
      <c r="M2928" s="8"/>
      <c r="N2928" s="8"/>
      <c r="O2928" s="8"/>
      <c r="P2928" s="8"/>
      <c r="Q2928" s="8"/>
      <c r="R2928" s="8"/>
      <c r="S2928" s="8"/>
      <c r="T2928" s="8"/>
      <c r="U2928" s="8"/>
      <c r="V2928" s="8"/>
      <c r="W2928" s="8"/>
      <c r="X2928" s="771"/>
      <c r="Y2928" s="771"/>
      <c r="Z2928" s="771"/>
      <c r="AA2928" s="771"/>
      <c r="AB2928" s="771"/>
      <c r="AC2928" s="771"/>
      <c r="AD2928" s="771"/>
      <c r="AE2928" s="771"/>
      <c r="AF2928" s="771"/>
      <c r="AG2928" s="771"/>
      <c r="AH2928" s="771"/>
      <c r="AI2928" s="771"/>
      <c r="AJ2928" s="771"/>
      <c r="AK2928" s="771"/>
      <c r="AL2928" s="771"/>
      <c r="AM2928" s="771"/>
      <c r="AN2928" s="771"/>
      <c r="AO2928" s="771"/>
      <c r="AP2928" s="771"/>
      <c r="AQ2928" s="771"/>
      <c r="AR2928" s="771"/>
      <c r="AS2928" s="771"/>
      <c r="AT2928" s="771"/>
      <c r="AU2928" s="771"/>
    </row>
    <row r="2929" spans="1:47" s="1432" customFormat="1" outlineLevel="1" x14ac:dyDescent="0.2">
      <c r="A2929" s="8"/>
      <c r="B2929" s="8"/>
      <c r="C2929" s="1989" t="s">
        <v>2623</v>
      </c>
      <c r="D2929" s="1989" t="s">
        <v>6368</v>
      </c>
      <c r="E2929" s="1989">
        <v>10.45</v>
      </c>
      <c r="F2929" s="38">
        <f t="shared" si="45"/>
        <v>849.80695800000001</v>
      </c>
      <c r="G2929" s="1547"/>
      <c r="H2929" s="8"/>
      <c r="I2929" s="8"/>
      <c r="J2929" s="8"/>
      <c r="K2929" s="8"/>
      <c r="L2929" s="8"/>
      <c r="M2929" s="8"/>
      <c r="N2929" s="8"/>
      <c r="O2929" s="8"/>
      <c r="P2929" s="8"/>
      <c r="Q2929" s="8"/>
      <c r="R2929" s="8"/>
      <c r="S2929" s="8"/>
      <c r="T2929" s="8"/>
      <c r="U2929" s="8"/>
      <c r="V2929" s="8"/>
      <c r="W2929" s="8"/>
      <c r="X2929" s="771"/>
      <c r="Y2929" s="771"/>
      <c r="Z2929" s="771"/>
      <c r="AA2929" s="771"/>
      <c r="AB2929" s="771"/>
      <c r="AC2929" s="771"/>
      <c r="AD2929" s="771"/>
      <c r="AE2929" s="771"/>
      <c r="AF2929" s="771"/>
      <c r="AG2929" s="771"/>
      <c r="AH2929" s="771"/>
      <c r="AI2929" s="771"/>
      <c r="AJ2929" s="771"/>
      <c r="AK2929" s="771"/>
      <c r="AL2929" s="771"/>
      <c r="AM2929" s="771"/>
      <c r="AN2929" s="771"/>
      <c r="AO2929" s="771"/>
      <c r="AP2929" s="771"/>
      <c r="AQ2929" s="771"/>
      <c r="AR2929" s="771"/>
      <c r="AS2929" s="771"/>
      <c r="AT2929" s="771"/>
      <c r="AU2929" s="771"/>
    </row>
    <row r="2930" spans="1:47" s="1432" customFormat="1" outlineLevel="1" x14ac:dyDescent="0.2">
      <c r="A2930" s="8"/>
      <c r="B2930" s="8"/>
      <c r="C2930" s="1989" t="s">
        <v>1399</v>
      </c>
      <c r="D2930" s="1989" t="s">
        <v>6369</v>
      </c>
      <c r="E2930" s="1989">
        <v>0.55000000000000004</v>
      </c>
      <c r="F2930" s="38">
        <f t="shared" si="45"/>
        <v>44.726682000000004</v>
      </c>
      <c r="G2930" s="1547"/>
      <c r="H2930" s="8"/>
      <c r="I2930" s="8"/>
      <c r="J2930" s="8"/>
      <c r="K2930" s="8"/>
      <c r="L2930" s="8"/>
      <c r="M2930" s="8"/>
      <c r="N2930" s="8"/>
      <c r="O2930" s="8"/>
      <c r="P2930" s="8"/>
      <c r="Q2930" s="8"/>
      <c r="R2930" s="8"/>
      <c r="S2930" s="8"/>
      <c r="T2930" s="8"/>
      <c r="U2930" s="8"/>
      <c r="V2930" s="8"/>
      <c r="W2930" s="8"/>
      <c r="X2930" s="771"/>
      <c r="Y2930" s="771"/>
      <c r="Z2930" s="771"/>
      <c r="AA2930" s="771"/>
      <c r="AB2930" s="771"/>
      <c r="AC2930" s="771"/>
      <c r="AD2930" s="771"/>
      <c r="AE2930" s="771"/>
      <c r="AF2930" s="771"/>
      <c r="AG2930" s="771"/>
      <c r="AH2930" s="771"/>
      <c r="AI2930" s="771"/>
      <c r="AJ2930" s="771"/>
      <c r="AK2930" s="771"/>
      <c r="AL2930" s="771"/>
      <c r="AM2930" s="771"/>
      <c r="AN2930" s="771"/>
      <c r="AO2930" s="771"/>
      <c r="AP2930" s="771"/>
      <c r="AQ2930" s="771"/>
      <c r="AR2930" s="771"/>
      <c r="AS2930" s="771"/>
      <c r="AT2930" s="771"/>
      <c r="AU2930" s="771"/>
    </row>
    <row r="2931" spans="1:47" s="1432" customFormat="1" outlineLevel="1" x14ac:dyDescent="0.2">
      <c r="A2931" s="8"/>
      <c r="B2931" s="8"/>
      <c r="C2931" s="1989" t="s">
        <v>1400</v>
      </c>
      <c r="D2931" s="1989" t="s">
        <v>8221</v>
      </c>
      <c r="E2931" s="1989">
        <v>0.55000000000000004</v>
      </c>
      <c r="F2931" s="38">
        <f t="shared" si="45"/>
        <v>44.726682000000004</v>
      </c>
      <c r="G2931" s="1547"/>
      <c r="H2931" s="8"/>
      <c r="I2931" s="8"/>
      <c r="J2931" s="8"/>
      <c r="K2931" s="8"/>
      <c r="L2931" s="8"/>
      <c r="M2931" s="8"/>
      <c r="N2931" s="8"/>
      <c r="O2931" s="8"/>
      <c r="P2931" s="8"/>
      <c r="Q2931" s="8"/>
      <c r="R2931" s="8"/>
      <c r="S2931" s="8"/>
      <c r="T2931" s="8"/>
      <c r="U2931" s="8"/>
      <c r="V2931" s="8"/>
      <c r="W2931" s="8"/>
      <c r="X2931" s="771"/>
      <c r="Y2931" s="771"/>
      <c r="Z2931" s="771"/>
      <c r="AA2931" s="771"/>
      <c r="AB2931" s="771"/>
      <c r="AC2931" s="771"/>
      <c r="AD2931" s="771"/>
      <c r="AE2931" s="771"/>
      <c r="AF2931" s="771"/>
      <c r="AG2931" s="771"/>
      <c r="AH2931" s="771"/>
      <c r="AI2931" s="771"/>
      <c r="AJ2931" s="771"/>
      <c r="AK2931" s="771"/>
      <c r="AL2931" s="771"/>
      <c r="AM2931" s="771"/>
      <c r="AN2931" s="771"/>
      <c r="AO2931" s="771"/>
      <c r="AP2931" s="771"/>
      <c r="AQ2931" s="771"/>
      <c r="AR2931" s="771"/>
      <c r="AS2931" s="771"/>
      <c r="AT2931" s="771"/>
      <c r="AU2931" s="771"/>
    </row>
    <row r="2932" spans="1:47" s="1432" customFormat="1" outlineLevel="1" x14ac:dyDescent="0.2">
      <c r="A2932" s="8"/>
      <c r="B2932" s="8"/>
      <c r="C2932" s="1989" t="s">
        <v>2004</v>
      </c>
      <c r="D2932" s="1989" t="s">
        <v>8222</v>
      </c>
      <c r="E2932" s="1989">
        <v>0.55000000000000004</v>
      </c>
      <c r="F2932" s="38">
        <f t="shared" si="45"/>
        <v>44.726682000000004</v>
      </c>
      <c r="G2932" s="1547"/>
      <c r="H2932" s="8"/>
      <c r="I2932" s="8"/>
      <c r="J2932" s="8"/>
      <c r="K2932" s="8"/>
      <c r="L2932" s="8"/>
      <c r="M2932" s="8"/>
      <c r="N2932" s="8"/>
      <c r="O2932" s="8"/>
      <c r="P2932" s="8"/>
      <c r="Q2932" s="8"/>
      <c r="R2932" s="8"/>
      <c r="S2932" s="8"/>
      <c r="T2932" s="8"/>
      <c r="U2932" s="8"/>
      <c r="V2932" s="8"/>
      <c r="W2932" s="8"/>
      <c r="X2932" s="771"/>
      <c r="Y2932" s="771"/>
      <c r="Z2932" s="771"/>
      <c r="AA2932" s="771"/>
      <c r="AB2932" s="771"/>
      <c r="AC2932" s="771"/>
      <c r="AD2932" s="771"/>
      <c r="AE2932" s="771"/>
      <c r="AF2932" s="771"/>
      <c r="AG2932" s="771"/>
      <c r="AH2932" s="771"/>
      <c r="AI2932" s="771"/>
      <c r="AJ2932" s="771"/>
      <c r="AK2932" s="771"/>
      <c r="AL2932" s="771"/>
      <c r="AM2932" s="771"/>
      <c r="AN2932" s="771"/>
      <c r="AO2932" s="771"/>
      <c r="AP2932" s="771"/>
      <c r="AQ2932" s="771"/>
      <c r="AR2932" s="771"/>
      <c r="AS2932" s="771"/>
      <c r="AT2932" s="771"/>
      <c r="AU2932" s="771"/>
    </row>
    <row r="2933" spans="1:47" s="1432" customFormat="1" outlineLevel="1" x14ac:dyDescent="0.2">
      <c r="A2933" s="8"/>
      <c r="B2933" s="8"/>
      <c r="C2933" s="1989" t="s">
        <v>92</v>
      </c>
      <c r="D2933" s="1989" t="s">
        <v>8223</v>
      </c>
      <c r="E2933" s="1989">
        <v>0.55000000000000004</v>
      </c>
      <c r="F2933" s="38">
        <f t="shared" si="45"/>
        <v>44.726682000000004</v>
      </c>
      <c r="G2933" s="1547"/>
      <c r="H2933" s="8"/>
      <c r="I2933" s="8"/>
      <c r="J2933" s="8"/>
      <c r="K2933" s="8"/>
      <c r="L2933" s="8"/>
      <c r="M2933" s="8"/>
      <c r="N2933" s="8"/>
      <c r="O2933" s="8"/>
      <c r="P2933" s="8"/>
      <c r="Q2933" s="8"/>
      <c r="R2933" s="8"/>
      <c r="S2933" s="8"/>
      <c r="T2933" s="8"/>
      <c r="U2933" s="8"/>
      <c r="V2933" s="8"/>
      <c r="W2933" s="8"/>
      <c r="X2933" s="771"/>
      <c r="Y2933" s="771"/>
      <c r="Z2933" s="771"/>
      <c r="AA2933" s="771"/>
      <c r="AB2933" s="771"/>
      <c r="AC2933" s="771"/>
      <c r="AD2933" s="771"/>
      <c r="AE2933" s="771"/>
      <c r="AF2933" s="771"/>
      <c r="AG2933" s="771"/>
      <c r="AH2933" s="771"/>
      <c r="AI2933" s="771"/>
      <c r="AJ2933" s="771"/>
      <c r="AK2933" s="771"/>
      <c r="AL2933" s="771"/>
      <c r="AM2933" s="771"/>
      <c r="AN2933" s="771"/>
      <c r="AO2933" s="771"/>
      <c r="AP2933" s="771"/>
      <c r="AQ2933" s="771"/>
      <c r="AR2933" s="771"/>
      <c r="AS2933" s="771"/>
      <c r="AT2933" s="771"/>
      <c r="AU2933" s="771"/>
    </row>
    <row r="2934" spans="1:47" s="1432" customFormat="1" outlineLevel="1" x14ac:dyDescent="0.2">
      <c r="A2934" s="8"/>
      <c r="B2934" s="8"/>
      <c r="C2934" s="1989" t="s">
        <v>91</v>
      </c>
      <c r="D2934" s="1989" t="s">
        <v>8224</v>
      </c>
      <c r="E2934" s="1989">
        <v>0.55000000000000004</v>
      </c>
      <c r="F2934" s="38">
        <f t="shared" si="45"/>
        <v>44.726682000000004</v>
      </c>
      <c r="G2934" s="1547"/>
      <c r="H2934" s="8"/>
      <c r="I2934" s="8"/>
      <c r="J2934" s="8"/>
      <c r="K2934" s="8"/>
      <c r="L2934" s="8"/>
      <c r="M2934" s="8"/>
      <c r="N2934" s="8"/>
      <c r="O2934" s="8"/>
      <c r="P2934" s="8"/>
      <c r="Q2934" s="8"/>
      <c r="R2934" s="8"/>
      <c r="S2934" s="8"/>
      <c r="T2934" s="8"/>
      <c r="U2934" s="8"/>
      <c r="V2934" s="8"/>
      <c r="W2934" s="8"/>
      <c r="X2934" s="771"/>
      <c r="Y2934" s="771"/>
      <c r="Z2934" s="771"/>
      <c r="AA2934" s="771"/>
      <c r="AB2934" s="771"/>
      <c r="AC2934" s="771"/>
      <c r="AD2934" s="771"/>
      <c r="AE2934" s="771"/>
      <c r="AF2934" s="771"/>
      <c r="AG2934" s="771"/>
      <c r="AH2934" s="771"/>
      <c r="AI2934" s="771"/>
      <c r="AJ2934" s="771"/>
      <c r="AK2934" s="771"/>
      <c r="AL2934" s="771"/>
      <c r="AM2934" s="771"/>
      <c r="AN2934" s="771"/>
      <c r="AO2934" s="771"/>
      <c r="AP2934" s="771"/>
      <c r="AQ2934" s="771"/>
      <c r="AR2934" s="771"/>
      <c r="AS2934" s="771"/>
      <c r="AT2934" s="771"/>
      <c r="AU2934" s="771"/>
    </row>
    <row r="2935" spans="1:47" s="1432" customFormat="1" outlineLevel="1" x14ac:dyDescent="0.2">
      <c r="A2935" s="8"/>
      <c r="B2935" s="8"/>
      <c r="C2935" s="1989" t="s">
        <v>2084</v>
      </c>
      <c r="D2935" s="1989" t="s">
        <v>6370</v>
      </c>
      <c r="E2935" s="1989">
        <v>0.18</v>
      </c>
      <c r="F2935" s="38">
        <f t="shared" si="45"/>
        <v>14.637823200000001</v>
      </c>
      <c r="G2935" s="1547"/>
      <c r="H2935" s="8"/>
      <c r="I2935" s="8"/>
      <c r="J2935" s="8"/>
      <c r="K2935" s="8"/>
      <c r="L2935" s="8"/>
      <c r="M2935" s="8"/>
      <c r="N2935" s="8"/>
      <c r="O2935" s="8"/>
      <c r="P2935" s="8"/>
      <c r="Q2935" s="8"/>
      <c r="R2935" s="8"/>
      <c r="S2935" s="8"/>
      <c r="T2935" s="8"/>
      <c r="U2935" s="8"/>
      <c r="V2935" s="8"/>
      <c r="W2935" s="8"/>
      <c r="X2935" s="771"/>
      <c r="Y2935" s="771"/>
      <c r="Z2935" s="771"/>
      <c r="AA2935" s="771"/>
      <c r="AB2935" s="771"/>
      <c r="AC2935" s="771"/>
      <c r="AD2935" s="771"/>
      <c r="AE2935" s="771"/>
      <c r="AF2935" s="771"/>
      <c r="AG2935" s="771"/>
      <c r="AH2935" s="771"/>
      <c r="AI2935" s="771"/>
      <c r="AJ2935" s="771"/>
      <c r="AK2935" s="771"/>
      <c r="AL2935" s="771"/>
      <c r="AM2935" s="771"/>
      <c r="AN2935" s="771"/>
      <c r="AO2935" s="771"/>
      <c r="AP2935" s="771"/>
      <c r="AQ2935" s="771"/>
      <c r="AR2935" s="771"/>
      <c r="AS2935" s="771"/>
      <c r="AT2935" s="771"/>
      <c r="AU2935" s="771"/>
    </row>
    <row r="2936" spans="1:47" s="1432" customFormat="1" outlineLevel="1" x14ac:dyDescent="0.2">
      <c r="A2936" s="8"/>
      <c r="B2936" s="8"/>
      <c r="C2936" s="1989" t="s">
        <v>4882</v>
      </c>
      <c r="D2936" s="1989" t="s">
        <v>6371</v>
      </c>
      <c r="E2936" s="1989">
        <v>0.19</v>
      </c>
      <c r="F2936" s="38">
        <f t="shared" si="45"/>
        <v>15.451035599999999</v>
      </c>
      <c r="G2936" s="1547"/>
      <c r="H2936" s="8"/>
      <c r="I2936" s="8"/>
      <c r="J2936" s="8"/>
      <c r="K2936" s="8"/>
      <c r="L2936" s="8"/>
      <c r="M2936" s="8"/>
      <c r="N2936" s="8"/>
      <c r="O2936" s="8"/>
      <c r="P2936" s="8"/>
      <c r="Q2936" s="8"/>
      <c r="R2936" s="8"/>
      <c r="S2936" s="8"/>
      <c r="T2936" s="8"/>
      <c r="U2936" s="8"/>
      <c r="V2936" s="8"/>
      <c r="W2936" s="8"/>
      <c r="X2936" s="771"/>
      <c r="Y2936" s="771"/>
      <c r="Z2936" s="771"/>
      <c r="AA2936" s="771"/>
      <c r="AB2936" s="771"/>
      <c r="AC2936" s="771"/>
      <c r="AD2936" s="771"/>
      <c r="AE2936" s="771"/>
      <c r="AF2936" s="771"/>
      <c r="AG2936" s="771"/>
      <c r="AH2936" s="771"/>
      <c r="AI2936" s="771"/>
      <c r="AJ2936" s="771"/>
      <c r="AK2936" s="771"/>
      <c r="AL2936" s="771"/>
      <c r="AM2936" s="771"/>
      <c r="AN2936" s="771"/>
      <c r="AO2936" s="771"/>
      <c r="AP2936" s="771"/>
      <c r="AQ2936" s="771"/>
      <c r="AR2936" s="771"/>
      <c r="AS2936" s="771"/>
      <c r="AT2936" s="771"/>
      <c r="AU2936" s="771"/>
    </row>
    <row r="2937" spans="1:47" s="1432" customFormat="1" outlineLevel="1" x14ac:dyDescent="0.2">
      <c r="A2937" s="8"/>
      <c r="B2937" s="8"/>
      <c r="C2937" s="1989" t="s">
        <v>2082</v>
      </c>
      <c r="D2937" s="1989" t="s">
        <v>6372</v>
      </c>
      <c r="E2937" s="1989">
        <v>2.25</v>
      </c>
      <c r="F2937" s="38">
        <f t="shared" si="45"/>
        <v>182.97279</v>
      </c>
      <c r="G2937" s="1547"/>
      <c r="H2937" s="8"/>
      <c r="I2937" s="8"/>
      <c r="J2937" s="8"/>
      <c r="K2937" s="8"/>
      <c r="L2937" s="8"/>
      <c r="M2937" s="8"/>
      <c r="N2937" s="8"/>
      <c r="O2937" s="8"/>
      <c r="P2937" s="8"/>
      <c r="Q2937" s="8"/>
      <c r="R2937" s="8"/>
      <c r="S2937" s="8"/>
      <c r="T2937" s="8"/>
      <c r="U2937" s="8"/>
      <c r="V2937" s="8"/>
      <c r="W2937" s="8"/>
      <c r="X2937" s="771"/>
      <c r="Y2937" s="771"/>
      <c r="Z2937" s="771"/>
      <c r="AA2937" s="771"/>
      <c r="AB2937" s="771"/>
      <c r="AC2937" s="771"/>
      <c r="AD2937" s="771"/>
      <c r="AE2937" s="771"/>
      <c r="AF2937" s="771"/>
      <c r="AG2937" s="771"/>
      <c r="AH2937" s="771"/>
      <c r="AI2937" s="771"/>
      <c r="AJ2937" s="771"/>
      <c r="AK2937" s="771"/>
      <c r="AL2937" s="771"/>
      <c r="AM2937" s="771"/>
      <c r="AN2937" s="771"/>
      <c r="AO2937" s="771"/>
      <c r="AP2937" s="771"/>
      <c r="AQ2937" s="771"/>
      <c r="AR2937" s="771"/>
      <c r="AS2937" s="771"/>
      <c r="AT2937" s="771"/>
      <c r="AU2937" s="771"/>
    </row>
    <row r="2938" spans="1:47" s="1432" customFormat="1" outlineLevel="1" x14ac:dyDescent="0.2">
      <c r="A2938" s="8"/>
      <c r="B2938" s="8"/>
      <c r="C2938" s="1989" t="s">
        <v>8225</v>
      </c>
      <c r="D2938" s="1989" t="s">
        <v>8226</v>
      </c>
      <c r="E2938" s="1989">
        <v>1.33</v>
      </c>
      <c r="F2938" s="38">
        <f t="shared" si="45"/>
        <v>108.15724920000001</v>
      </c>
      <c r="G2938" s="1547"/>
      <c r="H2938" s="8"/>
      <c r="I2938" s="8"/>
      <c r="J2938" s="8"/>
      <c r="K2938" s="8"/>
      <c r="L2938" s="8"/>
      <c r="M2938" s="8"/>
      <c r="N2938" s="8"/>
      <c r="O2938" s="8"/>
      <c r="P2938" s="8"/>
      <c r="Q2938" s="8"/>
      <c r="R2938" s="8"/>
      <c r="S2938" s="8"/>
      <c r="T2938" s="8"/>
      <c r="U2938" s="8"/>
      <c r="V2938" s="8"/>
      <c r="W2938" s="8"/>
      <c r="X2938" s="771"/>
      <c r="Y2938" s="771"/>
      <c r="Z2938" s="771"/>
      <c r="AA2938" s="771"/>
      <c r="AB2938" s="771"/>
      <c r="AC2938" s="771"/>
      <c r="AD2938" s="771"/>
      <c r="AE2938" s="771"/>
      <c r="AF2938" s="771"/>
      <c r="AG2938" s="771"/>
      <c r="AH2938" s="771"/>
      <c r="AI2938" s="771"/>
      <c r="AJ2938" s="771"/>
      <c r="AK2938" s="771"/>
      <c r="AL2938" s="771"/>
      <c r="AM2938" s="771"/>
      <c r="AN2938" s="771"/>
      <c r="AO2938" s="771"/>
      <c r="AP2938" s="771"/>
      <c r="AQ2938" s="771"/>
      <c r="AR2938" s="771"/>
      <c r="AS2938" s="771"/>
      <c r="AT2938" s="771"/>
      <c r="AU2938" s="771"/>
    </row>
    <row r="2939" spans="1:47" s="1432" customFormat="1" outlineLevel="1" x14ac:dyDescent="0.2">
      <c r="A2939" s="8"/>
      <c r="B2939" s="8"/>
      <c r="C2939" s="1989" t="s">
        <v>1794</v>
      </c>
      <c r="D2939" s="1989" t="s">
        <v>6373</v>
      </c>
      <c r="E2939" s="1989">
        <v>4.1500000000000004</v>
      </c>
      <c r="F2939" s="38">
        <f t="shared" si="45"/>
        <v>337.48314600000003</v>
      </c>
      <c r="G2939" s="1547"/>
      <c r="H2939" s="8"/>
      <c r="I2939" s="8"/>
      <c r="J2939" s="8"/>
      <c r="K2939" s="8"/>
      <c r="L2939" s="8"/>
      <c r="M2939" s="8"/>
      <c r="N2939" s="8"/>
      <c r="O2939" s="8"/>
      <c r="P2939" s="8"/>
      <c r="Q2939" s="8"/>
      <c r="R2939" s="8"/>
      <c r="S2939" s="8"/>
      <c r="T2939" s="8"/>
      <c r="U2939" s="8"/>
      <c r="V2939" s="8"/>
      <c r="W2939" s="8"/>
      <c r="X2939" s="771"/>
      <c r="Y2939" s="771"/>
      <c r="Z2939" s="771"/>
      <c r="AA2939" s="771"/>
      <c r="AB2939" s="771"/>
      <c r="AC2939" s="771"/>
      <c r="AD2939" s="771"/>
      <c r="AE2939" s="771"/>
      <c r="AF2939" s="771"/>
      <c r="AG2939" s="771"/>
      <c r="AH2939" s="771"/>
      <c r="AI2939" s="771"/>
      <c r="AJ2939" s="771"/>
      <c r="AK2939" s="771"/>
      <c r="AL2939" s="771"/>
      <c r="AM2939" s="771"/>
      <c r="AN2939" s="771"/>
      <c r="AO2939" s="771"/>
      <c r="AP2939" s="771"/>
      <c r="AQ2939" s="771"/>
      <c r="AR2939" s="771"/>
      <c r="AS2939" s="771"/>
      <c r="AT2939" s="771"/>
      <c r="AU2939" s="771"/>
    </row>
    <row r="2940" spans="1:47" s="1432" customFormat="1" outlineLevel="1" x14ac:dyDescent="0.2">
      <c r="A2940" s="8"/>
      <c r="B2940" s="8"/>
      <c r="C2940" s="1989" t="s">
        <v>862</v>
      </c>
      <c r="D2940" s="1989" t="s">
        <v>6374</v>
      </c>
      <c r="E2940" s="1989">
        <v>9.82</v>
      </c>
      <c r="F2940" s="38">
        <f t="shared" si="45"/>
        <v>798.57457680000016</v>
      </c>
      <c r="G2940" s="1547"/>
      <c r="H2940" s="8"/>
      <c r="I2940" s="8"/>
      <c r="J2940" s="8"/>
      <c r="K2940" s="8"/>
      <c r="L2940" s="8"/>
      <c r="M2940" s="8"/>
      <c r="N2940" s="8"/>
      <c r="O2940" s="8"/>
      <c r="P2940" s="8"/>
      <c r="Q2940" s="8"/>
      <c r="R2940" s="8"/>
      <c r="S2940" s="8"/>
      <c r="T2940" s="8"/>
      <c r="U2940" s="8"/>
      <c r="V2940" s="8"/>
      <c r="W2940" s="8"/>
      <c r="X2940" s="771"/>
      <c r="Y2940" s="771"/>
      <c r="Z2940" s="771"/>
      <c r="AA2940" s="771"/>
      <c r="AB2940" s="771"/>
      <c r="AC2940" s="771"/>
      <c r="AD2940" s="771"/>
      <c r="AE2940" s="771"/>
      <c r="AF2940" s="771"/>
      <c r="AG2940" s="771"/>
      <c r="AH2940" s="771"/>
      <c r="AI2940" s="771"/>
      <c r="AJ2940" s="771"/>
      <c r="AK2940" s="771"/>
      <c r="AL2940" s="771"/>
      <c r="AM2940" s="771"/>
      <c r="AN2940" s="771"/>
      <c r="AO2940" s="771"/>
      <c r="AP2940" s="771"/>
      <c r="AQ2940" s="771"/>
      <c r="AR2940" s="771"/>
      <c r="AS2940" s="771"/>
      <c r="AT2940" s="771"/>
      <c r="AU2940" s="771"/>
    </row>
    <row r="2941" spans="1:47" s="1432" customFormat="1" outlineLevel="1" x14ac:dyDescent="0.2">
      <c r="A2941" s="8"/>
      <c r="B2941" s="8"/>
      <c r="C2941" s="1989" t="s">
        <v>2624</v>
      </c>
      <c r="D2941" s="1989" t="s">
        <v>2625</v>
      </c>
      <c r="E2941" s="1989">
        <v>4.7300000000000004</v>
      </c>
      <c r="F2941" s="38">
        <f t="shared" si="45"/>
        <v>384.64946520000007</v>
      </c>
      <c r="G2941" s="1547"/>
      <c r="H2941" s="8"/>
      <c r="I2941" s="8"/>
      <c r="J2941" s="8"/>
      <c r="K2941" s="8"/>
      <c r="L2941" s="8"/>
      <c r="M2941" s="8"/>
      <c r="N2941" s="8"/>
      <c r="O2941" s="8"/>
      <c r="P2941" s="8"/>
      <c r="Q2941" s="8"/>
      <c r="R2941" s="8"/>
      <c r="S2941" s="8"/>
      <c r="T2941" s="8"/>
      <c r="U2941" s="8"/>
      <c r="V2941" s="8"/>
      <c r="W2941" s="8"/>
      <c r="X2941" s="771"/>
      <c r="Y2941" s="771"/>
      <c r="Z2941" s="771"/>
      <c r="AA2941" s="771"/>
      <c r="AB2941" s="771"/>
      <c r="AC2941" s="771"/>
      <c r="AD2941" s="771"/>
      <c r="AE2941" s="771"/>
      <c r="AF2941" s="771"/>
      <c r="AG2941" s="771"/>
      <c r="AH2941" s="771"/>
      <c r="AI2941" s="771"/>
      <c r="AJ2941" s="771"/>
      <c r="AK2941" s="771"/>
      <c r="AL2941" s="771"/>
      <c r="AM2941" s="771"/>
      <c r="AN2941" s="771"/>
      <c r="AO2941" s="771"/>
      <c r="AP2941" s="771"/>
      <c r="AQ2941" s="771"/>
      <c r="AR2941" s="771"/>
      <c r="AS2941" s="771"/>
      <c r="AT2941" s="771"/>
      <c r="AU2941" s="771"/>
    </row>
    <row r="2942" spans="1:47" s="1432" customFormat="1" outlineLevel="1" x14ac:dyDescent="0.2">
      <c r="A2942" s="8"/>
      <c r="B2942" s="8"/>
      <c r="C2942" s="1989" t="s">
        <v>2626</v>
      </c>
      <c r="D2942" s="1989" t="s">
        <v>6375</v>
      </c>
      <c r="E2942" s="1989">
        <v>7.61</v>
      </c>
      <c r="F2942" s="38">
        <f t="shared" si="45"/>
        <v>618.8546364</v>
      </c>
      <c r="G2942" s="1547"/>
      <c r="H2942" s="8"/>
      <c r="I2942" s="8"/>
      <c r="J2942" s="8"/>
      <c r="K2942" s="8"/>
      <c r="L2942" s="8"/>
      <c r="M2942" s="8"/>
      <c r="N2942" s="8"/>
      <c r="O2942" s="8"/>
      <c r="P2942" s="8"/>
      <c r="Q2942" s="8"/>
      <c r="R2942" s="8"/>
      <c r="S2942" s="8"/>
      <c r="T2942" s="8"/>
      <c r="U2942" s="8"/>
      <c r="V2942" s="8"/>
      <c r="W2942" s="8"/>
      <c r="X2942" s="771"/>
      <c r="Y2942" s="771"/>
      <c r="Z2942" s="771"/>
      <c r="AA2942" s="771"/>
      <c r="AB2942" s="771"/>
      <c r="AC2942" s="771"/>
      <c r="AD2942" s="771"/>
      <c r="AE2942" s="771"/>
      <c r="AF2942" s="771"/>
      <c r="AG2942" s="771"/>
      <c r="AH2942" s="771"/>
      <c r="AI2942" s="771"/>
      <c r="AJ2942" s="771"/>
      <c r="AK2942" s="771"/>
      <c r="AL2942" s="771"/>
      <c r="AM2942" s="771"/>
      <c r="AN2942" s="771"/>
      <c r="AO2942" s="771"/>
      <c r="AP2942" s="771"/>
      <c r="AQ2942" s="771"/>
      <c r="AR2942" s="771"/>
      <c r="AS2942" s="771"/>
      <c r="AT2942" s="771"/>
      <c r="AU2942" s="771"/>
    </row>
    <row r="2943" spans="1:47" s="1432" customFormat="1" outlineLevel="1" x14ac:dyDescent="0.2">
      <c r="A2943" s="8"/>
      <c r="B2943" s="8"/>
      <c r="C2943" s="1989" t="s">
        <v>1307</v>
      </c>
      <c r="D2943" s="1989" t="s">
        <v>8227</v>
      </c>
      <c r="E2943" s="1989">
        <v>0.18</v>
      </c>
      <c r="F2943" s="38">
        <f t="shared" si="45"/>
        <v>14.637823200000001</v>
      </c>
      <c r="G2943" s="1547"/>
      <c r="H2943" s="8"/>
      <c r="I2943" s="8"/>
      <c r="J2943" s="8"/>
      <c r="K2943" s="8"/>
      <c r="L2943" s="8"/>
      <c r="M2943" s="8"/>
      <c r="N2943" s="8"/>
      <c r="O2943" s="8"/>
      <c r="P2943" s="8"/>
      <c r="Q2943" s="8"/>
      <c r="R2943" s="8"/>
      <c r="S2943" s="8"/>
      <c r="T2943" s="8"/>
      <c r="U2943" s="8"/>
      <c r="V2943" s="8"/>
      <c r="W2943" s="8"/>
      <c r="X2943" s="771"/>
      <c r="Y2943" s="771"/>
      <c r="Z2943" s="771"/>
      <c r="AA2943" s="771"/>
      <c r="AB2943" s="771"/>
      <c r="AC2943" s="771"/>
      <c r="AD2943" s="771"/>
      <c r="AE2943" s="771"/>
      <c r="AF2943" s="771"/>
      <c r="AG2943" s="771"/>
      <c r="AH2943" s="771"/>
      <c r="AI2943" s="771"/>
      <c r="AJ2943" s="771"/>
      <c r="AK2943" s="771"/>
      <c r="AL2943" s="771"/>
      <c r="AM2943" s="771"/>
      <c r="AN2943" s="771"/>
      <c r="AO2943" s="771"/>
      <c r="AP2943" s="771"/>
      <c r="AQ2943" s="771"/>
      <c r="AR2943" s="771"/>
      <c r="AS2943" s="771"/>
      <c r="AT2943" s="771"/>
      <c r="AU2943" s="771"/>
    </row>
    <row r="2944" spans="1:47" s="1432" customFormat="1" outlineLevel="1" x14ac:dyDescent="0.2">
      <c r="A2944" s="8"/>
      <c r="B2944" s="8"/>
      <c r="C2944" s="1989" t="s">
        <v>1308</v>
      </c>
      <c r="D2944" s="1989" t="s">
        <v>6376</v>
      </c>
      <c r="E2944" s="1989">
        <v>0.18</v>
      </c>
      <c r="F2944" s="38">
        <f t="shared" si="45"/>
        <v>14.637823200000001</v>
      </c>
      <c r="G2944" s="1547"/>
      <c r="H2944" s="8"/>
      <c r="I2944" s="8"/>
      <c r="J2944" s="8"/>
      <c r="K2944" s="8"/>
      <c r="L2944" s="8"/>
      <c r="M2944" s="8"/>
      <c r="N2944" s="8"/>
      <c r="O2944" s="8"/>
      <c r="P2944" s="8"/>
      <c r="Q2944" s="8"/>
      <c r="R2944" s="8"/>
      <c r="S2944" s="8"/>
      <c r="T2944" s="8"/>
      <c r="U2944" s="8"/>
      <c r="V2944" s="8"/>
      <c r="W2944" s="8"/>
      <c r="X2944" s="771"/>
      <c r="Y2944" s="771"/>
      <c r="Z2944" s="771"/>
      <c r="AA2944" s="771"/>
      <c r="AB2944" s="771"/>
      <c r="AC2944" s="771"/>
      <c r="AD2944" s="771"/>
      <c r="AE2944" s="771"/>
      <c r="AF2944" s="771"/>
      <c r="AG2944" s="771"/>
      <c r="AH2944" s="771"/>
      <c r="AI2944" s="771"/>
      <c r="AJ2944" s="771"/>
      <c r="AK2944" s="771"/>
      <c r="AL2944" s="771"/>
      <c r="AM2944" s="771"/>
      <c r="AN2944" s="771"/>
      <c r="AO2944" s="771"/>
      <c r="AP2944" s="771"/>
      <c r="AQ2944" s="771"/>
      <c r="AR2944" s="771"/>
      <c r="AS2944" s="771"/>
      <c r="AT2944" s="771"/>
      <c r="AU2944" s="771"/>
    </row>
    <row r="2945" spans="1:47" s="1432" customFormat="1" outlineLevel="1" x14ac:dyDescent="0.2">
      <c r="A2945" s="8"/>
      <c r="B2945" s="8"/>
      <c r="C2945" s="1989" t="s">
        <v>2627</v>
      </c>
      <c r="D2945" s="1989" t="s">
        <v>8228</v>
      </c>
      <c r="E2945" s="1989">
        <v>12.07</v>
      </c>
      <c r="F2945" s="38">
        <f t="shared" si="45"/>
        <v>981.54736680000008</v>
      </c>
      <c r="G2945" s="1547"/>
      <c r="H2945" s="8"/>
      <c r="I2945" s="8"/>
      <c r="J2945" s="8"/>
      <c r="K2945" s="8"/>
      <c r="L2945" s="8"/>
      <c r="M2945" s="8"/>
      <c r="N2945" s="8"/>
      <c r="O2945" s="8"/>
      <c r="P2945" s="8"/>
      <c r="Q2945" s="8"/>
      <c r="R2945" s="8"/>
      <c r="S2945" s="8"/>
      <c r="T2945" s="8"/>
      <c r="U2945" s="8"/>
      <c r="V2945" s="8"/>
      <c r="W2945" s="8"/>
      <c r="X2945" s="771"/>
      <c r="Y2945" s="771"/>
      <c r="Z2945" s="771"/>
      <c r="AA2945" s="771"/>
      <c r="AB2945" s="771"/>
      <c r="AC2945" s="771"/>
      <c r="AD2945" s="771"/>
      <c r="AE2945" s="771"/>
      <c r="AF2945" s="771"/>
      <c r="AG2945" s="771"/>
      <c r="AH2945" s="771"/>
      <c r="AI2945" s="771"/>
      <c r="AJ2945" s="771"/>
      <c r="AK2945" s="771"/>
      <c r="AL2945" s="771"/>
      <c r="AM2945" s="771"/>
      <c r="AN2945" s="771"/>
      <c r="AO2945" s="771"/>
      <c r="AP2945" s="771"/>
      <c r="AQ2945" s="771"/>
      <c r="AR2945" s="771"/>
      <c r="AS2945" s="771"/>
      <c r="AT2945" s="771"/>
      <c r="AU2945" s="771"/>
    </row>
    <row r="2946" spans="1:47" s="1432" customFormat="1" outlineLevel="1" x14ac:dyDescent="0.2">
      <c r="A2946" s="8"/>
      <c r="B2946" s="8"/>
      <c r="C2946" s="1989" t="s">
        <v>1033</v>
      </c>
      <c r="D2946" s="1989" t="s">
        <v>1120</v>
      </c>
      <c r="E2946" s="1989">
        <v>2.0499999999999998</v>
      </c>
      <c r="F2946" s="38">
        <f t="shared" si="45"/>
        <v>166.70854199999997</v>
      </c>
      <c r="G2946" s="1547"/>
      <c r="H2946" s="8"/>
      <c r="I2946" s="8"/>
      <c r="J2946" s="8"/>
      <c r="K2946" s="8"/>
      <c r="L2946" s="8"/>
      <c r="M2946" s="8"/>
      <c r="N2946" s="8"/>
      <c r="O2946" s="8"/>
      <c r="P2946" s="8"/>
      <c r="Q2946" s="8"/>
      <c r="R2946" s="8"/>
      <c r="S2946" s="8"/>
      <c r="T2946" s="8"/>
      <c r="U2946" s="8"/>
      <c r="V2946" s="8"/>
      <c r="W2946" s="8"/>
      <c r="X2946" s="771"/>
      <c r="Y2946" s="771"/>
      <c r="Z2946" s="771"/>
      <c r="AA2946" s="771"/>
      <c r="AB2946" s="771"/>
      <c r="AC2946" s="771"/>
      <c r="AD2946" s="771"/>
      <c r="AE2946" s="771"/>
      <c r="AF2946" s="771"/>
      <c r="AG2946" s="771"/>
      <c r="AH2946" s="771"/>
      <c r="AI2946" s="771"/>
      <c r="AJ2946" s="771"/>
      <c r="AK2946" s="771"/>
      <c r="AL2946" s="771"/>
      <c r="AM2946" s="771"/>
      <c r="AN2946" s="771"/>
      <c r="AO2946" s="771"/>
      <c r="AP2946" s="771"/>
      <c r="AQ2946" s="771"/>
      <c r="AR2946" s="771"/>
      <c r="AS2946" s="771"/>
      <c r="AT2946" s="771"/>
      <c r="AU2946" s="771"/>
    </row>
    <row r="2947" spans="1:47" s="1432" customFormat="1" outlineLevel="1" x14ac:dyDescent="0.2">
      <c r="A2947" s="8"/>
      <c r="B2947" s="8"/>
      <c r="C2947" s="1989" t="s">
        <v>6845</v>
      </c>
      <c r="D2947" s="1989" t="s">
        <v>8229</v>
      </c>
      <c r="E2947" s="1989">
        <v>1.5</v>
      </c>
      <c r="F2947" s="38">
        <f t="shared" si="45"/>
        <v>121.98186</v>
      </c>
      <c r="G2947" s="1547"/>
      <c r="H2947" s="8"/>
      <c r="I2947" s="8"/>
      <c r="J2947" s="8"/>
      <c r="K2947" s="8"/>
      <c r="L2947" s="8"/>
      <c r="M2947" s="8"/>
      <c r="N2947" s="8"/>
      <c r="O2947" s="8"/>
      <c r="P2947" s="8"/>
      <c r="Q2947" s="8"/>
      <c r="R2947" s="8"/>
      <c r="S2947" s="8"/>
      <c r="T2947" s="8"/>
      <c r="U2947" s="8"/>
      <c r="V2947" s="8"/>
      <c r="W2947" s="8"/>
      <c r="X2947" s="771"/>
      <c r="Y2947" s="771"/>
      <c r="Z2947" s="771"/>
      <c r="AA2947" s="771"/>
      <c r="AB2947" s="771"/>
      <c r="AC2947" s="771"/>
      <c r="AD2947" s="771"/>
      <c r="AE2947" s="771"/>
      <c r="AF2947" s="771"/>
      <c r="AG2947" s="771"/>
      <c r="AH2947" s="771"/>
      <c r="AI2947" s="771"/>
      <c r="AJ2947" s="771"/>
      <c r="AK2947" s="771"/>
      <c r="AL2947" s="771"/>
      <c r="AM2947" s="771"/>
      <c r="AN2947" s="771"/>
      <c r="AO2947" s="771"/>
      <c r="AP2947" s="771"/>
      <c r="AQ2947" s="771"/>
      <c r="AR2947" s="771"/>
      <c r="AS2947" s="771"/>
      <c r="AT2947" s="771"/>
      <c r="AU2947" s="771"/>
    </row>
    <row r="2948" spans="1:47" s="1432" customFormat="1" outlineLevel="1" x14ac:dyDescent="0.2">
      <c r="A2948" s="8"/>
      <c r="B2948" s="8"/>
      <c r="C2948" s="1989" t="s">
        <v>1196</v>
      </c>
      <c r="D2948" s="1989" t="s">
        <v>6377</v>
      </c>
      <c r="E2948" s="1989">
        <v>9.0399999999999991</v>
      </c>
      <c r="F2948" s="38">
        <f t="shared" si="45"/>
        <v>735.1440096</v>
      </c>
      <c r="G2948" s="1547"/>
      <c r="H2948" s="8"/>
      <c r="I2948" s="8"/>
      <c r="J2948" s="8"/>
      <c r="K2948" s="8"/>
      <c r="L2948" s="8"/>
      <c r="M2948" s="8"/>
      <c r="N2948" s="8"/>
      <c r="O2948" s="8"/>
      <c r="P2948" s="8"/>
      <c r="Q2948" s="8"/>
      <c r="R2948" s="8"/>
      <c r="S2948" s="8"/>
      <c r="T2948" s="8"/>
      <c r="U2948" s="8"/>
      <c r="V2948" s="8"/>
      <c r="W2948" s="8"/>
      <c r="X2948" s="771"/>
      <c r="Y2948" s="771"/>
      <c r="Z2948" s="771"/>
      <c r="AA2948" s="771"/>
      <c r="AB2948" s="771"/>
      <c r="AC2948" s="771"/>
      <c r="AD2948" s="771"/>
      <c r="AE2948" s="771"/>
      <c r="AF2948" s="771"/>
      <c r="AG2948" s="771"/>
      <c r="AH2948" s="771"/>
      <c r="AI2948" s="771"/>
      <c r="AJ2948" s="771"/>
      <c r="AK2948" s="771"/>
      <c r="AL2948" s="771"/>
      <c r="AM2948" s="771"/>
      <c r="AN2948" s="771"/>
      <c r="AO2948" s="771"/>
      <c r="AP2948" s="771"/>
      <c r="AQ2948" s="771"/>
      <c r="AR2948" s="771"/>
      <c r="AS2948" s="771"/>
      <c r="AT2948" s="771"/>
      <c r="AU2948" s="771"/>
    </row>
    <row r="2949" spans="1:47" s="1432" customFormat="1" outlineLevel="1" x14ac:dyDescent="0.2">
      <c r="A2949" s="8"/>
      <c r="B2949" s="8"/>
      <c r="C2949" s="1989" t="s">
        <v>1690</v>
      </c>
      <c r="D2949" s="1989" t="s">
        <v>8230</v>
      </c>
      <c r="E2949" s="1989">
        <v>1</v>
      </c>
      <c r="F2949" s="38">
        <f t="shared" si="45"/>
        <v>81.321240000000003</v>
      </c>
      <c r="G2949" s="1547"/>
      <c r="H2949" s="8"/>
      <c r="I2949" s="8"/>
      <c r="J2949" s="8"/>
      <c r="K2949" s="8"/>
      <c r="L2949" s="8"/>
      <c r="M2949" s="8"/>
      <c r="N2949" s="8"/>
      <c r="O2949" s="8"/>
      <c r="P2949" s="8"/>
      <c r="Q2949" s="8"/>
      <c r="R2949" s="8"/>
      <c r="S2949" s="8"/>
      <c r="T2949" s="8"/>
      <c r="U2949" s="8"/>
      <c r="V2949" s="8"/>
      <c r="W2949" s="8"/>
      <c r="X2949" s="771"/>
      <c r="Y2949" s="771"/>
      <c r="Z2949" s="771"/>
      <c r="AA2949" s="771"/>
      <c r="AB2949" s="771"/>
      <c r="AC2949" s="771"/>
      <c r="AD2949" s="771"/>
      <c r="AE2949" s="771"/>
      <c r="AF2949" s="771"/>
      <c r="AG2949" s="771"/>
      <c r="AH2949" s="771"/>
      <c r="AI2949" s="771"/>
      <c r="AJ2949" s="771"/>
      <c r="AK2949" s="771"/>
      <c r="AL2949" s="771"/>
      <c r="AM2949" s="771"/>
      <c r="AN2949" s="771"/>
      <c r="AO2949" s="771"/>
      <c r="AP2949" s="771"/>
      <c r="AQ2949" s="771"/>
      <c r="AR2949" s="771"/>
      <c r="AS2949" s="771"/>
      <c r="AT2949" s="771"/>
      <c r="AU2949" s="771"/>
    </row>
    <row r="2950" spans="1:47" s="1432" customFormat="1" outlineLevel="1" x14ac:dyDescent="0.2">
      <c r="A2950" s="8"/>
      <c r="B2950" s="8"/>
      <c r="C2950" s="1989" t="s">
        <v>1691</v>
      </c>
      <c r="D2950" s="1989" t="s">
        <v>8231</v>
      </c>
      <c r="E2950" s="1989">
        <v>0.11</v>
      </c>
      <c r="F2950" s="38">
        <f t="shared" si="45"/>
        <v>8.9453364000000004</v>
      </c>
      <c r="G2950" s="1547"/>
      <c r="H2950" s="8"/>
      <c r="I2950" s="8"/>
      <c r="J2950" s="8"/>
      <c r="K2950" s="8"/>
      <c r="L2950" s="8"/>
      <c r="M2950" s="8"/>
      <c r="N2950" s="8"/>
      <c r="O2950" s="8"/>
      <c r="P2950" s="8"/>
      <c r="Q2950" s="8"/>
      <c r="R2950" s="8"/>
      <c r="S2950" s="8"/>
      <c r="T2950" s="8"/>
      <c r="U2950" s="8"/>
      <c r="V2950" s="8"/>
      <c r="W2950" s="8"/>
      <c r="X2950" s="771"/>
      <c r="Y2950" s="771"/>
      <c r="Z2950" s="771"/>
      <c r="AA2950" s="771"/>
      <c r="AB2950" s="771"/>
      <c r="AC2950" s="771"/>
      <c r="AD2950" s="771"/>
      <c r="AE2950" s="771"/>
      <c r="AF2950" s="771"/>
      <c r="AG2950" s="771"/>
      <c r="AH2950" s="771"/>
      <c r="AI2950" s="771"/>
      <c r="AJ2950" s="771"/>
      <c r="AK2950" s="771"/>
      <c r="AL2950" s="771"/>
      <c r="AM2950" s="771"/>
      <c r="AN2950" s="771"/>
      <c r="AO2950" s="771"/>
      <c r="AP2950" s="771"/>
      <c r="AQ2950" s="771"/>
      <c r="AR2950" s="771"/>
      <c r="AS2950" s="771"/>
      <c r="AT2950" s="771"/>
      <c r="AU2950" s="771"/>
    </row>
    <row r="2951" spans="1:47" s="1432" customFormat="1" outlineLevel="1" x14ac:dyDescent="0.2">
      <c r="A2951" s="8"/>
      <c r="B2951" s="8"/>
      <c r="C2951" s="1989" t="s">
        <v>838</v>
      </c>
      <c r="D2951" s="1989" t="s">
        <v>6378</v>
      </c>
      <c r="E2951" s="1989">
        <v>8.6999999999999993</v>
      </c>
      <c r="F2951" s="38">
        <f t="shared" si="45"/>
        <v>707.49478799999997</v>
      </c>
      <c r="G2951" s="1547"/>
      <c r="H2951" s="8"/>
      <c r="I2951" s="8"/>
      <c r="J2951" s="8"/>
      <c r="K2951" s="8"/>
      <c r="L2951" s="8"/>
      <c r="M2951" s="8"/>
      <c r="N2951" s="8"/>
      <c r="O2951" s="8"/>
      <c r="P2951" s="8"/>
      <c r="Q2951" s="8"/>
      <c r="R2951" s="8"/>
      <c r="S2951" s="8"/>
      <c r="T2951" s="8"/>
      <c r="U2951" s="8"/>
      <c r="V2951" s="8"/>
      <c r="W2951" s="8"/>
      <c r="X2951" s="771"/>
      <c r="Y2951" s="771"/>
      <c r="Z2951" s="771"/>
      <c r="AA2951" s="771"/>
      <c r="AB2951" s="771"/>
      <c r="AC2951" s="771"/>
      <c r="AD2951" s="771"/>
      <c r="AE2951" s="771"/>
      <c r="AF2951" s="771"/>
      <c r="AG2951" s="771"/>
      <c r="AH2951" s="771"/>
      <c r="AI2951" s="771"/>
      <c r="AJ2951" s="771"/>
      <c r="AK2951" s="771"/>
      <c r="AL2951" s="771"/>
      <c r="AM2951" s="771"/>
      <c r="AN2951" s="771"/>
      <c r="AO2951" s="771"/>
      <c r="AP2951" s="771"/>
      <c r="AQ2951" s="771"/>
      <c r="AR2951" s="771"/>
      <c r="AS2951" s="771"/>
      <c r="AT2951" s="771"/>
      <c r="AU2951" s="771"/>
    </row>
    <row r="2952" spans="1:47" s="1432" customFormat="1" outlineLevel="1" x14ac:dyDescent="0.2">
      <c r="A2952" s="8"/>
      <c r="B2952" s="8"/>
      <c r="C2952" s="1989" t="s">
        <v>1034</v>
      </c>
      <c r="D2952" s="1989" t="s">
        <v>6379</v>
      </c>
      <c r="E2952" s="1989">
        <v>15.45</v>
      </c>
      <c r="F2952" s="38">
        <f t="shared" si="45"/>
        <v>1256.4131580000001</v>
      </c>
      <c r="G2952" s="1547"/>
      <c r="H2952" s="8"/>
      <c r="I2952" s="8"/>
      <c r="J2952" s="8"/>
      <c r="K2952" s="8"/>
      <c r="L2952" s="8"/>
      <c r="M2952" s="8"/>
      <c r="N2952" s="8"/>
      <c r="O2952" s="8"/>
      <c r="P2952" s="8"/>
      <c r="Q2952" s="8"/>
      <c r="R2952" s="8"/>
      <c r="S2952" s="8"/>
      <c r="T2952" s="8"/>
      <c r="U2952" s="8"/>
      <c r="V2952" s="8"/>
      <c r="W2952" s="8"/>
      <c r="X2952" s="771"/>
      <c r="Y2952" s="771"/>
      <c r="Z2952" s="771"/>
      <c r="AA2952" s="771"/>
      <c r="AB2952" s="771"/>
      <c r="AC2952" s="771"/>
      <c r="AD2952" s="771"/>
      <c r="AE2952" s="771"/>
      <c r="AF2952" s="771"/>
      <c r="AG2952" s="771"/>
      <c r="AH2952" s="771"/>
      <c r="AI2952" s="771"/>
      <c r="AJ2952" s="771"/>
      <c r="AK2952" s="771"/>
      <c r="AL2952" s="771"/>
      <c r="AM2952" s="771"/>
      <c r="AN2952" s="771"/>
      <c r="AO2952" s="771"/>
      <c r="AP2952" s="771"/>
      <c r="AQ2952" s="771"/>
      <c r="AR2952" s="771"/>
      <c r="AS2952" s="771"/>
      <c r="AT2952" s="771"/>
      <c r="AU2952" s="771"/>
    </row>
    <row r="2953" spans="1:47" s="1432" customFormat="1" outlineLevel="1" x14ac:dyDescent="0.2">
      <c r="A2953" s="8"/>
      <c r="B2953" s="8"/>
      <c r="C2953" s="1989" t="s">
        <v>6846</v>
      </c>
      <c r="D2953" s="1989" t="s">
        <v>6380</v>
      </c>
      <c r="E2953" s="1989">
        <v>1.5</v>
      </c>
      <c r="F2953" s="38">
        <f t="shared" si="45"/>
        <v>121.98186</v>
      </c>
      <c r="G2953" s="1547"/>
      <c r="H2953" s="8"/>
      <c r="I2953" s="8"/>
      <c r="J2953" s="8"/>
      <c r="K2953" s="8"/>
      <c r="L2953" s="8"/>
      <c r="M2953" s="8"/>
      <c r="N2953" s="8"/>
      <c r="O2953" s="8"/>
      <c r="P2953" s="8"/>
      <c r="Q2953" s="8"/>
      <c r="R2953" s="8"/>
      <c r="S2953" s="8"/>
      <c r="T2953" s="8"/>
      <c r="U2953" s="8"/>
      <c r="V2953" s="8"/>
      <c r="W2953" s="8"/>
      <c r="X2953" s="771"/>
      <c r="Y2953" s="771"/>
      <c r="Z2953" s="771"/>
      <c r="AA2953" s="771"/>
      <c r="AB2953" s="771"/>
      <c r="AC2953" s="771"/>
      <c r="AD2953" s="771"/>
      <c r="AE2953" s="771"/>
      <c r="AF2953" s="771"/>
      <c r="AG2953" s="771"/>
      <c r="AH2953" s="771"/>
      <c r="AI2953" s="771"/>
      <c r="AJ2953" s="771"/>
      <c r="AK2953" s="771"/>
      <c r="AL2953" s="771"/>
      <c r="AM2953" s="771"/>
      <c r="AN2953" s="771"/>
      <c r="AO2953" s="771"/>
      <c r="AP2953" s="771"/>
      <c r="AQ2953" s="771"/>
      <c r="AR2953" s="771"/>
      <c r="AS2953" s="771"/>
      <c r="AT2953" s="771"/>
      <c r="AU2953" s="771"/>
    </row>
    <row r="2954" spans="1:47" s="1432" customFormat="1" outlineLevel="1" x14ac:dyDescent="0.2">
      <c r="A2954" s="8"/>
      <c r="B2954" s="8"/>
      <c r="C2954" s="1989" t="s">
        <v>1235</v>
      </c>
      <c r="D2954" s="1989" t="s">
        <v>1236</v>
      </c>
      <c r="E2954" s="1989">
        <v>10.53</v>
      </c>
      <c r="F2954" s="38">
        <f t="shared" si="45"/>
        <v>856.31265719999999</v>
      </c>
      <c r="G2954" s="1547"/>
      <c r="H2954" s="8"/>
      <c r="I2954" s="8"/>
      <c r="J2954" s="8"/>
      <c r="K2954" s="8"/>
      <c r="L2954" s="8"/>
      <c r="M2954" s="8"/>
      <c r="N2954" s="8"/>
      <c r="O2954" s="8"/>
      <c r="P2954" s="8"/>
      <c r="Q2954" s="8"/>
      <c r="R2954" s="8"/>
      <c r="S2954" s="8"/>
      <c r="T2954" s="8"/>
      <c r="U2954" s="8"/>
      <c r="V2954" s="8"/>
      <c r="W2954" s="8"/>
      <c r="X2954" s="771"/>
      <c r="Y2954" s="771"/>
      <c r="Z2954" s="771"/>
      <c r="AA2954" s="771"/>
      <c r="AB2954" s="771"/>
      <c r="AC2954" s="771"/>
      <c r="AD2954" s="771"/>
      <c r="AE2954" s="771"/>
      <c r="AF2954" s="771"/>
      <c r="AG2954" s="771"/>
      <c r="AH2954" s="771"/>
      <c r="AI2954" s="771"/>
      <c r="AJ2954" s="771"/>
      <c r="AK2954" s="771"/>
      <c r="AL2954" s="771"/>
      <c r="AM2954" s="771"/>
      <c r="AN2954" s="771"/>
      <c r="AO2954" s="771"/>
      <c r="AP2954" s="771"/>
      <c r="AQ2954" s="771"/>
      <c r="AR2954" s="771"/>
      <c r="AS2954" s="771"/>
      <c r="AT2954" s="771"/>
      <c r="AU2954" s="771"/>
    </row>
    <row r="2955" spans="1:47" s="1432" customFormat="1" outlineLevel="1" x14ac:dyDescent="0.2">
      <c r="A2955" s="8"/>
      <c r="B2955" s="8"/>
      <c r="C2955" s="1989" t="s">
        <v>1295</v>
      </c>
      <c r="D2955" s="1989" t="s">
        <v>6381</v>
      </c>
      <c r="E2955" s="1989">
        <v>10.53</v>
      </c>
      <c r="F2955" s="38">
        <f t="shared" si="45"/>
        <v>856.31265719999999</v>
      </c>
      <c r="G2955" s="1547"/>
      <c r="H2955" s="8"/>
      <c r="I2955" s="8"/>
      <c r="J2955" s="8"/>
      <c r="K2955" s="8"/>
      <c r="L2955" s="8"/>
      <c r="M2955" s="8"/>
      <c r="N2955" s="8"/>
      <c r="O2955" s="8"/>
      <c r="P2955" s="8"/>
      <c r="Q2955" s="8"/>
      <c r="R2955" s="8"/>
      <c r="S2955" s="8"/>
      <c r="T2955" s="8"/>
      <c r="U2955" s="8"/>
      <c r="V2955" s="8"/>
      <c r="W2955" s="8"/>
      <c r="X2955" s="771"/>
      <c r="Y2955" s="771"/>
      <c r="Z2955" s="771"/>
      <c r="AA2955" s="771"/>
      <c r="AB2955" s="771"/>
      <c r="AC2955" s="771"/>
      <c r="AD2955" s="771"/>
      <c r="AE2955" s="771"/>
      <c r="AF2955" s="771"/>
      <c r="AG2955" s="771"/>
      <c r="AH2955" s="771"/>
      <c r="AI2955" s="771"/>
      <c r="AJ2955" s="771"/>
      <c r="AK2955" s="771"/>
      <c r="AL2955" s="771"/>
      <c r="AM2955" s="771"/>
      <c r="AN2955" s="771"/>
      <c r="AO2955" s="771"/>
      <c r="AP2955" s="771"/>
      <c r="AQ2955" s="771"/>
      <c r="AR2955" s="771"/>
      <c r="AS2955" s="771"/>
      <c r="AT2955" s="771"/>
      <c r="AU2955" s="771"/>
    </row>
    <row r="2956" spans="1:47" s="1432" customFormat="1" outlineLevel="1" x14ac:dyDescent="0.2">
      <c r="A2956" s="8"/>
      <c r="B2956" s="8"/>
      <c r="C2956" s="1989" t="s">
        <v>1238</v>
      </c>
      <c r="D2956" s="1989" t="s">
        <v>6382</v>
      </c>
      <c r="E2956" s="1989">
        <v>11.78</v>
      </c>
      <c r="F2956" s="38">
        <f t="shared" si="45"/>
        <v>957.96420720000003</v>
      </c>
      <c r="G2956" s="1547"/>
      <c r="H2956" s="8"/>
      <c r="I2956" s="8"/>
      <c r="J2956" s="8"/>
      <c r="K2956" s="8"/>
      <c r="L2956" s="8"/>
      <c r="M2956" s="8"/>
      <c r="N2956" s="8"/>
      <c r="O2956" s="8"/>
      <c r="P2956" s="8"/>
      <c r="Q2956" s="8"/>
      <c r="R2956" s="8"/>
      <c r="S2956" s="8"/>
      <c r="T2956" s="8"/>
      <c r="U2956" s="8"/>
      <c r="V2956" s="8"/>
      <c r="W2956" s="8"/>
      <c r="X2956" s="771"/>
      <c r="Y2956" s="771"/>
      <c r="Z2956" s="771"/>
      <c r="AA2956" s="771"/>
      <c r="AB2956" s="771"/>
      <c r="AC2956" s="771"/>
      <c r="AD2956" s="771"/>
      <c r="AE2956" s="771"/>
      <c r="AF2956" s="771"/>
      <c r="AG2956" s="771"/>
      <c r="AH2956" s="771"/>
      <c r="AI2956" s="771"/>
      <c r="AJ2956" s="771"/>
      <c r="AK2956" s="771"/>
      <c r="AL2956" s="771"/>
      <c r="AM2956" s="771"/>
      <c r="AN2956" s="771"/>
      <c r="AO2956" s="771"/>
      <c r="AP2956" s="771"/>
      <c r="AQ2956" s="771"/>
      <c r="AR2956" s="771"/>
      <c r="AS2956" s="771"/>
      <c r="AT2956" s="771"/>
      <c r="AU2956" s="771"/>
    </row>
    <row r="2957" spans="1:47" s="1432" customFormat="1" outlineLevel="1" x14ac:dyDescent="0.2">
      <c r="A2957" s="8"/>
      <c r="B2957" s="8"/>
      <c r="C2957" s="1989" t="s">
        <v>1239</v>
      </c>
      <c r="D2957" s="1989" t="s">
        <v>1220</v>
      </c>
      <c r="E2957" s="1989">
        <v>13.74</v>
      </c>
      <c r="F2957" s="38">
        <f t="shared" si="45"/>
        <v>1117.3538376000001</v>
      </c>
      <c r="G2957" s="1547"/>
      <c r="H2957" s="8"/>
      <c r="I2957" s="8"/>
      <c r="J2957" s="8"/>
      <c r="K2957" s="8"/>
      <c r="L2957" s="8"/>
      <c r="M2957" s="8"/>
      <c r="N2957" s="8"/>
      <c r="O2957" s="8"/>
      <c r="P2957" s="8"/>
      <c r="Q2957" s="8"/>
      <c r="R2957" s="8"/>
      <c r="S2957" s="8"/>
      <c r="T2957" s="8"/>
      <c r="U2957" s="8"/>
      <c r="V2957" s="8"/>
      <c r="W2957" s="8"/>
      <c r="X2957" s="771"/>
      <c r="Y2957" s="771"/>
      <c r="Z2957" s="771"/>
      <c r="AA2957" s="771"/>
      <c r="AB2957" s="771"/>
      <c r="AC2957" s="771"/>
      <c r="AD2957" s="771"/>
      <c r="AE2957" s="771"/>
      <c r="AF2957" s="771"/>
      <c r="AG2957" s="771"/>
      <c r="AH2957" s="771"/>
      <c r="AI2957" s="771"/>
      <c r="AJ2957" s="771"/>
      <c r="AK2957" s="771"/>
      <c r="AL2957" s="771"/>
      <c r="AM2957" s="771"/>
      <c r="AN2957" s="771"/>
      <c r="AO2957" s="771"/>
      <c r="AP2957" s="771"/>
      <c r="AQ2957" s="771"/>
      <c r="AR2957" s="771"/>
      <c r="AS2957" s="771"/>
      <c r="AT2957" s="771"/>
      <c r="AU2957" s="771"/>
    </row>
    <row r="2958" spans="1:47" s="1432" customFormat="1" outlineLevel="1" x14ac:dyDescent="0.2">
      <c r="A2958" s="8"/>
      <c r="B2958" s="8"/>
      <c r="C2958" s="1989" t="s">
        <v>1237</v>
      </c>
      <c r="D2958" s="1989" t="s">
        <v>6383</v>
      </c>
      <c r="E2958" s="1989">
        <v>13.74</v>
      </c>
      <c r="F2958" s="38">
        <f t="shared" si="45"/>
        <v>1117.3538376000001</v>
      </c>
      <c r="G2958" s="1547"/>
      <c r="H2958" s="8"/>
      <c r="I2958" s="8"/>
      <c r="J2958" s="8"/>
      <c r="K2958" s="8"/>
      <c r="L2958" s="8"/>
      <c r="M2958" s="8"/>
      <c r="N2958" s="8"/>
      <c r="O2958" s="8"/>
      <c r="P2958" s="8"/>
      <c r="Q2958" s="8"/>
      <c r="R2958" s="8"/>
      <c r="S2958" s="8"/>
      <c r="T2958" s="8"/>
      <c r="U2958" s="8"/>
      <c r="V2958" s="8"/>
      <c r="W2958" s="8"/>
      <c r="X2958" s="771"/>
      <c r="Y2958" s="771"/>
      <c r="Z2958" s="771"/>
      <c r="AA2958" s="771"/>
      <c r="AB2958" s="771"/>
      <c r="AC2958" s="771"/>
      <c r="AD2958" s="771"/>
      <c r="AE2958" s="771"/>
      <c r="AF2958" s="771"/>
      <c r="AG2958" s="771"/>
      <c r="AH2958" s="771"/>
      <c r="AI2958" s="771"/>
      <c r="AJ2958" s="771"/>
      <c r="AK2958" s="771"/>
      <c r="AL2958" s="771"/>
      <c r="AM2958" s="771"/>
      <c r="AN2958" s="771"/>
      <c r="AO2958" s="771"/>
      <c r="AP2958" s="771"/>
      <c r="AQ2958" s="771"/>
      <c r="AR2958" s="771"/>
      <c r="AS2958" s="771"/>
      <c r="AT2958" s="771"/>
      <c r="AU2958" s="771"/>
    </row>
    <row r="2959" spans="1:47" s="1432" customFormat="1" outlineLevel="1" x14ac:dyDescent="0.2">
      <c r="A2959" s="8"/>
      <c r="B2959" s="8"/>
      <c r="C2959" s="1989" t="s">
        <v>2209</v>
      </c>
      <c r="D2959" s="1989" t="s">
        <v>6384</v>
      </c>
      <c r="E2959" s="1989">
        <v>0.4</v>
      </c>
      <c r="F2959" s="38">
        <f t="shared" si="45"/>
        <v>32.528496000000004</v>
      </c>
      <c r="G2959" s="1547"/>
      <c r="H2959" s="8"/>
      <c r="I2959" s="8"/>
      <c r="J2959" s="8"/>
      <c r="K2959" s="8"/>
      <c r="L2959" s="8"/>
      <c r="M2959" s="8"/>
      <c r="N2959" s="8"/>
      <c r="O2959" s="8"/>
      <c r="P2959" s="8"/>
      <c r="Q2959" s="8"/>
      <c r="R2959" s="8"/>
      <c r="S2959" s="8"/>
      <c r="T2959" s="8"/>
      <c r="U2959" s="8"/>
      <c r="V2959" s="8"/>
      <c r="W2959" s="8"/>
      <c r="X2959" s="771"/>
      <c r="Y2959" s="771"/>
      <c r="Z2959" s="771"/>
      <c r="AA2959" s="771"/>
      <c r="AB2959" s="771"/>
      <c r="AC2959" s="771"/>
      <c r="AD2959" s="771"/>
      <c r="AE2959" s="771"/>
      <c r="AF2959" s="771"/>
      <c r="AG2959" s="771"/>
      <c r="AH2959" s="771"/>
      <c r="AI2959" s="771"/>
      <c r="AJ2959" s="771"/>
      <c r="AK2959" s="771"/>
      <c r="AL2959" s="771"/>
      <c r="AM2959" s="771"/>
      <c r="AN2959" s="771"/>
      <c r="AO2959" s="771"/>
      <c r="AP2959" s="771"/>
      <c r="AQ2959" s="771"/>
      <c r="AR2959" s="771"/>
      <c r="AS2959" s="771"/>
      <c r="AT2959" s="771"/>
      <c r="AU2959" s="771"/>
    </row>
    <row r="2960" spans="1:47" s="1432" customFormat="1" outlineLevel="1" x14ac:dyDescent="0.2">
      <c r="A2960" s="8"/>
      <c r="B2960" s="8"/>
      <c r="C2960" s="1989" t="s">
        <v>2208</v>
      </c>
      <c r="D2960" s="1989" t="s">
        <v>6385</v>
      </c>
      <c r="E2960" s="1989">
        <v>0.4</v>
      </c>
      <c r="F2960" s="38">
        <f t="shared" si="45"/>
        <v>32.528496000000004</v>
      </c>
      <c r="G2960" s="1547"/>
      <c r="H2960" s="8"/>
      <c r="I2960" s="8"/>
      <c r="J2960" s="8"/>
      <c r="K2960" s="8"/>
      <c r="L2960" s="8"/>
      <c r="M2960" s="8"/>
      <c r="N2960" s="8"/>
      <c r="O2960" s="8"/>
      <c r="P2960" s="8"/>
      <c r="Q2960" s="8"/>
      <c r="R2960" s="8"/>
      <c r="S2960" s="8"/>
      <c r="T2960" s="8"/>
      <c r="U2960" s="8"/>
      <c r="V2960" s="8"/>
      <c r="W2960" s="8"/>
      <c r="X2960" s="771"/>
      <c r="Y2960" s="771"/>
      <c r="Z2960" s="771"/>
      <c r="AA2960" s="771"/>
      <c r="AB2960" s="771"/>
      <c r="AC2960" s="771"/>
      <c r="AD2960" s="771"/>
      <c r="AE2960" s="771"/>
      <c r="AF2960" s="771"/>
      <c r="AG2960" s="771"/>
      <c r="AH2960" s="771"/>
      <c r="AI2960" s="771"/>
      <c r="AJ2960" s="771"/>
      <c r="AK2960" s="771"/>
      <c r="AL2960" s="771"/>
      <c r="AM2960" s="771"/>
      <c r="AN2960" s="771"/>
      <c r="AO2960" s="771"/>
      <c r="AP2960" s="771"/>
      <c r="AQ2960" s="771"/>
      <c r="AR2960" s="771"/>
      <c r="AS2960" s="771"/>
      <c r="AT2960" s="771"/>
      <c r="AU2960" s="771"/>
    </row>
    <row r="2961" spans="1:47" s="1432" customFormat="1" outlineLevel="1" x14ac:dyDescent="0.2">
      <c r="A2961" s="8"/>
      <c r="B2961" s="8"/>
      <c r="C2961" s="1989" t="s">
        <v>8232</v>
      </c>
      <c r="D2961" s="1989" t="s">
        <v>8233</v>
      </c>
      <c r="E2961" s="1989">
        <v>1.6</v>
      </c>
      <c r="F2961" s="38">
        <f t="shared" si="45"/>
        <v>130.11398400000002</v>
      </c>
      <c r="G2961" s="1547"/>
      <c r="H2961" s="8"/>
      <c r="I2961" s="8"/>
      <c r="J2961" s="8"/>
      <c r="K2961" s="8"/>
      <c r="L2961" s="8"/>
      <c r="M2961" s="8"/>
      <c r="N2961" s="8"/>
      <c r="O2961" s="8"/>
      <c r="P2961" s="8"/>
      <c r="Q2961" s="8"/>
      <c r="R2961" s="8"/>
      <c r="S2961" s="8"/>
      <c r="T2961" s="8"/>
      <c r="U2961" s="8"/>
      <c r="V2961" s="8"/>
      <c r="W2961" s="8"/>
      <c r="X2961" s="771"/>
      <c r="Y2961" s="771"/>
      <c r="Z2961" s="771"/>
      <c r="AA2961" s="771"/>
      <c r="AB2961" s="771"/>
      <c r="AC2961" s="771"/>
      <c r="AD2961" s="771"/>
      <c r="AE2961" s="771"/>
      <c r="AF2961" s="771"/>
      <c r="AG2961" s="771"/>
      <c r="AH2961" s="771"/>
      <c r="AI2961" s="771"/>
      <c r="AJ2961" s="771"/>
      <c r="AK2961" s="771"/>
      <c r="AL2961" s="771"/>
      <c r="AM2961" s="771"/>
      <c r="AN2961" s="771"/>
      <c r="AO2961" s="771"/>
      <c r="AP2961" s="771"/>
      <c r="AQ2961" s="771"/>
      <c r="AR2961" s="771"/>
      <c r="AS2961" s="771"/>
      <c r="AT2961" s="771"/>
      <c r="AU2961" s="771"/>
    </row>
    <row r="2962" spans="1:47" s="1432" customFormat="1" outlineLevel="1" x14ac:dyDescent="0.2">
      <c r="A2962" s="8"/>
      <c r="B2962" s="8"/>
      <c r="C2962" s="1989" t="s">
        <v>2628</v>
      </c>
      <c r="D2962" s="1989" t="s">
        <v>8234</v>
      </c>
      <c r="E2962" s="1989">
        <v>7.61</v>
      </c>
      <c r="F2962" s="38">
        <f t="shared" si="45"/>
        <v>618.8546364</v>
      </c>
      <c r="G2962" s="1547"/>
      <c r="H2962" s="8"/>
      <c r="I2962" s="8"/>
      <c r="J2962" s="8"/>
      <c r="K2962" s="8"/>
      <c r="L2962" s="8"/>
      <c r="M2962" s="8"/>
      <c r="N2962" s="8"/>
      <c r="O2962" s="8"/>
      <c r="P2962" s="8"/>
      <c r="Q2962" s="8"/>
      <c r="R2962" s="8"/>
      <c r="S2962" s="8"/>
      <c r="T2962" s="8"/>
      <c r="U2962" s="8"/>
      <c r="V2962" s="8"/>
      <c r="W2962" s="8"/>
      <c r="X2962" s="771"/>
      <c r="Y2962" s="771"/>
      <c r="Z2962" s="771"/>
      <c r="AA2962" s="771"/>
      <c r="AB2962" s="771"/>
      <c r="AC2962" s="771"/>
      <c r="AD2962" s="771"/>
      <c r="AE2962" s="771"/>
      <c r="AF2962" s="771"/>
      <c r="AG2962" s="771"/>
      <c r="AH2962" s="771"/>
      <c r="AI2962" s="771"/>
      <c r="AJ2962" s="771"/>
      <c r="AK2962" s="771"/>
      <c r="AL2962" s="771"/>
      <c r="AM2962" s="771"/>
      <c r="AN2962" s="771"/>
      <c r="AO2962" s="771"/>
      <c r="AP2962" s="771"/>
      <c r="AQ2962" s="771"/>
      <c r="AR2962" s="771"/>
      <c r="AS2962" s="771"/>
      <c r="AT2962" s="771"/>
      <c r="AU2962" s="771"/>
    </row>
    <row r="2963" spans="1:47" s="1432" customFormat="1" outlineLevel="1" x14ac:dyDescent="0.2">
      <c r="A2963" s="8"/>
      <c r="B2963" s="8"/>
      <c r="C2963" s="1989" t="s">
        <v>954</v>
      </c>
      <c r="D2963" s="1989" t="s">
        <v>3110</v>
      </c>
      <c r="E2963" s="1989">
        <v>0.27</v>
      </c>
      <c r="F2963" s="38">
        <f t="shared" si="45"/>
        <v>21.956734800000003</v>
      </c>
      <c r="G2963" s="1547"/>
      <c r="H2963" s="8"/>
      <c r="I2963" s="8"/>
      <c r="J2963" s="8"/>
      <c r="K2963" s="8"/>
      <c r="L2963" s="8"/>
      <c r="M2963" s="8"/>
      <c r="N2963" s="8"/>
      <c r="O2963" s="8"/>
      <c r="P2963" s="8"/>
      <c r="Q2963" s="8"/>
      <c r="R2963" s="8"/>
      <c r="S2963" s="8"/>
      <c r="T2963" s="8"/>
      <c r="U2963" s="8"/>
      <c r="V2963" s="8"/>
      <c r="W2963" s="8"/>
      <c r="X2963" s="771"/>
      <c r="Y2963" s="771"/>
      <c r="Z2963" s="771"/>
      <c r="AA2963" s="771"/>
      <c r="AB2963" s="771"/>
      <c r="AC2963" s="771"/>
      <c r="AD2963" s="771"/>
      <c r="AE2963" s="771"/>
      <c r="AF2963" s="771"/>
      <c r="AG2963" s="771"/>
      <c r="AH2963" s="771"/>
      <c r="AI2963" s="771"/>
      <c r="AJ2963" s="771"/>
      <c r="AK2963" s="771"/>
      <c r="AL2963" s="771"/>
      <c r="AM2963" s="771"/>
      <c r="AN2963" s="771"/>
      <c r="AO2963" s="771"/>
      <c r="AP2963" s="771"/>
      <c r="AQ2963" s="771"/>
      <c r="AR2963" s="771"/>
      <c r="AS2963" s="771"/>
      <c r="AT2963" s="771"/>
      <c r="AU2963" s="771"/>
    </row>
    <row r="2964" spans="1:47" s="1432" customFormat="1" outlineLevel="1" x14ac:dyDescent="0.2">
      <c r="A2964" s="8"/>
      <c r="B2964" s="8"/>
      <c r="C2964" s="1989" t="s">
        <v>895</v>
      </c>
      <c r="D2964" s="1989" t="s">
        <v>6386</v>
      </c>
      <c r="E2964" s="1989">
        <v>4.67</v>
      </c>
      <c r="F2964" s="38">
        <f t="shared" si="45"/>
        <v>379.77019080000002</v>
      </c>
      <c r="G2964" s="1547"/>
      <c r="H2964" s="8"/>
      <c r="I2964" s="8"/>
      <c r="J2964" s="8"/>
      <c r="K2964" s="8"/>
      <c r="L2964" s="8"/>
      <c r="M2964" s="8"/>
      <c r="N2964" s="8"/>
      <c r="O2964" s="8"/>
      <c r="P2964" s="8"/>
      <c r="Q2964" s="8"/>
      <c r="R2964" s="8"/>
      <c r="S2964" s="8"/>
      <c r="T2964" s="8"/>
      <c r="U2964" s="8"/>
      <c r="V2964" s="8"/>
      <c r="W2964" s="8"/>
      <c r="X2964" s="771"/>
      <c r="Y2964" s="771"/>
      <c r="Z2964" s="771"/>
      <c r="AA2964" s="771"/>
      <c r="AB2964" s="771"/>
      <c r="AC2964" s="771"/>
      <c r="AD2964" s="771"/>
      <c r="AE2964" s="771"/>
      <c r="AF2964" s="771"/>
      <c r="AG2964" s="771"/>
      <c r="AH2964" s="771"/>
      <c r="AI2964" s="771"/>
      <c r="AJ2964" s="771"/>
      <c r="AK2964" s="771"/>
      <c r="AL2964" s="771"/>
      <c r="AM2964" s="771"/>
      <c r="AN2964" s="771"/>
      <c r="AO2964" s="771"/>
      <c r="AP2964" s="771"/>
      <c r="AQ2964" s="771"/>
      <c r="AR2964" s="771"/>
      <c r="AS2964" s="771"/>
      <c r="AT2964" s="771"/>
      <c r="AU2964" s="771"/>
    </row>
    <row r="2965" spans="1:47" s="1432" customFormat="1" outlineLevel="1" x14ac:dyDescent="0.2">
      <c r="A2965" s="8"/>
      <c r="B2965" s="8"/>
      <c r="C2965" s="1989" t="s">
        <v>3368</v>
      </c>
      <c r="D2965" s="1989" t="s">
        <v>6387</v>
      </c>
      <c r="E2965" s="1989">
        <v>7.86</v>
      </c>
      <c r="F2965" s="38">
        <f t="shared" si="45"/>
        <v>639.18494640000006</v>
      </c>
      <c r="G2965" s="1547"/>
      <c r="H2965" s="8"/>
      <c r="I2965" s="8"/>
      <c r="J2965" s="8"/>
      <c r="K2965" s="8"/>
      <c r="L2965" s="8"/>
      <c r="M2965" s="8"/>
      <c r="N2965" s="8"/>
      <c r="O2965" s="8"/>
      <c r="P2965" s="8"/>
      <c r="Q2965" s="8"/>
      <c r="R2965" s="8"/>
      <c r="S2965" s="8"/>
      <c r="T2965" s="8"/>
      <c r="U2965" s="8"/>
      <c r="V2965" s="8"/>
      <c r="W2965" s="8"/>
      <c r="X2965" s="771"/>
      <c r="Y2965" s="771"/>
      <c r="Z2965" s="771"/>
      <c r="AA2965" s="771"/>
      <c r="AB2965" s="771"/>
      <c r="AC2965" s="771"/>
      <c r="AD2965" s="771"/>
      <c r="AE2965" s="771"/>
      <c r="AF2965" s="771"/>
      <c r="AG2965" s="771"/>
      <c r="AH2965" s="771"/>
      <c r="AI2965" s="771"/>
      <c r="AJ2965" s="771"/>
      <c r="AK2965" s="771"/>
      <c r="AL2965" s="771"/>
      <c r="AM2965" s="771"/>
      <c r="AN2965" s="771"/>
      <c r="AO2965" s="771"/>
      <c r="AP2965" s="771"/>
      <c r="AQ2965" s="771"/>
      <c r="AR2965" s="771"/>
      <c r="AS2965" s="771"/>
      <c r="AT2965" s="771"/>
      <c r="AU2965" s="771"/>
    </row>
    <row r="2966" spans="1:47" s="1432" customFormat="1" outlineLevel="1" x14ac:dyDescent="0.2">
      <c r="A2966" s="8"/>
      <c r="B2966" s="8"/>
      <c r="C2966" s="1989" t="s">
        <v>956</v>
      </c>
      <c r="D2966" s="1989" t="s">
        <v>1317</v>
      </c>
      <c r="E2966" s="1989">
        <v>0.28000000000000003</v>
      </c>
      <c r="F2966" s="38">
        <f t="shared" si="45"/>
        <v>22.769947200000004</v>
      </c>
      <c r="G2966" s="1547"/>
      <c r="H2966" s="8"/>
      <c r="I2966" s="8"/>
      <c r="J2966" s="8"/>
      <c r="K2966" s="8"/>
      <c r="L2966" s="8"/>
      <c r="M2966" s="8"/>
      <c r="N2966" s="8"/>
      <c r="O2966" s="8"/>
      <c r="P2966" s="8"/>
      <c r="Q2966" s="8"/>
      <c r="R2966" s="8"/>
      <c r="S2966" s="8"/>
      <c r="T2966" s="8"/>
      <c r="U2966" s="8"/>
      <c r="V2966" s="8"/>
      <c r="W2966" s="8"/>
      <c r="X2966" s="771"/>
      <c r="Y2966" s="771"/>
      <c r="Z2966" s="771"/>
      <c r="AA2966" s="771"/>
      <c r="AB2966" s="771"/>
      <c r="AC2966" s="771"/>
      <c r="AD2966" s="771"/>
      <c r="AE2966" s="771"/>
      <c r="AF2966" s="771"/>
      <c r="AG2966" s="771"/>
      <c r="AH2966" s="771"/>
      <c r="AI2966" s="771"/>
      <c r="AJ2966" s="771"/>
      <c r="AK2966" s="771"/>
      <c r="AL2966" s="771"/>
      <c r="AM2966" s="771"/>
      <c r="AN2966" s="771"/>
      <c r="AO2966" s="771"/>
      <c r="AP2966" s="771"/>
      <c r="AQ2966" s="771"/>
      <c r="AR2966" s="771"/>
      <c r="AS2966" s="771"/>
      <c r="AT2966" s="771"/>
      <c r="AU2966" s="771"/>
    </row>
    <row r="2967" spans="1:47" s="1432" customFormat="1" outlineLevel="1" x14ac:dyDescent="0.2">
      <c r="A2967" s="8"/>
      <c r="B2967" s="8"/>
      <c r="C2967" s="1989" t="s">
        <v>3370</v>
      </c>
      <c r="D2967" s="1989" t="s">
        <v>8235</v>
      </c>
      <c r="E2967" s="1989">
        <v>0.55000000000000004</v>
      </c>
      <c r="F2967" s="38">
        <f t="shared" si="45"/>
        <v>44.726682000000004</v>
      </c>
      <c r="G2967" s="1547"/>
      <c r="H2967" s="8"/>
      <c r="I2967" s="8"/>
      <c r="J2967" s="8"/>
      <c r="K2967" s="8"/>
      <c r="L2967" s="8"/>
      <c r="M2967" s="8"/>
      <c r="N2967" s="8"/>
      <c r="O2967" s="8"/>
      <c r="P2967" s="8"/>
      <c r="Q2967" s="8"/>
      <c r="R2967" s="8"/>
      <c r="S2967" s="8"/>
      <c r="T2967" s="8"/>
      <c r="U2967" s="8"/>
      <c r="V2967" s="8"/>
      <c r="W2967" s="8"/>
      <c r="X2967" s="771"/>
      <c r="Y2967" s="771"/>
      <c r="Z2967" s="771"/>
      <c r="AA2967" s="771"/>
      <c r="AB2967" s="771"/>
      <c r="AC2967" s="771"/>
      <c r="AD2967" s="771"/>
      <c r="AE2967" s="771"/>
      <c r="AF2967" s="771"/>
      <c r="AG2967" s="771"/>
      <c r="AH2967" s="771"/>
      <c r="AI2967" s="771"/>
      <c r="AJ2967" s="771"/>
      <c r="AK2967" s="771"/>
      <c r="AL2967" s="771"/>
      <c r="AM2967" s="771"/>
      <c r="AN2967" s="771"/>
      <c r="AO2967" s="771"/>
      <c r="AP2967" s="771"/>
      <c r="AQ2967" s="771"/>
      <c r="AR2967" s="771"/>
      <c r="AS2967" s="771"/>
      <c r="AT2967" s="771"/>
      <c r="AU2967" s="771"/>
    </row>
    <row r="2968" spans="1:47" s="1432" customFormat="1" outlineLevel="1" x14ac:dyDescent="0.2">
      <c r="A2968" s="8"/>
      <c r="B2968" s="8"/>
      <c r="C2968" s="1989" t="s">
        <v>2083</v>
      </c>
      <c r="D2968" s="1989" t="s">
        <v>8236</v>
      </c>
      <c r="E2968" s="1989">
        <v>0.05</v>
      </c>
      <c r="F2968" s="38">
        <f t="shared" si="45"/>
        <v>4.0660620000000005</v>
      </c>
      <c r="G2968" s="1547"/>
      <c r="H2968" s="8"/>
      <c r="I2968" s="8"/>
      <c r="J2968" s="8"/>
      <c r="K2968" s="8"/>
      <c r="L2968" s="8"/>
      <c r="M2968" s="8"/>
      <c r="N2968" s="8"/>
      <c r="O2968" s="8"/>
      <c r="P2968" s="8"/>
      <c r="Q2968" s="8"/>
      <c r="R2968" s="8"/>
      <c r="S2968" s="8"/>
      <c r="T2968" s="8"/>
      <c r="U2968" s="8"/>
      <c r="V2968" s="8"/>
      <c r="W2968" s="8"/>
      <c r="X2968" s="771"/>
      <c r="Y2968" s="771"/>
      <c r="Z2968" s="771"/>
      <c r="AA2968" s="771"/>
      <c r="AB2968" s="771"/>
      <c r="AC2968" s="771"/>
      <c r="AD2968" s="771"/>
      <c r="AE2968" s="771"/>
      <c r="AF2968" s="771"/>
      <c r="AG2968" s="771"/>
      <c r="AH2968" s="771"/>
      <c r="AI2968" s="771"/>
      <c r="AJ2968" s="771"/>
      <c r="AK2968" s="771"/>
      <c r="AL2968" s="771"/>
      <c r="AM2968" s="771"/>
      <c r="AN2968" s="771"/>
      <c r="AO2968" s="771"/>
      <c r="AP2968" s="771"/>
      <c r="AQ2968" s="771"/>
      <c r="AR2968" s="771"/>
      <c r="AS2968" s="771"/>
      <c r="AT2968" s="771"/>
      <c r="AU2968" s="771"/>
    </row>
    <row r="2969" spans="1:47" s="1432" customFormat="1" outlineLevel="1" x14ac:dyDescent="0.2">
      <c r="A2969" s="8"/>
      <c r="B2969" s="8"/>
      <c r="C2969" s="1989" t="s">
        <v>6847</v>
      </c>
      <c r="D2969" s="1989" t="s">
        <v>6388</v>
      </c>
      <c r="E2969" s="1989">
        <v>1.6</v>
      </c>
      <c r="F2969" s="38">
        <f t="shared" si="45"/>
        <v>130.11398400000002</v>
      </c>
      <c r="G2969" s="1547"/>
      <c r="H2969" s="8"/>
      <c r="I2969" s="8"/>
      <c r="J2969" s="8"/>
      <c r="K2969" s="8"/>
      <c r="L2969" s="8"/>
      <c r="M2969" s="8"/>
      <c r="N2969" s="8"/>
      <c r="O2969" s="8"/>
      <c r="P2969" s="8"/>
      <c r="Q2969" s="8"/>
      <c r="R2969" s="8"/>
      <c r="S2969" s="8"/>
      <c r="T2969" s="8"/>
      <c r="U2969" s="8"/>
      <c r="V2969" s="8"/>
      <c r="W2969" s="8"/>
      <c r="X2969" s="771"/>
      <c r="Y2969" s="771"/>
      <c r="Z2969" s="771"/>
      <c r="AA2969" s="771"/>
      <c r="AB2969" s="771"/>
      <c r="AC2969" s="771"/>
      <c r="AD2969" s="771"/>
      <c r="AE2969" s="771"/>
      <c r="AF2969" s="771"/>
      <c r="AG2969" s="771"/>
      <c r="AH2969" s="771"/>
      <c r="AI2969" s="771"/>
      <c r="AJ2969" s="771"/>
      <c r="AK2969" s="771"/>
      <c r="AL2969" s="771"/>
      <c r="AM2969" s="771"/>
      <c r="AN2969" s="771"/>
      <c r="AO2969" s="771"/>
      <c r="AP2969" s="771"/>
      <c r="AQ2969" s="771"/>
      <c r="AR2969" s="771"/>
      <c r="AS2969" s="771"/>
      <c r="AT2969" s="771"/>
      <c r="AU2969" s="771"/>
    </row>
    <row r="2970" spans="1:47" s="1432" customFormat="1" outlineLevel="1" x14ac:dyDescent="0.2">
      <c r="A2970" s="8"/>
      <c r="B2970" s="8"/>
      <c r="C2970" s="1989" t="s">
        <v>2629</v>
      </c>
      <c r="D2970" s="1989" t="s">
        <v>6389</v>
      </c>
      <c r="E2970" s="1989">
        <v>0.11</v>
      </c>
      <c r="F2970" s="38">
        <f t="shared" si="45"/>
        <v>8.9453364000000004</v>
      </c>
      <c r="G2970" s="1547"/>
      <c r="H2970" s="8"/>
      <c r="I2970" s="8"/>
      <c r="J2970" s="8"/>
      <c r="K2970" s="8"/>
      <c r="L2970" s="8"/>
      <c r="M2970" s="8"/>
      <c r="N2970" s="8"/>
      <c r="O2970" s="8"/>
      <c r="P2970" s="8"/>
      <c r="Q2970" s="8"/>
      <c r="R2970" s="8"/>
      <c r="S2970" s="8"/>
      <c r="T2970" s="8"/>
      <c r="U2970" s="8"/>
      <c r="V2970" s="8"/>
      <c r="W2970" s="8"/>
      <c r="X2970" s="771"/>
      <c r="Y2970" s="771"/>
      <c r="Z2970" s="771"/>
      <c r="AA2970" s="771"/>
      <c r="AB2970" s="771"/>
      <c r="AC2970" s="771"/>
      <c r="AD2970" s="771"/>
      <c r="AE2970" s="771"/>
      <c r="AF2970" s="771"/>
      <c r="AG2970" s="771"/>
      <c r="AH2970" s="771"/>
      <c r="AI2970" s="771"/>
      <c r="AJ2970" s="771"/>
      <c r="AK2970" s="771"/>
      <c r="AL2970" s="771"/>
      <c r="AM2970" s="771"/>
      <c r="AN2970" s="771"/>
      <c r="AO2970" s="771"/>
      <c r="AP2970" s="771"/>
      <c r="AQ2970" s="771"/>
      <c r="AR2970" s="771"/>
      <c r="AS2970" s="771"/>
      <c r="AT2970" s="771"/>
      <c r="AU2970" s="771"/>
    </row>
    <row r="2971" spans="1:47" s="1432" customFormat="1" outlineLevel="1" x14ac:dyDescent="0.2">
      <c r="A2971" s="8"/>
      <c r="B2971" s="8"/>
      <c r="C2971" s="1989" t="s">
        <v>8237</v>
      </c>
      <c r="D2971" s="1989" t="s">
        <v>8238</v>
      </c>
      <c r="E2971" s="1989">
        <v>1.5</v>
      </c>
      <c r="F2971" s="38">
        <f t="shared" si="45"/>
        <v>121.98186</v>
      </c>
      <c r="G2971" s="1547"/>
      <c r="H2971" s="8"/>
      <c r="I2971" s="8"/>
      <c r="J2971" s="8"/>
      <c r="K2971" s="8"/>
      <c r="L2971" s="8"/>
      <c r="M2971" s="8"/>
      <c r="N2971" s="8"/>
      <c r="O2971" s="8"/>
      <c r="P2971" s="8"/>
      <c r="Q2971" s="8"/>
      <c r="R2971" s="8"/>
      <c r="S2971" s="8"/>
      <c r="T2971" s="8"/>
      <c r="U2971" s="8"/>
      <c r="V2971" s="8"/>
      <c r="W2971" s="8"/>
      <c r="X2971" s="771"/>
      <c r="Y2971" s="771"/>
      <c r="Z2971" s="771"/>
      <c r="AA2971" s="771"/>
      <c r="AB2971" s="771"/>
      <c r="AC2971" s="771"/>
      <c r="AD2971" s="771"/>
      <c r="AE2971" s="771"/>
      <c r="AF2971" s="771"/>
      <c r="AG2971" s="771"/>
      <c r="AH2971" s="771"/>
      <c r="AI2971" s="771"/>
      <c r="AJ2971" s="771"/>
      <c r="AK2971" s="771"/>
      <c r="AL2971" s="771"/>
      <c r="AM2971" s="771"/>
      <c r="AN2971" s="771"/>
      <c r="AO2971" s="771"/>
      <c r="AP2971" s="771"/>
      <c r="AQ2971" s="771"/>
      <c r="AR2971" s="771"/>
      <c r="AS2971" s="771"/>
      <c r="AT2971" s="771"/>
      <c r="AU2971" s="771"/>
    </row>
    <row r="2972" spans="1:47" s="1432" customFormat="1" outlineLevel="1" x14ac:dyDescent="0.2">
      <c r="A2972" s="8"/>
      <c r="B2972" s="8"/>
      <c r="C2972" s="1989" t="s">
        <v>3371</v>
      </c>
      <c r="D2972" s="1989" t="s">
        <v>8239</v>
      </c>
      <c r="E2972" s="1989">
        <v>7.3</v>
      </c>
      <c r="F2972" s="38">
        <f t="shared" si="45"/>
        <v>593.64505200000008</v>
      </c>
      <c r="G2972" s="1547"/>
      <c r="H2972" s="8"/>
      <c r="I2972" s="8"/>
      <c r="J2972" s="8"/>
      <c r="K2972" s="8"/>
      <c r="L2972" s="8"/>
      <c r="M2972" s="8"/>
      <c r="N2972" s="8"/>
      <c r="O2972" s="8"/>
      <c r="P2972" s="8"/>
      <c r="Q2972" s="8"/>
      <c r="R2972" s="8"/>
      <c r="S2972" s="8"/>
      <c r="T2972" s="8"/>
      <c r="U2972" s="8"/>
      <c r="V2972" s="8"/>
      <c r="W2972" s="8"/>
      <c r="X2972" s="771"/>
      <c r="Y2972" s="771"/>
      <c r="Z2972" s="771"/>
      <c r="AA2972" s="771"/>
      <c r="AB2972" s="771"/>
      <c r="AC2972" s="771"/>
      <c r="AD2972" s="771"/>
      <c r="AE2972" s="771"/>
      <c r="AF2972" s="771"/>
      <c r="AG2972" s="771"/>
      <c r="AH2972" s="771"/>
      <c r="AI2972" s="771"/>
      <c r="AJ2972" s="771"/>
      <c r="AK2972" s="771"/>
      <c r="AL2972" s="771"/>
      <c r="AM2972" s="771"/>
      <c r="AN2972" s="771"/>
      <c r="AO2972" s="771"/>
      <c r="AP2972" s="771"/>
      <c r="AQ2972" s="771"/>
      <c r="AR2972" s="771"/>
      <c r="AS2972" s="771"/>
      <c r="AT2972" s="771"/>
      <c r="AU2972" s="771"/>
    </row>
    <row r="2973" spans="1:47" s="1432" customFormat="1" outlineLevel="1" x14ac:dyDescent="0.2">
      <c r="A2973" s="8"/>
      <c r="B2973" s="8"/>
      <c r="C2973" s="1989" t="s">
        <v>2210</v>
      </c>
      <c r="D2973" s="1989" t="s">
        <v>8240</v>
      </c>
      <c r="E2973" s="1989">
        <v>5.35</v>
      </c>
      <c r="F2973" s="38">
        <f t="shared" si="45"/>
        <v>435.06863399999997</v>
      </c>
      <c r="G2973" s="1547"/>
      <c r="H2973" s="8"/>
      <c r="I2973" s="8"/>
      <c r="J2973" s="8"/>
      <c r="K2973" s="8"/>
      <c r="L2973" s="8"/>
      <c r="M2973" s="8"/>
      <c r="N2973" s="8"/>
      <c r="O2973" s="8"/>
      <c r="P2973" s="8"/>
      <c r="Q2973" s="8"/>
      <c r="R2973" s="8"/>
      <c r="S2973" s="8"/>
      <c r="T2973" s="8"/>
      <c r="U2973" s="8"/>
      <c r="V2973" s="8"/>
      <c r="W2973" s="8"/>
      <c r="X2973" s="771"/>
      <c r="Y2973" s="771"/>
      <c r="Z2973" s="771"/>
      <c r="AA2973" s="771"/>
      <c r="AB2973" s="771"/>
      <c r="AC2973" s="771"/>
      <c r="AD2973" s="771"/>
      <c r="AE2973" s="771"/>
      <c r="AF2973" s="771"/>
      <c r="AG2973" s="771"/>
      <c r="AH2973" s="771"/>
      <c r="AI2973" s="771"/>
      <c r="AJ2973" s="771"/>
      <c r="AK2973" s="771"/>
      <c r="AL2973" s="771"/>
      <c r="AM2973" s="771"/>
      <c r="AN2973" s="771"/>
      <c r="AO2973" s="771"/>
      <c r="AP2973" s="771"/>
      <c r="AQ2973" s="771"/>
      <c r="AR2973" s="771"/>
      <c r="AS2973" s="771"/>
      <c r="AT2973" s="771"/>
      <c r="AU2973" s="771"/>
    </row>
    <row r="2974" spans="1:47" s="1432" customFormat="1" outlineLevel="1" x14ac:dyDescent="0.2">
      <c r="A2974" s="8"/>
      <c r="B2974" s="8"/>
      <c r="C2974" s="1989" t="s">
        <v>394</v>
      </c>
      <c r="D2974" s="1989" t="s">
        <v>6390</v>
      </c>
      <c r="E2974" s="1989">
        <v>1.33</v>
      </c>
      <c r="F2974" s="38">
        <f t="shared" si="45"/>
        <v>108.15724920000001</v>
      </c>
      <c r="G2974" s="1547"/>
      <c r="H2974" s="8"/>
      <c r="I2974" s="8"/>
      <c r="J2974" s="8"/>
      <c r="K2974" s="8"/>
      <c r="L2974" s="8"/>
      <c r="M2974" s="8"/>
      <c r="N2974" s="8"/>
      <c r="O2974" s="8"/>
      <c r="P2974" s="8"/>
      <c r="Q2974" s="8"/>
      <c r="R2974" s="8"/>
      <c r="S2974" s="8"/>
      <c r="T2974" s="8"/>
      <c r="U2974" s="8"/>
      <c r="V2974" s="8"/>
      <c r="W2974" s="8"/>
      <c r="X2974" s="771"/>
      <c r="Y2974" s="771"/>
      <c r="Z2974" s="771"/>
      <c r="AA2974" s="771"/>
      <c r="AB2974" s="771"/>
      <c r="AC2974" s="771"/>
      <c r="AD2974" s="771"/>
      <c r="AE2974" s="771"/>
      <c r="AF2974" s="771"/>
      <c r="AG2974" s="771"/>
      <c r="AH2974" s="771"/>
      <c r="AI2974" s="771"/>
      <c r="AJ2974" s="771"/>
      <c r="AK2974" s="771"/>
      <c r="AL2974" s="771"/>
      <c r="AM2974" s="771"/>
      <c r="AN2974" s="771"/>
      <c r="AO2974" s="771"/>
      <c r="AP2974" s="771"/>
      <c r="AQ2974" s="771"/>
      <c r="AR2974" s="771"/>
      <c r="AS2974" s="771"/>
      <c r="AT2974" s="771"/>
      <c r="AU2974" s="771"/>
    </row>
    <row r="2975" spans="1:47" s="1432" customFormat="1" outlineLevel="1" x14ac:dyDescent="0.2">
      <c r="A2975" s="8"/>
      <c r="B2975" s="8"/>
      <c r="C2975" s="1989" t="s">
        <v>396</v>
      </c>
      <c r="D2975" s="1989" t="s">
        <v>6391</v>
      </c>
      <c r="E2975" s="1989">
        <v>1.05</v>
      </c>
      <c r="F2975" s="38">
        <f t="shared" si="45"/>
        <v>85.387302000000005</v>
      </c>
      <c r="G2975" s="1547"/>
      <c r="H2975" s="8"/>
      <c r="I2975" s="8"/>
      <c r="J2975" s="8"/>
      <c r="K2975" s="8"/>
      <c r="L2975" s="8"/>
      <c r="M2975" s="8"/>
      <c r="N2975" s="8"/>
      <c r="O2975" s="8"/>
      <c r="P2975" s="8"/>
      <c r="Q2975" s="8"/>
      <c r="R2975" s="8"/>
      <c r="S2975" s="8"/>
      <c r="T2975" s="8"/>
      <c r="U2975" s="8"/>
      <c r="V2975" s="8"/>
      <c r="W2975" s="8"/>
      <c r="X2975" s="771"/>
      <c r="Y2975" s="771"/>
      <c r="Z2975" s="771"/>
      <c r="AA2975" s="771"/>
      <c r="AB2975" s="771"/>
      <c r="AC2975" s="771"/>
      <c r="AD2975" s="771"/>
      <c r="AE2975" s="771"/>
      <c r="AF2975" s="771"/>
      <c r="AG2975" s="771"/>
      <c r="AH2975" s="771"/>
      <c r="AI2975" s="771"/>
      <c r="AJ2975" s="771"/>
      <c r="AK2975" s="771"/>
      <c r="AL2975" s="771"/>
      <c r="AM2975" s="771"/>
      <c r="AN2975" s="771"/>
      <c r="AO2975" s="771"/>
      <c r="AP2975" s="771"/>
      <c r="AQ2975" s="771"/>
      <c r="AR2975" s="771"/>
      <c r="AS2975" s="771"/>
      <c r="AT2975" s="771"/>
      <c r="AU2975" s="771"/>
    </row>
    <row r="2976" spans="1:47" s="1432" customFormat="1" outlineLevel="1" x14ac:dyDescent="0.2">
      <c r="A2976" s="8"/>
      <c r="B2976" s="8"/>
      <c r="C2976" s="1989" t="s">
        <v>395</v>
      </c>
      <c r="D2976" s="1989" t="s">
        <v>6392</v>
      </c>
      <c r="E2976" s="1989">
        <v>1.33</v>
      </c>
      <c r="F2976" s="38">
        <f t="shared" si="45"/>
        <v>108.15724920000001</v>
      </c>
      <c r="G2976" s="1547"/>
      <c r="H2976" s="8"/>
      <c r="I2976" s="8"/>
      <c r="J2976" s="8"/>
      <c r="K2976" s="8"/>
      <c r="L2976" s="8"/>
      <c r="M2976" s="8"/>
      <c r="N2976" s="8"/>
      <c r="O2976" s="8"/>
      <c r="P2976" s="8"/>
      <c r="Q2976" s="8"/>
      <c r="R2976" s="8"/>
      <c r="S2976" s="8"/>
      <c r="T2976" s="8"/>
      <c r="U2976" s="8"/>
      <c r="V2976" s="8"/>
      <c r="W2976" s="8"/>
      <c r="X2976" s="771"/>
      <c r="Y2976" s="771"/>
      <c r="Z2976" s="771"/>
      <c r="AA2976" s="771"/>
      <c r="AB2976" s="771"/>
      <c r="AC2976" s="771"/>
      <c r="AD2976" s="771"/>
      <c r="AE2976" s="771"/>
      <c r="AF2976" s="771"/>
      <c r="AG2976" s="771"/>
      <c r="AH2976" s="771"/>
      <c r="AI2976" s="771"/>
      <c r="AJ2976" s="771"/>
      <c r="AK2976" s="771"/>
      <c r="AL2976" s="771"/>
      <c r="AM2976" s="771"/>
      <c r="AN2976" s="771"/>
      <c r="AO2976" s="771"/>
      <c r="AP2976" s="771"/>
      <c r="AQ2976" s="771"/>
      <c r="AR2976" s="771"/>
      <c r="AS2976" s="771"/>
      <c r="AT2976" s="771"/>
      <c r="AU2976" s="771"/>
    </row>
    <row r="2977" spans="1:47" s="1432" customFormat="1" outlineLevel="1" x14ac:dyDescent="0.2">
      <c r="A2977" s="8"/>
      <c r="B2977" s="8"/>
      <c r="C2977" s="1989" t="s">
        <v>1801</v>
      </c>
      <c r="D2977" s="1989" t="s">
        <v>6393</v>
      </c>
      <c r="E2977" s="1989">
        <v>1.05</v>
      </c>
      <c r="F2977" s="38">
        <f t="shared" si="45"/>
        <v>85.387302000000005</v>
      </c>
      <c r="G2977" s="1547"/>
      <c r="H2977" s="8"/>
      <c r="I2977" s="8"/>
      <c r="J2977" s="8"/>
      <c r="K2977" s="8"/>
      <c r="L2977" s="8"/>
      <c r="M2977" s="8"/>
      <c r="N2977" s="8"/>
      <c r="O2977" s="8"/>
      <c r="P2977" s="8"/>
      <c r="Q2977" s="8"/>
      <c r="R2977" s="8"/>
      <c r="S2977" s="8"/>
      <c r="T2977" s="8"/>
      <c r="U2977" s="8"/>
      <c r="V2977" s="8"/>
      <c r="W2977" s="8"/>
      <c r="X2977" s="771"/>
      <c r="Y2977" s="771"/>
      <c r="Z2977" s="771"/>
      <c r="AA2977" s="771"/>
      <c r="AB2977" s="771"/>
      <c r="AC2977" s="771"/>
      <c r="AD2977" s="771"/>
      <c r="AE2977" s="771"/>
      <c r="AF2977" s="771"/>
      <c r="AG2977" s="771"/>
      <c r="AH2977" s="771"/>
      <c r="AI2977" s="771"/>
      <c r="AJ2977" s="771"/>
      <c r="AK2977" s="771"/>
      <c r="AL2977" s="771"/>
      <c r="AM2977" s="771"/>
      <c r="AN2977" s="771"/>
      <c r="AO2977" s="771"/>
      <c r="AP2977" s="771"/>
      <c r="AQ2977" s="771"/>
      <c r="AR2977" s="771"/>
      <c r="AS2977" s="771"/>
      <c r="AT2977" s="771"/>
      <c r="AU2977" s="771"/>
    </row>
    <row r="2978" spans="1:47" s="1432" customFormat="1" outlineLevel="1" x14ac:dyDescent="0.2">
      <c r="A2978" s="8"/>
      <c r="B2978" s="8"/>
      <c r="C2978" s="1989" t="s">
        <v>2097</v>
      </c>
      <c r="D2978" s="1989" t="s">
        <v>6394</v>
      </c>
      <c r="E2978" s="1989">
        <v>0.4</v>
      </c>
      <c r="F2978" s="38">
        <f t="shared" si="45"/>
        <v>32.528496000000004</v>
      </c>
      <c r="G2978" s="1547"/>
      <c r="H2978" s="8"/>
      <c r="I2978" s="8"/>
      <c r="J2978" s="8"/>
      <c r="K2978" s="8"/>
      <c r="L2978" s="8"/>
      <c r="M2978" s="8"/>
      <c r="N2978" s="8"/>
      <c r="O2978" s="8"/>
      <c r="P2978" s="8"/>
      <c r="Q2978" s="8"/>
      <c r="R2978" s="8"/>
      <c r="S2978" s="8"/>
      <c r="T2978" s="8"/>
      <c r="U2978" s="8"/>
      <c r="V2978" s="8"/>
      <c r="W2978" s="8"/>
      <c r="X2978" s="771"/>
      <c r="Y2978" s="771"/>
      <c r="Z2978" s="771"/>
      <c r="AA2978" s="771"/>
      <c r="AB2978" s="771"/>
      <c r="AC2978" s="771"/>
      <c r="AD2978" s="771"/>
      <c r="AE2978" s="771"/>
      <c r="AF2978" s="771"/>
      <c r="AG2978" s="771"/>
      <c r="AH2978" s="771"/>
      <c r="AI2978" s="771"/>
      <c r="AJ2978" s="771"/>
      <c r="AK2978" s="771"/>
      <c r="AL2978" s="771"/>
      <c r="AM2978" s="771"/>
      <c r="AN2978" s="771"/>
      <c r="AO2978" s="771"/>
      <c r="AP2978" s="771"/>
      <c r="AQ2978" s="771"/>
      <c r="AR2978" s="771"/>
      <c r="AS2978" s="771"/>
      <c r="AT2978" s="771"/>
      <c r="AU2978" s="771"/>
    </row>
    <row r="2979" spans="1:47" s="1432" customFormat="1" outlineLevel="1" x14ac:dyDescent="0.2">
      <c r="A2979" s="8"/>
      <c r="B2979" s="8"/>
      <c r="C2979" s="1989" t="s">
        <v>2098</v>
      </c>
      <c r="D2979" s="1989" t="s">
        <v>2099</v>
      </c>
      <c r="E2979" s="1989">
        <v>0.4</v>
      </c>
      <c r="F2979" s="38">
        <f t="shared" si="45"/>
        <v>32.528496000000004</v>
      </c>
      <c r="G2979" s="1547"/>
      <c r="H2979" s="8"/>
      <c r="I2979" s="8"/>
      <c r="J2979" s="8"/>
      <c r="K2979" s="8"/>
      <c r="L2979" s="8"/>
      <c r="M2979" s="8"/>
      <c r="N2979" s="8"/>
      <c r="O2979" s="8"/>
      <c r="P2979" s="8"/>
      <c r="Q2979" s="8"/>
      <c r="R2979" s="8"/>
      <c r="S2979" s="8"/>
      <c r="T2979" s="8"/>
      <c r="U2979" s="8"/>
      <c r="V2979" s="8"/>
      <c r="W2979" s="8"/>
      <c r="X2979" s="771"/>
      <c r="Y2979" s="771"/>
      <c r="Z2979" s="771"/>
      <c r="AA2979" s="771"/>
      <c r="AB2979" s="771"/>
      <c r="AC2979" s="771"/>
      <c r="AD2979" s="771"/>
      <c r="AE2979" s="771"/>
      <c r="AF2979" s="771"/>
      <c r="AG2979" s="771"/>
      <c r="AH2979" s="771"/>
      <c r="AI2979" s="771"/>
      <c r="AJ2979" s="771"/>
      <c r="AK2979" s="771"/>
      <c r="AL2979" s="771"/>
      <c r="AM2979" s="771"/>
      <c r="AN2979" s="771"/>
      <c r="AO2979" s="771"/>
      <c r="AP2979" s="771"/>
      <c r="AQ2979" s="771"/>
      <c r="AR2979" s="771"/>
      <c r="AS2979" s="771"/>
      <c r="AT2979" s="771"/>
      <c r="AU2979" s="771"/>
    </row>
    <row r="2980" spans="1:47" s="1432" customFormat="1" outlineLevel="1" x14ac:dyDescent="0.2">
      <c r="A2980" s="8"/>
      <c r="B2980" s="8"/>
      <c r="C2980" s="1989" t="s">
        <v>393</v>
      </c>
      <c r="D2980" s="1989" t="s">
        <v>2049</v>
      </c>
      <c r="E2980" s="1989">
        <v>2.15</v>
      </c>
      <c r="F2980" s="38">
        <f t="shared" si="45"/>
        <v>174.840666</v>
      </c>
      <c r="G2980" s="1547"/>
      <c r="H2980" s="8"/>
      <c r="I2980" s="8"/>
      <c r="J2980" s="8"/>
      <c r="K2980" s="8"/>
      <c r="L2980" s="8"/>
      <c r="M2980" s="8"/>
      <c r="N2980" s="8"/>
      <c r="O2980" s="8"/>
      <c r="P2980" s="8"/>
      <c r="Q2980" s="8"/>
      <c r="R2980" s="8"/>
      <c r="S2980" s="8"/>
      <c r="T2980" s="8"/>
      <c r="U2980" s="8"/>
      <c r="V2980" s="8"/>
      <c r="W2980" s="8"/>
      <c r="X2980" s="771"/>
      <c r="Y2980" s="771"/>
      <c r="Z2980" s="771"/>
      <c r="AA2980" s="771"/>
      <c r="AB2980" s="771"/>
      <c r="AC2980" s="771"/>
      <c r="AD2980" s="771"/>
      <c r="AE2980" s="771"/>
      <c r="AF2980" s="771"/>
      <c r="AG2980" s="771"/>
      <c r="AH2980" s="771"/>
      <c r="AI2980" s="771"/>
      <c r="AJ2980" s="771"/>
      <c r="AK2980" s="771"/>
      <c r="AL2980" s="771"/>
      <c r="AM2980" s="771"/>
      <c r="AN2980" s="771"/>
      <c r="AO2980" s="771"/>
      <c r="AP2980" s="771"/>
      <c r="AQ2980" s="771"/>
      <c r="AR2980" s="771"/>
      <c r="AS2980" s="771"/>
      <c r="AT2980" s="771"/>
      <c r="AU2980" s="771"/>
    </row>
    <row r="2981" spans="1:47" s="1432" customFormat="1" outlineLevel="1" x14ac:dyDescent="0.2">
      <c r="A2981" s="8"/>
      <c r="B2981" s="8"/>
      <c r="C2981" s="1989" t="s">
        <v>392</v>
      </c>
      <c r="D2981" s="1989" t="s">
        <v>6395</v>
      </c>
      <c r="E2981" s="1989">
        <v>2.15</v>
      </c>
      <c r="F2981" s="38">
        <f t="shared" si="45"/>
        <v>174.840666</v>
      </c>
      <c r="G2981" s="1547"/>
      <c r="H2981" s="8"/>
      <c r="I2981" s="8"/>
      <c r="J2981" s="8"/>
      <c r="K2981" s="8"/>
      <c r="L2981" s="8"/>
      <c r="M2981" s="8"/>
      <c r="N2981" s="8"/>
      <c r="O2981" s="8"/>
      <c r="P2981" s="8"/>
      <c r="Q2981" s="8"/>
      <c r="R2981" s="8"/>
      <c r="S2981" s="8"/>
      <c r="T2981" s="8"/>
      <c r="U2981" s="8"/>
      <c r="V2981" s="8"/>
      <c r="W2981" s="8"/>
      <c r="X2981" s="771"/>
      <c r="Y2981" s="771"/>
      <c r="Z2981" s="771"/>
      <c r="AA2981" s="771"/>
      <c r="AB2981" s="771"/>
      <c r="AC2981" s="771"/>
      <c r="AD2981" s="771"/>
      <c r="AE2981" s="771"/>
      <c r="AF2981" s="771"/>
      <c r="AG2981" s="771"/>
      <c r="AH2981" s="771"/>
      <c r="AI2981" s="771"/>
      <c r="AJ2981" s="771"/>
      <c r="AK2981" s="771"/>
      <c r="AL2981" s="771"/>
      <c r="AM2981" s="771"/>
      <c r="AN2981" s="771"/>
      <c r="AO2981" s="771"/>
      <c r="AP2981" s="771"/>
      <c r="AQ2981" s="771"/>
      <c r="AR2981" s="771"/>
      <c r="AS2981" s="771"/>
      <c r="AT2981" s="771"/>
      <c r="AU2981" s="771"/>
    </row>
    <row r="2982" spans="1:47" s="1432" customFormat="1" outlineLevel="1" x14ac:dyDescent="0.2">
      <c r="A2982" s="8"/>
      <c r="B2982" s="8"/>
      <c r="C2982" s="1989" t="s">
        <v>2050</v>
      </c>
      <c r="D2982" s="1989" t="s">
        <v>2051</v>
      </c>
      <c r="E2982" s="1989">
        <v>1.27</v>
      </c>
      <c r="F2982" s="38">
        <f t="shared" si="45"/>
        <v>103.27797480000001</v>
      </c>
      <c r="G2982" s="1547"/>
      <c r="H2982" s="8"/>
      <c r="I2982" s="8"/>
      <c r="J2982" s="8"/>
      <c r="K2982" s="8"/>
      <c r="L2982" s="8"/>
      <c r="M2982" s="8"/>
      <c r="N2982" s="8"/>
      <c r="O2982" s="8"/>
      <c r="P2982" s="8"/>
      <c r="Q2982" s="8"/>
      <c r="R2982" s="8"/>
      <c r="S2982" s="8"/>
      <c r="T2982" s="8"/>
      <c r="U2982" s="8"/>
      <c r="V2982" s="8"/>
      <c r="W2982" s="8"/>
      <c r="X2982" s="771"/>
      <c r="Y2982" s="771"/>
      <c r="Z2982" s="771"/>
      <c r="AA2982" s="771"/>
      <c r="AB2982" s="771"/>
      <c r="AC2982" s="771"/>
      <c r="AD2982" s="771"/>
      <c r="AE2982" s="771"/>
      <c r="AF2982" s="771"/>
      <c r="AG2982" s="771"/>
      <c r="AH2982" s="771"/>
      <c r="AI2982" s="771"/>
      <c r="AJ2982" s="771"/>
      <c r="AK2982" s="771"/>
      <c r="AL2982" s="771"/>
      <c r="AM2982" s="771"/>
      <c r="AN2982" s="771"/>
      <c r="AO2982" s="771"/>
      <c r="AP2982" s="771"/>
      <c r="AQ2982" s="771"/>
      <c r="AR2982" s="771"/>
      <c r="AS2982" s="771"/>
      <c r="AT2982" s="771"/>
      <c r="AU2982" s="771"/>
    </row>
    <row r="2983" spans="1:47" s="1432" customFormat="1" outlineLevel="1" x14ac:dyDescent="0.2">
      <c r="A2983" s="8"/>
      <c r="B2983" s="8"/>
      <c r="C2983" s="1989" t="s">
        <v>3373</v>
      </c>
      <c r="D2983" s="1989" t="s">
        <v>6396</v>
      </c>
      <c r="E2983" s="1989">
        <v>0.32</v>
      </c>
      <c r="F2983" s="38">
        <f t="shared" si="45"/>
        <v>26.022796800000002</v>
      </c>
      <c r="G2983" s="1547"/>
      <c r="H2983" s="8"/>
      <c r="I2983" s="8"/>
      <c r="J2983" s="8"/>
      <c r="K2983" s="8"/>
      <c r="L2983" s="8"/>
      <c r="M2983" s="8"/>
      <c r="N2983" s="8"/>
      <c r="O2983" s="8"/>
      <c r="P2983" s="8"/>
      <c r="Q2983" s="8"/>
      <c r="R2983" s="8"/>
      <c r="S2983" s="8"/>
      <c r="T2983" s="8"/>
      <c r="U2983" s="8"/>
      <c r="V2983" s="8"/>
      <c r="W2983" s="8"/>
      <c r="X2983" s="771"/>
      <c r="Y2983" s="771"/>
      <c r="Z2983" s="771"/>
      <c r="AA2983" s="771"/>
      <c r="AB2983" s="771"/>
      <c r="AC2983" s="771"/>
      <c r="AD2983" s="771"/>
      <c r="AE2983" s="771"/>
      <c r="AF2983" s="771"/>
      <c r="AG2983" s="771"/>
      <c r="AH2983" s="771"/>
      <c r="AI2983" s="771"/>
      <c r="AJ2983" s="771"/>
      <c r="AK2983" s="771"/>
      <c r="AL2983" s="771"/>
      <c r="AM2983" s="771"/>
      <c r="AN2983" s="771"/>
      <c r="AO2983" s="771"/>
      <c r="AP2983" s="771"/>
      <c r="AQ2983" s="771"/>
      <c r="AR2983" s="771"/>
      <c r="AS2983" s="771"/>
      <c r="AT2983" s="771"/>
      <c r="AU2983" s="771"/>
    </row>
    <row r="2984" spans="1:47" s="1432" customFormat="1" outlineLevel="1" x14ac:dyDescent="0.2">
      <c r="A2984" s="8"/>
      <c r="B2984" s="8"/>
      <c r="C2984" s="1989" t="s">
        <v>2134</v>
      </c>
      <c r="D2984" s="1989" t="s">
        <v>6397</v>
      </c>
      <c r="E2984" s="1989">
        <v>15.79</v>
      </c>
      <c r="F2984" s="38">
        <f t="shared" si="45"/>
        <v>1284.0623796</v>
      </c>
      <c r="G2984" s="1547"/>
      <c r="H2984" s="8"/>
      <c r="I2984" s="8"/>
      <c r="J2984" s="8"/>
      <c r="K2984" s="8"/>
      <c r="L2984" s="8"/>
      <c r="M2984" s="8"/>
      <c r="N2984" s="8"/>
      <c r="O2984" s="8"/>
      <c r="P2984" s="8"/>
      <c r="Q2984" s="8"/>
      <c r="R2984" s="8"/>
      <c r="S2984" s="8"/>
      <c r="T2984" s="8"/>
      <c r="U2984" s="8"/>
      <c r="V2984" s="8"/>
      <c r="W2984" s="8"/>
      <c r="X2984" s="771"/>
      <c r="Y2984" s="771"/>
      <c r="Z2984" s="771"/>
      <c r="AA2984" s="771"/>
      <c r="AB2984" s="771"/>
      <c r="AC2984" s="771"/>
      <c r="AD2984" s="771"/>
      <c r="AE2984" s="771"/>
      <c r="AF2984" s="771"/>
      <c r="AG2984" s="771"/>
      <c r="AH2984" s="771"/>
      <c r="AI2984" s="771"/>
      <c r="AJ2984" s="771"/>
      <c r="AK2984" s="771"/>
      <c r="AL2984" s="771"/>
      <c r="AM2984" s="771"/>
      <c r="AN2984" s="771"/>
      <c r="AO2984" s="771"/>
      <c r="AP2984" s="771"/>
      <c r="AQ2984" s="771"/>
      <c r="AR2984" s="771"/>
      <c r="AS2984" s="771"/>
      <c r="AT2984" s="771"/>
      <c r="AU2984" s="771"/>
    </row>
    <row r="2985" spans="1:47" s="1432" customFormat="1" outlineLevel="1" x14ac:dyDescent="0.2">
      <c r="A2985" s="8"/>
      <c r="B2985" s="8"/>
      <c r="C2985" s="1989" t="s">
        <v>484</v>
      </c>
      <c r="D2985" s="1989" t="s">
        <v>6398</v>
      </c>
      <c r="E2985" s="1989">
        <v>17.11</v>
      </c>
      <c r="F2985" s="38">
        <f t="shared" si="45"/>
        <v>1391.4064164000001</v>
      </c>
      <c r="G2985" s="1547"/>
      <c r="H2985" s="8"/>
      <c r="I2985" s="8"/>
      <c r="J2985" s="8"/>
      <c r="K2985" s="8"/>
      <c r="L2985" s="8"/>
      <c r="M2985" s="8"/>
      <c r="N2985" s="8"/>
      <c r="O2985" s="8"/>
      <c r="P2985" s="8"/>
      <c r="Q2985" s="8"/>
      <c r="R2985" s="8"/>
      <c r="S2985" s="8"/>
      <c r="T2985" s="8"/>
      <c r="U2985" s="8"/>
      <c r="V2985" s="8"/>
      <c r="W2985" s="8"/>
      <c r="X2985" s="771"/>
      <c r="Y2985" s="771"/>
      <c r="Z2985" s="771"/>
      <c r="AA2985" s="771"/>
      <c r="AB2985" s="771"/>
      <c r="AC2985" s="771"/>
      <c r="AD2985" s="771"/>
      <c r="AE2985" s="771"/>
      <c r="AF2985" s="771"/>
      <c r="AG2985" s="771"/>
      <c r="AH2985" s="771"/>
      <c r="AI2985" s="771"/>
      <c r="AJ2985" s="771"/>
      <c r="AK2985" s="771"/>
      <c r="AL2985" s="771"/>
      <c r="AM2985" s="771"/>
      <c r="AN2985" s="771"/>
      <c r="AO2985" s="771"/>
      <c r="AP2985" s="771"/>
      <c r="AQ2985" s="771"/>
      <c r="AR2985" s="771"/>
      <c r="AS2985" s="771"/>
      <c r="AT2985" s="771"/>
      <c r="AU2985" s="771"/>
    </row>
    <row r="2986" spans="1:47" s="1432" customFormat="1" outlineLevel="1" x14ac:dyDescent="0.2">
      <c r="A2986" s="8"/>
      <c r="B2986" s="8"/>
      <c r="C2986" s="1989" t="s">
        <v>1658</v>
      </c>
      <c r="D2986" s="1989" t="s">
        <v>6399</v>
      </c>
      <c r="E2986" s="1989">
        <v>19.02</v>
      </c>
      <c r="F2986" s="38">
        <f t="shared" si="45"/>
        <v>1546.7299848</v>
      </c>
      <c r="G2986" s="1547"/>
      <c r="H2986" s="8"/>
      <c r="I2986" s="8"/>
      <c r="J2986" s="8"/>
      <c r="K2986" s="8"/>
      <c r="L2986" s="8"/>
      <c r="M2986" s="8"/>
      <c r="N2986" s="8"/>
      <c r="O2986" s="8"/>
      <c r="P2986" s="8"/>
      <c r="Q2986" s="8"/>
      <c r="R2986" s="8"/>
      <c r="S2986" s="8"/>
      <c r="T2986" s="8"/>
      <c r="U2986" s="8"/>
      <c r="V2986" s="8"/>
      <c r="W2986" s="8"/>
      <c r="X2986" s="771"/>
      <c r="Y2986" s="771"/>
      <c r="Z2986" s="771"/>
      <c r="AA2986" s="771"/>
      <c r="AB2986" s="771"/>
      <c r="AC2986" s="771"/>
      <c r="AD2986" s="771"/>
      <c r="AE2986" s="771"/>
      <c r="AF2986" s="771"/>
      <c r="AG2986" s="771"/>
      <c r="AH2986" s="771"/>
      <c r="AI2986" s="771"/>
      <c r="AJ2986" s="771"/>
      <c r="AK2986" s="771"/>
      <c r="AL2986" s="771"/>
      <c r="AM2986" s="771"/>
      <c r="AN2986" s="771"/>
      <c r="AO2986" s="771"/>
      <c r="AP2986" s="771"/>
      <c r="AQ2986" s="771"/>
      <c r="AR2986" s="771"/>
      <c r="AS2986" s="771"/>
      <c r="AT2986" s="771"/>
      <c r="AU2986" s="771"/>
    </row>
    <row r="2987" spans="1:47" s="1432" customFormat="1" outlineLevel="1" x14ac:dyDescent="0.2">
      <c r="A2987" s="8"/>
      <c r="B2987" s="8"/>
      <c r="C2987" s="1989" t="s">
        <v>90</v>
      </c>
      <c r="D2987" s="1989" t="s">
        <v>8241</v>
      </c>
      <c r="E2987" s="1989">
        <v>0.55000000000000004</v>
      </c>
      <c r="F2987" s="38">
        <f t="shared" si="45"/>
        <v>44.726682000000004</v>
      </c>
      <c r="G2987" s="1547"/>
      <c r="H2987" s="8"/>
      <c r="I2987" s="8"/>
      <c r="J2987" s="8"/>
      <c r="K2987" s="8"/>
      <c r="L2987" s="8"/>
      <c r="M2987" s="8"/>
      <c r="N2987" s="8"/>
      <c r="O2987" s="8"/>
      <c r="P2987" s="8"/>
      <c r="Q2987" s="8"/>
      <c r="R2987" s="8"/>
      <c r="S2987" s="8"/>
      <c r="T2987" s="8"/>
      <c r="U2987" s="8"/>
      <c r="V2987" s="8"/>
      <c r="W2987" s="8"/>
      <c r="X2987" s="771"/>
      <c r="Y2987" s="771"/>
      <c r="Z2987" s="771"/>
      <c r="AA2987" s="771"/>
      <c r="AB2987" s="771"/>
      <c r="AC2987" s="771"/>
      <c r="AD2987" s="771"/>
      <c r="AE2987" s="771"/>
      <c r="AF2987" s="771"/>
      <c r="AG2987" s="771"/>
      <c r="AH2987" s="771"/>
      <c r="AI2987" s="771"/>
      <c r="AJ2987" s="771"/>
      <c r="AK2987" s="771"/>
      <c r="AL2987" s="771"/>
      <c r="AM2987" s="771"/>
      <c r="AN2987" s="771"/>
      <c r="AO2987" s="771"/>
      <c r="AP2987" s="771"/>
      <c r="AQ2987" s="771"/>
      <c r="AR2987" s="771"/>
      <c r="AS2987" s="771"/>
      <c r="AT2987" s="771"/>
      <c r="AU2987" s="771"/>
    </row>
    <row r="2988" spans="1:47" s="1432" customFormat="1" outlineLevel="1" x14ac:dyDescent="0.2">
      <c r="A2988" s="8"/>
      <c r="B2988" s="8"/>
      <c r="C2988" s="1989" t="s">
        <v>267</v>
      </c>
      <c r="D2988" s="1989" t="s">
        <v>3555</v>
      </c>
      <c r="E2988" s="1989">
        <v>1.07</v>
      </c>
      <c r="F2988" s="38">
        <f t="shared" si="45"/>
        <v>87.013726800000015</v>
      </c>
      <c r="G2988" s="1547"/>
      <c r="H2988" s="8"/>
      <c r="I2988" s="8"/>
      <c r="J2988" s="8"/>
      <c r="K2988" s="8"/>
      <c r="L2988" s="8"/>
      <c r="M2988" s="8"/>
      <c r="N2988" s="8"/>
      <c r="O2988" s="8"/>
      <c r="P2988" s="8"/>
      <c r="Q2988" s="8"/>
      <c r="R2988" s="8"/>
      <c r="S2988" s="8"/>
      <c r="T2988" s="8"/>
      <c r="U2988" s="8"/>
      <c r="V2988" s="8"/>
      <c r="W2988" s="8"/>
      <c r="X2988" s="771"/>
      <c r="Y2988" s="771"/>
      <c r="Z2988" s="771"/>
      <c r="AA2988" s="771"/>
      <c r="AB2988" s="771"/>
      <c r="AC2988" s="771"/>
      <c r="AD2988" s="771"/>
      <c r="AE2988" s="771"/>
      <c r="AF2988" s="771"/>
      <c r="AG2988" s="771"/>
      <c r="AH2988" s="771"/>
      <c r="AI2988" s="771"/>
      <c r="AJ2988" s="771"/>
      <c r="AK2988" s="771"/>
      <c r="AL2988" s="771"/>
      <c r="AM2988" s="771"/>
      <c r="AN2988" s="771"/>
      <c r="AO2988" s="771"/>
      <c r="AP2988" s="771"/>
      <c r="AQ2988" s="771"/>
      <c r="AR2988" s="771"/>
      <c r="AS2988" s="771"/>
      <c r="AT2988" s="771"/>
      <c r="AU2988" s="771"/>
    </row>
    <row r="2989" spans="1:47" s="1432" customFormat="1" outlineLevel="1" x14ac:dyDescent="0.2">
      <c r="A2989" s="8"/>
      <c r="B2989" s="8"/>
      <c r="C2989" s="1989" t="s">
        <v>2226</v>
      </c>
      <c r="D2989" s="1989" t="s">
        <v>6400</v>
      </c>
      <c r="E2989" s="1989">
        <v>17.41</v>
      </c>
      <c r="F2989" s="38">
        <f t="shared" si="45"/>
        <v>1415.8027884000001</v>
      </c>
      <c r="G2989" s="1547"/>
      <c r="H2989" s="8"/>
      <c r="I2989" s="8"/>
      <c r="J2989" s="8"/>
      <c r="K2989" s="8"/>
      <c r="L2989" s="8"/>
      <c r="M2989" s="8"/>
      <c r="N2989" s="8"/>
      <c r="O2989" s="8"/>
      <c r="P2989" s="8"/>
      <c r="Q2989" s="8"/>
      <c r="R2989" s="8"/>
      <c r="S2989" s="8"/>
      <c r="T2989" s="8"/>
      <c r="U2989" s="8"/>
      <c r="V2989" s="8"/>
      <c r="W2989" s="8"/>
      <c r="X2989" s="771"/>
      <c r="Y2989" s="771"/>
      <c r="Z2989" s="771"/>
      <c r="AA2989" s="771"/>
      <c r="AB2989" s="771"/>
      <c r="AC2989" s="771"/>
      <c r="AD2989" s="771"/>
      <c r="AE2989" s="771"/>
      <c r="AF2989" s="771"/>
      <c r="AG2989" s="771"/>
      <c r="AH2989" s="771"/>
      <c r="AI2989" s="771"/>
      <c r="AJ2989" s="771"/>
      <c r="AK2989" s="771"/>
      <c r="AL2989" s="771"/>
      <c r="AM2989" s="771"/>
      <c r="AN2989" s="771"/>
      <c r="AO2989" s="771"/>
      <c r="AP2989" s="771"/>
      <c r="AQ2989" s="771"/>
      <c r="AR2989" s="771"/>
      <c r="AS2989" s="771"/>
      <c r="AT2989" s="771"/>
      <c r="AU2989" s="771"/>
    </row>
    <row r="2990" spans="1:47" s="1432" customFormat="1" outlineLevel="1" x14ac:dyDescent="0.2">
      <c r="A2990" s="8"/>
      <c r="B2990" s="8"/>
      <c r="C2990" s="1989" t="s">
        <v>1785</v>
      </c>
      <c r="D2990" s="1989" t="s">
        <v>6401</v>
      </c>
      <c r="E2990" s="1989">
        <v>17.41</v>
      </c>
      <c r="F2990" s="38">
        <f t="shared" si="45"/>
        <v>1415.8027884000001</v>
      </c>
      <c r="G2990" s="1547"/>
      <c r="H2990" s="8"/>
      <c r="I2990" s="8"/>
      <c r="J2990" s="8"/>
      <c r="K2990" s="8"/>
      <c r="L2990" s="8"/>
      <c r="M2990" s="8"/>
      <c r="N2990" s="8"/>
      <c r="O2990" s="8"/>
      <c r="P2990" s="8"/>
      <c r="Q2990" s="8"/>
      <c r="R2990" s="8"/>
      <c r="S2990" s="8"/>
      <c r="T2990" s="8"/>
      <c r="U2990" s="8"/>
      <c r="V2990" s="8"/>
      <c r="W2990" s="8"/>
      <c r="X2990" s="771"/>
      <c r="Y2990" s="771"/>
      <c r="Z2990" s="771"/>
      <c r="AA2990" s="771"/>
      <c r="AB2990" s="771"/>
      <c r="AC2990" s="771"/>
      <c r="AD2990" s="771"/>
      <c r="AE2990" s="771"/>
      <c r="AF2990" s="771"/>
      <c r="AG2990" s="771"/>
      <c r="AH2990" s="771"/>
      <c r="AI2990" s="771"/>
      <c r="AJ2990" s="771"/>
      <c r="AK2990" s="771"/>
      <c r="AL2990" s="771"/>
      <c r="AM2990" s="771"/>
      <c r="AN2990" s="771"/>
      <c r="AO2990" s="771"/>
      <c r="AP2990" s="771"/>
      <c r="AQ2990" s="771"/>
      <c r="AR2990" s="771"/>
      <c r="AS2990" s="771"/>
      <c r="AT2990" s="771"/>
      <c r="AU2990" s="771"/>
    </row>
    <row r="2991" spans="1:47" s="1432" customFormat="1" outlineLevel="1" x14ac:dyDescent="0.2">
      <c r="A2991" s="8"/>
      <c r="B2991" s="8"/>
      <c r="C2991" s="1989" t="s">
        <v>1786</v>
      </c>
      <c r="D2991" s="1989" t="s">
        <v>6402</v>
      </c>
      <c r="E2991" s="1989">
        <v>19.3</v>
      </c>
      <c r="F2991" s="38">
        <f t="shared" si="45"/>
        <v>1569.4999320000002</v>
      </c>
      <c r="G2991" s="1547"/>
      <c r="H2991" s="8"/>
      <c r="I2991" s="8"/>
      <c r="J2991" s="8"/>
      <c r="K2991" s="8"/>
      <c r="L2991" s="8"/>
      <c r="M2991" s="8"/>
      <c r="N2991" s="8"/>
      <c r="O2991" s="8"/>
      <c r="P2991" s="8"/>
      <c r="Q2991" s="8"/>
      <c r="R2991" s="8"/>
      <c r="S2991" s="8"/>
      <c r="T2991" s="8"/>
      <c r="U2991" s="8"/>
      <c r="V2991" s="8"/>
      <c r="W2991" s="8"/>
      <c r="X2991" s="771"/>
      <c r="Y2991" s="771"/>
      <c r="Z2991" s="771"/>
      <c r="AA2991" s="771"/>
      <c r="AB2991" s="771"/>
      <c r="AC2991" s="771"/>
      <c r="AD2991" s="771"/>
      <c r="AE2991" s="771"/>
      <c r="AF2991" s="771"/>
      <c r="AG2991" s="771"/>
      <c r="AH2991" s="771"/>
      <c r="AI2991" s="771"/>
      <c r="AJ2991" s="771"/>
      <c r="AK2991" s="771"/>
      <c r="AL2991" s="771"/>
      <c r="AM2991" s="771"/>
      <c r="AN2991" s="771"/>
      <c r="AO2991" s="771"/>
      <c r="AP2991" s="771"/>
      <c r="AQ2991" s="771"/>
      <c r="AR2991" s="771"/>
      <c r="AS2991" s="771"/>
      <c r="AT2991" s="771"/>
      <c r="AU2991" s="771"/>
    </row>
    <row r="2992" spans="1:47" s="1432" customFormat="1" outlineLevel="1" x14ac:dyDescent="0.2">
      <c r="A2992" s="8"/>
      <c r="B2992" s="8"/>
      <c r="C2992" s="1989" t="s">
        <v>1077</v>
      </c>
      <c r="D2992" s="1989" t="s">
        <v>6403</v>
      </c>
      <c r="E2992" s="1989">
        <v>17.41</v>
      </c>
      <c r="F2992" s="38">
        <f t="shared" si="45"/>
        <v>1415.8027884000001</v>
      </c>
      <c r="G2992" s="1547"/>
      <c r="H2992" s="8"/>
      <c r="I2992" s="8"/>
      <c r="J2992" s="8"/>
      <c r="K2992" s="8"/>
      <c r="L2992" s="8"/>
      <c r="M2992" s="8"/>
      <c r="N2992" s="8"/>
      <c r="O2992" s="8"/>
      <c r="P2992" s="8"/>
      <c r="Q2992" s="8"/>
      <c r="R2992" s="8"/>
      <c r="S2992" s="8"/>
      <c r="T2992" s="8"/>
      <c r="U2992" s="8"/>
      <c r="V2992" s="8"/>
      <c r="W2992" s="8"/>
      <c r="X2992" s="771"/>
      <c r="Y2992" s="771"/>
      <c r="Z2992" s="771"/>
      <c r="AA2992" s="771"/>
      <c r="AB2992" s="771"/>
      <c r="AC2992" s="771"/>
      <c r="AD2992" s="771"/>
      <c r="AE2992" s="771"/>
      <c r="AF2992" s="771"/>
      <c r="AG2992" s="771"/>
      <c r="AH2992" s="771"/>
      <c r="AI2992" s="771"/>
      <c r="AJ2992" s="771"/>
      <c r="AK2992" s="771"/>
      <c r="AL2992" s="771"/>
      <c r="AM2992" s="771"/>
      <c r="AN2992" s="771"/>
      <c r="AO2992" s="771"/>
      <c r="AP2992" s="771"/>
      <c r="AQ2992" s="771"/>
      <c r="AR2992" s="771"/>
      <c r="AS2992" s="771"/>
      <c r="AT2992" s="771"/>
      <c r="AU2992" s="771"/>
    </row>
    <row r="2993" spans="1:47" s="1432" customFormat="1" outlineLevel="1" x14ac:dyDescent="0.2">
      <c r="A2993" s="8"/>
      <c r="B2993" s="8"/>
      <c r="C2993" s="1989" t="s">
        <v>1078</v>
      </c>
      <c r="D2993" s="1989" t="s">
        <v>6404</v>
      </c>
      <c r="E2993" s="1989">
        <v>19.3</v>
      </c>
      <c r="F2993" s="38">
        <f t="shared" si="45"/>
        <v>1569.4999320000002</v>
      </c>
      <c r="G2993" s="1547"/>
      <c r="H2993" s="8"/>
      <c r="I2993" s="8"/>
      <c r="J2993" s="8"/>
      <c r="K2993" s="8"/>
      <c r="L2993" s="8"/>
      <c r="M2993" s="8"/>
      <c r="N2993" s="8"/>
      <c r="O2993" s="8"/>
      <c r="P2993" s="8"/>
      <c r="Q2993" s="8"/>
      <c r="R2993" s="8"/>
      <c r="S2993" s="8"/>
      <c r="T2993" s="8"/>
      <c r="U2993" s="8"/>
      <c r="V2993" s="8"/>
      <c r="W2993" s="8"/>
      <c r="X2993" s="771"/>
      <c r="Y2993" s="771"/>
      <c r="Z2993" s="771"/>
      <c r="AA2993" s="771"/>
      <c r="AB2993" s="771"/>
      <c r="AC2993" s="771"/>
      <c r="AD2993" s="771"/>
      <c r="AE2993" s="771"/>
      <c r="AF2993" s="771"/>
      <c r="AG2993" s="771"/>
      <c r="AH2993" s="771"/>
      <c r="AI2993" s="771"/>
      <c r="AJ2993" s="771"/>
      <c r="AK2993" s="771"/>
      <c r="AL2993" s="771"/>
      <c r="AM2993" s="771"/>
      <c r="AN2993" s="771"/>
      <c r="AO2993" s="771"/>
      <c r="AP2993" s="771"/>
      <c r="AQ2993" s="771"/>
      <c r="AR2993" s="771"/>
      <c r="AS2993" s="771"/>
      <c r="AT2993" s="771"/>
      <c r="AU2993" s="771"/>
    </row>
    <row r="2994" spans="1:47" s="1432" customFormat="1" outlineLevel="1" x14ac:dyDescent="0.2">
      <c r="A2994" s="8"/>
      <c r="B2994" s="8"/>
      <c r="C2994" s="1989" t="s">
        <v>1420</v>
      </c>
      <c r="D2994" s="1989" t="s">
        <v>6405</v>
      </c>
      <c r="E2994" s="1989">
        <v>32.93</v>
      </c>
      <c r="F2994" s="38">
        <f t="shared" si="45"/>
        <v>2677.9084332000002</v>
      </c>
      <c r="G2994" s="1547"/>
      <c r="H2994" s="8"/>
      <c r="I2994" s="8"/>
      <c r="J2994" s="8"/>
      <c r="K2994" s="8"/>
      <c r="L2994" s="8"/>
      <c r="M2994" s="8"/>
      <c r="N2994" s="8"/>
      <c r="O2994" s="8"/>
      <c r="P2994" s="8"/>
      <c r="Q2994" s="8"/>
      <c r="R2994" s="8"/>
      <c r="S2994" s="8"/>
      <c r="T2994" s="8"/>
      <c r="U2994" s="8"/>
      <c r="V2994" s="8"/>
      <c r="W2994" s="8"/>
      <c r="X2994" s="771"/>
      <c r="Y2994" s="771"/>
      <c r="Z2994" s="771"/>
      <c r="AA2994" s="771"/>
      <c r="AB2994" s="771"/>
      <c r="AC2994" s="771"/>
      <c r="AD2994" s="771"/>
      <c r="AE2994" s="771"/>
      <c r="AF2994" s="771"/>
      <c r="AG2994" s="771"/>
      <c r="AH2994" s="771"/>
      <c r="AI2994" s="771"/>
      <c r="AJ2994" s="771"/>
      <c r="AK2994" s="771"/>
      <c r="AL2994" s="771"/>
      <c r="AM2994" s="771"/>
      <c r="AN2994" s="771"/>
      <c r="AO2994" s="771"/>
      <c r="AP2994" s="771"/>
      <c r="AQ2994" s="771"/>
      <c r="AR2994" s="771"/>
      <c r="AS2994" s="771"/>
      <c r="AT2994" s="771"/>
      <c r="AU2994" s="771"/>
    </row>
    <row r="2995" spans="1:47" s="1432" customFormat="1" outlineLevel="1" x14ac:dyDescent="0.2">
      <c r="A2995" s="8"/>
      <c r="B2995" s="8"/>
      <c r="C2995" s="1989" t="s">
        <v>1791</v>
      </c>
      <c r="D2995" s="1989" t="s">
        <v>6406</v>
      </c>
      <c r="E2995" s="1989">
        <v>19.3</v>
      </c>
      <c r="F2995" s="38">
        <f t="shared" si="45"/>
        <v>1569.4999320000002</v>
      </c>
      <c r="G2995" s="1547"/>
      <c r="H2995" s="8"/>
      <c r="I2995" s="8"/>
      <c r="J2995" s="8"/>
      <c r="K2995" s="8"/>
      <c r="L2995" s="8"/>
      <c r="M2995" s="8"/>
      <c r="N2995" s="8"/>
      <c r="O2995" s="8"/>
      <c r="P2995" s="8"/>
      <c r="Q2995" s="8"/>
      <c r="R2995" s="8"/>
      <c r="S2995" s="8"/>
      <c r="T2995" s="8"/>
      <c r="U2995" s="8"/>
      <c r="V2995" s="8"/>
      <c r="W2995" s="8"/>
      <c r="X2995" s="771"/>
      <c r="Y2995" s="771"/>
      <c r="Z2995" s="771"/>
      <c r="AA2995" s="771"/>
      <c r="AB2995" s="771"/>
      <c r="AC2995" s="771"/>
      <c r="AD2995" s="771"/>
      <c r="AE2995" s="771"/>
      <c r="AF2995" s="771"/>
      <c r="AG2995" s="771"/>
      <c r="AH2995" s="771"/>
      <c r="AI2995" s="771"/>
      <c r="AJ2995" s="771"/>
      <c r="AK2995" s="771"/>
      <c r="AL2995" s="771"/>
      <c r="AM2995" s="771"/>
      <c r="AN2995" s="771"/>
      <c r="AO2995" s="771"/>
      <c r="AP2995" s="771"/>
      <c r="AQ2995" s="771"/>
      <c r="AR2995" s="771"/>
      <c r="AS2995" s="771"/>
      <c r="AT2995" s="771"/>
      <c r="AU2995" s="771"/>
    </row>
    <row r="2996" spans="1:47" s="1432" customFormat="1" outlineLevel="1" x14ac:dyDescent="0.2">
      <c r="A2996" s="8"/>
      <c r="B2996" s="8"/>
      <c r="C2996" s="1989" t="s">
        <v>1792</v>
      </c>
      <c r="D2996" s="1989" t="s">
        <v>6407</v>
      </c>
      <c r="E2996" s="1989">
        <v>19.3</v>
      </c>
      <c r="F2996" s="38">
        <f t="shared" si="45"/>
        <v>1569.4999320000002</v>
      </c>
      <c r="G2996" s="1547"/>
      <c r="H2996" s="8"/>
      <c r="I2996" s="8"/>
      <c r="J2996" s="8"/>
      <c r="K2996" s="8"/>
      <c r="L2996" s="8"/>
      <c r="M2996" s="8"/>
      <c r="N2996" s="8"/>
      <c r="O2996" s="8"/>
      <c r="P2996" s="8"/>
      <c r="Q2996" s="8"/>
      <c r="R2996" s="8"/>
      <c r="S2996" s="8"/>
      <c r="T2996" s="8"/>
      <c r="U2996" s="8"/>
      <c r="V2996" s="8"/>
      <c r="W2996" s="8"/>
      <c r="X2996" s="771"/>
      <c r="Y2996" s="771"/>
      <c r="Z2996" s="771"/>
      <c r="AA2996" s="771"/>
      <c r="AB2996" s="771"/>
      <c r="AC2996" s="771"/>
      <c r="AD2996" s="771"/>
      <c r="AE2996" s="771"/>
      <c r="AF2996" s="771"/>
      <c r="AG2996" s="771"/>
      <c r="AH2996" s="771"/>
      <c r="AI2996" s="771"/>
      <c r="AJ2996" s="771"/>
      <c r="AK2996" s="771"/>
      <c r="AL2996" s="771"/>
      <c r="AM2996" s="771"/>
      <c r="AN2996" s="771"/>
      <c r="AO2996" s="771"/>
      <c r="AP2996" s="771"/>
      <c r="AQ2996" s="771"/>
      <c r="AR2996" s="771"/>
      <c r="AS2996" s="771"/>
      <c r="AT2996" s="771"/>
      <c r="AU2996" s="771"/>
    </row>
    <row r="2997" spans="1:47" s="1432" customFormat="1" outlineLevel="1" x14ac:dyDescent="0.2">
      <c r="A2997" s="8"/>
      <c r="B2997" s="8"/>
      <c r="C2997" s="1989" t="s">
        <v>1793</v>
      </c>
      <c r="D2997" s="1989" t="s">
        <v>6408</v>
      </c>
      <c r="E2997" s="1989">
        <v>32.93</v>
      </c>
      <c r="F2997" s="38">
        <f t="shared" si="45"/>
        <v>2677.9084332000002</v>
      </c>
      <c r="G2997" s="1547"/>
      <c r="H2997" s="8"/>
      <c r="I2997" s="8"/>
      <c r="J2997" s="8"/>
      <c r="K2997" s="8"/>
      <c r="L2997" s="8"/>
      <c r="M2997" s="8"/>
      <c r="N2997" s="8"/>
      <c r="O2997" s="8"/>
      <c r="P2997" s="8"/>
      <c r="Q2997" s="8"/>
      <c r="R2997" s="8"/>
      <c r="S2997" s="8"/>
      <c r="T2997" s="8"/>
      <c r="U2997" s="8"/>
      <c r="V2997" s="8"/>
      <c r="W2997" s="8"/>
      <c r="X2997" s="771"/>
      <c r="Y2997" s="771"/>
      <c r="Z2997" s="771"/>
      <c r="AA2997" s="771"/>
      <c r="AB2997" s="771"/>
      <c r="AC2997" s="771"/>
      <c r="AD2997" s="771"/>
      <c r="AE2997" s="771"/>
      <c r="AF2997" s="771"/>
      <c r="AG2997" s="771"/>
      <c r="AH2997" s="771"/>
      <c r="AI2997" s="771"/>
      <c r="AJ2997" s="771"/>
      <c r="AK2997" s="771"/>
      <c r="AL2997" s="771"/>
      <c r="AM2997" s="771"/>
      <c r="AN2997" s="771"/>
      <c r="AO2997" s="771"/>
      <c r="AP2997" s="771"/>
      <c r="AQ2997" s="771"/>
      <c r="AR2997" s="771"/>
      <c r="AS2997" s="771"/>
      <c r="AT2997" s="771"/>
      <c r="AU2997" s="771"/>
    </row>
    <row r="2998" spans="1:47" s="1432" customFormat="1" outlineLevel="1" x14ac:dyDescent="0.2">
      <c r="A2998" s="8"/>
      <c r="B2998" s="8"/>
      <c r="C2998" s="1989" t="s">
        <v>839</v>
      </c>
      <c r="D2998" s="1989" t="s">
        <v>6409</v>
      </c>
      <c r="E2998" s="1989">
        <v>17.41</v>
      </c>
      <c r="F2998" s="38">
        <f t="shared" si="45"/>
        <v>1415.8027884000001</v>
      </c>
      <c r="G2998" s="1547"/>
      <c r="H2998" s="8"/>
      <c r="I2998" s="8"/>
      <c r="J2998" s="8"/>
      <c r="K2998" s="8"/>
      <c r="L2998" s="8"/>
      <c r="M2998" s="8"/>
      <c r="N2998" s="8"/>
      <c r="O2998" s="8"/>
      <c r="P2998" s="8"/>
      <c r="Q2998" s="8"/>
      <c r="R2998" s="8"/>
      <c r="S2998" s="8"/>
      <c r="T2998" s="8"/>
      <c r="U2998" s="8"/>
      <c r="V2998" s="8"/>
      <c r="W2998" s="8"/>
      <c r="X2998" s="771"/>
      <c r="Y2998" s="771"/>
      <c r="Z2998" s="771"/>
      <c r="AA2998" s="771"/>
      <c r="AB2998" s="771"/>
      <c r="AC2998" s="771"/>
      <c r="AD2998" s="771"/>
      <c r="AE2998" s="771"/>
      <c r="AF2998" s="771"/>
      <c r="AG2998" s="771"/>
      <c r="AH2998" s="771"/>
      <c r="AI2998" s="771"/>
      <c r="AJ2998" s="771"/>
      <c r="AK2998" s="771"/>
      <c r="AL2998" s="771"/>
      <c r="AM2998" s="771"/>
      <c r="AN2998" s="771"/>
      <c r="AO2998" s="771"/>
      <c r="AP2998" s="771"/>
      <c r="AQ2998" s="771"/>
      <c r="AR2998" s="771"/>
      <c r="AS2998" s="771"/>
      <c r="AT2998" s="771"/>
      <c r="AU2998" s="771"/>
    </row>
    <row r="2999" spans="1:47" s="1432" customFormat="1" outlineLevel="1" x14ac:dyDescent="0.2">
      <c r="A2999" s="8"/>
      <c r="B2999" s="8"/>
      <c r="C2999" s="1989" t="s">
        <v>840</v>
      </c>
      <c r="D2999" s="1989" t="s">
        <v>6410</v>
      </c>
      <c r="E2999" s="1989">
        <v>17.41</v>
      </c>
      <c r="F2999" s="38">
        <f t="shared" si="45"/>
        <v>1415.8027884000001</v>
      </c>
      <c r="G2999" s="1547"/>
      <c r="H2999" s="8"/>
      <c r="I2999" s="8"/>
      <c r="J2999" s="8"/>
      <c r="K2999" s="8"/>
      <c r="L2999" s="8"/>
      <c r="M2999" s="8"/>
      <c r="N2999" s="8"/>
      <c r="O2999" s="8"/>
      <c r="P2999" s="8"/>
      <c r="Q2999" s="8"/>
      <c r="R2999" s="8"/>
      <c r="S2999" s="8"/>
      <c r="T2999" s="8"/>
      <c r="U2999" s="8"/>
      <c r="V2999" s="8"/>
      <c r="W2999" s="8"/>
      <c r="X2999" s="771"/>
      <c r="Y2999" s="771"/>
      <c r="Z2999" s="771"/>
      <c r="AA2999" s="771"/>
      <c r="AB2999" s="771"/>
      <c r="AC2999" s="771"/>
      <c r="AD2999" s="771"/>
      <c r="AE2999" s="771"/>
      <c r="AF2999" s="771"/>
      <c r="AG2999" s="771"/>
      <c r="AH2999" s="771"/>
      <c r="AI2999" s="771"/>
      <c r="AJ2999" s="771"/>
      <c r="AK2999" s="771"/>
      <c r="AL2999" s="771"/>
      <c r="AM2999" s="771"/>
      <c r="AN2999" s="771"/>
      <c r="AO2999" s="771"/>
      <c r="AP2999" s="771"/>
      <c r="AQ2999" s="771"/>
      <c r="AR2999" s="771"/>
      <c r="AS2999" s="771"/>
      <c r="AT2999" s="771"/>
      <c r="AU2999" s="771"/>
    </row>
    <row r="3000" spans="1:47" s="1432" customFormat="1" outlineLevel="1" x14ac:dyDescent="0.2">
      <c r="A3000" s="8"/>
      <c r="B3000" s="8"/>
      <c r="C3000" s="1989" t="s">
        <v>891</v>
      </c>
      <c r="D3000" s="1989" t="s">
        <v>6411</v>
      </c>
      <c r="E3000" s="1989">
        <v>19.3</v>
      </c>
      <c r="F3000" s="38">
        <f t="shared" si="45"/>
        <v>1569.4999320000002</v>
      </c>
      <c r="G3000" s="1547"/>
      <c r="H3000" s="8"/>
      <c r="I3000" s="8"/>
      <c r="J3000" s="8"/>
      <c r="K3000" s="8"/>
      <c r="L3000" s="8"/>
      <c r="M3000" s="8"/>
      <c r="N3000" s="8"/>
      <c r="O3000" s="8"/>
      <c r="P3000" s="8"/>
      <c r="Q3000" s="8"/>
      <c r="R3000" s="8"/>
      <c r="S3000" s="8"/>
      <c r="T3000" s="8"/>
      <c r="U3000" s="8"/>
      <c r="V3000" s="8"/>
      <c r="W3000" s="8"/>
      <c r="X3000" s="771"/>
      <c r="Y3000" s="771"/>
      <c r="Z3000" s="771"/>
      <c r="AA3000" s="771"/>
      <c r="AB3000" s="771"/>
      <c r="AC3000" s="771"/>
      <c r="AD3000" s="771"/>
      <c r="AE3000" s="771"/>
      <c r="AF3000" s="771"/>
      <c r="AG3000" s="771"/>
      <c r="AH3000" s="771"/>
      <c r="AI3000" s="771"/>
      <c r="AJ3000" s="771"/>
      <c r="AK3000" s="771"/>
      <c r="AL3000" s="771"/>
      <c r="AM3000" s="771"/>
      <c r="AN3000" s="771"/>
      <c r="AO3000" s="771"/>
      <c r="AP3000" s="771"/>
      <c r="AQ3000" s="771"/>
      <c r="AR3000" s="771"/>
      <c r="AS3000" s="771"/>
      <c r="AT3000" s="771"/>
      <c r="AU3000" s="771"/>
    </row>
    <row r="3001" spans="1:47" s="1432" customFormat="1" outlineLevel="1" x14ac:dyDescent="0.2">
      <c r="A3001" s="8"/>
      <c r="B3001" s="8"/>
      <c r="C3001" s="1989" t="s">
        <v>893</v>
      </c>
      <c r="D3001" s="1989" t="s">
        <v>6412</v>
      </c>
      <c r="E3001" s="1989">
        <v>19.3</v>
      </c>
      <c r="F3001" s="38">
        <f t="shared" si="45"/>
        <v>1569.4999320000002</v>
      </c>
      <c r="G3001" s="1547"/>
      <c r="H3001" s="8"/>
      <c r="I3001" s="8"/>
      <c r="J3001" s="8"/>
      <c r="K3001" s="8"/>
      <c r="L3001" s="8"/>
      <c r="M3001" s="8"/>
      <c r="N3001" s="8"/>
      <c r="O3001" s="8"/>
      <c r="P3001" s="8"/>
      <c r="Q3001" s="8"/>
      <c r="R3001" s="8"/>
      <c r="S3001" s="8"/>
      <c r="T3001" s="8"/>
      <c r="U3001" s="8"/>
      <c r="V3001" s="8"/>
      <c r="W3001" s="8"/>
      <c r="X3001" s="771"/>
      <c r="Y3001" s="771"/>
      <c r="Z3001" s="771"/>
      <c r="AA3001" s="771"/>
      <c r="AB3001" s="771"/>
      <c r="AC3001" s="771"/>
      <c r="AD3001" s="771"/>
      <c r="AE3001" s="771"/>
      <c r="AF3001" s="771"/>
      <c r="AG3001" s="771"/>
      <c r="AH3001" s="771"/>
      <c r="AI3001" s="771"/>
      <c r="AJ3001" s="771"/>
      <c r="AK3001" s="771"/>
      <c r="AL3001" s="771"/>
      <c r="AM3001" s="771"/>
      <c r="AN3001" s="771"/>
      <c r="AO3001" s="771"/>
      <c r="AP3001" s="771"/>
      <c r="AQ3001" s="771"/>
      <c r="AR3001" s="771"/>
      <c r="AS3001" s="771"/>
      <c r="AT3001" s="771"/>
      <c r="AU3001" s="771"/>
    </row>
    <row r="3002" spans="1:47" s="1432" customFormat="1" outlineLevel="1" x14ac:dyDescent="0.2">
      <c r="A3002" s="8"/>
      <c r="B3002" s="8"/>
      <c r="C3002" s="1989" t="s">
        <v>894</v>
      </c>
      <c r="D3002" s="1989" t="s">
        <v>6413</v>
      </c>
      <c r="E3002" s="1989">
        <v>32.93</v>
      </c>
      <c r="F3002" s="38">
        <f t="shared" si="45"/>
        <v>2677.9084332000002</v>
      </c>
      <c r="G3002" s="1547"/>
      <c r="H3002" s="8"/>
      <c r="I3002" s="8"/>
      <c r="J3002" s="8"/>
      <c r="K3002" s="8"/>
      <c r="L3002" s="8"/>
      <c r="M3002" s="8"/>
      <c r="N3002" s="8"/>
      <c r="O3002" s="8"/>
      <c r="P3002" s="8"/>
      <c r="Q3002" s="8"/>
      <c r="R3002" s="8"/>
      <c r="S3002" s="8"/>
      <c r="T3002" s="8"/>
      <c r="U3002" s="8"/>
      <c r="V3002" s="8"/>
      <c r="W3002" s="8"/>
      <c r="X3002" s="771"/>
      <c r="Y3002" s="771"/>
      <c r="Z3002" s="771"/>
      <c r="AA3002" s="771"/>
      <c r="AB3002" s="771"/>
      <c r="AC3002" s="771"/>
      <c r="AD3002" s="771"/>
      <c r="AE3002" s="771"/>
      <c r="AF3002" s="771"/>
      <c r="AG3002" s="771"/>
      <c r="AH3002" s="771"/>
      <c r="AI3002" s="771"/>
      <c r="AJ3002" s="771"/>
      <c r="AK3002" s="771"/>
      <c r="AL3002" s="771"/>
      <c r="AM3002" s="771"/>
      <c r="AN3002" s="771"/>
      <c r="AO3002" s="771"/>
      <c r="AP3002" s="771"/>
      <c r="AQ3002" s="771"/>
      <c r="AR3002" s="771"/>
      <c r="AS3002" s="771"/>
      <c r="AT3002" s="771"/>
      <c r="AU3002" s="771"/>
    </row>
    <row r="3003" spans="1:47" s="1432" customFormat="1" outlineLevel="1" x14ac:dyDescent="0.2">
      <c r="A3003" s="8"/>
      <c r="B3003" s="8"/>
      <c r="C3003" s="1989" t="s">
        <v>2102</v>
      </c>
      <c r="D3003" s="1989" t="s">
        <v>6414</v>
      </c>
      <c r="E3003" s="1989">
        <v>5.29</v>
      </c>
      <c r="F3003" s="38">
        <f t="shared" si="45"/>
        <v>430.18935960000005</v>
      </c>
      <c r="G3003" s="1547"/>
      <c r="H3003" s="8"/>
      <c r="I3003" s="8"/>
      <c r="J3003" s="8"/>
      <c r="K3003" s="8"/>
      <c r="L3003" s="8"/>
      <c r="M3003" s="8"/>
      <c r="N3003" s="8"/>
      <c r="O3003" s="8"/>
      <c r="P3003" s="8"/>
      <c r="Q3003" s="8"/>
      <c r="R3003" s="8"/>
      <c r="S3003" s="8"/>
      <c r="T3003" s="8"/>
      <c r="U3003" s="8"/>
      <c r="V3003" s="8"/>
      <c r="W3003" s="8"/>
      <c r="X3003" s="771"/>
      <c r="Y3003" s="771"/>
      <c r="Z3003" s="771"/>
      <c r="AA3003" s="771"/>
      <c r="AB3003" s="771"/>
      <c r="AC3003" s="771"/>
      <c r="AD3003" s="771"/>
      <c r="AE3003" s="771"/>
      <c r="AF3003" s="771"/>
      <c r="AG3003" s="771"/>
      <c r="AH3003" s="771"/>
      <c r="AI3003" s="771"/>
      <c r="AJ3003" s="771"/>
      <c r="AK3003" s="771"/>
      <c r="AL3003" s="771"/>
      <c r="AM3003" s="771"/>
      <c r="AN3003" s="771"/>
      <c r="AO3003" s="771"/>
      <c r="AP3003" s="771"/>
      <c r="AQ3003" s="771"/>
      <c r="AR3003" s="771"/>
      <c r="AS3003" s="771"/>
      <c r="AT3003" s="771"/>
      <c r="AU3003" s="771"/>
    </row>
    <row r="3004" spans="1:47" s="1432" customFormat="1" outlineLevel="1" x14ac:dyDescent="0.2">
      <c r="A3004" s="8"/>
      <c r="B3004" s="8"/>
      <c r="C3004" s="1989" t="s">
        <v>1079</v>
      </c>
      <c r="D3004" s="1989" t="s">
        <v>2632</v>
      </c>
      <c r="E3004" s="1989">
        <v>5.29</v>
      </c>
      <c r="F3004" s="38">
        <f t="shared" si="45"/>
        <v>430.18935960000005</v>
      </c>
      <c r="G3004" s="1547"/>
      <c r="H3004" s="8"/>
      <c r="I3004" s="8"/>
      <c r="J3004" s="8"/>
      <c r="K3004" s="8"/>
      <c r="L3004" s="8"/>
      <c r="M3004" s="8"/>
      <c r="N3004" s="8"/>
      <c r="O3004" s="8"/>
      <c r="P3004" s="8"/>
      <c r="Q3004" s="8"/>
      <c r="R3004" s="8"/>
      <c r="S3004" s="8"/>
      <c r="T3004" s="8"/>
      <c r="U3004" s="8"/>
      <c r="V3004" s="8"/>
      <c r="W3004" s="8"/>
      <c r="X3004" s="771"/>
      <c r="Y3004" s="771"/>
      <c r="Z3004" s="771"/>
      <c r="AA3004" s="771"/>
      <c r="AB3004" s="771"/>
      <c r="AC3004" s="771"/>
      <c r="AD3004" s="771"/>
      <c r="AE3004" s="771"/>
      <c r="AF3004" s="771"/>
      <c r="AG3004" s="771"/>
      <c r="AH3004" s="771"/>
      <c r="AI3004" s="771"/>
      <c r="AJ3004" s="771"/>
      <c r="AK3004" s="771"/>
      <c r="AL3004" s="771"/>
      <c r="AM3004" s="771"/>
      <c r="AN3004" s="771"/>
      <c r="AO3004" s="771"/>
      <c r="AP3004" s="771"/>
      <c r="AQ3004" s="771"/>
      <c r="AR3004" s="771"/>
      <c r="AS3004" s="771"/>
      <c r="AT3004" s="771"/>
      <c r="AU3004" s="771"/>
    </row>
    <row r="3005" spans="1:47" s="1432" customFormat="1" outlineLevel="1" x14ac:dyDescent="0.2">
      <c r="A3005" s="8"/>
      <c r="B3005" s="8"/>
      <c r="C3005" s="1989" t="s">
        <v>1587</v>
      </c>
      <c r="D3005" s="1989" t="s">
        <v>6415</v>
      </c>
      <c r="E3005" s="1989">
        <v>4.63</v>
      </c>
      <c r="F3005" s="38">
        <f t="shared" si="45"/>
        <v>376.51734120000003</v>
      </c>
      <c r="G3005" s="1547"/>
      <c r="H3005" s="8"/>
      <c r="I3005" s="8"/>
      <c r="J3005" s="8"/>
      <c r="K3005" s="8"/>
      <c r="L3005" s="8"/>
      <c r="M3005" s="8"/>
      <c r="N3005" s="8"/>
      <c r="O3005" s="8"/>
      <c r="P3005" s="8"/>
      <c r="Q3005" s="8"/>
      <c r="R3005" s="8"/>
      <c r="S3005" s="8"/>
      <c r="T3005" s="8"/>
      <c r="U3005" s="8"/>
      <c r="V3005" s="8"/>
      <c r="W3005" s="8"/>
      <c r="X3005" s="771"/>
      <c r="Y3005" s="771"/>
      <c r="Z3005" s="771"/>
      <c r="AA3005" s="771"/>
      <c r="AB3005" s="771"/>
      <c r="AC3005" s="771"/>
      <c r="AD3005" s="771"/>
      <c r="AE3005" s="771"/>
      <c r="AF3005" s="771"/>
      <c r="AG3005" s="771"/>
      <c r="AH3005" s="771"/>
      <c r="AI3005" s="771"/>
      <c r="AJ3005" s="771"/>
      <c r="AK3005" s="771"/>
      <c r="AL3005" s="771"/>
      <c r="AM3005" s="771"/>
      <c r="AN3005" s="771"/>
      <c r="AO3005" s="771"/>
      <c r="AP3005" s="771"/>
      <c r="AQ3005" s="771"/>
      <c r="AR3005" s="771"/>
      <c r="AS3005" s="771"/>
      <c r="AT3005" s="771"/>
      <c r="AU3005" s="771"/>
    </row>
    <row r="3006" spans="1:47" s="1432" customFormat="1" outlineLevel="1" x14ac:dyDescent="0.2">
      <c r="A3006" s="8"/>
      <c r="B3006" s="8"/>
      <c r="C3006" s="1989" t="s">
        <v>917</v>
      </c>
      <c r="D3006" s="1989" t="s">
        <v>6416</v>
      </c>
      <c r="E3006" s="1989">
        <v>4.63</v>
      </c>
      <c r="F3006" s="38">
        <f t="shared" si="45"/>
        <v>376.51734120000003</v>
      </c>
      <c r="G3006" s="1547"/>
      <c r="H3006" s="8"/>
      <c r="I3006" s="8"/>
      <c r="J3006" s="8"/>
      <c r="K3006" s="8"/>
      <c r="L3006" s="8"/>
      <c r="M3006" s="8"/>
      <c r="N3006" s="8"/>
      <c r="O3006" s="8"/>
      <c r="P3006" s="8"/>
      <c r="Q3006" s="8"/>
      <c r="R3006" s="8"/>
      <c r="S3006" s="8"/>
      <c r="T3006" s="8"/>
      <c r="U3006" s="8"/>
      <c r="V3006" s="8"/>
      <c r="W3006" s="8"/>
      <c r="X3006" s="771"/>
      <c r="Y3006" s="771"/>
      <c r="Z3006" s="771"/>
      <c r="AA3006" s="771"/>
      <c r="AB3006" s="771"/>
      <c r="AC3006" s="771"/>
      <c r="AD3006" s="771"/>
      <c r="AE3006" s="771"/>
      <c r="AF3006" s="771"/>
      <c r="AG3006" s="771"/>
      <c r="AH3006" s="771"/>
      <c r="AI3006" s="771"/>
      <c r="AJ3006" s="771"/>
      <c r="AK3006" s="771"/>
      <c r="AL3006" s="771"/>
      <c r="AM3006" s="771"/>
      <c r="AN3006" s="771"/>
      <c r="AO3006" s="771"/>
      <c r="AP3006" s="771"/>
      <c r="AQ3006" s="771"/>
      <c r="AR3006" s="771"/>
      <c r="AS3006" s="771"/>
      <c r="AT3006" s="771"/>
      <c r="AU3006" s="771"/>
    </row>
    <row r="3007" spans="1:47" s="1432" customFormat="1" outlineLevel="1" x14ac:dyDescent="0.2">
      <c r="A3007" s="8"/>
      <c r="B3007" s="8"/>
      <c r="C3007" s="1989" t="s">
        <v>1820</v>
      </c>
      <c r="D3007" s="1989" t="s">
        <v>6417</v>
      </c>
      <c r="E3007" s="1989">
        <v>4.87</v>
      </c>
      <c r="F3007" s="38">
        <f t="shared" si="45"/>
        <v>396.03443880000003</v>
      </c>
      <c r="G3007" s="1547"/>
      <c r="H3007" s="8"/>
      <c r="I3007" s="8"/>
      <c r="J3007" s="8"/>
      <c r="K3007" s="8"/>
      <c r="L3007" s="8"/>
      <c r="M3007" s="8"/>
      <c r="N3007" s="8"/>
      <c r="O3007" s="8"/>
      <c r="P3007" s="8"/>
      <c r="Q3007" s="8"/>
      <c r="R3007" s="8"/>
      <c r="S3007" s="8"/>
      <c r="T3007" s="8"/>
      <c r="U3007" s="8"/>
      <c r="V3007" s="8"/>
      <c r="W3007" s="8"/>
      <c r="X3007" s="771"/>
      <c r="Y3007" s="771"/>
      <c r="Z3007" s="771"/>
      <c r="AA3007" s="771"/>
      <c r="AB3007" s="771"/>
      <c r="AC3007" s="771"/>
      <c r="AD3007" s="771"/>
      <c r="AE3007" s="771"/>
      <c r="AF3007" s="771"/>
      <c r="AG3007" s="771"/>
      <c r="AH3007" s="771"/>
      <c r="AI3007" s="771"/>
      <c r="AJ3007" s="771"/>
      <c r="AK3007" s="771"/>
      <c r="AL3007" s="771"/>
      <c r="AM3007" s="771"/>
      <c r="AN3007" s="771"/>
      <c r="AO3007" s="771"/>
      <c r="AP3007" s="771"/>
      <c r="AQ3007" s="771"/>
      <c r="AR3007" s="771"/>
      <c r="AS3007" s="771"/>
      <c r="AT3007" s="771"/>
      <c r="AU3007" s="771"/>
    </row>
    <row r="3008" spans="1:47" s="1432" customFormat="1" outlineLevel="1" x14ac:dyDescent="0.2">
      <c r="A3008" s="8"/>
      <c r="B3008" s="8"/>
      <c r="C3008" s="1989" t="s">
        <v>918</v>
      </c>
      <c r="D3008" s="1989" t="s">
        <v>6418</v>
      </c>
      <c r="E3008" s="1989">
        <v>4.87</v>
      </c>
      <c r="F3008" s="38">
        <f t="shared" si="45"/>
        <v>396.03443880000003</v>
      </c>
      <c r="G3008" s="1547"/>
      <c r="H3008" s="8"/>
      <c r="I3008" s="8"/>
      <c r="J3008" s="8"/>
      <c r="K3008" s="8"/>
      <c r="L3008" s="8"/>
      <c r="M3008" s="8"/>
      <c r="N3008" s="8"/>
      <c r="O3008" s="8"/>
      <c r="P3008" s="8"/>
      <c r="Q3008" s="8"/>
      <c r="R3008" s="8"/>
      <c r="S3008" s="8"/>
      <c r="T3008" s="8"/>
      <c r="U3008" s="8"/>
      <c r="V3008" s="8"/>
      <c r="W3008" s="8"/>
      <c r="X3008" s="771"/>
      <c r="Y3008" s="771"/>
      <c r="Z3008" s="771"/>
      <c r="AA3008" s="771"/>
      <c r="AB3008" s="771"/>
      <c r="AC3008" s="771"/>
      <c r="AD3008" s="771"/>
      <c r="AE3008" s="771"/>
      <c r="AF3008" s="771"/>
      <c r="AG3008" s="771"/>
      <c r="AH3008" s="771"/>
      <c r="AI3008" s="771"/>
      <c r="AJ3008" s="771"/>
      <c r="AK3008" s="771"/>
      <c r="AL3008" s="771"/>
      <c r="AM3008" s="771"/>
      <c r="AN3008" s="771"/>
      <c r="AO3008" s="771"/>
      <c r="AP3008" s="771"/>
      <c r="AQ3008" s="771"/>
      <c r="AR3008" s="771"/>
      <c r="AS3008" s="771"/>
      <c r="AT3008" s="771"/>
      <c r="AU3008" s="771"/>
    </row>
    <row r="3009" spans="1:47" s="1432" customFormat="1" outlineLevel="1" x14ac:dyDescent="0.2">
      <c r="A3009" s="8"/>
      <c r="B3009" s="8"/>
      <c r="C3009" s="1989" t="s">
        <v>344</v>
      </c>
      <c r="D3009" s="1989" t="s">
        <v>6419</v>
      </c>
      <c r="E3009" s="1989">
        <v>5.12</v>
      </c>
      <c r="F3009" s="38">
        <f t="shared" si="45"/>
        <v>416.36474880000003</v>
      </c>
      <c r="G3009" s="1547"/>
      <c r="H3009" s="8"/>
      <c r="I3009" s="8"/>
      <c r="J3009" s="8"/>
      <c r="K3009" s="8"/>
      <c r="L3009" s="8"/>
      <c r="M3009" s="8"/>
      <c r="N3009" s="8"/>
      <c r="O3009" s="8"/>
      <c r="P3009" s="8"/>
      <c r="Q3009" s="8"/>
      <c r="R3009" s="8"/>
      <c r="S3009" s="8"/>
      <c r="T3009" s="8"/>
      <c r="U3009" s="8"/>
      <c r="V3009" s="8"/>
      <c r="W3009" s="8"/>
      <c r="X3009" s="771"/>
      <c r="Y3009" s="771"/>
      <c r="Z3009" s="771"/>
      <c r="AA3009" s="771"/>
      <c r="AB3009" s="771"/>
      <c r="AC3009" s="771"/>
      <c r="AD3009" s="771"/>
      <c r="AE3009" s="771"/>
      <c r="AF3009" s="771"/>
      <c r="AG3009" s="771"/>
      <c r="AH3009" s="771"/>
      <c r="AI3009" s="771"/>
      <c r="AJ3009" s="771"/>
      <c r="AK3009" s="771"/>
      <c r="AL3009" s="771"/>
      <c r="AM3009" s="771"/>
      <c r="AN3009" s="771"/>
      <c r="AO3009" s="771"/>
      <c r="AP3009" s="771"/>
      <c r="AQ3009" s="771"/>
      <c r="AR3009" s="771"/>
      <c r="AS3009" s="771"/>
      <c r="AT3009" s="771"/>
      <c r="AU3009" s="771"/>
    </row>
    <row r="3010" spans="1:47" s="1432" customFormat="1" outlineLevel="1" x14ac:dyDescent="0.2">
      <c r="A3010" s="8"/>
      <c r="B3010" s="8"/>
      <c r="C3010" s="1989" t="s">
        <v>836</v>
      </c>
      <c r="D3010" s="1989" t="s">
        <v>6420</v>
      </c>
      <c r="E3010" s="1989">
        <v>5.12</v>
      </c>
      <c r="F3010" s="38">
        <f t="shared" si="45"/>
        <v>416.36474880000003</v>
      </c>
      <c r="G3010" s="1547"/>
      <c r="H3010" s="8"/>
      <c r="I3010" s="8"/>
      <c r="J3010" s="8"/>
      <c r="K3010" s="8"/>
      <c r="L3010" s="8"/>
      <c r="M3010" s="8"/>
      <c r="N3010" s="8"/>
      <c r="O3010" s="8"/>
      <c r="P3010" s="8"/>
      <c r="Q3010" s="8"/>
      <c r="R3010" s="8"/>
      <c r="S3010" s="8"/>
      <c r="T3010" s="8"/>
      <c r="U3010" s="8"/>
      <c r="V3010" s="8"/>
      <c r="W3010" s="8"/>
      <c r="X3010" s="771"/>
      <c r="Y3010" s="771"/>
      <c r="Z3010" s="771"/>
      <c r="AA3010" s="771"/>
      <c r="AB3010" s="771"/>
      <c r="AC3010" s="771"/>
      <c r="AD3010" s="771"/>
      <c r="AE3010" s="771"/>
      <c r="AF3010" s="771"/>
      <c r="AG3010" s="771"/>
      <c r="AH3010" s="771"/>
      <c r="AI3010" s="771"/>
      <c r="AJ3010" s="771"/>
      <c r="AK3010" s="771"/>
      <c r="AL3010" s="771"/>
      <c r="AM3010" s="771"/>
      <c r="AN3010" s="771"/>
      <c r="AO3010" s="771"/>
      <c r="AP3010" s="771"/>
      <c r="AQ3010" s="771"/>
      <c r="AR3010" s="771"/>
      <c r="AS3010" s="771"/>
      <c r="AT3010" s="771"/>
      <c r="AU3010" s="771"/>
    </row>
    <row r="3011" spans="1:47" s="1432" customFormat="1" outlineLevel="1" x14ac:dyDescent="0.2">
      <c r="A3011" s="8"/>
      <c r="B3011" s="8"/>
      <c r="C3011" s="1989" t="s">
        <v>345</v>
      </c>
      <c r="D3011" s="1989" t="s">
        <v>6421</v>
      </c>
      <c r="E3011" s="1989">
        <v>5.79</v>
      </c>
      <c r="F3011" s="38">
        <f t="shared" si="45"/>
        <v>470.84997959999998</v>
      </c>
      <c r="G3011" s="1547"/>
      <c r="H3011" s="8"/>
      <c r="I3011" s="8"/>
      <c r="J3011" s="8"/>
      <c r="K3011" s="8"/>
      <c r="L3011" s="8"/>
      <c r="M3011" s="8"/>
      <c r="N3011" s="8"/>
      <c r="O3011" s="8"/>
      <c r="P3011" s="8"/>
      <c r="Q3011" s="8"/>
      <c r="R3011" s="8"/>
      <c r="S3011" s="8"/>
      <c r="T3011" s="8"/>
      <c r="U3011" s="8"/>
      <c r="V3011" s="8"/>
      <c r="W3011" s="8"/>
      <c r="X3011" s="771"/>
      <c r="Y3011" s="771"/>
      <c r="Z3011" s="771"/>
      <c r="AA3011" s="771"/>
      <c r="AB3011" s="771"/>
      <c r="AC3011" s="771"/>
      <c r="AD3011" s="771"/>
      <c r="AE3011" s="771"/>
      <c r="AF3011" s="771"/>
      <c r="AG3011" s="771"/>
      <c r="AH3011" s="771"/>
      <c r="AI3011" s="771"/>
      <c r="AJ3011" s="771"/>
      <c r="AK3011" s="771"/>
      <c r="AL3011" s="771"/>
      <c r="AM3011" s="771"/>
      <c r="AN3011" s="771"/>
      <c r="AO3011" s="771"/>
      <c r="AP3011" s="771"/>
      <c r="AQ3011" s="771"/>
      <c r="AR3011" s="771"/>
      <c r="AS3011" s="771"/>
      <c r="AT3011" s="771"/>
      <c r="AU3011" s="771"/>
    </row>
    <row r="3012" spans="1:47" s="1432" customFormat="1" outlineLevel="1" x14ac:dyDescent="0.2">
      <c r="A3012" s="8"/>
      <c r="B3012" s="8"/>
      <c r="C3012" s="1989" t="s">
        <v>837</v>
      </c>
      <c r="D3012" s="1989" t="s">
        <v>6422</v>
      </c>
      <c r="E3012" s="1989">
        <v>5.79</v>
      </c>
      <c r="F3012" s="38">
        <f t="shared" si="45"/>
        <v>470.84997959999998</v>
      </c>
      <c r="G3012" s="1547"/>
      <c r="H3012" s="8"/>
      <c r="I3012" s="8"/>
      <c r="J3012" s="8"/>
      <c r="K3012" s="8"/>
      <c r="L3012" s="8"/>
      <c r="M3012" s="8"/>
      <c r="N3012" s="8"/>
      <c r="O3012" s="8"/>
      <c r="P3012" s="8"/>
      <c r="Q3012" s="8"/>
      <c r="R3012" s="8"/>
      <c r="S3012" s="8"/>
      <c r="T3012" s="8"/>
      <c r="U3012" s="8"/>
      <c r="V3012" s="8"/>
      <c r="W3012" s="8"/>
      <c r="X3012" s="771"/>
      <c r="Y3012" s="771"/>
      <c r="Z3012" s="771"/>
      <c r="AA3012" s="771"/>
      <c r="AB3012" s="771"/>
      <c r="AC3012" s="771"/>
      <c r="AD3012" s="771"/>
      <c r="AE3012" s="771"/>
      <c r="AF3012" s="771"/>
      <c r="AG3012" s="771"/>
      <c r="AH3012" s="771"/>
      <c r="AI3012" s="771"/>
      <c r="AJ3012" s="771"/>
      <c r="AK3012" s="771"/>
      <c r="AL3012" s="771"/>
      <c r="AM3012" s="771"/>
      <c r="AN3012" s="771"/>
      <c r="AO3012" s="771"/>
      <c r="AP3012" s="771"/>
      <c r="AQ3012" s="771"/>
      <c r="AR3012" s="771"/>
      <c r="AS3012" s="771"/>
      <c r="AT3012" s="771"/>
      <c r="AU3012" s="771"/>
    </row>
    <row r="3013" spans="1:47" s="1432" customFormat="1" outlineLevel="1" x14ac:dyDescent="0.2">
      <c r="A3013" s="8"/>
      <c r="B3013" s="8"/>
      <c r="C3013" s="1989" t="s">
        <v>2778</v>
      </c>
      <c r="D3013" s="1989" t="s">
        <v>8242</v>
      </c>
      <c r="E3013" s="1989">
        <v>15.49</v>
      </c>
      <c r="F3013" s="38">
        <f t="shared" si="45"/>
        <v>1259.6660076000001</v>
      </c>
      <c r="G3013" s="1547"/>
      <c r="H3013" s="8"/>
      <c r="I3013" s="8"/>
      <c r="J3013" s="8"/>
      <c r="K3013" s="8"/>
      <c r="L3013" s="8"/>
      <c r="M3013" s="8"/>
      <c r="N3013" s="8"/>
      <c r="O3013" s="8"/>
      <c r="P3013" s="8"/>
      <c r="Q3013" s="8"/>
      <c r="R3013" s="8"/>
      <c r="S3013" s="8"/>
      <c r="T3013" s="8"/>
      <c r="U3013" s="8"/>
      <c r="V3013" s="8"/>
      <c r="W3013" s="8"/>
      <c r="X3013" s="771"/>
      <c r="Y3013" s="771"/>
      <c r="Z3013" s="771"/>
      <c r="AA3013" s="771"/>
      <c r="AB3013" s="771"/>
      <c r="AC3013" s="771"/>
      <c r="AD3013" s="771"/>
      <c r="AE3013" s="771"/>
      <c r="AF3013" s="771"/>
      <c r="AG3013" s="771"/>
      <c r="AH3013" s="771"/>
      <c r="AI3013" s="771"/>
      <c r="AJ3013" s="771"/>
      <c r="AK3013" s="771"/>
      <c r="AL3013" s="771"/>
      <c r="AM3013" s="771"/>
      <c r="AN3013" s="771"/>
      <c r="AO3013" s="771"/>
      <c r="AP3013" s="771"/>
      <c r="AQ3013" s="771"/>
      <c r="AR3013" s="771"/>
      <c r="AS3013" s="771"/>
      <c r="AT3013" s="771"/>
      <c r="AU3013" s="771"/>
    </row>
    <row r="3014" spans="1:47" s="1432" customFormat="1" outlineLevel="1" x14ac:dyDescent="0.2">
      <c r="A3014" s="8"/>
      <c r="B3014" s="8"/>
      <c r="C3014" s="1989" t="s">
        <v>2633</v>
      </c>
      <c r="D3014" s="1989" t="s">
        <v>2634</v>
      </c>
      <c r="E3014" s="1989">
        <v>11.88</v>
      </c>
      <c r="F3014" s="38">
        <f t="shared" si="45"/>
        <v>966.09633120000012</v>
      </c>
      <c r="G3014" s="1547"/>
      <c r="H3014" s="8"/>
      <c r="I3014" s="8"/>
      <c r="J3014" s="8"/>
      <c r="K3014" s="8"/>
      <c r="L3014" s="8"/>
      <c r="M3014" s="8"/>
      <c r="N3014" s="8"/>
      <c r="O3014" s="8"/>
      <c r="P3014" s="8"/>
      <c r="Q3014" s="8"/>
      <c r="R3014" s="8"/>
      <c r="S3014" s="8"/>
      <c r="T3014" s="8"/>
      <c r="U3014" s="8"/>
      <c r="V3014" s="8"/>
      <c r="W3014" s="8"/>
      <c r="X3014" s="771"/>
      <c r="Y3014" s="771"/>
      <c r="Z3014" s="771"/>
      <c r="AA3014" s="771"/>
      <c r="AB3014" s="771"/>
      <c r="AC3014" s="771"/>
      <c r="AD3014" s="771"/>
      <c r="AE3014" s="771"/>
      <c r="AF3014" s="771"/>
      <c r="AG3014" s="771"/>
      <c r="AH3014" s="771"/>
      <c r="AI3014" s="771"/>
      <c r="AJ3014" s="771"/>
      <c r="AK3014" s="771"/>
      <c r="AL3014" s="771"/>
      <c r="AM3014" s="771"/>
      <c r="AN3014" s="771"/>
      <c r="AO3014" s="771"/>
      <c r="AP3014" s="771"/>
      <c r="AQ3014" s="771"/>
      <c r="AR3014" s="771"/>
      <c r="AS3014" s="771"/>
      <c r="AT3014" s="771"/>
      <c r="AU3014" s="771"/>
    </row>
    <row r="3015" spans="1:47" s="1432" customFormat="1" outlineLevel="1" x14ac:dyDescent="0.2">
      <c r="A3015" s="8"/>
      <c r="B3015" s="8"/>
      <c r="C3015" s="1989" t="s">
        <v>3111</v>
      </c>
      <c r="D3015" s="1989" t="s">
        <v>6423</v>
      </c>
      <c r="E3015" s="1989">
        <v>3.35</v>
      </c>
      <c r="F3015" s="38">
        <f t="shared" si="45"/>
        <v>272.426154</v>
      </c>
      <c r="G3015" s="1547"/>
      <c r="H3015" s="8"/>
      <c r="I3015" s="8"/>
      <c r="J3015" s="8"/>
      <c r="K3015" s="8"/>
      <c r="L3015" s="8"/>
      <c r="M3015" s="8"/>
      <c r="N3015" s="8"/>
      <c r="O3015" s="8"/>
      <c r="P3015" s="8"/>
      <c r="Q3015" s="8"/>
      <c r="R3015" s="8"/>
      <c r="S3015" s="8"/>
      <c r="T3015" s="8"/>
      <c r="U3015" s="8"/>
      <c r="V3015" s="8"/>
      <c r="W3015" s="8"/>
      <c r="X3015" s="771"/>
      <c r="Y3015" s="771"/>
      <c r="Z3015" s="771"/>
      <c r="AA3015" s="771"/>
      <c r="AB3015" s="771"/>
      <c r="AC3015" s="771"/>
      <c r="AD3015" s="771"/>
      <c r="AE3015" s="771"/>
      <c r="AF3015" s="771"/>
      <c r="AG3015" s="771"/>
      <c r="AH3015" s="771"/>
      <c r="AI3015" s="771"/>
      <c r="AJ3015" s="771"/>
      <c r="AK3015" s="771"/>
      <c r="AL3015" s="771"/>
      <c r="AM3015" s="771"/>
      <c r="AN3015" s="771"/>
      <c r="AO3015" s="771"/>
      <c r="AP3015" s="771"/>
      <c r="AQ3015" s="771"/>
      <c r="AR3015" s="771"/>
      <c r="AS3015" s="771"/>
      <c r="AT3015" s="771"/>
      <c r="AU3015" s="771"/>
    </row>
    <row r="3016" spans="1:47" s="1432" customFormat="1" outlineLevel="1" x14ac:dyDescent="0.2">
      <c r="A3016" s="8"/>
      <c r="B3016" s="8"/>
      <c r="C3016" s="1989" t="s">
        <v>3375</v>
      </c>
      <c r="D3016" s="1989" t="s">
        <v>8243</v>
      </c>
      <c r="E3016" s="1989">
        <v>7.3</v>
      </c>
      <c r="F3016" s="38">
        <f t="shared" si="45"/>
        <v>593.64505200000008</v>
      </c>
      <c r="G3016" s="1547"/>
      <c r="H3016" s="8"/>
      <c r="I3016" s="8"/>
      <c r="J3016" s="8"/>
      <c r="K3016" s="8"/>
      <c r="L3016" s="8"/>
      <c r="M3016" s="8"/>
      <c r="N3016" s="8"/>
      <c r="O3016" s="8"/>
      <c r="P3016" s="8"/>
      <c r="Q3016" s="8"/>
      <c r="R3016" s="8"/>
      <c r="S3016" s="8"/>
      <c r="T3016" s="8"/>
      <c r="U3016" s="8"/>
      <c r="V3016" s="8"/>
      <c r="W3016" s="8"/>
      <c r="X3016" s="771"/>
      <c r="Y3016" s="771"/>
      <c r="Z3016" s="771"/>
      <c r="AA3016" s="771"/>
      <c r="AB3016" s="771"/>
      <c r="AC3016" s="771"/>
      <c r="AD3016" s="771"/>
      <c r="AE3016" s="771"/>
      <c r="AF3016" s="771"/>
      <c r="AG3016" s="771"/>
      <c r="AH3016" s="771"/>
      <c r="AI3016" s="771"/>
      <c r="AJ3016" s="771"/>
      <c r="AK3016" s="771"/>
      <c r="AL3016" s="771"/>
      <c r="AM3016" s="771"/>
      <c r="AN3016" s="771"/>
      <c r="AO3016" s="771"/>
      <c r="AP3016" s="771"/>
      <c r="AQ3016" s="771"/>
      <c r="AR3016" s="771"/>
      <c r="AS3016" s="771"/>
      <c r="AT3016" s="771"/>
      <c r="AU3016" s="771"/>
    </row>
    <row r="3017" spans="1:47" s="1432" customFormat="1" outlineLevel="1" x14ac:dyDescent="0.2">
      <c r="A3017" s="8"/>
      <c r="B3017" s="8"/>
      <c r="C3017" s="1989" t="s">
        <v>346</v>
      </c>
      <c r="D3017" s="1989" t="s">
        <v>6424</v>
      </c>
      <c r="E3017" s="1989">
        <v>1.6</v>
      </c>
      <c r="F3017" s="38">
        <f t="shared" si="45"/>
        <v>130.11398400000002</v>
      </c>
      <c r="G3017" s="1547"/>
      <c r="H3017" s="8"/>
      <c r="I3017" s="8"/>
      <c r="J3017" s="8"/>
      <c r="K3017" s="8"/>
      <c r="L3017" s="8"/>
      <c r="M3017" s="8"/>
      <c r="N3017" s="8"/>
      <c r="O3017" s="8"/>
      <c r="P3017" s="8"/>
      <c r="Q3017" s="8"/>
      <c r="R3017" s="8"/>
      <c r="S3017" s="8"/>
      <c r="T3017" s="8"/>
      <c r="U3017" s="8"/>
      <c r="V3017" s="8"/>
      <c r="W3017" s="8"/>
      <c r="X3017" s="771"/>
      <c r="Y3017" s="771"/>
      <c r="Z3017" s="771"/>
      <c r="AA3017" s="771"/>
      <c r="AB3017" s="771"/>
      <c r="AC3017" s="771"/>
      <c r="AD3017" s="771"/>
      <c r="AE3017" s="771"/>
      <c r="AF3017" s="771"/>
      <c r="AG3017" s="771"/>
      <c r="AH3017" s="771"/>
      <c r="AI3017" s="771"/>
      <c r="AJ3017" s="771"/>
      <c r="AK3017" s="771"/>
      <c r="AL3017" s="771"/>
      <c r="AM3017" s="771"/>
      <c r="AN3017" s="771"/>
      <c r="AO3017" s="771"/>
      <c r="AP3017" s="771"/>
      <c r="AQ3017" s="771"/>
      <c r="AR3017" s="771"/>
      <c r="AS3017" s="771"/>
      <c r="AT3017" s="771"/>
      <c r="AU3017" s="771"/>
    </row>
    <row r="3018" spans="1:47" s="1432" customFormat="1" outlineLevel="1" x14ac:dyDescent="0.2">
      <c r="A3018" s="8"/>
      <c r="B3018" s="8"/>
      <c r="C3018" s="1989" t="s">
        <v>347</v>
      </c>
      <c r="D3018" s="1989" t="s">
        <v>6425</v>
      </c>
      <c r="E3018" s="1989">
        <v>1.32</v>
      </c>
      <c r="F3018" s="38">
        <f t="shared" si="45"/>
        <v>107.34403680000001</v>
      </c>
      <c r="G3018" s="1547"/>
      <c r="H3018" s="8"/>
      <c r="I3018" s="8"/>
      <c r="J3018" s="8"/>
      <c r="K3018" s="8"/>
      <c r="L3018" s="8"/>
      <c r="M3018" s="8"/>
      <c r="N3018" s="8"/>
      <c r="O3018" s="8"/>
      <c r="P3018" s="8"/>
      <c r="Q3018" s="8"/>
      <c r="R3018" s="8"/>
      <c r="S3018" s="8"/>
      <c r="T3018" s="8"/>
      <c r="U3018" s="8"/>
      <c r="V3018" s="8"/>
      <c r="W3018" s="8"/>
      <c r="X3018" s="771"/>
      <c r="Y3018" s="771"/>
      <c r="Z3018" s="771"/>
      <c r="AA3018" s="771"/>
      <c r="AB3018" s="771"/>
      <c r="AC3018" s="771"/>
      <c r="AD3018" s="771"/>
      <c r="AE3018" s="771"/>
      <c r="AF3018" s="771"/>
      <c r="AG3018" s="771"/>
      <c r="AH3018" s="771"/>
      <c r="AI3018" s="771"/>
      <c r="AJ3018" s="771"/>
      <c r="AK3018" s="771"/>
      <c r="AL3018" s="771"/>
      <c r="AM3018" s="771"/>
      <c r="AN3018" s="771"/>
      <c r="AO3018" s="771"/>
      <c r="AP3018" s="771"/>
      <c r="AQ3018" s="771"/>
      <c r="AR3018" s="771"/>
      <c r="AS3018" s="771"/>
      <c r="AT3018" s="771"/>
      <c r="AU3018" s="771"/>
    </row>
    <row r="3019" spans="1:47" s="1432" customFormat="1" outlineLevel="1" x14ac:dyDescent="0.2">
      <c r="A3019" s="8"/>
      <c r="B3019" s="8"/>
      <c r="C3019" s="1989" t="s">
        <v>348</v>
      </c>
      <c r="D3019" s="1989" t="s">
        <v>867</v>
      </c>
      <c r="E3019" s="1989">
        <v>1.6</v>
      </c>
      <c r="F3019" s="38">
        <f t="shared" si="45"/>
        <v>130.11398400000002</v>
      </c>
      <c r="G3019" s="1547"/>
      <c r="H3019" s="8"/>
      <c r="I3019" s="8"/>
      <c r="J3019" s="8"/>
      <c r="K3019" s="8"/>
      <c r="L3019" s="8"/>
      <c r="M3019" s="8"/>
      <c r="N3019" s="8"/>
      <c r="O3019" s="8"/>
      <c r="P3019" s="8"/>
      <c r="Q3019" s="8"/>
      <c r="R3019" s="8"/>
      <c r="S3019" s="8"/>
      <c r="T3019" s="8"/>
      <c r="U3019" s="8"/>
      <c r="V3019" s="8"/>
      <c r="W3019" s="8"/>
      <c r="X3019" s="771"/>
      <c r="Y3019" s="771"/>
      <c r="Z3019" s="771"/>
      <c r="AA3019" s="771"/>
      <c r="AB3019" s="771"/>
      <c r="AC3019" s="771"/>
      <c r="AD3019" s="771"/>
      <c r="AE3019" s="771"/>
      <c r="AF3019" s="771"/>
      <c r="AG3019" s="771"/>
      <c r="AH3019" s="771"/>
      <c r="AI3019" s="771"/>
      <c r="AJ3019" s="771"/>
      <c r="AK3019" s="771"/>
      <c r="AL3019" s="771"/>
      <c r="AM3019" s="771"/>
      <c r="AN3019" s="771"/>
      <c r="AO3019" s="771"/>
      <c r="AP3019" s="771"/>
      <c r="AQ3019" s="771"/>
      <c r="AR3019" s="771"/>
      <c r="AS3019" s="771"/>
      <c r="AT3019" s="771"/>
      <c r="AU3019" s="771"/>
    </row>
    <row r="3020" spans="1:47" s="1432" customFormat="1" outlineLevel="1" x14ac:dyDescent="0.2">
      <c r="A3020" s="8"/>
      <c r="B3020" s="8"/>
      <c r="C3020" s="1989" t="s">
        <v>349</v>
      </c>
      <c r="D3020" s="1989" t="s">
        <v>868</v>
      </c>
      <c r="E3020" s="1989">
        <v>1.32</v>
      </c>
      <c r="F3020" s="38">
        <f t="shared" si="45"/>
        <v>107.34403680000001</v>
      </c>
      <c r="G3020" s="1547"/>
      <c r="H3020" s="8"/>
      <c r="I3020" s="8"/>
      <c r="J3020" s="8"/>
      <c r="K3020" s="8"/>
      <c r="L3020" s="8"/>
      <c r="M3020" s="8"/>
      <c r="N3020" s="8"/>
      <c r="O3020" s="8"/>
      <c r="P3020" s="8"/>
      <c r="Q3020" s="8"/>
      <c r="R3020" s="8"/>
      <c r="S3020" s="8"/>
      <c r="T3020" s="8"/>
      <c r="U3020" s="8"/>
      <c r="V3020" s="8"/>
      <c r="W3020" s="8"/>
      <c r="X3020" s="771"/>
      <c r="Y3020" s="771"/>
      <c r="Z3020" s="771"/>
      <c r="AA3020" s="771"/>
      <c r="AB3020" s="771"/>
      <c r="AC3020" s="771"/>
      <c r="AD3020" s="771"/>
      <c r="AE3020" s="771"/>
      <c r="AF3020" s="771"/>
      <c r="AG3020" s="771"/>
      <c r="AH3020" s="771"/>
      <c r="AI3020" s="771"/>
      <c r="AJ3020" s="771"/>
      <c r="AK3020" s="771"/>
      <c r="AL3020" s="771"/>
      <c r="AM3020" s="771"/>
      <c r="AN3020" s="771"/>
      <c r="AO3020" s="771"/>
      <c r="AP3020" s="771"/>
      <c r="AQ3020" s="771"/>
      <c r="AR3020" s="771"/>
      <c r="AS3020" s="771"/>
      <c r="AT3020" s="771"/>
      <c r="AU3020" s="771"/>
    </row>
    <row r="3021" spans="1:47" s="1432" customFormat="1" outlineLevel="1" x14ac:dyDescent="0.2">
      <c r="A3021" s="8"/>
      <c r="B3021" s="8"/>
      <c r="C3021" s="1989" t="s">
        <v>1068</v>
      </c>
      <c r="D3021" s="1989" t="s">
        <v>6426</v>
      </c>
      <c r="E3021" s="1989">
        <v>14.2</v>
      </c>
      <c r="F3021" s="38">
        <f t="shared" si="45"/>
        <v>1154.761608</v>
      </c>
      <c r="G3021" s="1547"/>
      <c r="H3021" s="8"/>
      <c r="I3021" s="8"/>
      <c r="J3021" s="8"/>
      <c r="K3021" s="8"/>
      <c r="L3021" s="8"/>
      <c r="M3021" s="8"/>
      <c r="N3021" s="8"/>
      <c r="O3021" s="8"/>
      <c r="P3021" s="8"/>
      <c r="Q3021" s="8"/>
      <c r="R3021" s="8"/>
      <c r="S3021" s="8"/>
      <c r="T3021" s="8"/>
      <c r="U3021" s="8"/>
      <c r="V3021" s="8"/>
      <c r="W3021" s="8"/>
      <c r="X3021" s="771"/>
      <c r="Y3021" s="771"/>
      <c r="Z3021" s="771"/>
      <c r="AA3021" s="771"/>
      <c r="AB3021" s="771"/>
      <c r="AC3021" s="771"/>
      <c r="AD3021" s="771"/>
      <c r="AE3021" s="771"/>
      <c r="AF3021" s="771"/>
      <c r="AG3021" s="771"/>
      <c r="AH3021" s="771"/>
      <c r="AI3021" s="771"/>
      <c r="AJ3021" s="771"/>
      <c r="AK3021" s="771"/>
      <c r="AL3021" s="771"/>
      <c r="AM3021" s="771"/>
      <c r="AN3021" s="771"/>
      <c r="AO3021" s="771"/>
      <c r="AP3021" s="771"/>
      <c r="AQ3021" s="771"/>
      <c r="AR3021" s="771"/>
      <c r="AS3021" s="771"/>
      <c r="AT3021" s="771"/>
      <c r="AU3021" s="771"/>
    </row>
    <row r="3022" spans="1:47" s="1432" customFormat="1" outlineLevel="1" x14ac:dyDescent="0.2">
      <c r="A3022" s="8"/>
      <c r="B3022" s="8"/>
      <c r="C3022" s="1989" t="s">
        <v>350</v>
      </c>
      <c r="D3022" s="1989" t="s">
        <v>6427</v>
      </c>
      <c r="E3022" s="1989">
        <v>14.2</v>
      </c>
      <c r="F3022" s="38">
        <f t="shared" si="45"/>
        <v>1154.761608</v>
      </c>
      <c r="G3022" s="1547"/>
      <c r="H3022" s="8"/>
      <c r="I3022" s="8"/>
      <c r="J3022" s="8"/>
      <c r="K3022" s="8"/>
      <c r="L3022" s="8"/>
      <c r="M3022" s="8"/>
      <c r="N3022" s="8"/>
      <c r="O3022" s="8"/>
      <c r="P3022" s="8"/>
      <c r="Q3022" s="8"/>
      <c r="R3022" s="8"/>
      <c r="S3022" s="8"/>
      <c r="T3022" s="8"/>
      <c r="U3022" s="8"/>
      <c r="V3022" s="8"/>
      <c r="W3022" s="8"/>
      <c r="X3022" s="771"/>
      <c r="Y3022" s="771"/>
      <c r="Z3022" s="771"/>
      <c r="AA3022" s="771"/>
      <c r="AB3022" s="771"/>
      <c r="AC3022" s="771"/>
      <c r="AD3022" s="771"/>
      <c r="AE3022" s="771"/>
      <c r="AF3022" s="771"/>
      <c r="AG3022" s="771"/>
      <c r="AH3022" s="771"/>
      <c r="AI3022" s="771"/>
      <c r="AJ3022" s="771"/>
      <c r="AK3022" s="771"/>
      <c r="AL3022" s="771"/>
      <c r="AM3022" s="771"/>
      <c r="AN3022" s="771"/>
      <c r="AO3022" s="771"/>
      <c r="AP3022" s="771"/>
      <c r="AQ3022" s="771"/>
      <c r="AR3022" s="771"/>
      <c r="AS3022" s="771"/>
      <c r="AT3022" s="771"/>
      <c r="AU3022" s="771"/>
    </row>
    <row r="3023" spans="1:47" s="1432" customFormat="1" outlineLevel="1" x14ac:dyDescent="0.2">
      <c r="A3023" s="8"/>
      <c r="B3023" s="8"/>
      <c r="C3023" s="1989" t="s">
        <v>2101</v>
      </c>
      <c r="D3023" s="1989" t="s">
        <v>6428</v>
      </c>
      <c r="E3023" s="1989">
        <v>14.99</v>
      </c>
      <c r="F3023" s="38">
        <f t="shared" si="45"/>
        <v>1219.0053875999999</v>
      </c>
      <c r="G3023" s="1547"/>
      <c r="H3023" s="8"/>
      <c r="I3023" s="8"/>
      <c r="J3023" s="8"/>
      <c r="K3023" s="8"/>
      <c r="L3023" s="8"/>
      <c r="M3023" s="8"/>
      <c r="N3023" s="8"/>
      <c r="O3023" s="8"/>
      <c r="P3023" s="8"/>
      <c r="Q3023" s="8"/>
      <c r="R3023" s="8"/>
      <c r="S3023" s="8"/>
      <c r="T3023" s="8"/>
      <c r="U3023" s="8"/>
      <c r="V3023" s="8"/>
      <c r="W3023" s="8"/>
      <c r="X3023" s="771"/>
      <c r="Y3023" s="771"/>
      <c r="Z3023" s="771"/>
      <c r="AA3023" s="771"/>
      <c r="AB3023" s="771"/>
      <c r="AC3023" s="771"/>
      <c r="AD3023" s="771"/>
      <c r="AE3023" s="771"/>
      <c r="AF3023" s="771"/>
      <c r="AG3023" s="771"/>
      <c r="AH3023" s="771"/>
      <c r="AI3023" s="771"/>
      <c r="AJ3023" s="771"/>
      <c r="AK3023" s="771"/>
      <c r="AL3023" s="771"/>
      <c r="AM3023" s="771"/>
      <c r="AN3023" s="771"/>
      <c r="AO3023" s="771"/>
      <c r="AP3023" s="771"/>
      <c r="AQ3023" s="771"/>
      <c r="AR3023" s="771"/>
      <c r="AS3023" s="771"/>
      <c r="AT3023" s="771"/>
      <c r="AU3023" s="771"/>
    </row>
    <row r="3024" spans="1:47" s="1432" customFormat="1" outlineLevel="1" x14ac:dyDescent="0.2">
      <c r="A3024" s="8"/>
      <c r="B3024" s="8"/>
      <c r="C3024" s="1989" t="s">
        <v>2100</v>
      </c>
      <c r="D3024" s="1989" t="s">
        <v>6429</v>
      </c>
      <c r="E3024" s="1989">
        <v>23.77</v>
      </c>
      <c r="F3024" s="38">
        <f t="shared" si="45"/>
        <v>1933.0058747999999</v>
      </c>
      <c r="G3024" s="1547"/>
      <c r="H3024" s="8"/>
      <c r="I3024" s="8"/>
      <c r="J3024" s="8"/>
      <c r="K3024" s="8"/>
      <c r="L3024" s="8"/>
      <c r="M3024" s="8"/>
      <c r="N3024" s="8"/>
      <c r="O3024" s="8"/>
      <c r="P3024" s="8"/>
      <c r="Q3024" s="8"/>
      <c r="R3024" s="8"/>
      <c r="S3024" s="8"/>
      <c r="T3024" s="8"/>
      <c r="U3024" s="8"/>
      <c r="V3024" s="8"/>
      <c r="W3024" s="8"/>
      <c r="X3024" s="771"/>
      <c r="Y3024" s="771"/>
      <c r="Z3024" s="771"/>
      <c r="AA3024" s="771"/>
      <c r="AB3024" s="771"/>
      <c r="AC3024" s="771"/>
      <c r="AD3024" s="771"/>
      <c r="AE3024" s="771"/>
      <c r="AF3024" s="771"/>
      <c r="AG3024" s="771"/>
      <c r="AH3024" s="771"/>
      <c r="AI3024" s="771"/>
      <c r="AJ3024" s="771"/>
      <c r="AK3024" s="771"/>
      <c r="AL3024" s="771"/>
      <c r="AM3024" s="771"/>
      <c r="AN3024" s="771"/>
      <c r="AO3024" s="771"/>
      <c r="AP3024" s="771"/>
      <c r="AQ3024" s="771"/>
      <c r="AR3024" s="771"/>
      <c r="AS3024" s="771"/>
      <c r="AT3024" s="771"/>
      <c r="AU3024" s="771"/>
    </row>
    <row r="3025" spans="1:47" s="1432" customFormat="1" outlineLevel="1" x14ac:dyDescent="0.2">
      <c r="A3025" s="8"/>
      <c r="B3025" s="8"/>
      <c r="C3025" s="1989" t="s">
        <v>720</v>
      </c>
      <c r="D3025" s="1989" t="s">
        <v>6430</v>
      </c>
      <c r="E3025" s="1989">
        <v>15.49</v>
      </c>
      <c r="F3025" s="38">
        <f t="shared" si="45"/>
        <v>1259.6660076000001</v>
      </c>
      <c r="G3025" s="1547"/>
      <c r="H3025" s="8"/>
      <c r="I3025" s="8"/>
      <c r="J3025" s="8"/>
      <c r="K3025" s="8"/>
      <c r="L3025" s="8"/>
      <c r="M3025" s="8"/>
      <c r="N3025" s="8"/>
      <c r="O3025" s="8"/>
      <c r="P3025" s="8"/>
      <c r="Q3025" s="8"/>
      <c r="R3025" s="8"/>
      <c r="S3025" s="8"/>
      <c r="T3025" s="8"/>
      <c r="U3025" s="8"/>
      <c r="V3025" s="8"/>
      <c r="W3025" s="8"/>
      <c r="X3025" s="771"/>
      <c r="Y3025" s="771"/>
      <c r="Z3025" s="771"/>
      <c r="AA3025" s="771"/>
      <c r="AB3025" s="771"/>
      <c r="AC3025" s="771"/>
      <c r="AD3025" s="771"/>
      <c r="AE3025" s="771"/>
      <c r="AF3025" s="771"/>
      <c r="AG3025" s="771"/>
      <c r="AH3025" s="771"/>
      <c r="AI3025" s="771"/>
      <c r="AJ3025" s="771"/>
      <c r="AK3025" s="771"/>
      <c r="AL3025" s="771"/>
      <c r="AM3025" s="771"/>
      <c r="AN3025" s="771"/>
      <c r="AO3025" s="771"/>
      <c r="AP3025" s="771"/>
      <c r="AQ3025" s="771"/>
      <c r="AR3025" s="771"/>
      <c r="AS3025" s="771"/>
      <c r="AT3025" s="771"/>
      <c r="AU3025" s="771"/>
    </row>
    <row r="3026" spans="1:47" s="1432" customFormat="1" outlineLevel="1" x14ac:dyDescent="0.2">
      <c r="A3026" s="8"/>
      <c r="B3026" s="8"/>
      <c r="C3026" s="1989" t="s">
        <v>721</v>
      </c>
      <c r="D3026" s="1989" t="s">
        <v>6431</v>
      </c>
      <c r="E3026" s="1989">
        <v>15.49</v>
      </c>
      <c r="F3026" s="38">
        <f t="shared" si="45"/>
        <v>1259.6660076000001</v>
      </c>
      <c r="G3026" s="1547"/>
      <c r="H3026" s="8"/>
      <c r="I3026" s="8"/>
      <c r="J3026" s="8"/>
      <c r="K3026" s="8"/>
      <c r="L3026" s="8"/>
      <c r="M3026" s="8"/>
      <c r="N3026" s="8"/>
      <c r="O3026" s="8"/>
      <c r="P3026" s="8"/>
      <c r="Q3026" s="8"/>
      <c r="R3026" s="8"/>
      <c r="S3026" s="8"/>
      <c r="T3026" s="8"/>
      <c r="U3026" s="8"/>
      <c r="V3026" s="8"/>
      <c r="W3026" s="8"/>
      <c r="X3026" s="771"/>
      <c r="Y3026" s="771"/>
      <c r="Z3026" s="771"/>
      <c r="AA3026" s="771"/>
      <c r="AB3026" s="771"/>
      <c r="AC3026" s="771"/>
      <c r="AD3026" s="771"/>
      <c r="AE3026" s="771"/>
      <c r="AF3026" s="771"/>
      <c r="AG3026" s="771"/>
      <c r="AH3026" s="771"/>
      <c r="AI3026" s="771"/>
      <c r="AJ3026" s="771"/>
      <c r="AK3026" s="771"/>
      <c r="AL3026" s="771"/>
      <c r="AM3026" s="771"/>
      <c r="AN3026" s="771"/>
      <c r="AO3026" s="771"/>
      <c r="AP3026" s="771"/>
      <c r="AQ3026" s="771"/>
      <c r="AR3026" s="771"/>
      <c r="AS3026" s="771"/>
      <c r="AT3026" s="771"/>
      <c r="AU3026" s="771"/>
    </row>
    <row r="3027" spans="1:47" s="1432" customFormat="1" outlineLevel="1" x14ac:dyDescent="0.2">
      <c r="A3027" s="8"/>
      <c r="B3027" s="8"/>
      <c r="C3027" s="1989" t="s">
        <v>204</v>
      </c>
      <c r="D3027" s="1989" t="s">
        <v>6432</v>
      </c>
      <c r="E3027" s="1989">
        <v>18.59</v>
      </c>
      <c r="F3027" s="38">
        <f t="shared" si="45"/>
        <v>1511.7618516</v>
      </c>
      <c r="G3027" s="1547"/>
      <c r="H3027" s="8"/>
      <c r="I3027" s="8"/>
      <c r="J3027" s="8"/>
      <c r="K3027" s="8"/>
      <c r="L3027" s="8"/>
      <c r="M3027" s="8"/>
      <c r="N3027" s="8"/>
      <c r="O3027" s="8"/>
      <c r="P3027" s="8"/>
      <c r="Q3027" s="8"/>
      <c r="R3027" s="8"/>
      <c r="S3027" s="8"/>
      <c r="T3027" s="8"/>
      <c r="U3027" s="8"/>
      <c r="V3027" s="8"/>
      <c r="W3027" s="8"/>
      <c r="X3027" s="771"/>
      <c r="Y3027" s="771"/>
      <c r="Z3027" s="771"/>
      <c r="AA3027" s="771"/>
      <c r="AB3027" s="771"/>
      <c r="AC3027" s="771"/>
      <c r="AD3027" s="771"/>
      <c r="AE3027" s="771"/>
      <c r="AF3027" s="771"/>
      <c r="AG3027" s="771"/>
      <c r="AH3027" s="771"/>
      <c r="AI3027" s="771"/>
      <c r="AJ3027" s="771"/>
      <c r="AK3027" s="771"/>
      <c r="AL3027" s="771"/>
      <c r="AM3027" s="771"/>
      <c r="AN3027" s="771"/>
      <c r="AO3027" s="771"/>
      <c r="AP3027" s="771"/>
      <c r="AQ3027" s="771"/>
      <c r="AR3027" s="771"/>
      <c r="AS3027" s="771"/>
      <c r="AT3027" s="771"/>
      <c r="AU3027" s="771"/>
    </row>
    <row r="3028" spans="1:47" s="1432" customFormat="1" outlineLevel="1" x14ac:dyDescent="0.2">
      <c r="A3028" s="8"/>
      <c r="B3028" s="8"/>
      <c r="C3028" s="1989" t="s">
        <v>205</v>
      </c>
      <c r="D3028" s="1989" t="s">
        <v>6433</v>
      </c>
      <c r="E3028" s="1989">
        <v>27.39</v>
      </c>
      <c r="F3028" s="38">
        <f t="shared" si="45"/>
        <v>2227.3887636000004</v>
      </c>
      <c r="G3028" s="1547"/>
      <c r="H3028" s="8"/>
      <c r="I3028" s="8"/>
      <c r="J3028" s="8"/>
      <c r="K3028" s="8"/>
      <c r="L3028" s="8"/>
      <c r="M3028" s="8"/>
      <c r="N3028" s="8"/>
      <c r="O3028" s="8"/>
      <c r="P3028" s="8"/>
      <c r="Q3028" s="8"/>
      <c r="R3028" s="8"/>
      <c r="S3028" s="8"/>
      <c r="T3028" s="8"/>
      <c r="U3028" s="8"/>
      <c r="V3028" s="8"/>
      <c r="W3028" s="8"/>
      <c r="X3028" s="771"/>
      <c r="Y3028" s="771"/>
      <c r="Z3028" s="771"/>
      <c r="AA3028" s="771"/>
      <c r="AB3028" s="771"/>
      <c r="AC3028" s="771"/>
      <c r="AD3028" s="771"/>
      <c r="AE3028" s="771"/>
      <c r="AF3028" s="771"/>
      <c r="AG3028" s="771"/>
      <c r="AH3028" s="771"/>
      <c r="AI3028" s="771"/>
      <c r="AJ3028" s="771"/>
      <c r="AK3028" s="771"/>
      <c r="AL3028" s="771"/>
      <c r="AM3028" s="771"/>
      <c r="AN3028" s="771"/>
      <c r="AO3028" s="771"/>
      <c r="AP3028" s="771"/>
      <c r="AQ3028" s="771"/>
      <c r="AR3028" s="771"/>
      <c r="AS3028" s="771"/>
      <c r="AT3028" s="771"/>
      <c r="AU3028" s="771"/>
    </row>
    <row r="3029" spans="1:47" s="1432" customFormat="1" outlineLevel="1" x14ac:dyDescent="0.2">
      <c r="A3029" s="8"/>
      <c r="B3029" s="8"/>
      <c r="C3029" s="1989" t="s">
        <v>2788</v>
      </c>
      <c r="D3029" s="1989" t="s">
        <v>8244</v>
      </c>
      <c r="E3029" s="1989">
        <v>11.13</v>
      </c>
      <c r="F3029" s="38">
        <f t="shared" si="45"/>
        <v>905.10540120000007</v>
      </c>
      <c r="G3029" s="1547"/>
      <c r="H3029" s="8"/>
      <c r="I3029" s="8"/>
      <c r="J3029" s="8"/>
      <c r="K3029" s="8"/>
      <c r="L3029" s="8"/>
      <c r="M3029" s="8"/>
      <c r="N3029" s="8"/>
      <c r="O3029" s="8"/>
      <c r="P3029" s="8"/>
      <c r="Q3029" s="8"/>
      <c r="R3029" s="8"/>
      <c r="S3029" s="8"/>
      <c r="T3029" s="8"/>
      <c r="U3029" s="8"/>
      <c r="V3029" s="8"/>
      <c r="W3029" s="8"/>
      <c r="X3029" s="771"/>
      <c r="Y3029" s="771"/>
      <c r="Z3029" s="771"/>
      <c r="AA3029" s="771"/>
      <c r="AB3029" s="771"/>
      <c r="AC3029" s="771"/>
      <c r="AD3029" s="771"/>
      <c r="AE3029" s="771"/>
      <c r="AF3029" s="771"/>
      <c r="AG3029" s="771"/>
      <c r="AH3029" s="771"/>
      <c r="AI3029" s="771"/>
      <c r="AJ3029" s="771"/>
      <c r="AK3029" s="771"/>
      <c r="AL3029" s="771"/>
      <c r="AM3029" s="771"/>
      <c r="AN3029" s="771"/>
      <c r="AO3029" s="771"/>
      <c r="AP3029" s="771"/>
      <c r="AQ3029" s="771"/>
      <c r="AR3029" s="771"/>
      <c r="AS3029" s="771"/>
      <c r="AT3029" s="771"/>
      <c r="AU3029" s="771"/>
    </row>
    <row r="3030" spans="1:47" s="1432" customFormat="1" outlineLevel="1" x14ac:dyDescent="0.2">
      <c r="A3030" s="8"/>
      <c r="B3030" s="8"/>
      <c r="C3030" s="1989" t="s">
        <v>3377</v>
      </c>
      <c r="D3030" s="1989" t="s">
        <v>6434</v>
      </c>
      <c r="E3030" s="1989">
        <v>7.86</v>
      </c>
      <c r="F3030" s="38">
        <f t="shared" si="45"/>
        <v>639.18494640000006</v>
      </c>
      <c r="G3030" s="1547"/>
      <c r="H3030" s="8"/>
      <c r="I3030" s="8"/>
      <c r="J3030" s="8"/>
      <c r="K3030" s="8"/>
      <c r="L3030" s="8"/>
      <c r="M3030" s="8"/>
      <c r="N3030" s="8"/>
      <c r="O3030" s="8"/>
      <c r="P3030" s="8"/>
      <c r="Q3030" s="8"/>
      <c r="R3030" s="8"/>
      <c r="S3030" s="8"/>
      <c r="T3030" s="8"/>
      <c r="U3030" s="8"/>
      <c r="V3030" s="8"/>
      <c r="W3030" s="8"/>
      <c r="X3030" s="771"/>
      <c r="Y3030" s="771"/>
      <c r="Z3030" s="771"/>
      <c r="AA3030" s="771"/>
      <c r="AB3030" s="771"/>
      <c r="AC3030" s="771"/>
      <c r="AD3030" s="771"/>
      <c r="AE3030" s="771"/>
      <c r="AF3030" s="771"/>
      <c r="AG3030" s="771"/>
      <c r="AH3030" s="771"/>
      <c r="AI3030" s="771"/>
      <c r="AJ3030" s="771"/>
      <c r="AK3030" s="771"/>
      <c r="AL3030" s="771"/>
      <c r="AM3030" s="771"/>
      <c r="AN3030" s="771"/>
      <c r="AO3030" s="771"/>
      <c r="AP3030" s="771"/>
      <c r="AQ3030" s="771"/>
      <c r="AR3030" s="771"/>
      <c r="AS3030" s="771"/>
      <c r="AT3030" s="771"/>
      <c r="AU3030" s="771"/>
    </row>
    <row r="3031" spans="1:47" s="1432" customFormat="1" outlineLevel="1" x14ac:dyDescent="0.2">
      <c r="A3031" s="8"/>
      <c r="B3031" s="8"/>
      <c r="C3031" s="1989" t="s">
        <v>2635</v>
      </c>
      <c r="D3031" s="1989" t="s">
        <v>2636</v>
      </c>
      <c r="E3031" s="1989">
        <v>0.5</v>
      </c>
      <c r="F3031" s="38">
        <f t="shared" si="45"/>
        <v>40.660620000000002</v>
      </c>
      <c r="G3031" s="1547"/>
      <c r="H3031" s="8"/>
      <c r="I3031" s="8"/>
      <c r="J3031" s="8"/>
      <c r="K3031" s="8"/>
      <c r="L3031" s="8"/>
      <c r="M3031" s="8"/>
      <c r="N3031" s="8"/>
      <c r="O3031" s="8"/>
      <c r="P3031" s="8"/>
      <c r="Q3031" s="8"/>
      <c r="R3031" s="8"/>
      <c r="S3031" s="8"/>
      <c r="T3031" s="8"/>
      <c r="U3031" s="8"/>
      <c r="V3031" s="8"/>
      <c r="W3031" s="8"/>
      <c r="X3031" s="771"/>
      <c r="Y3031" s="771"/>
      <c r="Z3031" s="771"/>
      <c r="AA3031" s="771"/>
      <c r="AB3031" s="771"/>
      <c r="AC3031" s="771"/>
      <c r="AD3031" s="771"/>
      <c r="AE3031" s="771"/>
      <c r="AF3031" s="771"/>
      <c r="AG3031" s="771"/>
      <c r="AH3031" s="771"/>
      <c r="AI3031" s="771"/>
      <c r="AJ3031" s="771"/>
      <c r="AK3031" s="771"/>
      <c r="AL3031" s="771"/>
      <c r="AM3031" s="771"/>
      <c r="AN3031" s="771"/>
      <c r="AO3031" s="771"/>
      <c r="AP3031" s="771"/>
      <c r="AQ3031" s="771"/>
      <c r="AR3031" s="771"/>
      <c r="AS3031" s="771"/>
      <c r="AT3031" s="771"/>
      <c r="AU3031" s="771"/>
    </row>
    <row r="3032" spans="1:47" s="1432" customFormat="1" outlineLevel="1" x14ac:dyDescent="0.2">
      <c r="A3032" s="8"/>
      <c r="B3032" s="8"/>
      <c r="C3032" s="1989" t="s">
        <v>8245</v>
      </c>
      <c r="D3032" s="1989" t="s">
        <v>8246</v>
      </c>
      <c r="E3032" s="1989">
        <v>1.5</v>
      </c>
      <c r="F3032" s="38">
        <f t="shared" si="45"/>
        <v>121.98186</v>
      </c>
      <c r="G3032" s="1547"/>
      <c r="H3032" s="8"/>
      <c r="I3032" s="8"/>
      <c r="J3032" s="8"/>
      <c r="K3032" s="8"/>
      <c r="L3032" s="8"/>
      <c r="M3032" s="8"/>
      <c r="N3032" s="8"/>
      <c r="O3032" s="8"/>
      <c r="P3032" s="8"/>
      <c r="Q3032" s="8"/>
      <c r="R3032" s="8"/>
      <c r="S3032" s="8"/>
      <c r="T3032" s="8"/>
      <c r="U3032" s="8"/>
      <c r="V3032" s="8"/>
      <c r="W3032" s="8"/>
      <c r="X3032" s="771"/>
      <c r="Y3032" s="771"/>
      <c r="Z3032" s="771"/>
      <c r="AA3032" s="771"/>
      <c r="AB3032" s="771"/>
      <c r="AC3032" s="771"/>
      <c r="AD3032" s="771"/>
      <c r="AE3032" s="771"/>
      <c r="AF3032" s="771"/>
      <c r="AG3032" s="771"/>
      <c r="AH3032" s="771"/>
      <c r="AI3032" s="771"/>
      <c r="AJ3032" s="771"/>
      <c r="AK3032" s="771"/>
      <c r="AL3032" s="771"/>
      <c r="AM3032" s="771"/>
      <c r="AN3032" s="771"/>
      <c r="AO3032" s="771"/>
      <c r="AP3032" s="771"/>
      <c r="AQ3032" s="771"/>
      <c r="AR3032" s="771"/>
      <c r="AS3032" s="771"/>
      <c r="AT3032" s="771"/>
      <c r="AU3032" s="771"/>
    </row>
    <row r="3033" spans="1:47" s="1432" customFormat="1" outlineLevel="1" x14ac:dyDescent="0.2">
      <c r="A3033" s="8"/>
      <c r="B3033" s="8"/>
      <c r="C3033" s="1989" t="s">
        <v>2789</v>
      </c>
      <c r="D3033" s="1989" t="s">
        <v>8247</v>
      </c>
      <c r="E3033" s="1989">
        <v>10.55</v>
      </c>
      <c r="F3033" s="38">
        <f t="shared" si="45"/>
        <v>857.9390820000001</v>
      </c>
      <c r="G3033" s="1547"/>
      <c r="H3033" s="8"/>
      <c r="I3033" s="8"/>
      <c r="J3033" s="8"/>
      <c r="K3033" s="8"/>
      <c r="L3033" s="8"/>
      <c r="M3033" s="8"/>
      <c r="N3033" s="8"/>
      <c r="O3033" s="8"/>
      <c r="P3033" s="8"/>
      <c r="Q3033" s="8"/>
      <c r="R3033" s="8"/>
      <c r="S3033" s="8"/>
      <c r="T3033" s="8"/>
      <c r="U3033" s="8"/>
      <c r="V3033" s="8"/>
      <c r="W3033" s="8"/>
      <c r="X3033" s="771"/>
      <c r="Y3033" s="771"/>
      <c r="Z3033" s="771"/>
      <c r="AA3033" s="771"/>
      <c r="AB3033" s="771"/>
      <c r="AC3033" s="771"/>
      <c r="AD3033" s="771"/>
      <c r="AE3033" s="771"/>
      <c r="AF3033" s="771"/>
      <c r="AG3033" s="771"/>
      <c r="AH3033" s="771"/>
      <c r="AI3033" s="771"/>
      <c r="AJ3033" s="771"/>
      <c r="AK3033" s="771"/>
      <c r="AL3033" s="771"/>
      <c r="AM3033" s="771"/>
      <c r="AN3033" s="771"/>
      <c r="AO3033" s="771"/>
      <c r="AP3033" s="771"/>
      <c r="AQ3033" s="771"/>
      <c r="AR3033" s="771"/>
      <c r="AS3033" s="771"/>
      <c r="AT3033" s="771"/>
      <c r="AU3033" s="771"/>
    </row>
    <row r="3034" spans="1:47" s="1432" customFormat="1" outlineLevel="1" x14ac:dyDescent="0.2">
      <c r="A3034" s="8"/>
      <c r="B3034" s="8"/>
      <c r="C3034" s="1989" t="s">
        <v>3556</v>
      </c>
      <c r="D3034" s="1989" t="s">
        <v>8248</v>
      </c>
      <c r="E3034" s="1989">
        <v>3.66</v>
      </c>
      <c r="F3034" s="38">
        <f t="shared" si="45"/>
        <v>297.63573840000004</v>
      </c>
      <c r="G3034" s="1547"/>
      <c r="H3034" s="8"/>
      <c r="I3034" s="8"/>
      <c r="J3034" s="8"/>
      <c r="K3034" s="8"/>
      <c r="L3034" s="8"/>
      <c r="M3034" s="8"/>
      <c r="N3034" s="8"/>
      <c r="O3034" s="8"/>
      <c r="P3034" s="8"/>
      <c r="Q3034" s="8"/>
      <c r="R3034" s="8"/>
      <c r="S3034" s="8"/>
      <c r="T3034" s="8"/>
      <c r="U3034" s="8"/>
      <c r="V3034" s="8"/>
      <c r="W3034" s="8"/>
      <c r="X3034" s="771"/>
      <c r="Y3034" s="771"/>
      <c r="Z3034" s="771"/>
      <c r="AA3034" s="771"/>
      <c r="AB3034" s="771"/>
      <c r="AC3034" s="771"/>
      <c r="AD3034" s="771"/>
      <c r="AE3034" s="771"/>
      <c r="AF3034" s="771"/>
      <c r="AG3034" s="771"/>
      <c r="AH3034" s="771"/>
      <c r="AI3034" s="771"/>
      <c r="AJ3034" s="771"/>
      <c r="AK3034" s="771"/>
      <c r="AL3034" s="771"/>
      <c r="AM3034" s="771"/>
      <c r="AN3034" s="771"/>
      <c r="AO3034" s="771"/>
      <c r="AP3034" s="771"/>
      <c r="AQ3034" s="771"/>
      <c r="AR3034" s="771"/>
      <c r="AS3034" s="771"/>
      <c r="AT3034" s="771"/>
      <c r="AU3034" s="771"/>
    </row>
    <row r="3035" spans="1:47" s="1432" customFormat="1" outlineLevel="1" x14ac:dyDescent="0.2">
      <c r="A3035" s="8"/>
      <c r="B3035" s="8"/>
      <c r="C3035" s="1989" t="s">
        <v>3557</v>
      </c>
      <c r="D3035" s="1989" t="s">
        <v>8249</v>
      </c>
      <c r="E3035" s="1989">
        <v>3.29</v>
      </c>
      <c r="F3035" s="38">
        <f t="shared" si="45"/>
        <v>267.54687960000001</v>
      </c>
      <c r="G3035" s="1547"/>
      <c r="H3035" s="8"/>
      <c r="I3035" s="8"/>
      <c r="J3035" s="8"/>
      <c r="K3035" s="8"/>
      <c r="L3035" s="8"/>
      <c r="M3035" s="8"/>
      <c r="N3035" s="8"/>
      <c r="O3035" s="8"/>
      <c r="P3035" s="8"/>
      <c r="Q3035" s="8"/>
      <c r="R3035" s="8"/>
      <c r="S3035" s="8"/>
      <c r="T3035" s="8"/>
      <c r="U3035" s="8"/>
      <c r="V3035" s="8"/>
      <c r="W3035" s="8"/>
      <c r="X3035" s="771"/>
      <c r="Y3035" s="771"/>
      <c r="Z3035" s="771"/>
      <c r="AA3035" s="771"/>
      <c r="AB3035" s="771"/>
      <c r="AC3035" s="771"/>
      <c r="AD3035" s="771"/>
      <c r="AE3035" s="771"/>
      <c r="AF3035" s="771"/>
      <c r="AG3035" s="771"/>
      <c r="AH3035" s="771"/>
      <c r="AI3035" s="771"/>
      <c r="AJ3035" s="771"/>
      <c r="AK3035" s="771"/>
      <c r="AL3035" s="771"/>
      <c r="AM3035" s="771"/>
      <c r="AN3035" s="771"/>
      <c r="AO3035" s="771"/>
      <c r="AP3035" s="771"/>
      <c r="AQ3035" s="771"/>
      <c r="AR3035" s="771"/>
      <c r="AS3035" s="771"/>
      <c r="AT3035" s="771"/>
      <c r="AU3035" s="771"/>
    </row>
    <row r="3036" spans="1:47" s="1432" customFormat="1" outlineLevel="1" x14ac:dyDescent="0.2">
      <c r="A3036" s="8"/>
      <c r="B3036" s="8"/>
      <c r="C3036" s="1989" t="s">
        <v>2639</v>
      </c>
      <c r="D3036" s="1989" t="s">
        <v>8250</v>
      </c>
      <c r="E3036" s="1989">
        <v>23.9</v>
      </c>
      <c r="F3036" s="38">
        <f t="shared" si="45"/>
        <v>1943.577636</v>
      </c>
      <c r="G3036" s="1547"/>
      <c r="H3036" s="8"/>
      <c r="I3036" s="8"/>
      <c r="J3036" s="8"/>
      <c r="K3036" s="8"/>
      <c r="L3036" s="8"/>
      <c r="M3036" s="8"/>
      <c r="N3036" s="8"/>
      <c r="O3036" s="8"/>
      <c r="P3036" s="8"/>
      <c r="Q3036" s="8"/>
      <c r="R3036" s="8"/>
      <c r="S3036" s="8"/>
      <c r="T3036" s="8"/>
      <c r="U3036" s="8"/>
      <c r="V3036" s="8"/>
      <c r="W3036" s="8"/>
      <c r="X3036" s="771"/>
      <c r="Y3036" s="771"/>
      <c r="Z3036" s="771"/>
      <c r="AA3036" s="771"/>
      <c r="AB3036" s="771"/>
      <c r="AC3036" s="771"/>
      <c r="AD3036" s="771"/>
      <c r="AE3036" s="771"/>
      <c r="AF3036" s="771"/>
      <c r="AG3036" s="771"/>
      <c r="AH3036" s="771"/>
      <c r="AI3036" s="771"/>
      <c r="AJ3036" s="771"/>
      <c r="AK3036" s="771"/>
      <c r="AL3036" s="771"/>
      <c r="AM3036" s="771"/>
      <c r="AN3036" s="771"/>
      <c r="AO3036" s="771"/>
      <c r="AP3036" s="771"/>
      <c r="AQ3036" s="771"/>
      <c r="AR3036" s="771"/>
      <c r="AS3036" s="771"/>
      <c r="AT3036" s="771"/>
      <c r="AU3036" s="771"/>
    </row>
    <row r="3037" spans="1:47" s="1432" customFormat="1" outlineLevel="1" x14ac:dyDescent="0.2">
      <c r="A3037" s="8"/>
      <c r="B3037" s="8"/>
      <c r="C3037" s="1989" t="s">
        <v>3558</v>
      </c>
      <c r="D3037" s="1989" t="s">
        <v>8251</v>
      </c>
      <c r="E3037" s="1989">
        <v>22.66</v>
      </c>
      <c r="F3037" s="38">
        <f t="shared" si="45"/>
        <v>1842.7392984000001</v>
      </c>
      <c r="G3037" s="1547"/>
      <c r="H3037" s="8"/>
      <c r="I3037" s="8"/>
      <c r="J3037" s="8"/>
      <c r="K3037" s="8"/>
      <c r="L3037" s="8"/>
      <c r="M3037" s="8"/>
      <c r="N3037" s="8"/>
      <c r="O3037" s="8"/>
      <c r="P3037" s="8"/>
      <c r="Q3037" s="8"/>
      <c r="R3037" s="8"/>
      <c r="S3037" s="8"/>
      <c r="T3037" s="8"/>
      <c r="U3037" s="8"/>
      <c r="V3037" s="8"/>
      <c r="W3037" s="8"/>
      <c r="X3037" s="771"/>
      <c r="Y3037" s="771"/>
      <c r="Z3037" s="771"/>
      <c r="AA3037" s="771"/>
      <c r="AB3037" s="771"/>
      <c r="AC3037" s="771"/>
      <c r="AD3037" s="771"/>
      <c r="AE3037" s="771"/>
      <c r="AF3037" s="771"/>
      <c r="AG3037" s="771"/>
      <c r="AH3037" s="771"/>
      <c r="AI3037" s="771"/>
      <c r="AJ3037" s="771"/>
      <c r="AK3037" s="771"/>
      <c r="AL3037" s="771"/>
      <c r="AM3037" s="771"/>
      <c r="AN3037" s="771"/>
      <c r="AO3037" s="771"/>
      <c r="AP3037" s="771"/>
      <c r="AQ3037" s="771"/>
      <c r="AR3037" s="771"/>
      <c r="AS3037" s="771"/>
      <c r="AT3037" s="771"/>
      <c r="AU3037" s="771"/>
    </row>
    <row r="3038" spans="1:47" s="1432" customFormat="1" outlineLevel="1" x14ac:dyDescent="0.2">
      <c r="A3038" s="8"/>
      <c r="B3038" s="8"/>
      <c r="C3038" s="1989" t="s">
        <v>2674</v>
      </c>
      <c r="D3038" s="1989" t="s">
        <v>8252</v>
      </c>
      <c r="E3038" s="1989">
        <v>27.6</v>
      </c>
      <c r="F3038" s="38">
        <f t="shared" si="45"/>
        <v>2244.4662239999998</v>
      </c>
      <c r="G3038" s="1547"/>
      <c r="H3038" s="8"/>
      <c r="I3038" s="8"/>
      <c r="J3038" s="8"/>
      <c r="K3038" s="8"/>
      <c r="L3038" s="8"/>
      <c r="M3038" s="8"/>
      <c r="N3038" s="8"/>
      <c r="O3038" s="8"/>
      <c r="P3038" s="8"/>
      <c r="Q3038" s="8"/>
      <c r="R3038" s="8"/>
      <c r="S3038" s="8"/>
      <c r="T3038" s="8"/>
      <c r="U3038" s="8"/>
      <c r="V3038" s="8"/>
      <c r="W3038" s="8"/>
      <c r="X3038" s="771"/>
      <c r="Y3038" s="771"/>
      <c r="Z3038" s="771"/>
      <c r="AA3038" s="771"/>
      <c r="AB3038" s="771"/>
      <c r="AC3038" s="771"/>
      <c r="AD3038" s="771"/>
      <c r="AE3038" s="771"/>
      <c r="AF3038" s="771"/>
      <c r="AG3038" s="771"/>
      <c r="AH3038" s="771"/>
      <c r="AI3038" s="771"/>
      <c r="AJ3038" s="771"/>
      <c r="AK3038" s="771"/>
      <c r="AL3038" s="771"/>
      <c r="AM3038" s="771"/>
      <c r="AN3038" s="771"/>
      <c r="AO3038" s="771"/>
      <c r="AP3038" s="771"/>
      <c r="AQ3038" s="771"/>
      <c r="AR3038" s="771"/>
      <c r="AS3038" s="771"/>
      <c r="AT3038" s="771"/>
      <c r="AU3038" s="771"/>
    </row>
    <row r="3039" spans="1:47" s="1432" customFormat="1" outlineLevel="1" x14ac:dyDescent="0.2">
      <c r="A3039" s="8"/>
      <c r="B3039" s="8"/>
      <c r="C3039" s="1989" t="s">
        <v>3559</v>
      </c>
      <c r="D3039" s="1989" t="s">
        <v>8253</v>
      </c>
      <c r="E3039" s="1989">
        <v>23.28</v>
      </c>
      <c r="F3039" s="38">
        <f t="shared" si="45"/>
        <v>1893.1584672000001</v>
      </c>
      <c r="G3039" s="1547"/>
      <c r="H3039" s="8"/>
      <c r="I3039" s="8"/>
      <c r="J3039" s="8"/>
      <c r="K3039" s="8"/>
      <c r="L3039" s="8"/>
      <c r="M3039" s="8"/>
      <c r="N3039" s="8"/>
      <c r="O3039" s="8"/>
      <c r="P3039" s="8"/>
      <c r="Q3039" s="8"/>
      <c r="R3039" s="8"/>
      <c r="S3039" s="8"/>
      <c r="T3039" s="8"/>
      <c r="U3039" s="8"/>
      <c r="V3039" s="8"/>
      <c r="W3039" s="8"/>
      <c r="X3039" s="771"/>
      <c r="Y3039" s="771"/>
      <c r="Z3039" s="771"/>
      <c r="AA3039" s="771"/>
      <c r="AB3039" s="771"/>
      <c r="AC3039" s="771"/>
      <c r="AD3039" s="771"/>
      <c r="AE3039" s="771"/>
      <c r="AF3039" s="771"/>
      <c r="AG3039" s="771"/>
      <c r="AH3039" s="771"/>
      <c r="AI3039" s="771"/>
      <c r="AJ3039" s="771"/>
      <c r="AK3039" s="771"/>
      <c r="AL3039" s="771"/>
      <c r="AM3039" s="771"/>
      <c r="AN3039" s="771"/>
      <c r="AO3039" s="771"/>
      <c r="AP3039" s="771"/>
      <c r="AQ3039" s="771"/>
      <c r="AR3039" s="771"/>
      <c r="AS3039" s="771"/>
      <c r="AT3039" s="771"/>
      <c r="AU3039" s="771"/>
    </row>
    <row r="3040" spans="1:47" s="1432" customFormat="1" outlineLevel="1" x14ac:dyDescent="0.2">
      <c r="A3040" s="8"/>
      <c r="B3040" s="8"/>
      <c r="C3040" s="1989" t="s">
        <v>951</v>
      </c>
      <c r="D3040" s="1989" t="s">
        <v>6435</v>
      </c>
      <c r="E3040" s="1989">
        <v>0.64</v>
      </c>
      <c r="F3040" s="38">
        <f t="shared" si="45"/>
        <v>52.045593600000004</v>
      </c>
      <c r="G3040" s="1547"/>
      <c r="H3040" s="8"/>
      <c r="I3040" s="8"/>
      <c r="J3040" s="8"/>
      <c r="K3040" s="8"/>
      <c r="L3040" s="8"/>
      <c r="M3040" s="8"/>
      <c r="N3040" s="8"/>
      <c r="O3040" s="8"/>
      <c r="P3040" s="8"/>
      <c r="Q3040" s="8"/>
      <c r="R3040" s="8"/>
      <c r="S3040" s="8"/>
      <c r="T3040" s="8"/>
      <c r="U3040" s="8"/>
      <c r="V3040" s="8"/>
      <c r="W3040" s="8"/>
      <c r="X3040" s="771"/>
      <c r="Y3040" s="771"/>
      <c r="Z3040" s="771"/>
      <c r="AA3040" s="771"/>
      <c r="AB3040" s="771"/>
      <c r="AC3040" s="771"/>
      <c r="AD3040" s="771"/>
      <c r="AE3040" s="771"/>
      <c r="AF3040" s="771"/>
      <c r="AG3040" s="771"/>
      <c r="AH3040" s="771"/>
      <c r="AI3040" s="771"/>
      <c r="AJ3040" s="771"/>
      <c r="AK3040" s="771"/>
      <c r="AL3040" s="771"/>
      <c r="AM3040" s="771"/>
      <c r="AN3040" s="771"/>
      <c r="AO3040" s="771"/>
      <c r="AP3040" s="771"/>
      <c r="AQ3040" s="771"/>
      <c r="AR3040" s="771"/>
      <c r="AS3040" s="771"/>
      <c r="AT3040" s="771"/>
      <c r="AU3040" s="771"/>
    </row>
    <row r="3041" spans="1:47" s="1432" customFormat="1" outlineLevel="1" x14ac:dyDescent="0.2">
      <c r="A3041" s="8"/>
      <c r="B3041" s="8"/>
      <c r="C3041" s="1989" t="s">
        <v>3560</v>
      </c>
      <c r="D3041" s="1989" t="s">
        <v>8254</v>
      </c>
      <c r="E3041" s="1989">
        <v>28.79</v>
      </c>
      <c r="F3041" s="38">
        <f t="shared" si="45"/>
        <v>2341.2384995999996</v>
      </c>
      <c r="G3041" s="1547"/>
      <c r="H3041" s="8"/>
      <c r="I3041" s="8"/>
      <c r="J3041" s="8"/>
      <c r="K3041" s="8"/>
      <c r="L3041" s="8"/>
      <c r="M3041" s="8"/>
      <c r="N3041" s="8"/>
      <c r="O3041" s="8"/>
      <c r="P3041" s="8"/>
      <c r="Q3041" s="8"/>
      <c r="R3041" s="8"/>
      <c r="S3041" s="8"/>
      <c r="T3041" s="8"/>
      <c r="U3041" s="8"/>
      <c r="V3041" s="8"/>
      <c r="W3041" s="8"/>
      <c r="X3041" s="771"/>
      <c r="Y3041" s="771"/>
      <c r="Z3041" s="771"/>
      <c r="AA3041" s="771"/>
      <c r="AB3041" s="771"/>
      <c r="AC3041" s="771"/>
      <c r="AD3041" s="771"/>
      <c r="AE3041" s="771"/>
      <c r="AF3041" s="771"/>
      <c r="AG3041" s="771"/>
      <c r="AH3041" s="771"/>
      <c r="AI3041" s="771"/>
      <c r="AJ3041" s="771"/>
      <c r="AK3041" s="771"/>
      <c r="AL3041" s="771"/>
      <c r="AM3041" s="771"/>
      <c r="AN3041" s="771"/>
      <c r="AO3041" s="771"/>
      <c r="AP3041" s="771"/>
      <c r="AQ3041" s="771"/>
      <c r="AR3041" s="771"/>
      <c r="AS3041" s="771"/>
      <c r="AT3041" s="771"/>
      <c r="AU3041" s="771"/>
    </row>
    <row r="3042" spans="1:47" s="1432" customFormat="1" outlineLevel="1" x14ac:dyDescent="0.2">
      <c r="A3042" s="8"/>
      <c r="B3042" s="8"/>
      <c r="C3042" s="1989" t="s">
        <v>1080</v>
      </c>
      <c r="D3042" s="1989" t="s">
        <v>8255</v>
      </c>
      <c r="E3042" s="1989">
        <v>27.68</v>
      </c>
      <c r="F3042" s="38">
        <f t="shared" si="45"/>
        <v>2250.9719232000002</v>
      </c>
      <c r="G3042" s="1547"/>
      <c r="H3042" s="8"/>
      <c r="I3042" s="8"/>
      <c r="J3042" s="8"/>
      <c r="K3042" s="8"/>
      <c r="L3042" s="8"/>
      <c r="M3042" s="8"/>
      <c r="N3042" s="8"/>
      <c r="O3042" s="8"/>
      <c r="P3042" s="8"/>
      <c r="Q3042" s="8"/>
      <c r="R3042" s="8"/>
      <c r="S3042" s="8"/>
      <c r="T3042" s="8"/>
      <c r="U3042" s="8"/>
      <c r="V3042" s="8"/>
      <c r="W3042" s="8"/>
      <c r="X3042" s="771"/>
      <c r="Y3042" s="771"/>
      <c r="Z3042" s="771"/>
      <c r="AA3042" s="771"/>
      <c r="AB3042" s="771"/>
      <c r="AC3042" s="771"/>
      <c r="AD3042" s="771"/>
      <c r="AE3042" s="771"/>
      <c r="AF3042" s="771"/>
      <c r="AG3042" s="771"/>
      <c r="AH3042" s="771"/>
      <c r="AI3042" s="771"/>
      <c r="AJ3042" s="771"/>
      <c r="AK3042" s="771"/>
      <c r="AL3042" s="771"/>
      <c r="AM3042" s="771"/>
      <c r="AN3042" s="771"/>
      <c r="AO3042" s="771"/>
      <c r="AP3042" s="771"/>
      <c r="AQ3042" s="771"/>
      <c r="AR3042" s="771"/>
      <c r="AS3042" s="771"/>
      <c r="AT3042" s="771"/>
      <c r="AU3042" s="771"/>
    </row>
    <row r="3043" spans="1:47" s="1432" customFormat="1" outlineLevel="1" x14ac:dyDescent="0.2">
      <c r="A3043" s="8"/>
      <c r="B3043" s="8"/>
      <c r="C3043" s="1989" t="s">
        <v>953</v>
      </c>
      <c r="D3043" s="1989" t="s">
        <v>8256</v>
      </c>
      <c r="E3043" s="1989">
        <v>195.05</v>
      </c>
      <c r="F3043" s="38">
        <f t="shared" si="45"/>
        <v>15861.707862000001</v>
      </c>
      <c r="G3043" s="1547"/>
      <c r="H3043" s="8"/>
      <c r="I3043" s="8"/>
      <c r="J3043" s="8"/>
      <c r="K3043" s="8"/>
      <c r="L3043" s="8"/>
      <c r="M3043" s="8"/>
      <c r="N3043" s="8"/>
      <c r="O3043" s="8"/>
      <c r="P3043" s="8"/>
      <c r="Q3043" s="8"/>
      <c r="R3043" s="8"/>
      <c r="S3043" s="8"/>
      <c r="T3043" s="8"/>
      <c r="U3043" s="8"/>
      <c r="V3043" s="8"/>
      <c r="W3043" s="8"/>
      <c r="X3043" s="771"/>
      <c r="Y3043" s="771"/>
      <c r="Z3043" s="771"/>
      <c r="AA3043" s="771"/>
      <c r="AB3043" s="771"/>
      <c r="AC3043" s="771"/>
      <c r="AD3043" s="771"/>
      <c r="AE3043" s="771"/>
      <c r="AF3043" s="771"/>
      <c r="AG3043" s="771"/>
      <c r="AH3043" s="771"/>
      <c r="AI3043" s="771"/>
      <c r="AJ3043" s="771"/>
      <c r="AK3043" s="771"/>
      <c r="AL3043" s="771"/>
      <c r="AM3043" s="771"/>
      <c r="AN3043" s="771"/>
      <c r="AO3043" s="771"/>
      <c r="AP3043" s="771"/>
      <c r="AQ3043" s="771"/>
      <c r="AR3043" s="771"/>
      <c r="AS3043" s="771"/>
      <c r="AT3043" s="771"/>
      <c r="AU3043" s="771"/>
    </row>
    <row r="3044" spans="1:47" s="1432" customFormat="1" outlineLevel="1" x14ac:dyDescent="0.2">
      <c r="A3044" s="8"/>
      <c r="B3044" s="8"/>
      <c r="C3044" s="1989" t="s">
        <v>3561</v>
      </c>
      <c r="D3044" s="1989" t="s">
        <v>8257</v>
      </c>
      <c r="E3044" s="1989">
        <v>4.22</v>
      </c>
      <c r="F3044" s="38">
        <f t="shared" si="45"/>
        <v>343.17563279999996</v>
      </c>
      <c r="G3044" s="1547"/>
      <c r="H3044" s="8"/>
      <c r="I3044" s="8"/>
      <c r="J3044" s="8"/>
      <c r="K3044" s="8"/>
      <c r="L3044" s="8"/>
      <c r="M3044" s="8"/>
      <c r="N3044" s="8"/>
      <c r="O3044" s="8"/>
      <c r="P3044" s="8"/>
      <c r="Q3044" s="8"/>
      <c r="R3044" s="8"/>
      <c r="S3044" s="8"/>
      <c r="T3044" s="8"/>
      <c r="U3044" s="8"/>
      <c r="V3044" s="8"/>
      <c r="W3044" s="8"/>
      <c r="X3044" s="771"/>
      <c r="Y3044" s="771"/>
      <c r="Z3044" s="771"/>
      <c r="AA3044" s="771"/>
      <c r="AB3044" s="771"/>
      <c r="AC3044" s="771"/>
      <c r="AD3044" s="771"/>
      <c r="AE3044" s="771"/>
      <c r="AF3044" s="771"/>
      <c r="AG3044" s="771"/>
      <c r="AH3044" s="771"/>
      <c r="AI3044" s="771"/>
      <c r="AJ3044" s="771"/>
      <c r="AK3044" s="771"/>
      <c r="AL3044" s="771"/>
      <c r="AM3044" s="771"/>
      <c r="AN3044" s="771"/>
      <c r="AO3044" s="771"/>
      <c r="AP3044" s="771"/>
      <c r="AQ3044" s="771"/>
      <c r="AR3044" s="771"/>
      <c r="AS3044" s="771"/>
      <c r="AT3044" s="771"/>
      <c r="AU3044" s="771"/>
    </row>
    <row r="3045" spans="1:47" s="1432" customFormat="1" outlineLevel="1" x14ac:dyDescent="0.2">
      <c r="A3045" s="8"/>
      <c r="B3045" s="8"/>
      <c r="C3045" s="1989" t="s">
        <v>952</v>
      </c>
      <c r="D3045" s="1989" t="s">
        <v>8258</v>
      </c>
      <c r="E3045" s="1989">
        <v>3.81</v>
      </c>
      <c r="F3045" s="38">
        <f t="shared" si="45"/>
        <v>309.8339244</v>
      </c>
      <c r="G3045" s="1547"/>
      <c r="H3045" s="8"/>
      <c r="I3045" s="8"/>
      <c r="J3045" s="8"/>
      <c r="K3045" s="8"/>
      <c r="L3045" s="8"/>
      <c r="M3045" s="8"/>
      <c r="N3045" s="8"/>
      <c r="O3045" s="8"/>
      <c r="P3045" s="8"/>
      <c r="Q3045" s="8"/>
      <c r="R3045" s="8"/>
      <c r="S3045" s="8"/>
      <c r="T3045" s="8"/>
      <c r="U3045" s="8"/>
      <c r="V3045" s="8"/>
      <c r="W3045" s="8"/>
      <c r="X3045" s="771"/>
      <c r="Y3045" s="771"/>
      <c r="Z3045" s="771"/>
      <c r="AA3045" s="771"/>
      <c r="AB3045" s="771"/>
      <c r="AC3045" s="771"/>
      <c r="AD3045" s="771"/>
      <c r="AE3045" s="771"/>
      <c r="AF3045" s="771"/>
      <c r="AG3045" s="771"/>
      <c r="AH3045" s="771"/>
      <c r="AI3045" s="771"/>
      <c r="AJ3045" s="771"/>
      <c r="AK3045" s="771"/>
      <c r="AL3045" s="771"/>
      <c r="AM3045" s="771"/>
      <c r="AN3045" s="771"/>
      <c r="AO3045" s="771"/>
      <c r="AP3045" s="771"/>
      <c r="AQ3045" s="771"/>
      <c r="AR3045" s="771"/>
      <c r="AS3045" s="771"/>
      <c r="AT3045" s="771"/>
      <c r="AU3045" s="771"/>
    </row>
    <row r="3046" spans="1:47" s="1432" customFormat="1" outlineLevel="1" x14ac:dyDescent="0.2">
      <c r="A3046" s="8"/>
      <c r="B3046" s="8"/>
      <c r="C3046" s="1989" t="s">
        <v>3562</v>
      </c>
      <c r="D3046" s="1989" t="s">
        <v>8259</v>
      </c>
      <c r="E3046" s="1989">
        <v>4.22</v>
      </c>
      <c r="F3046" s="38">
        <f t="shared" si="45"/>
        <v>343.17563279999996</v>
      </c>
      <c r="G3046" s="1547"/>
      <c r="H3046" s="8"/>
      <c r="I3046" s="8"/>
      <c r="J3046" s="8"/>
      <c r="K3046" s="8"/>
      <c r="L3046" s="8"/>
      <c r="M3046" s="8"/>
      <c r="N3046" s="8"/>
      <c r="O3046" s="8"/>
      <c r="P3046" s="8"/>
      <c r="Q3046" s="8"/>
      <c r="R3046" s="8"/>
      <c r="S3046" s="8"/>
      <c r="T3046" s="8"/>
      <c r="U3046" s="8"/>
      <c r="V3046" s="8"/>
      <c r="W3046" s="8"/>
      <c r="X3046" s="771"/>
      <c r="Y3046" s="771"/>
      <c r="Z3046" s="771"/>
      <c r="AA3046" s="771"/>
      <c r="AB3046" s="771"/>
      <c r="AC3046" s="771"/>
      <c r="AD3046" s="771"/>
      <c r="AE3046" s="771"/>
      <c r="AF3046" s="771"/>
      <c r="AG3046" s="771"/>
      <c r="AH3046" s="771"/>
      <c r="AI3046" s="771"/>
      <c r="AJ3046" s="771"/>
      <c r="AK3046" s="771"/>
      <c r="AL3046" s="771"/>
      <c r="AM3046" s="771"/>
      <c r="AN3046" s="771"/>
      <c r="AO3046" s="771"/>
      <c r="AP3046" s="771"/>
      <c r="AQ3046" s="771"/>
      <c r="AR3046" s="771"/>
      <c r="AS3046" s="771"/>
      <c r="AT3046" s="771"/>
      <c r="AU3046" s="771"/>
    </row>
    <row r="3047" spans="1:47" s="1432" customFormat="1" outlineLevel="1" x14ac:dyDescent="0.2">
      <c r="A3047" s="8"/>
      <c r="B3047" s="8"/>
      <c r="C3047" s="1989" t="s">
        <v>1802</v>
      </c>
      <c r="D3047" s="1989" t="s">
        <v>8260</v>
      </c>
      <c r="E3047" s="1989">
        <v>3.81</v>
      </c>
      <c r="F3047" s="38">
        <f t="shared" si="45"/>
        <v>309.8339244</v>
      </c>
      <c r="G3047" s="1547"/>
      <c r="H3047" s="8"/>
      <c r="I3047" s="8"/>
      <c r="J3047" s="8"/>
      <c r="K3047" s="8"/>
      <c r="L3047" s="8"/>
      <c r="M3047" s="8"/>
      <c r="N3047" s="8"/>
      <c r="O3047" s="8"/>
      <c r="P3047" s="8"/>
      <c r="Q3047" s="8"/>
      <c r="R3047" s="8"/>
      <c r="S3047" s="8"/>
      <c r="T3047" s="8"/>
      <c r="U3047" s="8"/>
      <c r="V3047" s="8"/>
      <c r="W3047" s="8"/>
      <c r="X3047" s="771"/>
      <c r="Y3047" s="771"/>
      <c r="Z3047" s="771"/>
      <c r="AA3047" s="771"/>
      <c r="AB3047" s="771"/>
      <c r="AC3047" s="771"/>
      <c r="AD3047" s="771"/>
      <c r="AE3047" s="771"/>
      <c r="AF3047" s="771"/>
      <c r="AG3047" s="771"/>
      <c r="AH3047" s="771"/>
      <c r="AI3047" s="771"/>
      <c r="AJ3047" s="771"/>
      <c r="AK3047" s="771"/>
      <c r="AL3047" s="771"/>
      <c r="AM3047" s="771"/>
      <c r="AN3047" s="771"/>
      <c r="AO3047" s="771"/>
      <c r="AP3047" s="771"/>
      <c r="AQ3047" s="771"/>
      <c r="AR3047" s="771"/>
      <c r="AS3047" s="771"/>
      <c r="AT3047" s="771"/>
      <c r="AU3047" s="771"/>
    </row>
    <row r="3048" spans="1:47" s="1432" customFormat="1" outlineLevel="1" x14ac:dyDescent="0.2">
      <c r="A3048" s="8"/>
      <c r="B3048" s="8"/>
      <c r="C3048" s="1989" t="s">
        <v>3563</v>
      </c>
      <c r="D3048" s="1989" t="s">
        <v>8261</v>
      </c>
      <c r="E3048" s="1989">
        <v>4.22</v>
      </c>
      <c r="F3048" s="38">
        <f t="shared" si="45"/>
        <v>343.17563279999996</v>
      </c>
      <c r="G3048" s="1547"/>
      <c r="H3048" s="8"/>
      <c r="I3048" s="8"/>
      <c r="J3048" s="8"/>
      <c r="K3048" s="8"/>
      <c r="L3048" s="8"/>
      <c r="M3048" s="8"/>
      <c r="N3048" s="8"/>
      <c r="O3048" s="8"/>
      <c r="P3048" s="8"/>
      <c r="Q3048" s="8"/>
      <c r="R3048" s="8"/>
      <c r="S3048" s="8"/>
      <c r="T3048" s="8"/>
      <c r="U3048" s="8"/>
      <c r="V3048" s="8"/>
      <c r="W3048" s="8"/>
      <c r="X3048" s="771"/>
      <c r="Y3048" s="771"/>
      <c r="Z3048" s="771"/>
      <c r="AA3048" s="771"/>
      <c r="AB3048" s="771"/>
      <c r="AC3048" s="771"/>
      <c r="AD3048" s="771"/>
      <c r="AE3048" s="771"/>
      <c r="AF3048" s="771"/>
      <c r="AG3048" s="771"/>
      <c r="AH3048" s="771"/>
      <c r="AI3048" s="771"/>
      <c r="AJ3048" s="771"/>
      <c r="AK3048" s="771"/>
      <c r="AL3048" s="771"/>
      <c r="AM3048" s="771"/>
      <c r="AN3048" s="771"/>
      <c r="AO3048" s="771"/>
      <c r="AP3048" s="771"/>
      <c r="AQ3048" s="771"/>
      <c r="AR3048" s="771"/>
      <c r="AS3048" s="771"/>
      <c r="AT3048" s="771"/>
      <c r="AU3048" s="771"/>
    </row>
    <row r="3049" spans="1:47" s="1432" customFormat="1" outlineLevel="1" x14ac:dyDescent="0.2">
      <c r="A3049" s="8"/>
      <c r="B3049" s="8"/>
      <c r="C3049" s="1989" t="s">
        <v>833</v>
      </c>
      <c r="D3049" s="1989" t="s">
        <v>8262</v>
      </c>
      <c r="E3049" s="1989">
        <v>3.81</v>
      </c>
      <c r="F3049" s="38">
        <f t="shared" si="45"/>
        <v>309.8339244</v>
      </c>
      <c r="G3049" s="1547"/>
      <c r="H3049" s="8"/>
      <c r="I3049" s="8"/>
      <c r="J3049" s="8"/>
      <c r="K3049" s="8"/>
      <c r="L3049" s="8"/>
      <c r="M3049" s="8"/>
      <c r="N3049" s="8"/>
      <c r="O3049" s="8"/>
      <c r="P3049" s="8"/>
      <c r="Q3049" s="8"/>
      <c r="R3049" s="8"/>
      <c r="S3049" s="8"/>
      <c r="T3049" s="8"/>
      <c r="U3049" s="8"/>
      <c r="V3049" s="8"/>
      <c r="W3049" s="8"/>
      <c r="X3049" s="771"/>
      <c r="Y3049" s="771"/>
      <c r="Z3049" s="771"/>
      <c r="AA3049" s="771"/>
      <c r="AB3049" s="771"/>
      <c r="AC3049" s="771"/>
      <c r="AD3049" s="771"/>
      <c r="AE3049" s="771"/>
      <c r="AF3049" s="771"/>
      <c r="AG3049" s="771"/>
      <c r="AH3049" s="771"/>
      <c r="AI3049" s="771"/>
      <c r="AJ3049" s="771"/>
      <c r="AK3049" s="771"/>
      <c r="AL3049" s="771"/>
      <c r="AM3049" s="771"/>
      <c r="AN3049" s="771"/>
      <c r="AO3049" s="771"/>
      <c r="AP3049" s="771"/>
      <c r="AQ3049" s="771"/>
      <c r="AR3049" s="771"/>
      <c r="AS3049" s="771"/>
      <c r="AT3049" s="771"/>
      <c r="AU3049" s="771"/>
    </row>
    <row r="3050" spans="1:47" s="1432" customFormat="1" outlineLevel="1" x14ac:dyDescent="0.2">
      <c r="A3050" s="8"/>
      <c r="B3050" s="8"/>
      <c r="C3050" s="1989" t="s">
        <v>3564</v>
      </c>
      <c r="D3050" s="1989" t="s">
        <v>8263</v>
      </c>
      <c r="E3050" s="1989">
        <v>1.58</v>
      </c>
      <c r="F3050" s="38">
        <f t="shared" si="45"/>
        <v>128.48755919999999</v>
      </c>
      <c r="G3050" s="1547"/>
      <c r="H3050" s="8"/>
      <c r="I3050" s="8"/>
      <c r="J3050" s="8"/>
      <c r="K3050" s="8"/>
      <c r="L3050" s="8"/>
      <c r="M3050" s="8"/>
      <c r="N3050" s="8"/>
      <c r="O3050" s="8"/>
      <c r="P3050" s="8"/>
      <c r="Q3050" s="8"/>
      <c r="R3050" s="8"/>
      <c r="S3050" s="8"/>
      <c r="T3050" s="8"/>
      <c r="U3050" s="8"/>
      <c r="V3050" s="8"/>
      <c r="W3050" s="8"/>
      <c r="X3050" s="771"/>
      <c r="Y3050" s="771"/>
      <c r="Z3050" s="771"/>
      <c r="AA3050" s="771"/>
      <c r="AB3050" s="771"/>
      <c r="AC3050" s="771"/>
      <c r="AD3050" s="771"/>
      <c r="AE3050" s="771"/>
      <c r="AF3050" s="771"/>
      <c r="AG3050" s="771"/>
      <c r="AH3050" s="771"/>
      <c r="AI3050" s="771"/>
      <c r="AJ3050" s="771"/>
      <c r="AK3050" s="771"/>
      <c r="AL3050" s="771"/>
      <c r="AM3050" s="771"/>
      <c r="AN3050" s="771"/>
      <c r="AO3050" s="771"/>
      <c r="AP3050" s="771"/>
      <c r="AQ3050" s="771"/>
      <c r="AR3050" s="771"/>
      <c r="AS3050" s="771"/>
      <c r="AT3050" s="771"/>
      <c r="AU3050" s="771"/>
    </row>
    <row r="3051" spans="1:47" s="1432" customFormat="1" outlineLevel="1" x14ac:dyDescent="0.2">
      <c r="A3051" s="8"/>
      <c r="B3051" s="8"/>
      <c r="C3051" s="1989" t="s">
        <v>3565</v>
      </c>
      <c r="D3051" s="1989" t="s">
        <v>6436</v>
      </c>
      <c r="E3051" s="1989">
        <v>2.96</v>
      </c>
      <c r="F3051" s="38">
        <f t="shared" si="45"/>
        <v>240.71087040000003</v>
      </c>
      <c r="G3051" s="1547"/>
      <c r="H3051" s="8"/>
      <c r="I3051" s="8"/>
      <c r="J3051" s="8"/>
      <c r="K3051" s="8"/>
      <c r="L3051" s="8"/>
      <c r="M3051" s="8"/>
      <c r="N3051" s="8"/>
      <c r="O3051" s="8"/>
      <c r="P3051" s="8"/>
      <c r="Q3051" s="8"/>
      <c r="R3051" s="8"/>
      <c r="S3051" s="8"/>
      <c r="T3051" s="8"/>
      <c r="U3051" s="8"/>
      <c r="V3051" s="8"/>
      <c r="W3051" s="8"/>
      <c r="X3051" s="771"/>
      <c r="Y3051" s="771"/>
      <c r="Z3051" s="771"/>
      <c r="AA3051" s="771"/>
      <c r="AB3051" s="771"/>
      <c r="AC3051" s="771"/>
      <c r="AD3051" s="771"/>
      <c r="AE3051" s="771"/>
      <c r="AF3051" s="771"/>
      <c r="AG3051" s="771"/>
      <c r="AH3051" s="771"/>
      <c r="AI3051" s="771"/>
      <c r="AJ3051" s="771"/>
      <c r="AK3051" s="771"/>
      <c r="AL3051" s="771"/>
      <c r="AM3051" s="771"/>
      <c r="AN3051" s="771"/>
      <c r="AO3051" s="771"/>
      <c r="AP3051" s="771"/>
      <c r="AQ3051" s="771"/>
      <c r="AR3051" s="771"/>
      <c r="AS3051" s="771"/>
      <c r="AT3051" s="771"/>
      <c r="AU3051" s="771"/>
    </row>
    <row r="3052" spans="1:47" s="1432" customFormat="1" outlineLevel="1" x14ac:dyDescent="0.2">
      <c r="A3052" s="8"/>
      <c r="B3052" s="8"/>
      <c r="C3052" s="1989" t="s">
        <v>3566</v>
      </c>
      <c r="D3052" s="1989" t="s">
        <v>3567</v>
      </c>
      <c r="E3052" s="1989">
        <v>20.37</v>
      </c>
      <c r="F3052" s="38">
        <f t="shared" si="45"/>
        <v>1656.5136588</v>
      </c>
      <c r="G3052" s="1547"/>
      <c r="H3052" s="8"/>
      <c r="I3052" s="8"/>
      <c r="J3052" s="8"/>
      <c r="K3052" s="8"/>
      <c r="L3052" s="8"/>
      <c r="M3052" s="8"/>
      <c r="N3052" s="8"/>
      <c r="O3052" s="8"/>
      <c r="P3052" s="8"/>
      <c r="Q3052" s="8"/>
      <c r="R3052" s="8"/>
      <c r="S3052" s="8"/>
      <c r="T3052" s="8"/>
      <c r="U3052" s="8"/>
      <c r="V3052" s="8"/>
      <c r="W3052" s="8"/>
      <c r="X3052" s="771"/>
      <c r="Y3052" s="771"/>
      <c r="Z3052" s="771"/>
      <c r="AA3052" s="771"/>
      <c r="AB3052" s="771"/>
      <c r="AC3052" s="771"/>
      <c r="AD3052" s="771"/>
      <c r="AE3052" s="771"/>
      <c r="AF3052" s="771"/>
      <c r="AG3052" s="771"/>
      <c r="AH3052" s="771"/>
      <c r="AI3052" s="771"/>
      <c r="AJ3052" s="771"/>
      <c r="AK3052" s="771"/>
      <c r="AL3052" s="771"/>
      <c r="AM3052" s="771"/>
      <c r="AN3052" s="771"/>
      <c r="AO3052" s="771"/>
      <c r="AP3052" s="771"/>
      <c r="AQ3052" s="771"/>
      <c r="AR3052" s="771"/>
      <c r="AS3052" s="771"/>
      <c r="AT3052" s="771"/>
      <c r="AU3052" s="771"/>
    </row>
    <row r="3053" spans="1:47" s="1432" customFormat="1" outlineLevel="1" x14ac:dyDescent="0.2">
      <c r="A3053" s="8"/>
      <c r="B3053" s="8"/>
      <c r="C3053" s="1989" t="s">
        <v>3568</v>
      </c>
      <c r="D3053" s="1989" t="s">
        <v>3569</v>
      </c>
      <c r="E3053" s="1989">
        <v>20.92</v>
      </c>
      <c r="F3053" s="38">
        <f t="shared" si="45"/>
        <v>1701.2403408000002</v>
      </c>
      <c r="G3053" s="1547"/>
      <c r="H3053" s="8"/>
      <c r="I3053" s="8"/>
      <c r="J3053" s="8"/>
      <c r="K3053" s="8"/>
      <c r="L3053" s="8"/>
      <c r="M3053" s="8"/>
      <c r="N3053" s="8"/>
      <c r="O3053" s="8"/>
      <c r="P3053" s="8"/>
      <c r="Q3053" s="8"/>
      <c r="R3053" s="8"/>
      <c r="S3053" s="8"/>
      <c r="T3053" s="8"/>
      <c r="U3053" s="8"/>
      <c r="V3053" s="8"/>
      <c r="W3053" s="8"/>
      <c r="X3053" s="771"/>
      <c r="Y3053" s="771"/>
      <c r="Z3053" s="771"/>
      <c r="AA3053" s="771"/>
      <c r="AB3053" s="771"/>
      <c r="AC3053" s="771"/>
      <c r="AD3053" s="771"/>
      <c r="AE3053" s="771"/>
      <c r="AF3053" s="771"/>
      <c r="AG3053" s="771"/>
      <c r="AH3053" s="771"/>
      <c r="AI3053" s="771"/>
      <c r="AJ3053" s="771"/>
      <c r="AK3053" s="771"/>
      <c r="AL3053" s="771"/>
      <c r="AM3053" s="771"/>
      <c r="AN3053" s="771"/>
      <c r="AO3053" s="771"/>
      <c r="AP3053" s="771"/>
      <c r="AQ3053" s="771"/>
      <c r="AR3053" s="771"/>
      <c r="AS3053" s="771"/>
      <c r="AT3053" s="771"/>
      <c r="AU3053" s="771"/>
    </row>
    <row r="3054" spans="1:47" s="1432" customFormat="1" outlineLevel="1" x14ac:dyDescent="0.2">
      <c r="A3054" s="8"/>
      <c r="B3054" s="8"/>
      <c r="C3054" s="1989" t="s">
        <v>3570</v>
      </c>
      <c r="D3054" s="1989" t="s">
        <v>3571</v>
      </c>
      <c r="E3054" s="1989">
        <v>21.49</v>
      </c>
      <c r="F3054" s="38">
        <f t="shared" si="45"/>
        <v>1747.5934476</v>
      </c>
      <c r="G3054" s="1547"/>
      <c r="H3054" s="8"/>
      <c r="I3054" s="8"/>
      <c r="J3054" s="8"/>
      <c r="K3054" s="8"/>
      <c r="L3054" s="8"/>
      <c r="M3054" s="8"/>
      <c r="N3054" s="8"/>
      <c r="O3054" s="8"/>
      <c r="P3054" s="8"/>
      <c r="Q3054" s="8"/>
      <c r="R3054" s="8"/>
      <c r="S3054" s="8"/>
      <c r="T3054" s="8"/>
      <c r="U3054" s="8"/>
      <c r="V3054" s="8"/>
      <c r="W3054" s="8"/>
      <c r="X3054" s="771"/>
      <c r="Y3054" s="771"/>
      <c r="Z3054" s="771"/>
      <c r="AA3054" s="771"/>
      <c r="AB3054" s="771"/>
      <c r="AC3054" s="771"/>
      <c r="AD3054" s="771"/>
      <c r="AE3054" s="771"/>
      <c r="AF3054" s="771"/>
      <c r="AG3054" s="771"/>
      <c r="AH3054" s="771"/>
      <c r="AI3054" s="771"/>
      <c r="AJ3054" s="771"/>
      <c r="AK3054" s="771"/>
      <c r="AL3054" s="771"/>
      <c r="AM3054" s="771"/>
      <c r="AN3054" s="771"/>
      <c r="AO3054" s="771"/>
      <c r="AP3054" s="771"/>
      <c r="AQ3054" s="771"/>
      <c r="AR3054" s="771"/>
      <c r="AS3054" s="771"/>
      <c r="AT3054" s="771"/>
      <c r="AU3054" s="771"/>
    </row>
    <row r="3055" spans="1:47" s="1432" customFormat="1" outlineLevel="1" x14ac:dyDescent="0.2">
      <c r="A3055" s="8"/>
      <c r="B3055" s="8"/>
      <c r="C3055" s="1989" t="s">
        <v>3572</v>
      </c>
      <c r="D3055" s="1989" t="s">
        <v>3573</v>
      </c>
      <c r="E3055" s="1989">
        <v>22.96</v>
      </c>
      <c r="F3055" s="38">
        <f t="shared" si="45"/>
        <v>1867.1356704000002</v>
      </c>
      <c r="G3055" s="1547"/>
      <c r="H3055" s="8"/>
      <c r="I3055" s="8"/>
      <c r="J3055" s="8"/>
      <c r="K3055" s="8"/>
      <c r="L3055" s="8"/>
      <c r="M3055" s="8"/>
      <c r="N3055" s="8"/>
      <c r="O3055" s="8"/>
      <c r="P3055" s="8"/>
      <c r="Q3055" s="8"/>
      <c r="R3055" s="8"/>
      <c r="S3055" s="8"/>
      <c r="T3055" s="8"/>
      <c r="U3055" s="8"/>
      <c r="V3055" s="8"/>
      <c r="W3055" s="8"/>
      <c r="X3055" s="771"/>
      <c r="Y3055" s="771"/>
      <c r="Z3055" s="771"/>
      <c r="AA3055" s="771"/>
      <c r="AB3055" s="771"/>
      <c r="AC3055" s="771"/>
      <c r="AD3055" s="771"/>
      <c r="AE3055" s="771"/>
      <c r="AF3055" s="771"/>
      <c r="AG3055" s="771"/>
      <c r="AH3055" s="771"/>
      <c r="AI3055" s="771"/>
      <c r="AJ3055" s="771"/>
      <c r="AK3055" s="771"/>
      <c r="AL3055" s="771"/>
      <c r="AM3055" s="771"/>
      <c r="AN3055" s="771"/>
      <c r="AO3055" s="771"/>
      <c r="AP3055" s="771"/>
      <c r="AQ3055" s="771"/>
      <c r="AR3055" s="771"/>
      <c r="AS3055" s="771"/>
      <c r="AT3055" s="771"/>
      <c r="AU3055" s="771"/>
    </row>
    <row r="3056" spans="1:47" s="1432" customFormat="1" outlineLevel="1" x14ac:dyDescent="0.2">
      <c r="A3056" s="8"/>
      <c r="B3056" s="8"/>
      <c r="C3056" s="1989" t="s">
        <v>3574</v>
      </c>
      <c r="D3056" s="1989" t="s">
        <v>8264</v>
      </c>
      <c r="E3056" s="1989">
        <v>24.82</v>
      </c>
      <c r="F3056" s="38">
        <f t="shared" si="45"/>
        <v>2018.3931768</v>
      </c>
      <c r="G3056" s="1547"/>
      <c r="H3056" s="8"/>
      <c r="I3056" s="8"/>
      <c r="J3056" s="8"/>
      <c r="K3056" s="8"/>
      <c r="L3056" s="8"/>
      <c r="M3056" s="8"/>
      <c r="N3056" s="8"/>
      <c r="O3056" s="8"/>
      <c r="P3056" s="8"/>
      <c r="Q3056" s="8"/>
      <c r="R3056" s="8"/>
      <c r="S3056" s="8"/>
      <c r="T3056" s="8"/>
      <c r="U3056" s="8"/>
      <c r="V3056" s="8"/>
      <c r="W3056" s="8"/>
      <c r="X3056" s="771"/>
      <c r="Y3056" s="771"/>
      <c r="Z3056" s="771"/>
      <c r="AA3056" s="771"/>
      <c r="AB3056" s="771"/>
      <c r="AC3056" s="771"/>
      <c r="AD3056" s="771"/>
      <c r="AE3056" s="771"/>
      <c r="AF3056" s="771"/>
      <c r="AG3056" s="771"/>
      <c r="AH3056" s="771"/>
      <c r="AI3056" s="771"/>
      <c r="AJ3056" s="771"/>
      <c r="AK3056" s="771"/>
      <c r="AL3056" s="771"/>
      <c r="AM3056" s="771"/>
      <c r="AN3056" s="771"/>
      <c r="AO3056" s="771"/>
      <c r="AP3056" s="771"/>
      <c r="AQ3056" s="771"/>
      <c r="AR3056" s="771"/>
      <c r="AS3056" s="771"/>
      <c r="AT3056" s="771"/>
      <c r="AU3056" s="771"/>
    </row>
    <row r="3057" spans="1:47" s="1432" customFormat="1" outlineLevel="1" x14ac:dyDescent="0.2">
      <c r="A3057" s="8"/>
      <c r="B3057" s="8"/>
      <c r="C3057" s="1989" t="s">
        <v>3575</v>
      </c>
      <c r="D3057" s="1989" t="s">
        <v>6437</v>
      </c>
      <c r="E3057" s="1989">
        <v>15.09</v>
      </c>
      <c r="F3057" s="38">
        <f t="shared" si="45"/>
        <v>1227.1375116000002</v>
      </c>
      <c r="G3057" s="1547"/>
      <c r="H3057" s="8"/>
      <c r="I3057" s="8"/>
      <c r="J3057" s="8"/>
      <c r="K3057" s="8"/>
      <c r="L3057" s="8"/>
      <c r="M3057" s="8"/>
      <c r="N3057" s="8"/>
      <c r="O3057" s="8"/>
      <c r="P3057" s="8"/>
      <c r="Q3057" s="8"/>
      <c r="R3057" s="8"/>
      <c r="S3057" s="8"/>
      <c r="T3057" s="8"/>
      <c r="U3057" s="8"/>
      <c r="V3057" s="8"/>
      <c r="W3057" s="8"/>
      <c r="X3057" s="771"/>
      <c r="Y3057" s="771"/>
      <c r="Z3057" s="771"/>
      <c r="AA3057" s="771"/>
      <c r="AB3057" s="771"/>
      <c r="AC3057" s="771"/>
      <c r="AD3057" s="771"/>
      <c r="AE3057" s="771"/>
      <c r="AF3057" s="771"/>
      <c r="AG3057" s="771"/>
      <c r="AH3057" s="771"/>
      <c r="AI3057" s="771"/>
      <c r="AJ3057" s="771"/>
      <c r="AK3057" s="771"/>
      <c r="AL3057" s="771"/>
      <c r="AM3057" s="771"/>
      <c r="AN3057" s="771"/>
      <c r="AO3057" s="771"/>
      <c r="AP3057" s="771"/>
      <c r="AQ3057" s="771"/>
      <c r="AR3057" s="771"/>
      <c r="AS3057" s="771"/>
      <c r="AT3057" s="771"/>
      <c r="AU3057" s="771"/>
    </row>
    <row r="3058" spans="1:47" s="1432" customFormat="1" outlineLevel="1" x14ac:dyDescent="0.2">
      <c r="A3058" s="8"/>
      <c r="B3058" s="8"/>
      <c r="C3058" s="1989" t="s">
        <v>2779</v>
      </c>
      <c r="D3058" s="1989" t="s">
        <v>8265</v>
      </c>
      <c r="E3058" s="1989">
        <v>18.64</v>
      </c>
      <c r="F3058" s="38">
        <f t="shared" si="45"/>
        <v>1515.8279136000001</v>
      </c>
      <c r="G3058" s="1547"/>
      <c r="H3058" s="8"/>
      <c r="I3058" s="8"/>
      <c r="J3058" s="8"/>
      <c r="K3058" s="8"/>
      <c r="L3058" s="8"/>
      <c r="M3058" s="8"/>
      <c r="N3058" s="8"/>
      <c r="O3058" s="8"/>
      <c r="P3058" s="8"/>
      <c r="Q3058" s="8"/>
      <c r="R3058" s="8"/>
      <c r="S3058" s="8"/>
      <c r="T3058" s="8"/>
      <c r="U3058" s="8"/>
      <c r="V3058" s="8"/>
      <c r="W3058" s="8"/>
      <c r="X3058" s="771"/>
      <c r="Y3058" s="771"/>
      <c r="Z3058" s="771"/>
      <c r="AA3058" s="771"/>
      <c r="AB3058" s="771"/>
      <c r="AC3058" s="771"/>
      <c r="AD3058" s="771"/>
      <c r="AE3058" s="771"/>
      <c r="AF3058" s="771"/>
      <c r="AG3058" s="771"/>
      <c r="AH3058" s="771"/>
      <c r="AI3058" s="771"/>
      <c r="AJ3058" s="771"/>
      <c r="AK3058" s="771"/>
      <c r="AL3058" s="771"/>
      <c r="AM3058" s="771"/>
      <c r="AN3058" s="771"/>
      <c r="AO3058" s="771"/>
      <c r="AP3058" s="771"/>
      <c r="AQ3058" s="771"/>
      <c r="AR3058" s="771"/>
      <c r="AS3058" s="771"/>
      <c r="AT3058" s="771"/>
      <c r="AU3058" s="771"/>
    </row>
    <row r="3059" spans="1:47" s="1432" customFormat="1" outlineLevel="1" x14ac:dyDescent="0.2">
      <c r="A3059" s="8"/>
      <c r="B3059" s="8"/>
      <c r="C3059" s="1989" t="s">
        <v>3576</v>
      </c>
      <c r="D3059" s="1989" t="s">
        <v>8266</v>
      </c>
      <c r="E3059" s="1989">
        <v>4.6100000000000003</v>
      </c>
      <c r="F3059" s="38">
        <f t="shared" si="45"/>
        <v>374.89091640000004</v>
      </c>
      <c r="G3059" s="1547"/>
      <c r="H3059" s="8"/>
      <c r="I3059" s="8"/>
      <c r="J3059" s="8"/>
      <c r="K3059" s="8"/>
      <c r="L3059" s="8"/>
      <c r="M3059" s="8"/>
      <c r="N3059" s="8"/>
      <c r="O3059" s="8"/>
      <c r="P3059" s="8"/>
      <c r="Q3059" s="8"/>
      <c r="R3059" s="8"/>
      <c r="S3059" s="8"/>
      <c r="T3059" s="8"/>
      <c r="U3059" s="8"/>
      <c r="V3059" s="8"/>
      <c r="W3059" s="8"/>
      <c r="X3059" s="771"/>
      <c r="Y3059" s="771"/>
      <c r="Z3059" s="771"/>
      <c r="AA3059" s="771"/>
      <c r="AB3059" s="771"/>
      <c r="AC3059" s="771"/>
      <c r="AD3059" s="771"/>
      <c r="AE3059" s="771"/>
      <c r="AF3059" s="771"/>
      <c r="AG3059" s="771"/>
      <c r="AH3059" s="771"/>
      <c r="AI3059" s="771"/>
      <c r="AJ3059" s="771"/>
      <c r="AK3059" s="771"/>
      <c r="AL3059" s="771"/>
      <c r="AM3059" s="771"/>
      <c r="AN3059" s="771"/>
      <c r="AO3059" s="771"/>
      <c r="AP3059" s="771"/>
      <c r="AQ3059" s="771"/>
      <c r="AR3059" s="771"/>
      <c r="AS3059" s="771"/>
      <c r="AT3059" s="771"/>
      <c r="AU3059" s="771"/>
    </row>
    <row r="3060" spans="1:47" s="1432" customFormat="1" outlineLevel="1" x14ac:dyDescent="0.2">
      <c r="A3060" s="8"/>
      <c r="B3060" s="8"/>
      <c r="C3060" s="1989" t="s">
        <v>3577</v>
      </c>
      <c r="D3060" s="1989" t="s">
        <v>8267</v>
      </c>
      <c r="E3060" s="1989">
        <v>4.2</v>
      </c>
      <c r="F3060" s="38">
        <f t="shared" si="45"/>
        <v>341.54920800000002</v>
      </c>
      <c r="G3060" s="1547"/>
      <c r="H3060" s="8"/>
      <c r="I3060" s="8"/>
      <c r="J3060" s="8"/>
      <c r="K3060" s="8"/>
      <c r="L3060" s="8"/>
      <c r="M3060" s="8"/>
      <c r="N3060" s="8"/>
      <c r="O3060" s="8"/>
      <c r="P3060" s="8"/>
      <c r="Q3060" s="8"/>
      <c r="R3060" s="8"/>
      <c r="S3060" s="8"/>
      <c r="T3060" s="8"/>
      <c r="U3060" s="8"/>
      <c r="V3060" s="8"/>
      <c r="W3060" s="8"/>
      <c r="X3060" s="771"/>
      <c r="Y3060" s="771"/>
      <c r="Z3060" s="771"/>
      <c r="AA3060" s="771"/>
      <c r="AB3060" s="771"/>
      <c r="AC3060" s="771"/>
      <c r="AD3060" s="771"/>
      <c r="AE3060" s="771"/>
      <c r="AF3060" s="771"/>
      <c r="AG3060" s="771"/>
      <c r="AH3060" s="771"/>
      <c r="AI3060" s="771"/>
      <c r="AJ3060" s="771"/>
      <c r="AK3060" s="771"/>
      <c r="AL3060" s="771"/>
      <c r="AM3060" s="771"/>
      <c r="AN3060" s="771"/>
      <c r="AO3060" s="771"/>
      <c r="AP3060" s="771"/>
      <c r="AQ3060" s="771"/>
      <c r="AR3060" s="771"/>
      <c r="AS3060" s="771"/>
      <c r="AT3060" s="771"/>
      <c r="AU3060" s="771"/>
    </row>
    <row r="3061" spans="1:47" s="1432" customFormat="1" outlineLevel="1" x14ac:dyDescent="0.2">
      <c r="A3061" s="8"/>
      <c r="B3061" s="8"/>
      <c r="C3061" s="1989" t="s">
        <v>3578</v>
      </c>
      <c r="D3061" s="1989" t="s">
        <v>8268</v>
      </c>
      <c r="E3061" s="1989">
        <v>217.92</v>
      </c>
      <c r="F3061" s="38">
        <f t="shared" si="45"/>
        <v>17721.524620799999</v>
      </c>
      <c r="G3061" s="1547"/>
      <c r="H3061" s="8"/>
      <c r="I3061" s="8"/>
      <c r="J3061" s="8"/>
      <c r="K3061" s="8"/>
      <c r="L3061" s="8"/>
      <c r="M3061" s="8"/>
      <c r="N3061" s="8"/>
      <c r="O3061" s="8"/>
      <c r="P3061" s="8"/>
      <c r="Q3061" s="8"/>
      <c r="R3061" s="8"/>
      <c r="S3061" s="8"/>
      <c r="T3061" s="8"/>
      <c r="U3061" s="8"/>
      <c r="V3061" s="8"/>
      <c r="W3061" s="8"/>
      <c r="X3061" s="771"/>
      <c r="Y3061" s="771"/>
      <c r="Z3061" s="771"/>
      <c r="AA3061" s="771"/>
      <c r="AB3061" s="771"/>
      <c r="AC3061" s="771"/>
      <c r="AD3061" s="771"/>
      <c r="AE3061" s="771"/>
      <c r="AF3061" s="771"/>
      <c r="AG3061" s="771"/>
      <c r="AH3061" s="771"/>
      <c r="AI3061" s="771"/>
      <c r="AJ3061" s="771"/>
      <c r="AK3061" s="771"/>
      <c r="AL3061" s="771"/>
      <c r="AM3061" s="771"/>
      <c r="AN3061" s="771"/>
      <c r="AO3061" s="771"/>
      <c r="AP3061" s="771"/>
      <c r="AQ3061" s="771"/>
      <c r="AR3061" s="771"/>
      <c r="AS3061" s="771"/>
      <c r="AT3061" s="771"/>
      <c r="AU3061" s="771"/>
    </row>
    <row r="3062" spans="1:47" s="1432" customFormat="1" outlineLevel="1" x14ac:dyDescent="0.2">
      <c r="A3062" s="8"/>
      <c r="B3062" s="8"/>
      <c r="C3062" s="1989" t="s">
        <v>3579</v>
      </c>
      <c r="D3062" s="1989" t="s">
        <v>8269</v>
      </c>
      <c r="E3062" s="1989">
        <v>25.55</v>
      </c>
      <c r="F3062" s="38">
        <f t="shared" si="45"/>
        <v>2077.7576820000004</v>
      </c>
      <c r="G3062" s="1547"/>
      <c r="H3062" s="8"/>
      <c r="I3062" s="8"/>
      <c r="J3062" s="8"/>
      <c r="K3062" s="8"/>
      <c r="L3062" s="8"/>
      <c r="M3062" s="8"/>
      <c r="N3062" s="8"/>
      <c r="O3062" s="8"/>
      <c r="P3062" s="8"/>
      <c r="Q3062" s="8"/>
      <c r="R3062" s="8"/>
      <c r="S3062" s="8"/>
      <c r="T3062" s="8"/>
      <c r="U3062" s="8"/>
      <c r="V3062" s="8"/>
      <c r="W3062" s="8"/>
      <c r="X3062" s="771"/>
      <c r="Y3062" s="771"/>
      <c r="Z3062" s="771"/>
      <c r="AA3062" s="771"/>
      <c r="AB3062" s="771"/>
      <c r="AC3062" s="771"/>
      <c r="AD3062" s="771"/>
      <c r="AE3062" s="771"/>
      <c r="AF3062" s="771"/>
      <c r="AG3062" s="771"/>
      <c r="AH3062" s="771"/>
      <c r="AI3062" s="771"/>
      <c r="AJ3062" s="771"/>
      <c r="AK3062" s="771"/>
      <c r="AL3062" s="771"/>
      <c r="AM3062" s="771"/>
      <c r="AN3062" s="771"/>
      <c r="AO3062" s="771"/>
      <c r="AP3062" s="771"/>
      <c r="AQ3062" s="771"/>
      <c r="AR3062" s="771"/>
      <c r="AS3062" s="771"/>
      <c r="AT3062" s="771"/>
      <c r="AU3062" s="771"/>
    </row>
    <row r="3063" spans="1:47" s="1432" customFormat="1" outlineLevel="1" x14ac:dyDescent="0.2">
      <c r="A3063" s="8"/>
      <c r="B3063" s="8"/>
      <c r="C3063" s="1989" t="s">
        <v>4883</v>
      </c>
      <c r="D3063" s="1989" t="s">
        <v>8270</v>
      </c>
      <c r="E3063" s="1989">
        <v>0</v>
      </c>
      <c r="F3063" s="38">
        <f t="shared" si="45"/>
        <v>0</v>
      </c>
      <c r="G3063" s="1547"/>
      <c r="H3063" s="8"/>
      <c r="I3063" s="8"/>
      <c r="J3063" s="8"/>
      <c r="K3063" s="8"/>
      <c r="L3063" s="8"/>
      <c r="M3063" s="8"/>
      <c r="N3063" s="8"/>
      <c r="O3063" s="8"/>
      <c r="P3063" s="8"/>
      <c r="Q3063" s="8"/>
      <c r="R3063" s="8"/>
      <c r="S3063" s="8"/>
      <c r="T3063" s="8"/>
      <c r="U3063" s="8"/>
      <c r="V3063" s="8"/>
      <c r="W3063" s="8"/>
      <c r="X3063" s="771"/>
      <c r="Y3063" s="771"/>
      <c r="Z3063" s="771"/>
      <c r="AA3063" s="771"/>
      <c r="AB3063" s="771"/>
      <c r="AC3063" s="771"/>
      <c r="AD3063" s="771"/>
      <c r="AE3063" s="771"/>
      <c r="AF3063" s="771"/>
      <c r="AG3063" s="771"/>
      <c r="AH3063" s="771"/>
      <c r="AI3063" s="771"/>
      <c r="AJ3063" s="771"/>
      <c r="AK3063" s="771"/>
      <c r="AL3063" s="771"/>
      <c r="AM3063" s="771"/>
      <c r="AN3063" s="771"/>
      <c r="AO3063" s="771"/>
      <c r="AP3063" s="771"/>
      <c r="AQ3063" s="771"/>
      <c r="AR3063" s="771"/>
      <c r="AS3063" s="771"/>
      <c r="AT3063" s="771"/>
      <c r="AU3063" s="771"/>
    </row>
    <row r="3064" spans="1:47" s="1432" customFormat="1" outlineLevel="1" x14ac:dyDescent="0.2">
      <c r="A3064" s="8"/>
      <c r="B3064" s="8"/>
      <c r="C3064" s="1989" t="s">
        <v>4884</v>
      </c>
      <c r="D3064" s="1989" t="s">
        <v>8271</v>
      </c>
      <c r="E3064" s="1989">
        <v>0</v>
      </c>
      <c r="F3064" s="38">
        <f t="shared" si="45"/>
        <v>0</v>
      </c>
      <c r="G3064" s="1547"/>
      <c r="H3064" s="8"/>
      <c r="I3064" s="8"/>
      <c r="J3064" s="8"/>
      <c r="K3064" s="8"/>
      <c r="L3064" s="8"/>
      <c r="M3064" s="8"/>
      <c r="N3064" s="8"/>
      <c r="O3064" s="8"/>
      <c r="P3064" s="8"/>
      <c r="Q3064" s="8"/>
      <c r="R3064" s="8"/>
      <c r="S3064" s="8"/>
      <c r="T3064" s="8"/>
      <c r="U3064" s="8"/>
      <c r="V3064" s="8"/>
      <c r="W3064" s="8"/>
      <c r="X3064" s="771"/>
      <c r="Y3064" s="771"/>
      <c r="Z3064" s="771"/>
      <c r="AA3064" s="771"/>
      <c r="AB3064" s="771"/>
      <c r="AC3064" s="771"/>
      <c r="AD3064" s="771"/>
      <c r="AE3064" s="771"/>
      <c r="AF3064" s="771"/>
      <c r="AG3064" s="771"/>
      <c r="AH3064" s="771"/>
      <c r="AI3064" s="771"/>
      <c r="AJ3064" s="771"/>
      <c r="AK3064" s="771"/>
      <c r="AL3064" s="771"/>
      <c r="AM3064" s="771"/>
      <c r="AN3064" s="771"/>
      <c r="AO3064" s="771"/>
      <c r="AP3064" s="771"/>
      <c r="AQ3064" s="771"/>
      <c r="AR3064" s="771"/>
      <c r="AS3064" s="771"/>
      <c r="AT3064" s="771"/>
      <c r="AU3064" s="771"/>
    </row>
    <row r="3065" spans="1:47" s="1432" customFormat="1" outlineLevel="1" x14ac:dyDescent="0.2">
      <c r="A3065" s="8"/>
      <c r="B3065" s="8"/>
      <c r="C3065" s="1989" t="s">
        <v>4885</v>
      </c>
      <c r="D3065" s="1989" t="s">
        <v>8272</v>
      </c>
      <c r="E3065" s="1989">
        <v>0</v>
      </c>
      <c r="F3065" s="38">
        <f t="shared" si="45"/>
        <v>0</v>
      </c>
      <c r="G3065" s="1547"/>
      <c r="H3065" s="8"/>
      <c r="I3065" s="8"/>
      <c r="J3065" s="8"/>
      <c r="K3065" s="8"/>
      <c r="L3065" s="8"/>
      <c r="M3065" s="8"/>
      <c r="N3065" s="8"/>
      <c r="O3065" s="8"/>
      <c r="P3065" s="8"/>
      <c r="Q3065" s="8"/>
      <c r="R3065" s="8"/>
      <c r="S3065" s="8"/>
      <c r="T3065" s="8"/>
      <c r="U3065" s="8"/>
      <c r="V3065" s="8"/>
      <c r="W3065" s="8"/>
      <c r="X3065" s="771"/>
      <c r="Y3065" s="771"/>
      <c r="Z3065" s="771"/>
      <c r="AA3065" s="771"/>
      <c r="AB3065" s="771"/>
      <c r="AC3065" s="771"/>
      <c r="AD3065" s="771"/>
      <c r="AE3065" s="771"/>
      <c r="AF3065" s="771"/>
      <c r="AG3065" s="771"/>
      <c r="AH3065" s="771"/>
      <c r="AI3065" s="771"/>
      <c r="AJ3065" s="771"/>
      <c r="AK3065" s="771"/>
      <c r="AL3065" s="771"/>
      <c r="AM3065" s="771"/>
      <c r="AN3065" s="771"/>
      <c r="AO3065" s="771"/>
      <c r="AP3065" s="771"/>
      <c r="AQ3065" s="771"/>
      <c r="AR3065" s="771"/>
      <c r="AS3065" s="771"/>
      <c r="AT3065" s="771"/>
      <c r="AU3065" s="771"/>
    </row>
    <row r="3066" spans="1:47" s="1432" customFormat="1" outlineLevel="1" x14ac:dyDescent="0.2">
      <c r="A3066" s="8"/>
      <c r="B3066" s="8"/>
      <c r="C3066" s="1989" t="s">
        <v>4886</v>
      </c>
      <c r="D3066" s="1989" t="s">
        <v>8273</v>
      </c>
      <c r="E3066" s="1989">
        <v>0</v>
      </c>
      <c r="F3066" s="38">
        <f t="shared" si="45"/>
        <v>0</v>
      </c>
      <c r="G3066" s="1547"/>
      <c r="H3066" s="8"/>
      <c r="I3066" s="8"/>
      <c r="J3066" s="8"/>
      <c r="K3066" s="8"/>
      <c r="L3066" s="8"/>
      <c r="M3066" s="8"/>
      <c r="N3066" s="8"/>
      <c r="O3066" s="8"/>
      <c r="P3066" s="8"/>
      <c r="Q3066" s="8"/>
      <c r="R3066" s="8"/>
      <c r="S3066" s="8"/>
      <c r="T3066" s="8"/>
      <c r="U3066" s="8"/>
      <c r="V3066" s="8"/>
      <c r="W3066" s="8"/>
      <c r="X3066" s="771"/>
      <c r="Y3066" s="771"/>
      <c r="Z3066" s="771"/>
      <c r="AA3066" s="771"/>
      <c r="AB3066" s="771"/>
      <c r="AC3066" s="771"/>
      <c r="AD3066" s="771"/>
      <c r="AE3066" s="771"/>
      <c r="AF3066" s="771"/>
      <c r="AG3066" s="771"/>
      <c r="AH3066" s="771"/>
      <c r="AI3066" s="771"/>
      <c r="AJ3066" s="771"/>
      <c r="AK3066" s="771"/>
      <c r="AL3066" s="771"/>
      <c r="AM3066" s="771"/>
      <c r="AN3066" s="771"/>
      <c r="AO3066" s="771"/>
      <c r="AP3066" s="771"/>
      <c r="AQ3066" s="771"/>
      <c r="AR3066" s="771"/>
      <c r="AS3066" s="771"/>
      <c r="AT3066" s="771"/>
      <c r="AU3066" s="771"/>
    </row>
    <row r="3067" spans="1:47" s="1432" customFormat="1" outlineLevel="1" x14ac:dyDescent="0.2">
      <c r="A3067" s="8"/>
      <c r="B3067" s="8"/>
      <c r="C3067" s="1989" t="s">
        <v>4887</v>
      </c>
      <c r="D3067" s="1989" t="s">
        <v>8274</v>
      </c>
      <c r="E3067" s="1989">
        <v>0</v>
      </c>
      <c r="F3067" s="38">
        <f t="shared" si="45"/>
        <v>0</v>
      </c>
      <c r="G3067" s="1547"/>
      <c r="H3067" s="8"/>
      <c r="I3067" s="8"/>
      <c r="J3067" s="8"/>
      <c r="K3067" s="8"/>
      <c r="L3067" s="8"/>
      <c r="M3067" s="8"/>
      <c r="N3067" s="8"/>
      <c r="O3067" s="8"/>
      <c r="P3067" s="8"/>
      <c r="Q3067" s="8"/>
      <c r="R3067" s="8"/>
      <c r="S3067" s="8"/>
      <c r="T3067" s="8"/>
      <c r="U3067" s="8"/>
      <c r="V3067" s="8"/>
      <c r="W3067" s="8"/>
      <c r="X3067" s="771"/>
      <c r="Y3067" s="771"/>
      <c r="Z3067" s="771"/>
      <c r="AA3067" s="771"/>
      <c r="AB3067" s="771"/>
      <c r="AC3067" s="771"/>
      <c r="AD3067" s="771"/>
      <c r="AE3067" s="771"/>
      <c r="AF3067" s="771"/>
      <c r="AG3067" s="771"/>
      <c r="AH3067" s="771"/>
      <c r="AI3067" s="771"/>
      <c r="AJ3067" s="771"/>
      <c r="AK3067" s="771"/>
      <c r="AL3067" s="771"/>
      <c r="AM3067" s="771"/>
      <c r="AN3067" s="771"/>
      <c r="AO3067" s="771"/>
      <c r="AP3067" s="771"/>
      <c r="AQ3067" s="771"/>
      <c r="AR3067" s="771"/>
      <c r="AS3067" s="771"/>
      <c r="AT3067" s="771"/>
      <c r="AU3067" s="771"/>
    </row>
    <row r="3068" spans="1:47" s="1432" customFormat="1" outlineLevel="1" x14ac:dyDescent="0.2">
      <c r="A3068" s="8"/>
      <c r="B3068" s="8"/>
      <c r="C3068" s="1989" t="s">
        <v>4888</v>
      </c>
      <c r="D3068" s="1989" t="s">
        <v>8275</v>
      </c>
      <c r="E3068" s="1989">
        <v>0</v>
      </c>
      <c r="F3068" s="38">
        <f t="shared" si="45"/>
        <v>0</v>
      </c>
      <c r="G3068" s="1547"/>
      <c r="H3068" s="8"/>
      <c r="I3068" s="8"/>
      <c r="J3068" s="8"/>
      <c r="K3068" s="8"/>
      <c r="L3068" s="8"/>
      <c r="M3068" s="8"/>
      <c r="N3068" s="8"/>
      <c r="O3068" s="8"/>
      <c r="P3068" s="8"/>
      <c r="Q3068" s="8"/>
      <c r="R3068" s="8"/>
      <c r="S3068" s="8"/>
      <c r="T3068" s="8"/>
      <c r="U3068" s="8"/>
      <c r="V3068" s="8"/>
      <c r="W3068" s="8"/>
      <c r="X3068" s="771"/>
      <c r="Y3068" s="771"/>
      <c r="Z3068" s="771"/>
      <c r="AA3068" s="771"/>
      <c r="AB3068" s="771"/>
      <c r="AC3068" s="771"/>
      <c r="AD3068" s="771"/>
      <c r="AE3068" s="771"/>
      <c r="AF3068" s="771"/>
      <c r="AG3068" s="771"/>
      <c r="AH3068" s="771"/>
      <c r="AI3068" s="771"/>
      <c r="AJ3068" s="771"/>
      <c r="AK3068" s="771"/>
      <c r="AL3068" s="771"/>
      <c r="AM3068" s="771"/>
      <c r="AN3068" s="771"/>
      <c r="AO3068" s="771"/>
      <c r="AP3068" s="771"/>
      <c r="AQ3068" s="771"/>
      <c r="AR3068" s="771"/>
      <c r="AS3068" s="771"/>
      <c r="AT3068" s="771"/>
      <c r="AU3068" s="771"/>
    </row>
    <row r="3069" spans="1:47" s="1432" customFormat="1" outlineLevel="1" x14ac:dyDescent="0.2">
      <c r="A3069" s="8"/>
      <c r="B3069" s="8"/>
      <c r="C3069" s="1989" t="s">
        <v>4889</v>
      </c>
      <c r="D3069" s="1989" t="s">
        <v>8276</v>
      </c>
      <c r="E3069" s="1989">
        <v>0</v>
      </c>
      <c r="F3069" s="38">
        <f t="shared" si="45"/>
        <v>0</v>
      </c>
      <c r="G3069" s="1547"/>
      <c r="H3069" s="8"/>
      <c r="I3069" s="8"/>
      <c r="J3069" s="8"/>
      <c r="K3069" s="8"/>
      <c r="L3069" s="8"/>
      <c r="M3069" s="8"/>
      <c r="N3069" s="8"/>
      <c r="O3069" s="8"/>
      <c r="P3069" s="8"/>
      <c r="Q3069" s="8"/>
      <c r="R3069" s="8"/>
      <c r="S3069" s="8"/>
      <c r="T3069" s="8"/>
      <c r="U3069" s="8"/>
      <c r="V3069" s="8"/>
      <c r="W3069" s="8"/>
      <c r="X3069" s="771"/>
      <c r="Y3069" s="771"/>
      <c r="Z3069" s="771"/>
      <c r="AA3069" s="771"/>
      <c r="AB3069" s="771"/>
      <c r="AC3069" s="771"/>
      <c r="AD3069" s="771"/>
      <c r="AE3069" s="771"/>
      <c r="AF3069" s="771"/>
      <c r="AG3069" s="771"/>
      <c r="AH3069" s="771"/>
      <c r="AI3069" s="771"/>
      <c r="AJ3069" s="771"/>
      <c r="AK3069" s="771"/>
      <c r="AL3069" s="771"/>
      <c r="AM3069" s="771"/>
      <c r="AN3069" s="771"/>
      <c r="AO3069" s="771"/>
      <c r="AP3069" s="771"/>
      <c r="AQ3069" s="771"/>
      <c r="AR3069" s="771"/>
      <c r="AS3069" s="771"/>
      <c r="AT3069" s="771"/>
      <c r="AU3069" s="771"/>
    </row>
    <row r="3070" spans="1:47" s="1432" customFormat="1" outlineLevel="1" x14ac:dyDescent="0.2">
      <c r="A3070" s="8"/>
      <c r="B3070" s="8"/>
      <c r="C3070" s="1989" t="s">
        <v>4890</v>
      </c>
      <c r="D3070" s="1989" t="s">
        <v>8277</v>
      </c>
      <c r="E3070" s="1989">
        <v>0</v>
      </c>
      <c r="F3070" s="38">
        <f t="shared" si="45"/>
        <v>0</v>
      </c>
      <c r="G3070" s="1547"/>
      <c r="H3070" s="8"/>
      <c r="I3070" s="8"/>
      <c r="J3070" s="8"/>
      <c r="K3070" s="8"/>
      <c r="L3070" s="8"/>
      <c r="M3070" s="8"/>
      <c r="N3070" s="8"/>
      <c r="O3070" s="8"/>
      <c r="P3070" s="8"/>
      <c r="Q3070" s="8"/>
      <c r="R3070" s="8"/>
      <c r="S3070" s="8"/>
      <c r="T3070" s="8"/>
      <c r="U3070" s="8"/>
      <c r="V3070" s="8"/>
      <c r="W3070" s="8"/>
      <c r="X3070" s="771"/>
      <c r="Y3070" s="771"/>
      <c r="Z3070" s="771"/>
      <c r="AA3070" s="771"/>
      <c r="AB3070" s="771"/>
      <c r="AC3070" s="771"/>
      <c r="AD3070" s="771"/>
      <c r="AE3070" s="771"/>
      <c r="AF3070" s="771"/>
      <c r="AG3070" s="771"/>
      <c r="AH3070" s="771"/>
      <c r="AI3070" s="771"/>
      <c r="AJ3070" s="771"/>
      <c r="AK3070" s="771"/>
      <c r="AL3070" s="771"/>
      <c r="AM3070" s="771"/>
      <c r="AN3070" s="771"/>
      <c r="AO3070" s="771"/>
      <c r="AP3070" s="771"/>
      <c r="AQ3070" s="771"/>
      <c r="AR3070" s="771"/>
      <c r="AS3070" s="771"/>
      <c r="AT3070" s="771"/>
      <c r="AU3070" s="771"/>
    </row>
    <row r="3071" spans="1:47" s="1432" customFormat="1" outlineLevel="1" x14ac:dyDescent="0.2">
      <c r="A3071" s="8"/>
      <c r="B3071" s="8"/>
      <c r="C3071" s="1989" t="s">
        <v>4891</v>
      </c>
      <c r="D3071" s="1989" t="s">
        <v>8278</v>
      </c>
      <c r="E3071" s="1989">
        <v>0</v>
      </c>
      <c r="F3071" s="38">
        <f t="shared" si="45"/>
        <v>0</v>
      </c>
      <c r="G3071" s="1547"/>
      <c r="H3071" s="8"/>
      <c r="I3071" s="8"/>
      <c r="J3071" s="8"/>
      <c r="K3071" s="8"/>
      <c r="L3071" s="8"/>
      <c r="M3071" s="8"/>
      <c r="N3071" s="8"/>
      <c r="O3071" s="8"/>
      <c r="P3071" s="8"/>
      <c r="Q3071" s="8"/>
      <c r="R3071" s="8"/>
      <c r="S3071" s="8"/>
      <c r="T3071" s="8"/>
      <c r="U3071" s="8"/>
      <c r="V3071" s="8"/>
      <c r="W3071" s="8"/>
      <c r="X3071" s="771"/>
      <c r="Y3071" s="771"/>
      <c r="Z3071" s="771"/>
      <c r="AA3071" s="771"/>
      <c r="AB3071" s="771"/>
      <c r="AC3071" s="771"/>
      <c r="AD3071" s="771"/>
      <c r="AE3071" s="771"/>
      <c r="AF3071" s="771"/>
      <c r="AG3071" s="771"/>
      <c r="AH3071" s="771"/>
      <c r="AI3071" s="771"/>
      <c r="AJ3071" s="771"/>
      <c r="AK3071" s="771"/>
      <c r="AL3071" s="771"/>
      <c r="AM3071" s="771"/>
      <c r="AN3071" s="771"/>
      <c r="AO3071" s="771"/>
      <c r="AP3071" s="771"/>
      <c r="AQ3071" s="771"/>
      <c r="AR3071" s="771"/>
      <c r="AS3071" s="771"/>
      <c r="AT3071" s="771"/>
      <c r="AU3071" s="771"/>
    </row>
    <row r="3072" spans="1:47" s="1432" customFormat="1" outlineLevel="1" x14ac:dyDescent="0.2">
      <c r="A3072" s="8"/>
      <c r="B3072" s="8"/>
      <c r="C3072" s="1989" t="s">
        <v>4892</v>
      </c>
      <c r="D3072" s="1989" t="s">
        <v>8279</v>
      </c>
      <c r="E3072" s="1989">
        <v>0</v>
      </c>
      <c r="F3072" s="38">
        <f t="shared" si="45"/>
        <v>0</v>
      </c>
      <c r="G3072" s="1547"/>
      <c r="H3072" s="8"/>
      <c r="I3072" s="8"/>
      <c r="J3072" s="8"/>
      <c r="K3072" s="8"/>
      <c r="L3072" s="8"/>
      <c r="M3072" s="8"/>
      <c r="N3072" s="8"/>
      <c r="O3072" s="8"/>
      <c r="P3072" s="8"/>
      <c r="Q3072" s="8"/>
      <c r="R3072" s="8"/>
      <c r="S3072" s="8"/>
      <c r="T3072" s="8"/>
      <c r="U3072" s="8"/>
      <c r="V3072" s="8"/>
      <c r="W3072" s="8"/>
      <c r="X3072" s="771"/>
      <c r="Y3072" s="771"/>
      <c r="Z3072" s="771"/>
      <c r="AA3072" s="771"/>
      <c r="AB3072" s="771"/>
      <c r="AC3072" s="771"/>
      <c r="AD3072" s="771"/>
      <c r="AE3072" s="771"/>
      <c r="AF3072" s="771"/>
      <c r="AG3072" s="771"/>
      <c r="AH3072" s="771"/>
      <c r="AI3072" s="771"/>
      <c r="AJ3072" s="771"/>
      <c r="AK3072" s="771"/>
      <c r="AL3072" s="771"/>
      <c r="AM3072" s="771"/>
      <c r="AN3072" s="771"/>
      <c r="AO3072" s="771"/>
      <c r="AP3072" s="771"/>
      <c r="AQ3072" s="771"/>
      <c r="AR3072" s="771"/>
      <c r="AS3072" s="771"/>
      <c r="AT3072" s="771"/>
      <c r="AU3072" s="771"/>
    </row>
    <row r="3073" spans="1:47" s="1432" customFormat="1" outlineLevel="1" x14ac:dyDescent="0.2">
      <c r="A3073" s="8"/>
      <c r="B3073" s="8"/>
      <c r="C3073" s="1989" t="s">
        <v>4893</v>
      </c>
      <c r="D3073" s="1989" t="s">
        <v>8280</v>
      </c>
      <c r="E3073" s="1989">
        <v>0</v>
      </c>
      <c r="F3073" s="38">
        <f t="shared" si="45"/>
        <v>0</v>
      </c>
      <c r="G3073" s="1547"/>
      <c r="H3073" s="8"/>
      <c r="I3073" s="8"/>
      <c r="J3073" s="8"/>
      <c r="K3073" s="8"/>
      <c r="L3073" s="8"/>
      <c r="M3073" s="8"/>
      <c r="N3073" s="8"/>
      <c r="O3073" s="8"/>
      <c r="P3073" s="8"/>
      <c r="Q3073" s="8"/>
      <c r="R3073" s="8"/>
      <c r="S3073" s="8"/>
      <c r="T3073" s="8"/>
      <c r="U3073" s="8"/>
      <c r="V3073" s="8"/>
      <c r="W3073" s="8"/>
      <c r="X3073" s="771"/>
      <c r="Y3073" s="771"/>
      <c r="Z3073" s="771"/>
      <c r="AA3073" s="771"/>
      <c r="AB3073" s="771"/>
      <c r="AC3073" s="771"/>
      <c r="AD3073" s="771"/>
      <c r="AE3073" s="771"/>
      <c r="AF3073" s="771"/>
      <c r="AG3073" s="771"/>
      <c r="AH3073" s="771"/>
      <c r="AI3073" s="771"/>
      <c r="AJ3073" s="771"/>
      <c r="AK3073" s="771"/>
      <c r="AL3073" s="771"/>
      <c r="AM3073" s="771"/>
      <c r="AN3073" s="771"/>
      <c r="AO3073" s="771"/>
      <c r="AP3073" s="771"/>
      <c r="AQ3073" s="771"/>
      <c r="AR3073" s="771"/>
      <c r="AS3073" s="771"/>
      <c r="AT3073" s="771"/>
      <c r="AU3073" s="771"/>
    </row>
    <row r="3074" spans="1:47" s="1432" customFormat="1" outlineLevel="1" x14ac:dyDescent="0.2">
      <c r="A3074" s="8"/>
      <c r="B3074" s="8"/>
      <c r="C3074" s="1989" t="s">
        <v>4894</v>
      </c>
      <c r="D3074" s="1989" t="s">
        <v>8281</v>
      </c>
      <c r="E3074" s="1989">
        <v>0</v>
      </c>
      <c r="F3074" s="38">
        <f t="shared" si="45"/>
        <v>0</v>
      </c>
      <c r="G3074" s="1547"/>
      <c r="H3074" s="8"/>
      <c r="I3074" s="8"/>
      <c r="J3074" s="8"/>
      <c r="K3074" s="8"/>
      <c r="L3074" s="8"/>
      <c r="M3074" s="8"/>
      <c r="N3074" s="8"/>
      <c r="O3074" s="8"/>
      <c r="P3074" s="8"/>
      <c r="Q3074" s="8"/>
      <c r="R3074" s="8"/>
      <c r="S3074" s="8"/>
      <c r="T3074" s="8"/>
      <c r="U3074" s="8"/>
      <c r="V3074" s="8"/>
      <c r="W3074" s="8"/>
      <c r="X3074" s="771"/>
      <c r="Y3074" s="771"/>
      <c r="Z3074" s="771"/>
      <c r="AA3074" s="771"/>
      <c r="AB3074" s="771"/>
      <c r="AC3074" s="771"/>
      <c r="AD3074" s="771"/>
      <c r="AE3074" s="771"/>
      <c r="AF3074" s="771"/>
      <c r="AG3074" s="771"/>
      <c r="AH3074" s="771"/>
      <c r="AI3074" s="771"/>
      <c r="AJ3074" s="771"/>
      <c r="AK3074" s="771"/>
      <c r="AL3074" s="771"/>
      <c r="AM3074" s="771"/>
      <c r="AN3074" s="771"/>
      <c r="AO3074" s="771"/>
      <c r="AP3074" s="771"/>
      <c r="AQ3074" s="771"/>
      <c r="AR3074" s="771"/>
      <c r="AS3074" s="771"/>
      <c r="AT3074" s="771"/>
      <c r="AU3074" s="771"/>
    </row>
    <row r="3075" spans="1:47" s="1432" customFormat="1" outlineLevel="1" x14ac:dyDescent="0.2">
      <c r="A3075" s="8"/>
      <c r="B3075" s="8"/>
      <c r="C3075" s="1989" t="s">
        <v>4895</v>
      </c>
      <c r="D3075" s="1989" t="s">
        <v>8282</v>
      </c>
      <c r="E3075" s="1989">
        <v>0</v>
      </c>
      <c r="F3075" s="38">
        <f t="shared" si="45"/>
        <v>0</v>
      </c>
      <c r="G3075" s="1547"/>
      <c r="H3075" s="8"/>
      <c r="I3075" s="8"/>
      <c r="J3075" s="8"/>
      <c r="K3075" s="8"/>
      <c r="L3075" s="8"/>
      <c r="M3075" s="8"/>
      <c r="N3075" s="8"/>
      <c r="O3075" s="8"/>
      <c r="P3075" s="8"/>
      <c r="Q3075" s="8"/>
      <c r="R3075" s="8"/>
      <c r="S3075" s="8"/>
      <c r="T3075" s="8"/>
      <c r="U3075" s="8"/>
      <c r="V3075" s="8"/>
      <c r="W3075" s="8"/>
      <c r="X3075" s="771"/>
      <c r="Y3075" s="771"/>
      <c r="Z3075" s="771"/>
      <c r="AA3075" s="771"/>
      <c r="AB3075" s="771"/>
      <c r="AC3075" s="771"/>
      <c r="AD3075" s="771"/>
      <c r="AE3075" s="771"/>
      <c r="AF3075" s="771"/>
      <c r="AG3075" s="771"/>
      <c r="AH3075" s="771"/>
      <c r="AI3075" s="771"/>
      <c r="AJ3075" s="771"/>
      <c r="AK3075" s="771"/>
      <c r="AL3075" s="771"/>
      <c r="AM3075" s="771"/>
      <c r="AN3075" s="771"/>
      <c r="AO3075" s="771"/>
      <c r="AP3075" s="771"/>
      <c r="AQ3075" s="771"/>
      <c r="AR3075" s="771"/>
      <c r="AS3075" s="771"/>
      <c r="AT3075" s="771"/>
      <c r="AU3075" s="771"/>
    </row>
    <row r="3076" spans="1:47" s="1432" customFormat="1" outlineLevel="1" x14ac:dyDescent="0.2">
      <c r="A3076" s="8"/>
      <c r="B3076" s="8"/>
      <c r="C3076" s="1989" t="s">
        <v>4896</v>
      </c>
      <c r="D3076" s="1989" t="s">
        <v>8283</v>
      </c>
      <c r="E3076" s="1989">
        <v>0</v>
      </c>
      <c r="F3076" s="38">
        <f t="shared" si="45"/>
        <v>0</v>
      </c>
      <c r="G3076" s="1547"/>
      <c r="H3076" s="8"/>
      <c r="I3076" s="8"/>
      <c r="J3076" s="8"/>
      <c r="K3076" s="8"/>
      <c r="L3076" s="8"/>
      <c r="M3076" s="8"/>
      <c r="N3076" s="8"/>
      <c r="O3076" s="8"/>
      <c r="P3076" s="8"/>
      <c r="Q3076" s="8"/>
      <c r="R3076" s="8"/>
      <c r="S3076" s="8"/>
      <c r="T3076" s="8"/>
      <c r="U3076" s="8"/>
      <c r="V3076" s="8"/>
      <c r="W3076" s="8"/>
      <c r="X3076" s="771"/>
      <c r="Y3076" s="771"/>
      <c r="Z3076" s="771"/>
      <c r="AA3076" s="771"/>
      <c r="AB3076" s="771"/>
      <c r="AC3076" s="771"/>
      <c r="AD3076" s="771"/>
      <c r="AE3076" s="771"/>
      <c r="AF3076" s="771"/>
      <c r="AG3076" s="771"/>
      <c r="AH3076" s="771"/>
      <c r="AI3076" s="771"/>
      <c r="AJ3076" s="771"/>
      <c r="AK3076" s="771"/>
      <c r="AL3076" s="771"/>
      <c r="AM3076" s="771"/>
      <c r="AN3076" s="771"/>
      <c r="AO3076" s="771"/>
      <c r="AP3076" s="771"/>
      <c r="AQ3076" s="771"/>
      <c r="AR3076" s="771"/>
      <c r="AS3076" s="771"/>
      <c r="AT3076" s="771"/>
      <c r="AU3076" s="771"/>
    </row>
    <row r="3077" spans="1:47" s="1432" customFormat="1" outlineLevel="1" x14ac:dyDescent="0.2">
      <c r="A3077" s="8"/>
      <c r="B3077" s="8"/>
      <c r="C3077" s="1989" t="s">
        <v>4897</v>
      </c>
      <c r="D3077" s="1989" t="s">
        <v>8284</v>
      </c>
      <c r="E3077" s="1989">
        <v>0</v>
      </c>
      <c r="F3077" s="38">
        <f t="shared" si="45"/>
        <v>0</v>
      </c>
      <c r="G3077" s="1547"/>
      <c r="H3077" s="8"/>
      <c r="I3077" s="8"/>
      <c r="J3077" s="8"/>
      <c r="K3077" s="8"/>
      <c r="L3077" s="8"/>
      <c r="M3077" s="8"/>
      <c r="N3077" s="8"/>
      <c r="O3077" s="8"/>
      <c r="P3077" s="8"/>
      <c r="Q3077" s="8"/>
      <c r="R3077" s="8"/>
      <c r="S3077" s="8"/>
      <c r="T3077" s="8"/>
      <c r="U3077" s="8"/>
      <c r="V3077" s="8"/>
      <c r="W3077" s="8"/>
      <c r="X3077" s="771"/>
      <c r="Y3077" s="771"/>
      <c r="Z3077" s="771"/>
      <c r="AA3077" s="771"/>
      <c r="AB3077" s="771"/>
      <c r="AC3077" s="771"/>
      <c r="AD3077" s="771"/>
      <c r="AE3077" s="771"/>
      <c r="AF3077" s="771"/>
      <c r="AG3077" s="771"/>
      <c r="AH3077" s="771"/>
      <c r="AI3077" s="771"/>
      <c r="AJ3077" s="771"/>
      <c r="AK3077" s="771"/>
      <c r="AL3077" s="771"/>
      <c r="AM3077" s="771"/>
      <c r="AN3077" s="771"/>
      <c r="AO3077" s="771"/>
      <c r="AP3077" s="771"/>
      <c r="AQ3077" s="771"/>
      <c r="AR3077" s="771"/>
      <c r="AS3077" s="771"/>
      <c r="AT3077" s="771"/>
      <c r="AU3077" s="771"/>
    </row>
    <row r="3078" spans="1:47" s="1432" customFormat="1" outlineLevel="1" x14ac:dyDescent="0.2">
      <c r="A3078" s="8"/>
      <c r="B3078" s="8"/>
      <c r="C3078" s="1989" t="s">
        <v>4898</v>
      </c>
      <c r="D3078" s="1989" t="s">
        <v>8285</v>
      </c>
      <c r="E3078" s="1989">
        <v>0</v>
      </c>
      <c r="F3078" s="38">
        <f t="shared" si="45"/>
        <v>0</v>
      </c>
      <c r="G3078" s="1547"/>
      <c r="H3078" s="8"/>
      <c r="I3078" s="8"/>
      <c r="J3078" s="8"/>
      <c r="K3078" s="8"/>
      <c r="L3078" s="8"/>
      <c r="M3078" s="8"/>
      <c r="N3078" s="8"/>
      <c r="O3078" s="8"/>
      <c r="P3078" s="8"/>
      <c r="Q3078" s="8"/>
      <c r="R3078" s="8"/>
      <c r="S3078" s="8"/>
      <c r="T3078" s="8"/>
      <c r="U3078" s="8"/>
      <c r="V3078" s="8"/>
      <c r="W3078" s="8"/>
      <c r="X3078" s="771"/>
      <c r="Y3078" s="771"/>
      <c r="Z3078" s="771"/>
      <c r="AA3078" s="771"/>
      <c r="AB3078" s="771"/>
      <c r="AC3078" s="771"/>
      <c r="AD3078" s="771"/>
      <c r="AE3078" s="771"/>
      <c r="AF3078" s="771"/>
      <c r="AG3078" s="771"/>
      <c r="AH3078" s="771"/>
      <c r="AI3078" s="771"/>
      <c r="AJ3078" s="771"/>
      <c r="AK3078" s="771"/>
      <c r="AL3078" s="771"/>
      <c r="AM3078" s="771"/>
      <c r="AN3078" s="771"/>
      <c r="AO3078" s="771"/>
      <c r="AP3078" s="771"/>
      <c r="AQ3078" s="771"/>
      <c r="AR3078" s="771"/>
      <c r="AS3078" s="771"/>
      <c r="AT3078" s="771"/>
      <c r="AU3078" s="771"/>
    </row>
    <row r="3079" spans="1:47" s="1432" customFormat="1" outlineLevel="1" x14ac:dyDescent="0.2">
      <c r="A3079" s="8"/>
      <c r="B3079" s="8"/>
      <c r="C3079" s="1989" t="s">
        <v>4899</v>
      </c>
      <c r="D3079" s="1989" t="s">
        <v>8286</v>
      </c>
      <c r="E3079" s="1989">
        <v>0</v>
      </c>
      <c r="F3079" s="38">
        <f t="shared" si="45"/>
        <v>0</v>
      </c>
      <c r="G3079" s="1547"/>
      <c r="H3079" s="8"/>
      <c r="I3079" s="8"/>
      <c r="J3079" s="8"/>
      <c r="K3079" s="8"/>
      <c r="L3079" s="8"/>
      <c r="M3079" s="8"/>
      <c r="N3079" s="8"/>
      <c r="O3079" s="8"/>
      <c r="P3079" s="8"/>
      <c r="Q3079" s="8"/>
      <c r="R3079" s="8"/>
      <c r="S3079" s="8"/>
      <c r="T3079" s="8"/>
      <c r="U3079" s="8"/>
      <c r="V3079" s="8"/>
      <c r="W3079" s="8"/>
      <c r="X3079" s="771"/>
      <c r="Y3079" s="771"/>
      <c r="Z3079" s="771"/>
      <c r="AA3079" s="771"/>
      <c r="AB3079" s="771"/>
      <c r="AC3079" s="771"/>
      <c r="AD3079" s="771"/>
      <c r="AE3079" s="771"/>
      <c r="AF3079" s="771"/>
      <c r="AG3079" s="771"/>
      <c r="AH3079" s="771"/>
      <c r="AI3079" s="771"/>
      <c r="AJ3079" s="771"/>
      <c r="AK3079" s="771"/>
      <c r="AL3079" s="771"/>
      <c r="AM3079" s="771"/>
      <c r="AN3079" s="771"/>
      <c r="AO3079" s="771"/>
      <c r="AP3079" s="771"/>
      <c r="AQ3079" s="771"/>
      <c r="AR3079" s="771"/>
      <c r="AS3079" s="771"/>
      <c r="AT3079" s="771"/>
      <c r="AU3079" s="771"/>
    </row>
    <row r="3080" spans="1:47" s="1432" customFormat="1" outlineLevel="1" x14ac:dyDescent="0.2">
      <c r="A3080" s="8"/>
      <c r="B3080" s="8"/>
      <c r="C3080" s="1989" t="s">
        <v>4900</v>
      </c>
      <c r="D3080" s="1989" t="s">
        <v>8287</v>
      </c>
      <c r="E3080" s="1989">
        <v>0</v>
      </c>
      <c r="F3080" s="38">
        <f t="shared" si="45"/>
        <v>0</v>
      </c>
      <c r="G3080" s="1547"/>
      <c r="H3080" s="8"/>
      <c r="I3080" s="8"/>
      <c r="J3080" s="8"/>
      <c r="K3080" s="8"/>
      <c r="L3080" s="8"/>
      <c r="M3080" s="8"/>
      <c r="N3080" s="8"/>
      <c r="O3080" s="8"/>
      <c r="P3080" s="8"/>
      <c r="Q3080" s="8"/>
      <c r="R3080" s="8"/>
      <c r="S3080" s="8"/>
      <c r="T3080" s="8"/>
      <c r="U3080" s="8"/>
      <c r="V3080" s="8"/>
      <c r="W3080" s="8"/>
      <c r="X3080" s="771"/>
      <c r="Y3080" s="771"/>
      <c r="Z3080" s="771"/>
      <c r="AA3080" s="771"/>
      <c r="AB3080" s="771"/>
      <c r="AC3080" s="771"/>
      <c r="AD3080" s="771"/>
      <c r="AE3080" s="771"/>
      <c r="AF3080" s="771"/>
      <c r="AG3080" s="771"/>
      <c r="AH3080" s="771"/>
      <c r="AI3080" s="771"/>
      <c r="AJ3080" s="771"/>
      <c r="AK3080" s="771"/>
      <c r="AL3080" s="771"/>
      <c r="AM3080" s="771"/>
      <c r="AN3080" s="771"/>
      <c r="AO3080" s="771"/>
      <c r="AP3080" s="771"/>
      <c r="AQ3080" s="771"/>
      <c r="AR3080" s="771"/>
      <c r="AS3080" s="771"/>
      <c r="AT3080" s="771"/>
      <c r="AU3080" s="771"/>
    </row>
    <row r="3081" spans="1:47" s="1432" customFormat="1" outlineLevel="1" x14ac:dyDescent="0.2">
      <c r="A3081" s="8"/>
      <c r="B3081" s="8"/>
      <c r="C3081" s="1989" t="s">
        <v>4901</v>
      </c>
      <c r="D3081" s="1989" t="s">
        <v>8288</v>
      </c>
      <c r="E3081" s="1989">
        <v>0</v>
      </c>
      <c r="F3081" s="38">
        <f t="shared" si="45"/>
        <v>0</v>
      </c>
      <c r="G3081" s="1547"/>
      <c r="H3081" s="8"/>
      <c r="I3081" s="8"/>
      <c r="J3081" s="8"/>
      <c r="K3081" s="8"/>
      <c r="L3081" s="8"/>
      <c r="M3081" s="8"/>
      <c r="N3081" s="8"/>
      <c r="O3081" s="8"/>
      <c r="P3081" s="8"/>
      <c r="Q3081" s="8"/>
      <c r="R3081" s="8"/>
      <c r="S3081" s="8"/>
      <c r="T3081" s="8"/>
      <c r="U3081" s="8"/>
      <c r="V3081" s="8"/>
      <c r="W3081" s="8"/>
      <c r="X3081" s="771"/>
      <c r="Y3081" s="771"/>
      <c r="Z3081" s="771"/>
      <c r="AA3081" s="771"/>
      <c r="AB3081" s="771"/>
      <c r="AC3081" s="771"/>
      <c r="AD3081" s="771"/>
      <c r="AE3081" s="771"/>
      <c r="AF3081" s="771"/>
      <c r="AG3081" s="771"/>
      <c r="AH3081" s="771"/>
      <c r="AI3081" s="771"/>
      <c r="AJ3081" s="771"/>
      <c r="AK3081" s="771"/>
      <c r="AL3081" s="771"/>
      <c r="AM3081" s="771"/>
      <c r="AN3081" s="771"/>
      <c r="AO3081" s="771"/>
      <c r="AP3081" s="771"/>
      <c r="AQ3081" s="771"/>
      <c r="AR3081" s="771"/>
      <c r="AS3081" s="771"/>
      <c r="AT3081" s="771"/>
      <c r="AU3081" s="771"/>
    </row>
    <row r="3082" spans="1:47" s="1432" customFormat="1" outlineLevel="1" x14ac:dyDescent="0.2">
      <c r="A3082" s="8"/>
      <c r="B3082" s="8"/>
      <c r="C3082" s="1989" t="s">
        <v>4902</v>
      </c>
      <c r="D3082" s="1989" t="s">
        <v>8289</v>
      </c>
      <c r="E3082" s="1989">
        <v>0</v>
      </c>
      <c r="F3082" s="38">
        <f t="shared" si="45"/>
        <v>0</v>
      </c>
      <c r="G3082" s="1547"/>
      <c r="H3082" s="8"/>
      <c r="I3082" s="8"/>
      <c r="J3082" s="8"/>
      <c r="K3082" s="8"/>
      <c r="L3082" s="8"/>
      <c r="M3082" s="8"/>
      <c r="N3082" s="8"/>
      <c r="O3082" s="8"/>
      <c r="P3082" s="8"/>
      <c r="Q3082" s="8"/>
      <c r="R3082" s="8"/>
      <c r="S3082" s="8"/>
      <c r="T3082" s="8"/>
      <c r="U3082" s="8"/>
      <c r="V3082" s="8"/>
      <c r="W3082" s="8"/>
      <c r="X3082" s="771"/>
      <c r="Y3082" s="771"/>
      <c r="Z3082" s="771"/>
      <c r="AA3082" s="771"/>
      <c r="AB3082" s="771"/>
      <c r="AC3082" s="771"/>
      <c r="AD3082" s="771"/>
      <c r="AE3082" s="771"/>
      <c r="AF3082" s="771"/>
      <c r="AG3082" s="771"/>
      <c r="AH3082" s="771"/>
      <c r="AI3082" s="771"/>
      <c r="AJ3082" s="771"/>
      <c r="AK3082" s="771"/>
      <c r="AL3082" s="771"/>
      <c r="AM3082" s="771"/>
      <c r="AN3082" s="771"/>
      <c r="AO3082" s="771"/>
      <c r="AP3082" s="771"/>
      <c r="AQ3082" s="771"/>
      <c r="AR3082" s="771"/>
      <c r="AS3082" s="771"/>
      <c r="AT3082" s="771"/>
      <c r="AU3082" s="771"/>
    </row>
    <row r="3083" spans="1:47" s="1432" customFormat="1" outlineLevel="1" x14ac:dyDescent="0.2">
      <c r="A3083" s="8"/>
      <c r="B3083" s="8"/>
      <c r="C3083" s="1989" t="s">
        <v>4903</v>
      </c>
      <c r="D3083" s="1989" t="s">
        <v>8290</v>
      </c>
      <c r="E3083" s="1989">
        <v>0</v>
      </c>
      <c r="F3083" s="38">
        <f t="shared" si="45"/>
        <v>0</v>
      </c>
      <c r="G3083" s="1547"/>
      <c r="H3083" s="8"/>
      <c r="I3083" s="8"/>
      <c r="J3083" s="8"/>
      <c r="K3083" s="8"/>
      <c r="L3083" s="8"/>
      <c r="M3083" s="8"/>
      <c r="N3083" s="8"/>
      <c r="O3083" s="8"/>
      <c r="P3083" s="8"/>
      <c r="Q3083" s="8"/>
      <c r="R3083" s="8"/>
      <c r="S3083" s="8"/>
      <c r="T3083" s="8"/>
      <c r="U3083" s="8"/>
      <c r="V3083" s="8"/>
      <c r="W3083" s="8"/>
      <c r="X3083" s="771"/>
      <c r="Y3083" s="771"/>
      <c r="Z3083" s="771"/>
      <c r="AA3083" s="771"/>
      <c r="AB3083" s="771"/>
      <c r="AC3083" s="771"/>
      <c r="AD3083" s="771"/>
      <c r="AE3083" s="771"/>
      <c r="AF3083" s="771"/>
      <c r="AG3083" s="771"/>
      <c r="AH3083" s="771"/>
      <c r="AI3083" s="771"/>
      <c r="AJ3083" s="771"/>
      <c r="AK3083" s="771"/>
      <c r="AL3083" s="771"/>
      <c r="AM3083" s="771"/>
      <c r="AN3083" s="771"/>
      <c r="AO3083" s="771"/>
      <c r="AP3083" s="771"/>
      <c r="AQ3083" s="771"/>
      <c r="AR3083" s="771"/>
      <c r="AS3083" s="771"/>
      <c r="AT3083" s="771"/>
      <c r="AU3083" s="771"/>
    </row>
    <row r="3084" spans="1:47" s="1432" customFormat="1" outlineLevel="1" x14ac:dyDescent="0.2">
      <c r="A3084" s="8"/>
      <c r="B3084" s="8"/>
      <c r="C3084" s="1989" t="s">
        <v>4904</v>
      </c>
      <c r="D3084" s="1989" t="s">
        <v>8291</v>
      </c>
      <c r="E3084" s="1989">
        <v>0</v>
      </c>
      <c r="F3084" s="38">
        <f t="shared" si="45"/>
        <v>0</v>
      </c>
      <c r="G3084" s="1547"/>
      <c r="H3084" s="8"/>
      <c r="I3084" s="8"/>
      <c r="J3084" s="8"/>
      <c r="K3084" s="8"/>
      <c r="L3084" s="8"/>
      <c r="M3084" s="8"/>
      <c r="N3084" s="8"/>
      <c r="O3084" s="8"/>
      <c r="P3084" s="8"/>
      <c r="Q3084" s="8"/>
      <c r="R3084" s="8"/>
      <c r="S3084" s="8"/>
      <c r="T3084" s="8"/>
      <c r="U3084" s="8"/>
      <c r="V3084" s="8"/>
      <c r="W3084" s="8"/>
      <c r="X3084" s="771"/>
      <c r="Y3084" s="771"/>
      <c r="Z3084" s="771"/>
      <c r="AA3084" s="771"/>
      <c r="AB3084" s="771"/>
      <c r="AC3084" s="771"/>
      <c r="AD3084" s="771"/>
      <c r="AE3084" s="771"/>
      <c r="AF3084" s="771"/>
      <c r="AG3084" s="771"/>
      <c r="AH3084" s="771"/>
      <c r="AI3084" s="771"/>
      <c r="AJ3084" s="771"/>
      <c r="AK3084" s="771"/>
      <c r="AL3084" s="771"/>
      <c r="AM3084" s="771"/>
      <c r="AN3084" s="771"/>
      <c r="AO3084" s="771"/>
      <c r="AP3084" s="771"/>
      <c r="AQ3084" s="771"/>
      <c r="AR3084" s="771"/>
      <c r="AS3084" s="771"/>
      <c r="AT3084" s="771"/>
      <c r="AU3084" s="771"/>
    </row>
    <row r="3085" spans="1:47" s="1432" customFormat="1" outlineLevel="1" x14ac:dyDescent="0.2">
      <c r="A3085" s="8"/>
      <c r="B3085" s="8"/>
      <c r="C3085" s="1989" t="s">
        <v>4905</v>
      </c>
      <c r="D3085" s="1989" t="s">
        <v>8292</v>
      </c>
      <c r="E3085" s="1989">
        <v>0</v>
      </c>
      <c r="F3085" s="38">
        <f t="shared" si="45"/>
        <v>0</v>
      </c>
      <c r="G3085" s="1547"/>
      <c r="H3085" s="8"/>
      <c r="I3085" s="8"/>
      <c r="J3085" s="8"/>
      <c r="K3085" s="8"/>
      <c r="L3085" s="8"/>
      <c r="M3085" s="8"/>
      <c r="N3085" s="8"/>
      <c r="O3085" s="8"/>
      <c r="P3085" s="8"/>
      <c r="Q3085" s="8"/>
      <c r="R3085" s="8"/>
      <c r="S3085" s="8"/>
      <c r="T3085" s="8"/>
      <c r="U3085" s="8"/>
      <c r="V3085" s="8"/>
      <c r="W3085" s="8"/>
      <c r="X3085" s="771"/>
      <c r="Y3085" s="771"/>
      <c r="Z3085" s="771"/>
      <c r="AA3085" s="771"/>
      <c r="AB3085" s="771"/>
      <c r="AC3085" s="771"/>
      <c r="AD3085" s="771"/>
      <c r="AE3085" s="771"/>
      <c r="AF3085" s="771"/>
      <c r="AG3085" s="771"/>
      <c r="AH3085" s="771"/>
      <c r="AI3085" s="771"/>
      <c r="AJ3085" s="771"/>
      <c r="AK3085" s="771"/>
      <c r="AL3085" s="771"/>
      <c r="AM3085" s="771"/>
      <c r="AN3085" s="771"/>
      <c r="AO3085" s="771"/>
      <c r="AP3085" s="771"/>
      <c r="AQ3085" s="771"/>
      <c r="AR3085" s="771"/>
      <c r="AS3085" s="771"/>
      <c r="AT3085" s="771"/>
      <c r="AU3085" s="771"/>
    </row>
    <row r="3086" spans="1:47" s="1432" customFormat="1" outlineLevel="1" x14ac:dyDescent="0.2">
      <c r="A3086" s="8"/>
      <c r="B3086" s="8"/>
      <c r="C3086" s="1989" t="s">
        <v>4906</v>
      </c>
      <c r="D3086" s="1989" t="s">
        <v>8293</v>
      </c>
      <c r="E3086" s="1989">
        <v>0</v>
      </c>
      <c r="F3086" s="38">
        <f t="shared" si="45"/>
        <v>0</v>
      </c>
      <c r="G3086" s="1547"/>
      <c r="H3086" s="8"/>
      <c r="I3086" s="8"/>
      <c r="J3086" s="8"/>
      <c r="K3086" s="8"/>
      <c r="L3086" s="8"/>
      <c r="M3086" s="8"/>
      <c r="N3086" s="8"/>
      <c r="O3086" s="8"/>
      <c r="P3086" s="8"/>
      <c r="Q3086" s="8"/>
      <c r="R3086" s="8"/>
      <c r="S3086" s="8"/>
      <c r="T3086" s="8"/>
      <c r="U3086" s="8"/>
      <c r="V3086" s="8"/>
      <c r="W3086" s="8"/>
      <c r="X3086" s="771"/>
      <c r="Y3086" s="771"/>
      <c r="Z3086" s="771"/>
      <c r="AA3086" s="771"/>
      <c r="AB3086" s="771"/>
      <c r="AC3086" s="771"/>
      <c r="AD3086" s="771"/>
      <c r="AE3086" s="771"/>
      <c r="AF3086" s="771"/>
      <c r="AG3086" s="771"/>
      <c r="AH3086" s="771"/>
      <c r="AI3086" s="771"/>
      <c r="AJ3086" s="771"/>
      <c r="AK3086" s="771"/>
      <c r="AL3086" s="771"/>
      <c r="AM3086" s="771"/>
      <c r="AN3086" s="771"/>
      <c r="AO3086" s="771"/>
      <c r="AP3086" s="771"/>
      <c r="AQ3086" s="771"/>
      <c r="AR3086" s="771"/>
      <c r="AS3086" s="771"/>
      <c r="AT3086" s="771"/>
      <c r="AU3086" s="771"/>
    </row>
    <row r="3087" spans="1:47" s="1432" customFormat="1" outlineLevel="1" x14ac:dyDescent="0.2">
      <c r="A3087" s="8"/>
      <c r="B3087" s="8"/>
      <c r="C3087" s="1989" t="s">
        <v>4907</v>
      </c>
      <c r="D3087" s="1989" t="s">
        <v>8294</v>
      </c>
      <c r="E3087" s="1989">
        <v>0</v>
      </c>
      <c r="F3087" s="38">
        <f t="shared" si="45"/>
        <v>0</v>
      </c>
      <c r="G3087" s="1547"/>
      <c r="H3087" s="8"/>
      <c r="I3087" s="8"/>
      <c r="J3087" s="8"/>
      <c r="K3087" s="8"/>
      <c r="L3087" s="8"/>
      <c r="M3087" s="8"/>
      <c r="N3087" s="8"/>
      <c r="O3087" s="8"/>
      <c r="P3087" s="8"/>
      <c r="Q3087" s="8"/>
      <c r="R3087" s="8"/>
      <c r="S3087" s="8"/>
      <c r="T3087" s="8"/>
      <c r="U3087" s="8"/>
      <c r="V3087" s="8"/>
      <c r="W3087" s="8"/>
      <c r="X3087" s="771"/>
      <c r="Y3087" s="771"/>
      <c r="Z3087" s="771"/>
      <c r="AA3087" s="771"/>
      <c r="AB3087" s="771"/>
      <c r="AC3087" s="771"/>
      <c r="AD3087" s="771"/>
      <c r="AE3087" s="771"/>
      <c r="AF3087" s="771"/>
      <c r="AG3087" s="771"/>
      <c r="AH3087" s="771"/>
      <c r="AI3087" s="771"/>
      <c r="AJ3087" s="771"/>
      <c r="AK3087" s="771"/>
      <c r="AL3087" s="771"/>
      <c r="AM3087" s="771"/>
      <c r="AN3087" s="771"/>
      <c r="AO3087" s="771"/>
      <c r="AP3087" s="771"/>
      <c r="AQ3087" s="771"/>
      <c r="AR3087" s="771"/>
      <c r="AS3087" s="771"/>
      <c r="AT3087" s="771"/>
      <c r="AU3087" s="771"/>
    </row>
    <row r="3088" spans="1:47" s="1432" customFormat="1" outlineLevel="1" x14ac:dyDescent="0.2">
      <c r="A3088" s="8"/>
      <c r="B3088" s="8"/>
      <c r="C3088" s="1989" t="s">
        <v>4908</v>
      </c>
      <c r="D3088" s="1989" t="s">
        <v>8295</v>
      </c>
      <c r="E3088" s="1989">
        <v>0</v>
      </c>
      <c r="F3088" s="38">
        <f t="shared" si="45"/>
        <v>0</v>
      </c>
      <c r="G3088" s="1547"/>
      <c r="H3088" s="8"/>
      <c r="I3088" s="8"/>
      <c r="J3088" s="8"/>
      <c r="K3088" s="8"/>
      <c r="L3088" s="8"/>
      <c r="M3088" s="8"/>
      <c r="N3088" s="8"/>
      <c r="O3088" s="8"/>
      <c r="P3088" s="8"/>
      <c r="Q3088" s="8"/>
      <c r="R3088" s="8"/>
      <c r="S3088" s="8"/>
      <c r="T3088" s="8"/>
      <c r="U3088" s="8"/>
      <c r="V3088" s="8"/>
      <c r="W3088" s="8"/>
      <c r="X3088" s="771"/>
      <c r="Y3088" s="771"/>
      <c r="Z3088" s="771"/>
      <c r="AA3088" s="771"/>
      <c r="AB3088" s="771"/>
      <c r="AC3088" s="771"/>
      <c r="AD3088" s="771"/>
      <c r="AE3088" s="771"/>
      <c r="AF3088" s="771"/>
      <c r="AG3088" s="771"/>
      <c r="AH3088" s="771"/>
      <c r="AI3088" s="771"/>
      <c r="AJ3088" s="771"/>
      <c r="AK3088" s="771"/>
      <c r="AL3088" s="771"/>
      <c r="AM3088" s="771"/>
      <c r="AN3088" s="771"/>
      <c r="AO3088" s="771"/>
      <c r="AP3088" s="771"/>
      <c r="AQ3088" s="771"/>
      <c r="AR3088" s="771"/>
      <c r="AS3088" s="771"/>
      <c r="AT3088" s="771"/>
      <c r="AU3088" s="771"/>
    </row>
    <row r="3089" spans="1:47" s="1432" customFormat="1" outlineLevel="1" x14ac:dyDescent="0.2">
      <c r="A3089" s="8"/>
      <c r="B3089" s="8"/>
      <c r="C3089" s="1989" t="s">
        <v>4909</v>
      </c>
      <c r="D3089" s="1989" t="s">
        <v>8296</v>
      </c>
      <c r="E3089" s="1989">
        <v>0</v>
      </c>
      <c r="F3089" s="38">
        <f t="shared" si="45"/>
        <v>0</v>
      </c>
      <c r="G3089" s="1547"/>
      <c r="H3089" s="8"/>
      <c r="I3089" s="8"/>
      <c r="J3089" s="8"/>
      <c r="K3089" s="8"/>
      <c r="L3089" s="8"/>
      <c r="M3089" s="8"/>
      <c r="N3089" s="8"/>
      <c r="O3089" s="8"/>
      <c r="P3089" s="8"/>
      <c r="Q3089" s="8"/>
      <c r="R3089" s="8"/>
      <c r="S3089" s="8"/>
      <c r="T3089" s="8"/>
      <c r="U3089" s="8"/>
      <c r="V3089" s="8"/>
      <c r="W3089" s="8"/>
      <c r="X3089" s="771"/>
      <c r="Y3089" s="771"/>
      <c r="Z3089" s="771"/>
      <c r="AA3089" s="771"/>
      <c r="AB3089" s="771"/>
      <c r="AC3089" s="771"/>
      <c r="AD3089" s="771"/>
      <c r="AE3089" s="771"/>
      <c r="AF3089" s="771"/>
      <c r="AG3089" s="771"/>
      <c r="AH3089" s="771"/>
      <c r="AI3089" s="771"/>
      <c r="AJ3089" s="771"/>
      <c r="AK3089" s="771"/>
      <c r="AL3089" s="771"/>
      <c r="AM3089" s="771"/>
      <c r="AN3089" s="771"/>
      <c r="AO3089" s="771"/>
      <c r="AP3089" s="771"/>
      <c r="AQ3089" s="771"/>
      <c r="AR3089" s="771"/>
      <c r="AS3089" s="771"/>
      <c r="AT3089" s="771"/>
      <c r="AU3089" s="771"/>
    </row>
    <row r="3090" spans="1:47" s="1432" customFormat="1" outlineLevel="1" x14ac:dyDescent="0.2">
      <c r="A3090" s="8"/>
      <c r="B3090" s="8"/>
      <c r="C3090" s="1989" t="s">
        <v>4910</v>
      </c>
      <c r="D3090" s="1989" t="s">
        <v>8297</v>
      </c>
      <c r="E3090" s="1989">
        <v>0</v>
      </c>
      <c r="F3090" s="38">
        <f t="shared" si="45"/>
        <v>0</v>
      </c>
      <c r="G3090" s="1547"/>
      <c r="H3090" s="8"/>
      <c r="I3090" s="8"/>
      <c r="J3090" s="8"/>
      <c r="K3090" s="8"/>
      <c r="L3090" s="8"/>
      <c r="M3090" s="8"/>
      <c r="N3090" s="8"/>
      <c r="O3090" s="8"/>
      <c r="P3090" s="8"/>
      <c r="Q3090" s="8"/>
      <c r="R3090" s="8"/>
      <c r="S3090" s="8"/>
      <c r="T3090" s="8"/>
      <c r="U3090" s="8"/>
      <c r="V3090" s="8"/>
      <c r="W3090" s="8"/>
      <c r="X3090" s="771"/>
      <c r="Y3090" s="771"/>
      <c r="Z3090" s="771"/>
      <c r="AA3090" s="771"/>
      <c r="AB3090" s="771"/>
      <c r="AC3090" s="771"/>
      <c r="AD3090" s="771"/>
      <c r="AE3090" s="771"/>
      <c r="AF3090" s="771"/>
      <c r="AG3090" s="771"/>
      <c r="AH3090" s="771"/>
      <c r="AI3090" s="771"/>
      <c r="AJ3090" s="771"/>
      <c r="AK3090" s="771"/>
      <c r="AL3090" s="771"/>
      <c r="AM3090" s="771"/>
      <c r="AN3090" s="771"/>
      <c r="AO3090" s="771"/>
      <c r="AP3090" s="771"/>
      <c r="AQ3090" s="771"/>
      <c r="AR3090" s="771"/>
      <c r="AS3090" s="771"/>
      <c r="AT3090" s="771"/>
      <c r="AU3090" s="771"/>
    </row>
    <row r="3091" spans="1:47" s="1432" customFormat="1" outlineLevel="1" x14ac:dyDescent="0.2">
      <c r="A3091" s="8"/>
      <c r="B3091" s="8"/>
      <c r="C3091" s="1989" t="s">
        <v>4911</v>
      </c>
      <c r="D3091" s="1989" t="s">
        <v>8298</v>
      </c>
      <c r="E3091" s="1989">
        <v>0</v>
      </c>
      <c r="F3091" s="38">
        <f t="shared" si="45"/>
        <v>0</v>
      </c>
      <c r="G3091" s="1547"/>
      <c r="H3091" s="8"/>
      <c r="I3091" s="8"/>
      <c r="J3091" s="8"/>
      <c r="K3091" s="8"/>
      <c r="L3091" s="8"/>
      <c r="M3091" s="8"/>
      <c r="N3091" s="8"/>
      <c r="O3091" s="8"/>
      <c r="P3091" s="8"/>
      <c r="Q3091" s="8"/>
      <c r="R3091" s="8"/>
      <c r="S3091" s="8"/>
      <c r="T3091" s="8"/>
      <c r="U3091" s="8"/>
      <c r="V3091" s="8"/>
      <c r="W3091" s="8"/>
      <c r="X3091" s="771"/>
      <c r="Y3091" s="771"/>
      <c r="Z3091" s="771"/>
      <c r="AA3091" s="771"/>
      <c r="AB3091" s="771"/>
      <c r="AC3091" s="771"/>
      <c r="AD3091" s="771"/>
      <c r="AE3091" s="771"/>
      <c r="AF3091" s="771"/>
      <c r="AG3091" s="771"/>
      <c r="AH3091" s="771"/>
      <c r="AI3091" s="771"/>
      <c r="AJ3091" s="771"/>
      <c r="AK3091" s="771"/>
      <c r="AL3091" s="771"/>
      <c r="AM3091" s="771"/>
      <c r="AN3091" s="771"/>
      <c r="AO3091" s="771"/>
      <c r="AP3091" s="771"/>
      <c r="AQ3091" s="771"/>
      <c r="AR3091" s="771"/>
      <c r="AS3091" s="771"/>
      <c r="AT3091" s="771"/>
      <c r="AU3091" s="771"/>
    </row>
    <row r="3092" spans="1:47" s="1432" customFormat="1" outlineLevel="1" x14ac:dyDescent="0.2">
      <c r="A3092" s="8"/>
      <c r="B3092" s="8"/>
      <c r="C3092" s="1989" t="s">
        <v>4912</v>
      </c>
      <c r="D3092" s="1989" t="s">
        <v>8299</v>
      </c>
      <c r="E3092" s="1989">
        <v>0</v>
      </c>
      <c r="F3092" s="38">
        <f t="shared" si="45"/>
        <v>0</v>
      </c>
      <c r="G3092" s="1547"/>
      <c r="H3092" s="8"/>
      <c r="I3092" s="8"/>
      <c r="J3092" s="8"/>
      <c r="K3092" s="8"/>
      <c r="L3092" s="8"/>
      <c r="M3092" s="8"/>
      <c r="N3092" s="8"/>
      <c r="O3092" s="8"/>
      <c r="P3092" s="8"/>
      <c r="Q3092" s="8"/>
      <c r="R3092" s="8"/>
      <c r="S3092" s="8"/>
      <c r="T3092" s="8"/>
      <c r="U3092" s="8"/>
      <c r="V3092" s="8"/>
      <c r="W3092" s="8"/>
      <c r="X3092" s="771"/>
      <c r="Y3092" s="771"/>
      <c r="Z3092" s="771"/>
      <c r="AA3092" s="771"/>
      <c r="AB3092" s="771"/>
      <c r="AC3092" s="771"/>
      <c r="AD3092" s="771"/>
      <c r="AE3092" s="771"/>
      <c r="AF3092" s="771"/>
      <c r="AG3092" s="771"/>
      <c r="AH3092" s="771"/>
      <c r="AI3092" s="771"/>
      <c r="AJ3092" s="771"/>
      <c r="AK3092" s="771"/>
      <c r="AL3092" s="771"/>
      <c r="AM3092" s="771"/>
      <c r="AN3092" s="771"/>
      <c r="AO3092" s="771"/>
      <c r="AP3092" s="771"/>
      <c r="AQ3092" s="771"/>
      <c r="AR3092" s="771"/>
      <c r="AS3092" s="771"/>
      <c r="AT3092" s="771"/>
      <c r="AU3092" s="771"/>
    </row>
    <row r="3093" spans="1:47" s="1432" customFormat="1" outlineLevel="1" x14ac:dyDescent="0.2">
      <c r="A3093" s="8"/>
      <c r="B3093" s="8"/>
      <c r="C3093" s="1989" t="s">
        <v>4913</v>
      </c>
      <c r="D3093" s="1989" t="s">
        <v>8300</v>
      </c>
      <c r="E3093" s="1989">
        <v>0</v>
      </c>
      <c r="F3093" s="38">
        <f t="shared" si="45"/>
        <v>0</v>
      </c>
      <c r="G3093" s="1547"/>
      <c r="H3093" s="8"/>
      <c r="I3093" s="8"/>
      <c r="J3093" s="8"/>
      <c r="K3093" s="8"/>
      <c r="L3093" s="8"/>
      <c r="M3093" s="8"/>
      <c r="N3093" s="8"/>
      <c r="O3093" s="8"/>
      <c r="P3093" s="8"/>
      <c r="Q3093" s="8"/>
      <c r="R3093" s="8"/>
      <c r="S3093" s="8"/>
      <c r="T3093" s="8"/>
      <c r="U3093" s="8"/>
      <c r="V3093" s="8"/>
      <c r="W3093" s="8"/>
      <c r="X3093" s="771"/>
      <c r="Y3093" s="771"/>
      <c r="Z3093" s="771"/>
      <c r="AA3093" s="771"/>
      <c r="AB3093" s="771"/>
      <c r="AC3093" s="771"/>
      <c r="AD3093" s="771"/>
      <c r="AE3093" s="771"/>
      <c r="AF3093" s="771"/>
      <c r="AG3093" s="771"/>
      <c r="AH3093" s="771"/>
      <c r="AI3093" s="771"/>
      <c r="AJ3093" s="771"/>
      <c r="AK3093" s="771"/>
      <c r="AL3093" s="771"/>
      <c r="AM3093" s="771"/>
      <c r="AN3093" s="771"/>
      <c r="AO3093" s="771"/>
      <c r="AP3093" s="771"/>
      <c r="AQ3093" s="771"/>
      <c r="AR3093" s="771"/>
      <c r="AS3093" s="771"/>
      <c r="AT3093" s="771"/>
      <c r="AU3093" s="771"/>
    </row>
    <row r="3094" spans="1:47" s="1432" customFormat="1" outlineLevel="1" x14ac:dyDescent="0.2">
      <c r="A3094" s="8"/>
      <c r="B3094" s="8"/>
      <c r="C3094" s="1989" t="s">
        <v>4914</v>
      </c>
      <c r="D3094" s="1989" t="s">
        <v>8301</v>
      </c>
      <c r="E3094" s="1989">
        <v>0</v>
      </c>
      <c r="F3094" s="38">
        <f t="shared" si="45"/>
        <v>0</v>
      </c>
      <c r="G3094" s="1547"/>
      <c r="H3094" s="8"/>
      <c r="I3094" s="8"/>
      <c r="J3094" s="8"/>
      <c r="K3094" s="8"/>
      <c r="L3094" s="8"/>
      <c r="M3094" s="8"/>
      <c r="N3094" s="8"/>
      <c r="O3094" s="8"/>
      <c r="P3094" s="8"/>
      <c r="Q3094" s="8"/>
      <c r="R3094" s="8"/>
      <c r="S3094" s="8"/>
      <c r="T3094" s="8"/>
      <c r="U3094" s="8"/>
      <c r="V3094" s="8"/>
      <c r="W3094" s="8"/>
      <c r="X3094" s="771"/>
      <c r="Y3094" s="771"/>
      <c r="Z3094" s="771"/>
      <c r="AA3094" s="771"/>
      <c r="AB3094" s="771"/>
      <c r="AC3094" s="771"/>
      <c r="AD3094" s="771"/>
      <c r="AE3094" s="771"/>
      <c r="AF3094" s="771"/>
      <c r="AG3094" s="771"/>
      <c r="AH3094" s="771"/>
      <c r="AI3094" s="771"/>
      <c r="AJ3094" s="771"/>
      <c r="AK3094" s="771"/>
      <c r="AL3094" s="771"/>
      <c r="AM3094" s="771"/>
      <c r="AN3094" s="771"/>
      <c r="AO3094" s="771"/>
      <c r="AP3094" s="771"/>
      <c r="AQ3094" s="771"/>
      <c r="AR3094" s="771"/>
      <c r="AS3094" s="771"/>
      <c r="AT3094" s="771"/>
      <c r="AU3094" s="771"/>
    </row>
    <row r="3095" spans="1:47" s="1432" customFormat="1" outlineLevel="1" x14ac:dyDescent="0.2">
      <c r="A3095" s="8"/>
      <c r="B3095" s="8"/>
      <c r="C3095" s="1989" t="s">
        <v>4915</v>
      </c>
      <c r="D3095" s="1989" t="s">
        <v>8302</v>
      </c>
      <c r="E3095" s="1989">
        <v>0</v>
      </c>
      <c r="F3095" s="38">
        <f t="shared" si="45"/>
        <v>0</v>
      </c>
      <c r="G3095" s="1547"/>
      <c r="H3095" s="8"/>
      <c r="I3095" s="8"/>
      <c r="J3095" s="8"/>
      <c r="K3095" s="8"/>
      <c r="L3095" s="8"/>
      <c r="M3095" s="8"/>
      <c r="N3095" s="8"/>
      <c r="O3095" s="8"/>
      <c r="P3095" s="8"/>
      <c r="Q3095" s="8"/>
      <c r="R3095" s="8"/>
      <c r="S3095" s="8"/>
      <c r="T3095" s="8"/>
      <c r="U3095" s="8"/>
      <c r="V3095" s="8"/>
      <c r="W3095" s="8"/>
      <c r="X3095" s="771"/>
      <c r="Y3095" s="771"/>
      <c r="Z3095" s="771"/>
      <c r="AA3095" s="771"/>
      <c r="AB3095" s="771"/>
      <c r="AC3095" s="771"/>
      <c r="AD3095" s="771"/>
      <c r="AE3095" s="771"/>
      <c r="AF3095" s="771"/>
      <c r="AG3095" s="771"/>
      <c r="AH3095" s="771"/>
      <c r="AI3095" s="771"/>
      <c r="AJ3095" s="771"/>
      <c r="AK3095" s="771"/>
      <c r="AL3095" s="771"/>
      <c r="AM3095" s="771"/>
      <c r="AN3095" s="771"/>
      <c r="AO3095" s="771"/>
      <c r="AP3095" s="771"/>
      <c r="AQ3095" s="771"/>
      <c r="AR3095" s="771"/>
      <c r="AS3095" s="771"/>
      <c r="AT3095" s="771"/>
      <c r="AU3095" s="771"/>
    </row>
    <row r="3096" spans="1:47" s="1432" customFormat="1" outlineLevel="1" x14ac:dyDescent="0.2">
      <c r="A3096" s="8"/>
      <c r="B3096" s="8"/>
      <c r="C3096" s="1989" t="s">
        <v>4916</v>
      </c>
      <c r="D3096" s="1989" t="s">
        <v>8303</v>
      </c>
      <c r="E3096" s="1989">
        <v>0</v>
      </c>
      <c r="F3096" s="38">
        <f t="shared" si="45"/>
        <v>0</v>
      </c>
      <c r="G3096" s="1547"/>
      <c r="H3096" s="8"/>
      <c r="I3096" s="8"/>
      <c r="J3096" s="8"/>
      <c r="K3096" s="8"/>
      <c r="L3096" s="8"/>
      <c r="M3096" s="8"/>
      <c r="N3096" s="8"/>
      <c r="O3096" s="8"/>
      <c r="P3096" s="8"/>
      <c r="Q3096" s="8"/>
      <c r="R3096" s="8"/>
      <c r="S3096" s="8"/>
      <c r="T3096" s="8"/>
      <c r="U3096" s="8"/>
      <c r="V3096" s="8"/>
      <c r="W3096" s="8"/>
      <c r="X3096" s="771"/>
      <c r="Y3096" s="771"/>
      <c r="Z3096" s="771"/>
      <c r="AA3096" s="771"/>
      <c r="AB3096" s="771"/>
      <c r="AC3096" s="771"/>
      <c r="AD3096" s="771"/>
      <c r="AE3096" s="771"/>
      <c r="AF3096" s="771"/>
      <c r="AG3096" s="771"/>
      <c r="AH3096" s="771"/>
      <c r="AI3096" s="771"/>
      <c r="AJ3096" s="771"/>
      <c r="AK3096" s="771"/>
      <c r="AL3096" s="771"/>
      <c r="AM3096" s="771"/>
      <c r="AN3096" s="771"/>
      <c r="AO3096" s="771"/>
      <c r="AP3096" s="771"/>
      <c r="AQ3096" s="771"/>
      <c r="AR3096" s="771"/>
      <c r="AS3096" s="771"/>
      <c r="AT3096" s="771"/>
      <c r="AU3096" s="771"/>
    </row>
    <row r="3097" spans="1:47" s="1432" customFormat="1" outlineLevel="1" x14ac:dyDescent="0.2">
      <c r="A3097" s="8"/>
      <c r="B3097" s="8"/>
      <c r="C3097" s="1989" t="s">
        <v>4917</v>
      </c>
      <c r="D3097" s="1989" t="s">
        <v>8304</v>
      </c>
      <c r="E3097" s="1989">
        <v>0</v>
      </c>
      <c r="F3097" s="38">
        <f t="shared" si="45"/>
        <v>0</v>
      </c>
      <c r="G3097" s="1547"/>
      <c r="H3097" s="8"/>
      <c r="I3097" s="8"/>
      <c r="J3097" s="8"/>
      <c r="K3097" s="8"/>
      <c r="L3097" s="8"/>
      <c r="M3097" s="8"/>
      <c r="N3097" s="8"/>
      <c r="O3097" s="8"/>
      <c r="P3097" s="8"/>
      <c r="Q3097" s="8"/>
      <c r="R3097" s="8"/>
      <c r="S3097" s="8"/>
      <c r="T3097" s="8"/>
      <c r="U3097" s="8"/>
      <c r="V3097" s="8"/>
      <c r="W3097" s="8"/>
      <c r="X3097" s="771"/>
      <c r="Y3097" s="771"/>
      <c r="Z3097" s="771"/>
      <c r="AA3097" s="771"/>
      <c r="AB3097" s="771"/>
      <c r="AC3097" s="771"/>
      <c r="AD3097" s="771"/>
      <c r="AE3097" s="771"/>
      <c r="AF3097" s="771"/>
      <c r="AG3097" s="771"/>
      <c r="AH3097" s="771"/>
      <c r="AI3097" s="771"/>
      <c r="AJ3097" s="771"/>
      <c r="AK3097" s="771"/>
      <c r="AL3097" s="771"/>
      <c r="AM3097" s="771"/>
      <c r="AN3097" s="771"/>
      <c r="AO3097" s="771"/>
      <c r="AP3097" s="771"/>
      <c r="AQ3097" s="771"/>
      <c r="AR3097" s="771"/>
      <c r="AS3097" s="771"/>
      <c r="AT3097" s="771"/>
      <c r="AU3097" s="771"/>
    </row>
    <row r="3098" spans="1:47" s="1432" customFormat="1" outlineLevel="1" x14ac:dyDescent="0.2">
      <c r="A3098" s="8"/>
      <c r="B3098" s="8"/>
      <c r="C3098" s="1989" t="s">
        <v>2637</v>
      </c>
      <c r="D3098" s="1989" t="s">
        <v>8305</v>
      </c>
      <c r="E3098" s="1989">
        <v>1.77</v>
      </c>
      <c r="F3098" s="38">
        <f t="shared" si="45"/>
        <v>143.9385948</v>
      </c>
      <c r="G3098" s="1547"/>
      <c r="H3098" s="8"/>
      <c r="I3098" s="8"/>
      <c r="J3098" s="8"/>
      <c r="K3098" s="8"/>
      <c r="L3098" s="8"/>
      <c r="M3098" s="8"/>
      <c r="N3098" s="8"/>
      <c r="O3098" s="8"/>
      <c r="P3098" s="8"/>
      <c r="Q3098" s="8"/>
      <c r="R3098" s="8"/>
      <c r="S3098" s="8"/>
      <c r="T3098" s="8"/>
      <c r="U3098" s="8"/>
      <c r="V3098" s="8"/>
      <c r="W3098" s="8"/>
      <c r="X3098" s="771"/>
      <c r="Y3098" s="771"/>
      <c r="Z3098" s="771"/>
      <c r="AA3098" s="771"/>
      <c r="AB3098" s="771"/>
      <c r="AC3098" s="771"/>
      <c r="AD3098" s="771"/>
      <c r="AE3098" s="771"/>
      <c r="AF3098" s="771"/>
      <c r="AG3098" s="771"/>
      <c r="AH3098" s="771"/>
      <c r="AI3098" s="771"/>
      <c r="AJ3098" s="771"/>
      <c r="AK3098" s="771"/>
      <c r="AL3098" s="771"/>
      <c r="AM3098" s="771"/>
      <c r="AN3098" s="771"/>
      <c r="AO3098" s="771"/>
      <c r="AP3098" s="771"/>
      <c r="AQ3098" s="771"/>
      <c r="AR3098" s="771"/>
      <c r="AS3098" s="771"/>
      <c r="AT3098" s="771"/>
      <c r="AU3098" s="771"/>
    </row>
    <row r="3099" spans="1:47" s="1432" customFormat="1" outlineLevel="1" x14ac:dyDescent="0.2">
      <c r="A3099" s="8"/>
      <c r="B3099" s="8"/>
      <c r="C3099" s="1989" t="s">
        <v>6848</v>
      </c>
      <c r="D3099" s="1989" t="s">
        <v>8306</v>
      </c>
      <c r="E3099" s="1989">
        <v>7.61</v>
      </c>
      <c r="F3099" s="38">
        <f t="shared" si="45"/>
        <v>618.8546364</v>
      </c>
      <c r="G3099" s="1547"/>
      <c r="H3099" s="8"/>
      <c r="I3099" s="8"/>
      <c r="J3099" s="8"/>
      <c r="K3099" s="8"/>
      <c r="L3099" s="8"/>
      <c r="M3099" s="8"/>
      <c r="N3099" s="8"/>
      <c r="O3099" s="8"/>
      <c r="P3099" s="8"/>
      <c r="Q3099" s="8"/>
      <c r="R3099" s="8"/>
      <c r="S3099" s="8"/>
      <c r="T3099" s="8"/>
      <c r="U3099" s="8"/>
      <c r="V3099" s="8"/>
      <c r="W3099" s="8"/>
      <c r="X3099" s="771"/>
      <c r="Y3099" s="771"/>
      <c r="Z3099" s="771"/>
      <c r="AA3099" s="771"/>
      <c r="AB3099" s="771"/>
      <c r="AC3099" s="771"/>
      <c r="AD3099" s="771"/>
      <c r="AE3099" s="771"/>
      <c r="AF3099" s="771"/>
      <c r="AG3099" s="771"/>
      <c r="AH3099" s="771"/>
      <c r="AI3099" s="771"/>
      <c r="AJ3099" s="771"/>
      <c r="AK3099" s="771"/>
      <c r="AL3099" s="771"/>
      <c r="AM3099" s="771"/>
      <c r="AN3099" s="771"/>
      <c r="AO3099" s="771"/>
      <c r="AP3099" s="771"/>
      <c r="AQ3099" s="771"/>
      <c r="AR3099" s="771"/>
      <c r="AS3099" s="771"/>
      <c r="AT3099" s="771"/>
      <c r="AU3099" s="771"/>
    </row>
    <row r="3100" spans="1:47" s="1432" customFormat="1" outlineLevel="1" x14ac:dyDescent="0.2">
      <c r="A3100" s="8"/>
      <c r="B3100" s="8"/>
      <c r="C3100" s="1989" t="s">
        <v>6849</v>
      </c>
      <c r="D3100" s="1989" t="s">
        <v>8307</v>
      </c>
      <c r="E3100" s="1989">
        <v>7.61</v>
      </c>
      <c r="F3100" s="38">
        <f t="shared" si="45"/>
        <v>618.8546364</v>
      </c>
      <c r="G3100" s="1547"/>
      <c r="H3100" s="8"/>
      <c r="I3100" s="8"/>
      <c r="J3100" s="8"/>
      <c r="K3100" s="8"/>
      <c r="L3100" s="8"/>
      <c r="M3100" s="8"/>
      <c r="N3100" s="8"/>
      <c r="O3100" s="8"/>
      <c r="P3100" s="8"/>
      <c r="Q3100" s="8"/>
      <c r="R3100" s="8"/>
      <c r="S3100" s="8"/>
      <c r="T3100" s="8"/>
      <c r="U3100" s="8"/>
      <c r="V3100" s="8"/>
      <c r="W3100" s="8"/>
      <c r="X3100" s="771"/>
      <c r="Y3100" s="771"/>
      <c r="Z3100" s="771"/>
      <c r="AA3100" s="771"/>
      <c r="AB3100" s="771"/>
      <c r="AC3100" s="771"/>
      <c r="AD3100" s="771"/>
      <c r="AE3100" s="771"/>
      <c r="AF3100" s="771"/>
      <c r="AG3100" s="771"/>
      <c r="AH3100" s="771"/>
      <c r="AI3100" s="771"/>
      <c r="AJ3100" s="771"/>
      <c r="AK3100" s="771"/>
      <c r="AL3100" s="771"/>
      <c r="AM3100" s="771"/>
      <c r="AN3100" s="771"/>
      <c r="AO3100" s="771"/>
      <c r="AP3100" s="771"/>
      <c r="AQ3100" s="771"/>
      <c r="AR3100" s="771"/>
      <c r="AS3100" s="771"/>
      <c r="AT3100" s="771"/>
      <c r="AU3100" s="771"/>
    </row>
    <row r="3101" spans="1:47" s="1432" customFormat="1" outlineLevel="1" x14ac:dyDescent="0.2">
      <c r="A3101" s="8"/>
      <c r="B3101" s="8"/>
      <c r="C3101" s="1989" t="s">
        <v>6850</v>
      </c>
      <c r="D3101" s="1989" t="s">
        <v>8308</v>
      </c>
      <c r="E3101" s="1989">
        <v>7.61</v>
      </c>
      <c r="F3101" s="38">
        <f t="shared" si="45"/>
        <v>618.8546364</v>
      </c>
      <c r="G3101" s="1547"/>
      <c r="H3101" s="8"/>
      <c r="I3101" s="8"/>
      <c r="J3101" s="8"/>
      <c r="K3101" s="8"/>
      <c r="L3101" s="8"/>
      <c r="M3101" s="8"/>
      <c r="N3101" s="8"/>
      <c r="O3101" s="8"/>
      <c r="P3101" s="8"/>
      <c r="Q3101" s="8"/>
      <c r="R3101" s="8"/>
      <c r="S3101" s="8"/>
      <c r="T3101" s="8"/>
      <c r="U3101" s="8"/>
      <c r="V3101" s="8"/>
      <c r="W3101" s="8"/>
      <c r="X3101" s="771"/>
      <c r="Y3101" s="771"/>
      <c r="Z3101" s="771"/>
      <c r="AA3101" s="771"/>
      <c r="AB3101" s="771"/>
      <c r="AC3101" s="771"/>
      <c r="AD3101" s="771"/>
      <c r="AE3101" s="771"/>
      <c r="AF3101" s="771"/>
      <c r="AG3101" s="771"/>
      <c r="AH3101" s="771"/>
      <c r="AI3101" s="771"/>
      <c r="AJ3101" s="771"/>
      <c r="AK3101" s="771"/>
      <c r="AL3101" s="771"/>
      <c r="AM3101" s="771"/>
      <c r="AN3101" s="771"/>
      <c r="AO3101" s="771"/>
      <c r="AP3101" s="771"/>
      <c r="AQ3101" s="771"/>
      <c r="AR3101" s="771"/>
      <c r="AS3101" s="771"/>
      <c r="AT3101" s="771"/>
      <c r="AU3101" s="771"/>
    </row>
    <row r="3102" spans="1:47" s="1432" customFormat="1" outlineLevel="1" x14ac:dyDescent="0.2">
      <c r="A3102" s="8"/>
      <c r="B3102" s="8"/>
      <c r="C3102" s="1989" t="s">
        <v>3379</v>
      </c>
      <c r="D3102" s="1989" t="s">
        <v>8309</v>
      </c>
      <c r="E3102" s="1989">
        <v>11.27</v>
      </c>
      <c r="F3102" s="38">
        <f t="shared" si="45"/>
        <v>916.49037480000004</v>
      </c>
      <c r="G3102" s="1547"/>
      <c r="H3102" s="8"/>
      <c r="I3102" s="8"/>
      <c r="J3102" s="8"/>
      <c r="K3102" s="8"/>
      <c r="L3102" s="8"/>
      <c r="M3102" s="8"/>
      <c r="N3102" s="8"/>
      <c r="O3102" s="8"/>
      <c r="P3102" s="8"/>
      <c r="Q3102" s="8"/>
      <c r="R3102" s="8"/>
      <c r="S3102" s="8"/>
      <c r="T3102" s="8"/>
      <c r="U3102" s="8"/>
      <c r="V3102" s="8"/>
      <c r="W3102" s="8"/>
      <c r="X3102" s="771"/>
      <c r="Y3102" s="771"/>
      <c r="Z3102" s="771"/>
      <c r="AA3102" s="771"/>
      <c r="AB3102" s="771"/>
      <c r="AC3102" s="771"/>
      <c r="AD3102" s="771"/>
      <c r="AE3102" s="771"/>
      <c r="AF3102" s="771"/>
      <c r="AG3102" s="771"/>
      <c r="AH3102" s="771"/>
      <c r="AI3102" s="771"/>
      <c r="AJ3102" s="771"/>
      <c r="AK3102" s="771"/>
      <c r="AL3102" s="771"/>
      <c r="AM3102" s="771"/>
      <c r="AN3102" s="771"/>
      <c r="AO3102" s="771"/>
      <c r="AP3102" s="771"/>
      <c r="AQ3102" s="771"/>
      <c r="AR3102" s="771"/>
      <c r="AS3102" s="771"/>
      <c r="AT3102" s="771"/>
      <c r="AU3102" s="771"/>
    </row>
    <row r="3103" spans="1:47" s="1432" customFormat="1" outlineLevel="1" x14ac:dyDescent="0.2">
      <c r="A3103" s="8"/>
      <c r="B3103" s="8"/>
      <c r="C3103" s="1989" t="s">
        <v>1956</v>
      </c>
      <c r="D3103" s="1989" t="s">
        <v>8305</v>
      </c>
      <c r="E3103" s="1989">
        <v>1.9</v>
      </c>
      <c r="F3103" s="38">
        <f t="shared" si="45"/>
        <v>154.510356</v>
      </c>
      <c r="G3103" s="1547"/>
      <c r="H3103" s="8"/>
      <c r="I3103" s="8"/>
      <c r="J3103" s="8"/>
      <c r="K3103" s="8"/>
      <c r="L3103" s="8"/>
      <c r="M3103" s="8"/>
      <c r="N3103" s="8"/>
      <c r="O3103" s="8"/>
      <c r="P3103" s="8"/>
      <c r="Q3103" s="8"/>
      <c r="R3103" s="8"/>
      <c r="S3103" s="8"/>
      <c r="T3103" s="8"/>
      <c r="U3103" s="8"/>
      <c r="V3103" s="8"/>
      <c r="W3103" s="8"/>
      <c r="X3103" s="771"/>
      <c r="Y3103" s="771"/>
      <c r="Z3103" s="771"/>
      <c r="AA3103" s="771"/>
      <c r="AB3103" s="771"/>
      <c r="AC3103" s="771"/>
      <c r="AD3103" s="771"/>
      <c r="AE3103" s="771"/>
      <c r="AF3103" s="771"/>
      <c r="AG3103" s="771"/>
      <c r="AH3103" s="771"/>
      <c r="AI3103" s="771"/>
      <c r="AJ3103" s="771"/>
      <c r="AK3103" s="771"/>
      <c r="AL3103" s="771"/>
      <c r="AM3103" s="771"/>
      <c r="AN3103" s="771"/>
      <c r="AO3103" s="771"/>
      <c r="AP3103" s="771"/>
      <c r="AQ3103" s="771"/>
      <c r="AR3103" s="771"/>
      <c r="AS3103" s="771"/>
      <c r="AT3103" s="771"/>
      <c r="AU3103" s="771"/>
    </row>
    <row r="3104" spans="1:47" s="1432" customFormat="1" outlineLevel="1" x14ac:dyDescent="0.2">
      <c r="A3104" s="8"/>
      <c r="B3104" s="8"/>
      <c r="C3104" s="1989" t="s">
        <v>1329</v>
      </c>
      <c r="D3104" s="1989" t="s">
        <v>6438</v>
      </c>
      <c r="E3104" s="1989">
        <v>26.31</v>
      </c>
      <c r="F3104" s="38">
        <f t="shared" si="45"/>
        <v>2139.5618243999998</v>
      </c>
      <c r="G3104" s="1547"/>
      <c r="H3104" s="8"/>
      <c r="I3104" s="8"/>
      <c r="J3104" s="8"/>
      <c r="K3104" s="8"/>
      <c r="L3104" s="8"/>
      <c r="M3104" s="8"/>
      <c r="N3104" s="8"/>
      <c r="O3104" s="8"/>
      <c r="P3104" s="8"/>
      <c r="Q3104" s="8"/>
      <c r="R3104" s="8"/>
      <c r="S3104" s="8"/>
      <c r="T3104" s="8"/>
      <c r="U3104" s="8"/>
      <c r="V3104" s="8"/>
      <c r="W3104" s="8"/>
      <c r="X3104" s="771"/>
      <c r="Y3104" s="771"/>
      <c r="Z3104" s="771"/>
      <c r="AA3104" s="771"/>
      <c r="AB3104" s="771"/>
      <c r="AC3104" s="771"/>
      <c r="AD3104" s="771"/>
      <c r="AE3104" s="771"/>
      <c r="AF3104" s="771"/>
      <c r="AG3104" s="771"/>
      <c r="AH3104" s="771"/>
      <c r="AI3104" s="771"/>
      <c r="AJ3104" s="771"/>
      <c r="AK3104" s="771"/>
      <c r="AL3104" s="771"/>
      <c r="AM3104" s="771"/>
      <c r="AN3104" s="771"/>
      <c r="AO3104" s="771"/>
      <c r="AP3104" s="771"/>
      <c r="AQ3104" s="771"/>
      <c r="AR3104" s="771"/>
      <c r="AS3104" s="771"/>
      <c r="AT3104" s="771"/>
      <c r="AU3104" s="771"/>
    </row>
    <row r="3105" spans="1:47" s="1432" customFormat="1" outlineLevel="1" x14ac:dyDescent="0.2">
      <c r="A3105" s="8"/>
      <c r="B3105" s="8"/>
      <c r="C3105" s="1989" t="s">
        <v>2641</v>
      </c>
      <c r="D3105" s="1989" t="s">
        <v>2642</v>
      </c>
      <c r="E3105" s="1989">
        <v>29.8</v>
      </c>
      <c r="F3105" s="38">
        <f t="shared" si="45"/>
        <v>2423.3729520000002</v>
      </c>
      <c r="G3105" s="1547"/>
      <c r="H3105" s="8"/>
      <c r="I3105" s="8"/>
      <c r="J3105" s="8"/>
      <c r="K3105" s="8"/>
      <c r="L3105" s="8"/>
      <c r="M3105" s="8"/>
      <c r="N3105" s="8"/>
      <c r="O3105" s="8"/>
      <c r="P3105" s="8"/>
      <c r="Q3105" s="8"/>
      <c r="R3105" s="8"/>
      <c r="S3105" s="8"/>
      <c r="T3105" s="8"/>
      <c r="U3105" s="8"/>
      <c r="V3105" s="8"/>
      <c r="W3105" s="8"/>
      <c r="X3105" s="771"/>
      <c r="Y3105" s="771"/>
      <c r="Z3105" s="771"/>
      <c r="AA3105" s="771"/>
      <c r="AB3105" s="771"/>
      <c r="AC3105" s="771"/>
      <c r="AD3105" s="771"/>
      <c r="AE3105" s="771"/>
      <c r="AF3105" s="771"/>
      <c r="AG3105" s="771"/>
      <c r="AH3105" s="771"/>
      <c r="AI3105" s="771"/>
      <c r="AJ3105" s="771"/>
      <c r="AK3105" s="771"/>
      <c r="AL3105" s="771"/>
      <c r="AM3105" s="771"/>
      <c r="AN3105" s="771"/>
      <c r="AO3105" s="771"/>
      <c r="AP3105" s="771"/>
      <c r="AQ3105" s="771"/>
      <c r="AR3105" s="771"/>
      <c r="AS3105" s="771"/>
      <c r="AT3105" s="771"/>
      <c r="AU3105" s="771"/>
    </row>
    <row r="3106" spans="1:47" s="1432" customFormat="1" outlineLevel="1" x14ac:dyDescent="0.2">
      <c r="A3106" s="8"/>
      <c r="B3106" s="8"/>
      <c r="C3106" s="1989" t="s">
        <v>3112</v>
      </c>
      <c r="D3106" s="1989" t="s">
        <v>6439</v>
      </c>
      <c r="E3106" s="1989">
        <v>78.53</v>
      </c>
      <c r="F3106" s="38">
        <f t="shared" si="45"/>
        <v>6386.1569772000012</v>
      </c>
      <c r="G3106" s="1547"/>
      <c r="H3106" s="8"/>
      <c r="I3106" s="8"/>
      <c r="J3106" s="8"/>
      <c r="K3106" s="8"/>
      <c r="L3106" s="8"/>
      <c r="M3106" s="8"/>
      <c r="N3106" s="8"/>
      <c r="O3106" s="8"/>
      <c r="P3106" s="8"/>
      <c r="Q3106" s="8"/>
      <c r="R3106" s="8"/>
      <c r="S3106" s="8"/>
      <c r="T3106" s="8"/>
      <c r="U3106" s="8"/>
      <c r="V3106" s="8"/>
      <c r="W3106" s="8"/>
      <c r="X3106" s="771"/>
      <c r="Y3106" s="771"/>
      <c r="Z3106" s="771"/>
      <c r="AA3106" s="771"/>
      <c r="AB3106" s="771"/>
      <c r="AC3106" s="771"/>
      <c r="AD3106" s="771"/>
      <c r="AE3106" s="771"/>
      <c r="AF3106" s="771"/>
      <c r="AG3106" s="771"/>
      <c r="AH3106" s="771"/>
      <c r="AI3106" s="771"/>
      <c r="AJ3106" s="771"/>
      <c r="AK3106" s="771"/>
      <c r="AL3106" s="771"/>
      <c r="AM3106" s="771"/>
      <c r="AN3106" s="771"/>
      <c r="AO3106" s="771"/>
      <c r="AP3106" s="771"/>
      <c r="AQ3106" s="771"/>
      <c r="AR3106" s="771"/>
      <c r="AS3106" s="771"/>
      <c r="AT3106" s="771"/>
      <c r="AU3106" s="771"/>
    </row>
    <row r="3107" spans="1:47" s="1432" customFormat="1" outlineLevel="1" x14ac:dyDescent="0.2">
      <c r="A3107" s="8"/>
      <c r="B3107" s="8"/>
      <c r="C3107" s="1989" t="s">
        <v>4191</v>
      </c>
      <c r="D3107" s="1989" t="s">
        <v>4192</v>
      </c>
      <c r="E3107" s="1989">
        <v>10.210000000000001</v>
      </c>
      <c r="F3107" s="38">
        <f t="shared" si="45"/>
        <v>830.28986040000007</v>
      </c>
      <c r="G3107" s="1547"/>
      <c r="H3107" s="8"/>
      <c r="I3107" s="8"/>
      <c r="J3107" s="8"/>
      <c r="K3107" s="8"/>
      <c r="L3107" s="8"/>
      <c r="M3107" s="8"/>
      <c r="N3107" s="8"/>
      <c r="O3107" s="8"/>
      <c r="P3107" s="8"/>
      <c r="Q3107" s="8"/>
      <c r="R3107" s="8"/>
      <c r="S3107" s="8"/>
      <c r="T3107" s="8"/>
      <c r="U3107" s="8"/>
      <c r="V3107" s="8"/>
      <c r="W3107" s="8"/>
      <c r="X3107" s="771"/>
      <c r="Y3107" s="771"/>
      <c r="Z3107" s="771"/>
      <c r="AA3107" s="771"/>
      <c r="AB3107" s="771"/>
      <c r="AC3107" s="771"/>
      <c r="AD3107" s="771"/>
      <c r="AE3107" s="771"/>
      <c r="AF3107" s="771"/>
      <c r="AG3107" s="771"/>
      <c r="AH3107" s="771"/>
      <c r="AI3107" s="771"/>
      <c r="AJ3107" s="771"/>
      <c r="AK3107" s="771"/>
      <c r="AL3107" s="771"/>
      <c r="AM3107" s="771"/>
      <c r="AN3107" s="771"/>
      <c r="AO3107" s="771"/>
      <c r="AP3107" s="771"/>
      <c r="AQ3107" s="771"/>
      <c r="AR3107" s="771"/>
      <c r="AS3107" s="771"/>
      <c r="AT3107" s="771"/>
      <c r="AU3107" s="771"/>
    </row>
    <row r="3108" spans="1:47" s="1432" customFormat="1" outlineLevel="1" x14ac:dyDescent="0.2">
      <c r="A3108" s="8"/>
      <c r="B3108" s="8"/>
      <c r="C3108" s="1989" t="s">
        <v>6851</v>
      </c>
      <c r="D3108" s="1989" t="s">
        <v>6440</v>
      </c>
      <c r="E3108" s="1989">
        <v>46.55</v>
      </c>
      <c r="F3108" s="38">
        <f t="shared" si="45"/>
        <v>3785.5037219999999</v>
      </c>
      <c r="G3108" s="1547"/>
      <c r="H3108" s="8"/>
      <c r="I3108" s="8"/>
      <c r="J3108" s="8"/>
      <c r="K3108" s="8"/>
      <c r="L3108" s="8"/>
      <c r="M3108" s="8"/>
      <c r="N3108" s="8"/>
      <c r="O3108" s="8"/>
      <c r="P3108" s="8"/>
      <c r="Q3108" s="8"/>
      <c r="R3108" s="8"/>
      <c r="S3108" s="8"/>
      <c r="T3108" s="8"/>
      <c r="U3108" s="8"/>
      <c r="V3108" s="8"/>
      <c r="W3108" s="8"/>
      <c r="X3108" s="771"/>
      <c r="Y3108" s="771"/>
      <c r="Z3108" s="771"/>
      <c r="AA3108" s="771"/>
      <c r="AB3108" s="771"/>
      <c r="AC3108" s="771"/>
      <c r="AD3108" s="771"/>
      <c r="AE3108" s="771"/>
      <c r="AF3108" s="771"/>
      <c r="AG3108" s="771"/>
      <c r="AH3108" s="771"/>
      <c r="AI3108" s="771"/>
      <c r="AJ3108" s="771"/>
      <c r="AK3108" s="771"/>
      <c r="AL3108" s="771"/>
      <c r="AM3108" s="771"/>
      <c r="AN3108" s="771"/>
      <c r="AO3108" s="771"/>
      <c r="AP3108" s="771"/>
      <c r="AQ3108" s="771"/>
      <c r="AR3108" s="771"/>
      <c r="AS3108" s="771"/>
      <c r="AT3108" s="771"/>
      <c r="AU3108" s="771"/>
    </row>
    <row r="3109" spans="1:47" s="1432" customFormat="1" outlineLevel="1" x14ac:dyDescent="0.2">
      <c r="A3109" s="8"/>
      <c r="B3109" s="8"/>
      <c r="C3109" s="1989" t="s">
        <v>1330</v>
      </c>
      <c r="D3109" s="1989" t="s">
        <v>8310</v>
      </c>
      <c r="E3109" s="1989">
        <v>11.8</v>
      </c>
      <c r="F3109" s="38">
        <f t="shared" si="45"/>
        <v>959.59063200000003</v>
      </c>
      <c r="G3109" s="1547"/>
      <c r="H3109" s="8"/>
      <c r="I3109" s="8"/>
      <c r="J3109" s="8"/>
      <c r="K3109" s="8"/>
      <c r="L3109" s="8"/>
      <c r="M3109" s="8"/>
      <c r="N3109" s="8"/>
      <c r="O3109" s="8"/>
      <c r="P3109" s="8"/>
      <c r="Q3109" s="8"/>
      <c r="R3109" s="8"/>
      <c r="S3109" s="8"/>
      <c r="T3109" s="8"/>
      <c r="U3109" s="8"/>
      <c r="V3109" s="8"/>
      <c r="W3109" s="8"/>
      <c r="X3109" s="771"/>
      <c r="Y3109" s="771"/>
      <c r="Z3109" s="771"/>
      <c r="AA3109" s="771"/>
      <c r="AB3109" s="771"/>
      <c r="AC3109" s="771"/>
      <c r="AD3109" s="771"/>
      <c r="AE3109" s="771"/>
      <c r="AF3109" s="771"/>
      <c r="AG3109" s="771"/>
      <c r="AH3109" s="771"/>
      <c r="AI3109" s="771"/>
      <c r="AJ3109" s="771"/>
      <c r="AK3109" s="771"/>
      <c r="AL3109" s="771"/>
      <c r="AM3109" s="771"/>
      <c r="AN3109" s="771"/>
      <c r="AO3109" s="771"/>
      <c r="AP3109" s="771"/>
      <c r="AQ3109" s="771"/>
      <c r="AR3109" s="771"/>
      <c r="AS3109" s="771"/>
      <c r="AT3109" s="771"/>
      <c r="AU3109" s="771"/>
    </row>
    <row r="3110" spans="1:47" s="1432" customFormat="1" outlineLevel="1" x14ac:dyDescent="0.2">
      <c r="A3110" s="8"/>
      <c r="B3110" s="8"/>
      <c r="C3110" s="1989" t="s">
        <v>1331</v>
      </c>
      <c r="D3110" s="1989" t="s">
        <v>6441</v>
      </c>
      <c r="E3110" s="1989">
        <v>168.16</v>
      </c>
      <c r="F3110" s="38">
        <f t="shared" si="45"/>
        <v>13674.979718400002</v>
      </c>
      <c r="G3110" s="1547"/>
      <c r="H3110" s="8"/>
      <c r="I3110" s="8"/>
      <c r="J3110" s="8"/>
      <c r="K3110" s="8"/>
      <c r="L3110" s="8"/>
      <c r="M3110" s="8"/>
      <c r="N3110" s="8"/>
      <c r="O3110" s="8"/>
      <c r="P3110" s="8"/>
      <c r="Q3110" s="8"/>
      <c r="R3110" s="8"/>
      <c r="S3110" s="8"/>
      <c r="T3110" s="8"/>
      <c r="U3110" s="8"/>
      <c r="V3110" s="8"/>
      <c r="W3110" s="8"/>
      <c r="X3110" s="771"/>
      <c r="Y3110" s="771"/>
      <c r="Z3110" s="771"/>
      <c r="AA3110" s="771"/>
      <c r="AB3110" s="771"/>
      <c r="AC3110" s="771"/>
      <c r="AD3110" s="771"/>
      <c r="AE3110" s="771"/>
      <c r="AF3110" s="771"/>
      <c r="AG3110" s="771"/>
      <c r="AH3110" s="771"/>
      <c r="AI3110" s="771"/>
      <c r="AJ3110" s="771"/>
      <c r="AK3110" s="771"/>
      <c r="AL3110" s="771"/>
      <c r="AM3110" s="771"/>
      <c r="AN3110" s="771"/>
      <c r="AO3110" s="771"/>
      <c r="AP3110" s="771"/>
      <c r="AQ3110" s="771"/>
      <c r="AR3110" s="771"/>
      <c r="AS3110" s="771"/>
      <c r="AT3110" s="771"/>
      <c r="AU3110" s="771"/>
    </row>
    <row r="3111" spans="1:47" s="1432" customFormat="1" outlineLevel="1" x14ac:dyDescent="0.2">
      <c r="A3111" s="8"/>
      <c r="B3111" s="8"/>
      <c r="C3111" s="1989" t="s">
        <v>65</v>
      </c>
      <c r="D3111" s="1989" t="s">
        <v>3380</v>
      </c>
      <c r="E3111" s="1989">
        <v>57.23</v>
      </c>
      <c r="F3111" s="38">
        <f t="shared" si="45"/>
        <v>4654.0145651999992</v>
      </c>
      <c r="G3111" s="1547"/>
      <c r="H3111" s="8"/>
      <c r="I3111" s="8"/>
      <c r="J3111" s="8"/>
      <c r="K3111" s="8"/>
      <c r="L3111" s="8"/>
      <c r="M3111" s="8"/>
      <c r="N3111" s="8"/>
      <c r="O3111" s="8"/>
      <c r="P3111" s="8"/>
      <c r="Q3111" s="8"/>
      <c r="R3111" s="8"/>
      <c r="S3111" s="8"/>
      <c r="T3111" s="8"/>
      <c r="U3111" s="8"/>
      <c r="V3111" s="8"/>
      <c r="W3111" s="8"/>
      <c r="X3111" s="771"/>
      <c r="Y3111" s="771"/>
      <c r="Z3111" s="771"/>
      <c r="AA3111" s="771"/>
      <c r="AB3111" s="771"/>
      <c r="AC3111" s="771"/>
      <c r="AD3111" s="771"/>
      <c r="AE3111" s="771"/>
      <c r="AF3111" s="771"/>
      <c r="AG3111" s="771"/>
      <c r="AH3111" s="771"/>
      <c r="AI3111" s="771"/>
      <c r="AJ3111" s="771"/>
      <c r="AK3111" s="771"/>
      <c r="AL3111" s="771"/>
      <c r="AM3111" s="771"/>
      <c r="AN3111" s="771"/>
      <c r="AO3111" s="771"/>
      <c r="AP3111" s="771"/>
      <c r="AQ3111" s="771"/>
      <c r="AR3111" s="771"/>
      <c r="AS3111" s="771"/>
      <c r="AT3111" s="771"/>
      <c r="AU3111" s="771"/>
    </row>
    <row r="3112" spans="1:47" s="1432" customFormat="1" outlineLevel="1" x14ac:dyDescent="0.2">
      <c r="A3112" s="8"/>
      <c r="B3112" s="8"/>
      <c r="C3112" s="1989" t="s">
        <v>66</v>
      </c>
      <c r="D3112" s="1989" t="s">
        <v>6442</v>
      </c>
      <c r="E3112" s="1989">
        <v>57.23</v>
      </c>
      <c r="F3112" s="38">
        <f t="shared" si="45"/>
        <v>4654.0145651999992</v>
      </c>
      <c r="G3112" s="1547"/>
      <c r="H3112" s="8"/>
      <c r="I3112" s="8"/>
      <c r="J3112" s="8"/>
      <c r="K3112" s="8"/>
      <c r="L3112" s="8"/>
      <c r="M3112" s="8"/>
      <c r="N3112" s="8"/>
      <c r="O3112" s="8"/>
      <c r="P3112" s="8"/>
      <c r="Q3112" s="8"/>
      <c r="R3112" s="8"/>
      <c r="S3112" s="8"/>
      <c r="T3112" s="8"/>
      <c r="U3112" s="8"/>
      <c r="V3112" s="8"/>
      <c r="W3112" s="8"/>
      <c r="X3112" s="771"/>
      <c r="Y3112" s="771"/>
      <c r="Z3112" s="771"/>
      <c r="AA3112" s="771"/>
      <c r="AB3112" s="771"/>
      <c r="AC3112" s="771"/>
      <c r="AD3112" s="771"/>
      <c r="AE3112" s="771"/>
      <c r="AF3112" s="771"/>
      <c r="AG3112" s="771"/>
      <c r="AH3112" s="771"/>
      <c r="AI3112" s="771"/>
      <c r="AJ3112" s="771"/>
      <c r="AK3112" s="771"/>
      <c r="AL3112" s="771"/>
      <c r="AM3112" s="771"/>
      <c r="AN3112" s="771"/>
      <c r="AO3112" s="771"/>
      <c r="AP3112" s="771"/>
      <c r="AQ3112" s="771"/>
      <c r="AR3112" s="771"/>
      <c r="AS3112" s="771"/>
      <c r="AT3112" s="771"/>
      <c r="AU3112" s="771"/>
    </row>
    <row r="3113" spans="1:47" s="1432" customFormat="1" outlineLevel="1" x14ac:dyDescent="0.2">
      <c r="A3113" s="8"/>
      <c r="B3113" s="8"/>
      <c r="C3113" s="1989" t="s">
        <v>67</v>
      </c>
      <c r="D3113" s="1989" t="s">
        <v>6443</v>
      </c>
      <c r="E3113" s="1989">
        <v>257.06</v>
      </c>
      <c r="F3113" s="38">
        <f t="shared" si="45"/>
        <v>20904.4379544</v>
      </c>
      <c r="G3113" s="1547"/>
      <c r="H3113" s="8"/>
      <c r="I3113" s="8"/>
      <c r="J3113" s="8"/>
      <c r="K3113" s="8"/>
      <c r="L3113" s="8"/>
      <c r="M3113" s="8"/>
      <c r="N3113" s="8"/>
      <c r="O3113" s="8"/>
      <c r="P3113" s="8"/>
      <c r="Q3113" s="8"/>
      <c r="R3113" s="8"/>
      <c r="S3113" s="8"/>
      <c r="T3113" s="8"/>
      <c r="U3113" s="8"/>
      <c r="V3113" s="8"/>
      <c r="W3113" s="8"/>
      <c r="X3113" s="771"/>
      <c r="Y3113" s="771"/>
      <c r="Z3113" s="771"/>
      <c r="AA3113" s="771"/>
      <c r="AB3113" s="771"/>
      <c r="AC3113" s="771"/>
      <c r="AD3113" s="771"/>
      <c r="AE3113" s="771"/>
      <c r="AF3113" s="771"/>
      <c r="AG3113" s="771"/>
      <c r="AH3113" s="771"/>
      <c r="AI3113" s="771"/>
      <c r="AJ3113" s="771"/>
      <c r="AK3113" s="771"/>
      <c r="AL3113" s="771"/>
      <c r="AM3113" s="771"/>
      <c r="AN3113" s="771"/>
      <c r="AO3113" s="771"/>
      <c r="AP3113" s="771"/>
      <c r="AQ3113" s="771"/>
      <c r="AR3113" s="771"/>
      <c r="AS3113" s="771"/>
      <c r="AT3113" s="771"/>
      <c r="AU3113" s="771"/>
    </row>
    <row r="3114" spans="1:47" s="1432" customFormat="1" outlineLevel="1" x14ac:dyDescent="0.2">
      <c r="A3114" s="8"/>
      <c r="B3114" s="8"/>
      <c r="C3114" s="1989" t="s">
        <v>68</v>
      </c>
      <c r="D3114" s="1989" t="s">
        <v>6444</v>
      </c>
      <c r="E3114" s="1989">
        <v>128.5</v>
      </c>
      <c r="F3114" s="38">
        <f t="shared" si="45"/>
        <v>10449.779339999999</v>
      </c>
      <c r="G3114" s="1547"/>
      <c r="H3114" s="8"/>
      <c r="I3114" s="8"/>
      <c r="J3114" s="8"/>
      <c r="K3114" s="8"/>
      <c r="L3114" s="8"/>
      <c r="M3114" s="8"/>
      <c r="N3114" s="8"/>
      <c r="O3114" s="8"/>
      <c r="P3114" s="8"/>
      <c r="Q3114" s="8"/>
      <c r="R3114" s="8"/>
      <c r="S3114" s="8"/>
      <c r="T3114" s="8"/>
      <c r="U3114" s="8"/>
      <c r="V3114" s="8"/>
      <c r="W3114" s="8"/>
      <c r="X3114" s="771"/>
      <c r="Y3114" s="771"/>
      <c r="Z3114" s="771"/>
      <c r="AA3114" s="771"/>
      <c r="AB3114" s="771"/>
      <c r="AC3114" s="771"/>
      <c r="AD3114" s="771"/>
      <c r="AE3114" s="771"/>
      <c r="AF3114" s="771"/>
      <c r="AG3114" s="771"/>
      <c r="AH3114" s="771"/>
      <c r="AI3114" s="771"/>
      <c r="AJ3114" s="771"/>
      <c r="AK3114" s="771"/>
      <c r="AL3114" s="771"/>
      <c r="AM3114" s="771"/>
      <c r="AN3114" s="771"/>
      <c r="AO3114" s="771"/>
      <c r="AP3114" s="771"/>
      <c r="AQ3114" s="771"/>
      <c r="AR3114" s="771"/>
      <c r="AS3114" s="771"/>
      <c r="AT3114" s="771"/>
      <c r="AU3114" s="771"/>
    </row>
    <row r="3115" spans="1:47" s="1432" customFormat="1" outlineLevel="1" x14ac:dyDescent="0.2">
      <c r="A3115" s="8"/>
      <c r="B3115" s="8"/>
      <c r="C3115" s="1989" t="s">
        <v>3381</v>
      </c>
      <c r="D3115" s="1989" t="s">
        <v>6445</v>
      </c>
      <c r="E3115" s="1989">
        <v>17.52</v>
      </c>
      <c r="F3115" s="38">
        <f t="shared" si="45"/>
        <v>1424.7481247999999</v>
      </c>
      <c r="G3115" s="1547"/>
      <c r="H3115" s="8"/>
      <c r="I3115" s="8"/>
      <c r="J3115" s="8"/>
      <c r="K3115" s="8"/>
      <c r="L3115" s="8"/>
      <c r="M3115" s="8"/>
      <c r="N3115" s="8"/>
      <c r="O3115" s="8"/>
      <c r="P3115" s="8"/>
      <c r="Q3115" s="8"/>
      <c r="R3115" s="8"/>
      <c r="S3115" s="8"/>
      <c r="T3115" s="8"/>
      <c r="U3115" s="8"/>
      <c r="V3115" s="8"/>
      <c r="W3115" s="8"/>
      <c r="X3115" s="771"/>
      <c r="Y3115" s="771"/>
      <c r="Z3115" s="771"/>
      <c r="AA3115" s="771"/>
      <c r="AB3115" s="771"/>
      <c r="AC3115" s="771"/>
      <c r="AD3115" s="771"/>
      <c r="AE3115" s="771"/>
      <c r="AF3115" s="771"/>
      <c r="AG3115" s="771"/>
      <c r="AH3115" s="771"/>
      <c r="AI3115" s="771"/>
      <c r="AJ3115" s="771"/>
      <c r="AK3115" s="771"/>
      <c r="AL3115" s="771"/>
      <c r="AM3115" s="771"/>
      <c r="AN3115" s="771"/>
      <c r="AO3115" s="771"/>
      <c r="AP3115" s="771"/>
      <c r="AQ3115" s="771"/>
      <c r="AR3115" s="771"/>
      <c r="AS3115" s="771"/>
      <c r="AT3115" s="771"/>
      <c r="AU3115" s="771"/>
    </row>
    <row r="3116" spans="1:47" s="1432" customFormat="1" outlineLevel="1" x14ac:dyDescent="0.2">
      <c r="A3116" s="8"/>
      <c r="B3116" s="8"/>
      <c r="C3116" s="1989" t="s">
        <v>69</v>
      </c>
      <c r="D3116" s="1989" t="s">
        <v>6446</v>
      </c>
      <c r="E3116" s="1989">
        <v>15.16</v>
      </c>
      <c r="F3116" s="38">
        <f t="shared" si="45"/>
        <v>1232.8299984</v>
      </c>
      <c r="G3116" s="1547"/>
      <c r="H3116" s="8"/>
      <c r="I3116" s="8"/>
      <c r="J3116" s="8"/>
      <c r="K3116" s="8"/>
      <c r="L3116" s="8"/>
      <c r="M3116" s="8"/>
      <c r="N3116" s="8"/>
      <c r="O3116" s="8"/>
      <c r="P3116" s="8"/>
      <c r="Q3116" s="8"/>
      <c r="R3116" s="8"/>
      <c r="S3116" s="8"/>
      <c r="T3116" s="8"/>
      <c r="U3116" s="8"/>
      <c r="V3116" s="8"/>
      <c r="W3116" s="8"/>
      <c r="X3116" s="771"/>
      <c r="Y3116" s="771"/>
      <c r="Z3116" s="771"/>
      <c r="AA3116" s="771"/>
      <c r="AB3116" s="771"/>
      <c r="AC3116" s="771"/>
      <c r="AD3116" s="771"/>
      <c r="AE3116" s="771"/>
      <c r="AF3116" s="771"/>
      <c r="AG3116" s="771"/>
      <c r="AH3116" s="771"/>
      <c r="AI3116" s="771"/>
      <c r="AJ3116" s="771"/>
      <c r="AK3116" s="771"/>
      <c r="AL3116" s="771"/>
      <c r="AM3116" s="771"/>
      <c r="AN3116" s="771"/>
      <c r="AO3116" s="771"/>
      <c r="AP3116" s="771"/>
      <c r="AQ3116" s="771"/>
      <c r="AR3116" s="771"/>
      <c r="AS3116" s="771"/>
      <c r="AT3116" s="771"/>
      <c r="AU3116" s="771"/>
    </row>
    <row r="3117" spans="1:47" s="1432" customFormat="1" outlineLevel="1" x14ac:dyDescent="0.2">
      <c r="A3117" s="8"/>
      <c r="B3117" s="8"/>
      <c r="C3117" s="1989" t="s">
        <v>70</v>
      </c>
      <c r="D3117" s="1989" t="s">
        <v>8311</v>
      </c>
      <c r="E3117" s="1989">
        <v>132.04</v>
      </c>
      <c r="F3117" s="38">
        <f t="shared" si="45"/>
        <v>10737.656529599999</v>
      </c>
      <c r="G3117" s="1547"/>
      <c r="H3117" s="8"/>
      <c r="I3117" s="8"/>
      <c r="J3117" s="8"/>
      <c r="K3117" s="8"/>
      <c r="L3117" s="8"/>
      <c r="M3117" s="8"/>
      <c r="N3117" s="8"/>
      <c r="O3117" s="8"/>
      <c r="P3117" s="8"/>
      <c r="Q3117" s="8"/>
      <c r="R3117" s="8"/>
      <c r="S3117" s="8"/>
      <c r="T3117" s="8"/>
      <c r="U3117" s="8"/>
      <c r="V3117" s="8"/>
      <c r="W3117" s="8"/>
      <c r="X3117" s="771"/>
      <c r="Y3117" s="771"/>
      <c r="Z3117" s="771"/>
      <c r="AA3117" s="771"/>
      <c r="AB3117" s="771"/>
      <c r="AC3117" s="771"/>
      <c r="AD3117" s="771"/>
      <c r="AE3117" s="771"/>
      <c r="AF3117" s="771"/>
      <c r="AG3117" s="771"/>
      <c r="AH3117" s="771"/>
      <c r="AI3117" s="771"/>
      <c r="AJ3117" s="771"/>
      <c r="AK3117" s="771"/>
      <c r="AL3117" s="771"/>
      <c r="AM3117" s="771"/>
      <c r="AN3117" s="771"/>
      <c r="AO3117" s="771"/>
      <c r="AP3117" s="771"/>
      <c r="AQ3117" s="771"/>
      <c r="AR3117" s="771"/>
      <c r="AS3117" s="771"/>
      <c r="AT3117" s="771"/>
      <c r="AU3117" s="771"/>
    </row>
    <row r="3118" spans="1:47" s="1432" customFormat="1" outlineLevel="1" x14ac:dyDescent="0.2">
      <c r="A3118" s="8"/>
      <c r="B3118" s="8"/>
      <c r="C3118" s="1989" t="s">
        <v>1141</v>
      </c>
      <c r="D3118" s="1989" t="s">
        <v>8312</v>
      </c>
      <c r="E3118" s="1989">
        <v>70.739999999999995</v>
      </c>
      <c r="F3118" s="38">
        <f t="shared" si="45"/>
        <v>5752.6645176000002</v>
      </c>
      <c r="G3118" s="1547"/>
      <c r="H3118" s="8"/>
      <c r="I3118" s="8"/>
      <c r="J3118" s="8"/>
      <c r="K3118" s="8"/>
      <c r="L3118" s="8"/>
      <c r="M3118" s="8"/>
      <c r="N3118" s="8"/>
      <c r="O3118" s="8"/>
      <c r="P3118" s="8"/>
      <c r="Q3118" s="8"/>
      <c r="R3118" s="8"/>
      <c r="S3118" s="8"/>
      <c r="T3118" s="8"/>
      <c r="U3118" s="8"/>
      <c r="V3118" s="8"/>
      <c r="W3118" s="8"/>
      <c r="X3118" s="771"/>
      <c r="Y3118" s="771"/>
      <c r="Z3118" s="771"/>
      <c r="AA3118" s="771"/>
      <c r="AB3118" s="771"/>
      <c r="AC3118" s="771"/>
      <c r="AD3118" s="771"/>
      <c r="AE3118" s="771"/>
      <c r="AF3118" s="771"/>
      <c r="AG3118" s="771"/>
      <c r="AH3118" s="771"/>
      <c r="AI3118" s="771"/>
      <c r="AJ3118" s="771"/>
      <c r="AK3118" s="771"/>
      <c r="AL3118" s="771"/>
      <c r="AM3118" s="771"/>
      <c r="AN3118" s="771"/>
      <c r="AO3118" s="771"/>
      <c r="AP3118" s="771"/>
      <c r="AQ3118" s="771"/>
      <c r="AR3118" s="771"/>
      <c r="AS3118" s="771"/>
      <c r="AT3118" s="771"/>
      <c r="AU3118" s="771"/>
    </row>
    <row r="3119" spans="1:47" s="1432" customFormat="1" outlineLevel="1" x14ac:dyDescent="0.2">
      <c r="A3119" s="8"/>
      <c r="B3119" s="8"/>
      <c r="C3119" s="1989" t="s">
        <v>2643</v>
      </c>
      <c r="D3119" s="1989" t="s">
        <v>6447</v>
      </c>
      <c r="E3119" s="1989">
        <v>12.98</v>
      </c>
      <c r="F3119" s="38">
        <f t="shared" si="45"/>
        <v>1055.5496952000001</v>
      </c>
      <c r="G3119" s="1547"/>
      <c r="H3119" s="8"/>
      <c r="I3119" s="8"/>
      <c r="J3119" s="8"/>
      <c r="K3119" s="8"/>
      <c r="L3119" s="8"/>
      <c r="M3119" s="8"/>
      <c r="N3119" s="8"/>
      <c r="O3119" s="8"/>
      <c r="P3119" s="8"/>
      <c r="Q3119" s="8"/>
      <c r="R3119" s="8"/>
      <c r="S3119" s="8"/>
      <c r="T3119" s="8"/>
      <c r="U3119" s="8"/>
      <c r="V3119" s="8"/>
      <c r="W3119" s="8"/>
      <c r="X3119" s="771"/>
      <c r="Y3119" s="771"/>
      <c r="Z3119" s="771"/>
      <c r="AA3119" s="771"/>
      <c r="AB3119" s="771"/>
      <c r="AC3119" s="771"/>
      <c r="AD3119" s="771"/>
      <c r="AE3119" s="771"/>
      <c r="AF3119" s="771"/>
      <c r="AG3119" s="771"/>
      <c r="AH3119" s="771"/>
      <c r="AI3119" s="771"/>
      <c r="AJ3119" s="771"/>
      <c r="AK3119" s="771"/>
      <c r="AL3119" s="771"/>
      <c r="AM3119" s="771"/>
      <c r="AN3119" s="771"/>
      <c r="AO3119" s="771"/>
      <c r="AP3119" s="771"/>
      <c r="AQ3119" s="771"/>
      <c r="AR3119" s="771"/>
      <c r="AS3119" s="771"/>
      <c r="AT3119" s="771"/>
      <c r="AU3119" s="771"/>
    </row>
    <row r="3120" spans="1:47" s="1432" customFormat="1" outlineLevel="1" x14ac:dyDescent="0.2">
      <c r="A3120" s="8"/>
      <c r="B3120" s="8"/>
      <c r="C3120" s="1989" t="s">
        <v>4918</v>
      </c>
      <c r="D3120" s="1989" t="s">
        <v>8313</v>
      </c>
      <c r="E3120" s="1989">
        <v>6.61</v>
      </c>
      <c r="F3120" s="38">
        <f t="shared" si="45"/>
        <v>537.53339640000002</v>
      </c>
      <c r="G3120" s="1547"/>
      <c r="H3120" s="8"/>
      <c r="I3120" s="8"/>
      <c r="J3120" s="8"/>
      <c r="K3120" s="8"/>
      <c r="L3120" s="8"/>
      <c r="M3120" s="8"/>
      <c r="N3120" s="8"/>
      <c r="O3120" s="8"/>
      <c r="P3120" s="8"/>
      <c r="Q3120" s="8"/>
      <c r="R3120" s="8"/>
      <c r="S3120" s="8"/>
      <c r="T3120" s="8"/>
      <c r="U3120" s="8"/>
      <c r="V3120" s="8"/>
      <c r="W3120" s="8"/>
      <c r="X3120" s="771"/>
      <c r="Y3120" s="771"/>
      <c r="Z3120" s="771"/>
      <c r="AA3120" s="771"/>
      <c r="AB3120" s="771"/>
      <c r="AC3120" s="771"/>
      <c r="AD3120" s="771"/>
      <c r="AE3120" s="771"/>
      <c r="AF3120" s="771"/>
      <c r="AG3120" s="771"/>
      <c r="AH3120" s="771"/>
      <c r="AI3120" s="771"/>
      <c r="AJ3120" s="771"/>
      <c r="AK3120" s="771"/>
      <c r="AL3120" s="771"/>
      <c r="AM3120" s="771"/>
      <c r="AN3120" s="771"/>
      <c r="AO3120" s="771"/>
      <c r="AP3120" s="771"/>
      <c r="AQ3120" s="771"/>
      <c r="AR3120" s="771"/>
      <c r="AS3120" s="771"/>
      <c r="AT3120" s="771"/>
      <c r="AU3120" s="771"/>
    </row>
    <row r="3121" spans="1:47" s="1432" customFormat="1" outlineLevel="1" x14ac:dyDescent="0.2">
      <c r="A3121" s="8"/>
      <c r="B3121" s="8"/>
      <c r="C3121" s="1989" t="s">
        <v>786</v>
      </c>
      <c r="D3121" s="1989" t="s">
        <v>6448</v>
      </c>
      <c r="E3121" s="6">
        <v>2725.27</v>
      </c>
      <c r="F3121" s="38">
        <f t="shared" si="45"/>
        <v>221622.33573480003</v>
      </c>
      <c r="G3121" s="1547"/>
      <c r="H3121" s="8"/>
      <c r="I3121" s="8"/>
      <c r="J3121" s="8"/>
      <c r="K3121" s="8"/>
      <c r="L3121" s="8"/>
      <c r="M3121" s="8"/>
      <c r="N3121" s="8"/>
      <c r="O3121" s="8"/>
      <c r="P3121" s="8"/>
      <c r="Q3121" s="8"/>
      <c r="R3121" s="8"/>
      <c r="S3121" s="8"/>
      <c r="T3121" s="8"/>
      <c r="U3121" s="8"/>
      <c r="V3121" s="8"/>
      <c r="W3121" s="8"/>
      <c r="X3121" s="771"/>
      <c r="Y3121" s="771"/>
      <c r="Z3121" s="771"/>
      <c r="AA3121" s="771"/>
      <c r="AB3121" s="771"/>
      <c r="AC3121" s="771"/>
      <c r="AD3121" s="771"/>
      <c r="AE3121" s="771"/>
      <c r="AF3121" s="771"/>
      <c r="AG3121" s="771"/>
      <c r="AH3121" s="771"/>
      <c r="AI3121" s="771"/>
      <c r="AJ3121" s="771"/>
      <c r="AK3121" s="771"/>
      <c r="AL3121" s="771"/>
      <c r="AM3121" s="771"/>
      <c r="AN3121" s="771"/>
      <c r="AO3121" s="771"/>
      <c r="AP3121" s="771"/>
      <c r="AQ3121" s="771"/>
      <c r="AR3121" s="771"/>
      <c r="AS3121" s="771"/>
      <c r="AT3121" s="771"/>
      <c r="AU3121" s="771"/>
    </row>
    <row r="3122" spans="1:47" s="1432" customFormat="1" outlineLevel="1" x14ac:dyDescent="0.2">
      <c r="A3122" s="8"/>
      <c r="B3122" s="8"/>
      <c r="C3122" s="1989" t="s">
        <v>787</v>
      </c>
      <c r="D3122" s="1989" t="s">
        <v>8314</v>
      </c>
      <c r="E3122" s="1989">
        <v>41.6</v>
      </c>
      <c r="F3122" s="38">
        <f t="shared" si="45"/>
        <v>3382.9635840000005</v>
      </c>
      <c r="G3122" s="1547"/>
      <c r="H3122" s="8"/>
      <c r="I3122" s="8"/>
      <c r="J3122" s="8"/>
      <c r="K3122" s="8"/>
      <c r="L3122" s="8"/>
      <c r="M3122" s="8"/>
      <c r="N3122" s="8"/>
      <c r="O3122" s="8"/>
      <c r="P3122" s="8"/>
      <c r="Q3122" s="8"/>
      <c r="R3122" s="8"/>
      <c r="S3122" s="8"/>
      <c r="T3122" s="8"/>
      <c r="U3122" s="8"/>
      <c r="V3122" s="8"/>
      <c r="W3122" s="8"/>
      <c r="X3122" s="771"/>
      <c r="Y3122" s="771"/>
      <c r="Z3122" s="771"/>
      <c r="AA3122" s="771"/>
      <c r="AB3122" s="771"/>
      <c r="AC3122" s="771"/>
      <c r="AD3122" s="771"/>
      <c r="AE3122" s="771"/>
      <c r="AF3122" s="771"/>
      <c r="AG3122" s="771"/>
      <c r="AH3122" s="771"/>
      <c r="AI3122" s="771"/>
      <c r="AJ3122" s="771"/>
      <c r="AK3122" s="771"/>
      <c r="AL3122" s="771"/>
      <c r="AM3122" s="771"/>
      <c r="AN3122" s="771"/>
      <c r="AO3122" s="771"/>
      <c r="AP3122" s="771"/>
      <c r="AQ3122" s="771"/>
      <c r="AR3122" s="771"/>
      <c r="AS3122" s="771"/>
      <c r="AT3122" s="771"/>
      <c r="AU3122" s="771"/>
    </row>
    <row r="3123" spans="1:47" s="1432" customFormat="1" outlineLevel="1" x14ac:dyDescent="0.2">
      <c r="A3123" s="8"/>
      <c r="B3123" s="8"/>
      <c r="C3123" s="1989" t="s">
        <v>788</v>
      </c>
      <c r="D3123" s="1989" t="s">
        <v>8315</v>
      </c>
      <c r="E3123" s="1989">
        <v>10.5</v>
      </c>
      <c r="F3123" s="38">
        <f t="shared" si="45"/>
        <v>853.87302</v>
      </c>
      <c r="G3123" s="1547"/>
      <c r="H3123" s="8"/>
      <c r="I3123" s="8"/>
      <c r="J3123" s="8"/>
      <c r="K3123" s="8"/>
      <c r="L3123" s="8"/>
      <c r="M3123" s="8"/>
      <c r="N3123" s="8"/>
      <c r="O3123" s="8"/>
      <c r="P3123" s="8"/>
      <c r="Q3123" s="8"/>
      <c r="R3123" s="8"/>
      <c r="S3123" s="8"/>
      <c r="T3123" s="8"/>
      <c r="U3123" s="8"/>
      <c r="V3123" s="8"/>
      <c r="W3123" s="8"/>
      <c r="X3123" s="771"/>
      <c r="Y3123" s="771"/>
      <c r="Z3123" s="771"/>
      <c r="AA3123" s="771"/>
      <c r="AB3123" s="771"/>
      <c r="AC3123" s="771"/>
      <c r="AD3123" s="771"/>
      <c r="AE3123" s="771"/>
      <c r="AF3123" s="771"/>
      <c r="AG3123" s="771"/>
      <c r="AH3123" s="771"/>
      <c r="AI3123" s="771"/>
      <c r="AJ3123" s="771"/>
      <c r="AK3123" s="771"/>
      <c r="AL3123" s="771"/>
      <c r="AM3123" s="771"/>
      <c r="AN3123" s="771"/>
      <c r="AO3123" s="771"/>
      <c r="AP3123" s="771"/>
      <c r="AQ3123" s="771"/>
      <c r="AR3123" s="771"/>
      <c r="AS3123" s="771"/>
      <c r="AT3123" s="771"/>
      <c r="AU3123" s="771"/>
    </row>
    <row r="3124" spans="1:47" s="1432" customFormat="1" outlineLevel="1" x14ac:dyDescent="0.2">
      <c r="A3124" s="8"/>
      <c r="B3124" s="8"/>
      <c r="C3124" s="1989" t="s">
        <v>789</v>
      </c>
      <c r="D3124" s="1989" t="s">
        <v>8316</v>
      </c>
      <c r="E3124" s="1989">
        <v>10.5</v>
      </c>
      <c r="F3124" s="38">
        <f t="shared" si="45"/>
        <v>853.87302</v>
      </c>
      <c r="G3124" s="1547"/>
      <c r="H3124" s="8"/>
      <c r="I3124" s="8"/>
      <c r="J3124" s="8"/>
      <c r="K3124" s="8"/>
      <c r="L3124" s="8"/>
      <c r="M3124" s="8"/>
      <c r="N3124" s="8"/>
      <c r="O3124" s="8"/>
      <c r="P3124" s="8"/>
      <c r="Q3124" s="8"/>
      <c r="R3124" s="8"/>
      <c r="S3124" s="8"/>
      <c r="T3124" s="8"/>
      <c r="U3124" s="8"/>
      <c r="V3124" s="8"/>
      <c r="W3124" s="8"/>
      <c r="X3124" s="771"/>
      <c r="Y3124" s="771"/>
      <c r="Z3124" s="771"/>
      <c r="AA3124" s="771"/>
      <c r="AB3124" s="771"/>
      <c r="AC3124" s="771"/>
      <c r="AD3124" s="771"/>
      <c r="AE3124" s="771"/>
      <c r="AF3124" s="771"/>
      <c r="AG3124" s="771"/>
      <c r="AH3124" s="771"/>
      <c r="AI3124" s="771"/>
      <c r="AJ3124" s="771"/>
      <c r="AK3124" s="771"/>
      <c r="AL3124" s="771"/>
      <c r="AM3124" s="771"/>
      <c r="AN3124" s="771"/>
      <c r="AO3124" s="771"/>
      <c r="AP3124" s="771"/>
      <c r="AQ3124" s="771"/>
      <c r="AR3124" s="771"/>
      <c r="AS3124" s="771"/>
      <c r="AT3124" s="771"/>
      <c r="AU3124" s="771"/>
    </row>
    <row r="3125" spans="1:47" s="1432" customFormat="1" outlineLevel="1" x14ac:dyDescent="0.2">
      <c r="A3125" s="8"/>
      <c r="B3125" s="8"/>
      <c r="C3125" s="1989" t="s">
        <v>3113</v>
      </c>
      <c r="D3125" s="1989" t="s">
        <v>8317</v>
      </c>
      <c r="E3125" s="1989">
        <v>40.299999999999997</v>
      </c>
      <c r="F3125" s="38">
        <f t="shared" si="45"/>
        <v>3277.2459719999997</v>
      </c>
      <c r="G3125" s="1547"/>
      <c r="H3125" s="8"/>
      <c r="I3125" s="8"/>
      <c r="J3125" s="8"/>
      <c r="K3125" s="8"/>
      <c r="L3125" s="8"/>
      <c r="M3125" s="8"/>
      <c r="N3125" s="8"/>
      <c r="O3125" s="8"/>
      <c r="P3125" s="8"/>
      <c r="Q3125" s="8"/>
      <c r="R3125" s="8"/>
      <c r="S3125" s="8"/>
      <c r="T3125" s="8"/>
      <c r="U3125" s="8"/>
      <c r="V3125" s="8"/>
      <c r="W3125" s="8"/>
      <c r="X3125" s="771"/>
      <c r="Y3125" s="771"/>
      <c r="Z3125" s="771"/>
      <c r="AA3125" s="771"/>
      <c r="AB3125" s="771"/>
      <c r="AC3125" s="771"/>
      <c r="AD3125" s="771"/>
      <c r="AE3125" s="771"/>
      <c r="AF3125" s="771"/>
      <c r="AG3125" s="771"/>
      <c r="AH3125" s="771"/>
      <c r="AI3125" s="771"/>
      <c r="AJ3125" s="771"/>
      <c r="AK3125" s="771"/>
      <c r="AL3125" s="771"/>
      <c r="AM3125" s="771"/>
      <c r="AN3125" s="771"/>
      <c r="AO3125" s="771"/>
      <c r="AP3125" s="771"/>
      <c r="AQ3125" s="771"/>
      <c r="AR3125" s="771"/>
      <c r="AS3125" s="771"/>
      <c r="AT3125" s="771"/>
      <c r="AU3125" s="771"/>
    </row>
    <row r="3126" spans="1:47" s="1432" customFormat="1" outlineLevel="1" x14ac:dyDescent="0.2">
      <c r="A3126" s="8"/>
      <c r="B3126" s="8"/>
      <c r="C3126" s="1989" t="s">
        <v>2649</v>
      </c>
      <c r="D3126" s="1989" t="s">
        <v>8318</v>
      </c>
      <c r="E3126" s="1989">
        <v>12.98</v>
      </c>
      <c r="F3126" s="38">
        <f t="shared" si="45"/>
        <v>1055.5496952000001</v>
      </c>
      <c r="G3126" s="1547"/>
      <c r="H3126" s="8"/>
      <c r="I3126" s="8"/>
      <c r="J3126" s="8"/>
      <c r="K3126" s="8"/>
      <c r="L3126" s="8"/>
      <c r="M3126" s="8"/>
      <c r="N3126" s="8"/>
      <c r="O3126" s="8"/>
      <c r="P3126" s="8"/>
      <c r="Q3126" s="8"/>
      <c r="R3126" s="8"/>
      <c r="S3126" s="8"/>
      <c r="T3126" s="8"/>
      <c r="U3126" s="8"/>
      <c r="V3126" s="8"/>
      <c r="W3126" s="8"/>
      <c r="X3126" s="771"/>
      <c r="Y3126" s="771"/>
      <c r="Z3126" s="771"/>
      <c r="AA3126" s="771"/>
      <c r="AB3126" s="771"/>
      <c r="AC3126" s="771"/>
      <c r="AD3126" s="771"/>
      <c r="AE3126" s="771"/>
      <c r="AF3126" s="771"/>
      <c r="AG3126" s="771"/>
      <c r="AH3126" s="771"/>
      <c r="AI3126" s="771"/>
      <c r="AJ3126" s="771"/>
      <c r="AK3126" s="771"/>
      <c r="AL3126" s="771"/>
      <c r="AM3126" s="771"/>
      <c r="AN3126" s="771"/>
      <c r="AO3126" s="771"/>
      <c r="AP3126" s="771"/>
      <c r="AQ3126" s="771"/>
      <c r="AR3126" s="771"/>
      <c r="AS3126" s="771"/>
      <c r="AT3126" s="771"/>
      <c r="AU3126" s="771"/>
    </row>
    <row r="3127" spans="1:47" s="1432" customFormat="1" outlineLevel="1" x14ac:dyDescent="0.2">
      <c r="A3127" s="8"/>
      <c r="B3127" s="8"/>
      <c r="C3127" s="1989" t="s">
        <v>2650</v>
      </c>
      <c r="D3127" s="1989" t="s">
        <v>2651</v>
      </c>
      <c r="E3127" s="1989">
        <v>0</v>
      </c>
      <c r="F3127" s="38">
        <f t="shared" si="45"/>
        <v>0</v>
      </c>
      <c r="G3127" s="1547"/>
      <c r="H3127" s="8"/>
      <c r="I3127" s="8"/>
      <c r="J3127" s="8"/>
      <c r="K3127" s="8"/>
      <c r="L3127" s="8"/>
      <c r="M3127" s="8"/>
      <c r="N3127" s="8"/>
      <c r="O3127" s="8"/>
      <c r="P3127" s="8"/>
      <c r="Q3127" s="8"/>
      <c r="R3127" s="8"/>
      <c r="S3127" s="8"/>
      <c r="T3127" s="8"/>
      <c r="U3127" s="8"/>
      <c r="V3127" s="8"/>
      <c r="W3127" s="8"/>
      <c r="X3127" s="771"/>
      <c r="Y3127" s="771"/>
      <c r="Z3127" s="771"/>
      <c r="AA3127" s="771"/>
      <c r="AB3127" s="771"/>
      <c r="AC3127" s="771"/>
      <c r="AD3127" s="771"/>
      <c r="AE3127" s="771"/>
      <c r="AF3127" s="771"/>
      <c r="AG3127" s="771"/>
      <c r="AH3127" s="771"/>
      <c r="AI3127" s="771"/>
      <c r="AJ3127" s="771"/>
      <c r="AK3127" s="771"/>
      <c r="AL3127" s="771"/>
      <c r="AM3127" s="771"/>
      <c r="AN3127" s="771"/>
      <c r="AO3127" s="771"/>
      <c r="AP3127" s="771"/>
      <c r="AQ3127" s="771"/>
      <c r="AR3127" s="771"/>
      <c r="AS3127" s="771"/>
      <c r="AT3127" s="771"/>
      <c r="AU3127" s="771"/>
    </row>
    <row r="3128" spans="1:47" s="1432" customFormat="1" outlineLevel="1" x14ac:dyDescent="0.2">
      <c r="A3128" s="8"/>
      <c r="B3128" s="8"/>
      <c r="C3128" s="1989" t="s">
        <v>790</v>
      </c>
      <c r="D3128" s="1989" t="s">
        <v>8319</v>
      </c>
      <c r="E3128" s="1989">
        <v>60.48</v>
      </c>
      <c r="F3128" s="38">
        <f t="shared" si="45"/>
        <v>4918.3085952000001</v>
      </c>
      <c r="G3128" s="1547"/>
      <c r="H3128" s="8"/>
      <c r="I3128" s="8"/>
      <c r="J3128" s="8"/>
      <c r="K3128" s="8"/>
      <c r="L3128" s="8"/>
      <c r="M3128" s="8"/>
      <c r="N3128" s="8"/>
      <c r="O3128" s="8"/>
      <c r="P3128" s="8"/>
      <c r="Q3128" s="8"/>
      <c r="R3128" s="8"/>
      <c r="S3128" s="8"/>
      <c r="T3128" s="8"/>
      <c r="U3128" s="8"/>
      <c r="V3128" s="8"/>
      <c r="W3128" s="8"/>
      <c r="X3128" s="771"/>
      <c r="Y3128" s="771"/>
      <c r="Z3128" s="771"/>
      <c r="AA3128" s="771"/>
      <c r="AB3128" s="771"/>
      <c r="AC3128" s="771"/>
      <c r="AD3128" s="771"/>
      <c r="AE3128" s="771"/>
      <c r="AF3128" s="771"/>
      <c r="AG3128" s="771"/>
      <c r="AH3128" s="771"/>
      <c r="AI3128" s="771"/>
      <c r="AJ3128" s="771"/>
      <c r="AK3128" s="771"/>
      <c r="AL3128" s="771"/>
      <c r="AM3128" s="771"/>
      <c r="AN3128" s="771"/>
      <c r="AO3128" s="771"/>
      <c r="AP3128" s="771"/>
      <c r="AQ3128" s="771"/>
      <c r="AR3128" s="771"/>
      <c r="AS3128" s="771"/>
      <c r="AT3128" s="771"/>
      <c r="AU3128" s="771"/>
    </row>
    <row r="3129" spans="1:47" s="1432" customFormat="1" outlineLevel="1" x14ac:dyDescent="0.2">
      <c r="A3129" s="8"/>
      <c r="B3129" s="8"/>
      <c r="C3129" s="1989" t="s">
        <v>1756</v>
      </c>
      <c r="D3129" s="1989" t="s">
        <v>6449</v>
      </c>
      <c r="E3129" s="1989">
        <v>200.48</v>
      </c>
      <c r="F3129" s="38">
        <f t="shared" si="45"/>
        <v>16303.282195199999</v>
      </c>
      <c r="G3129" s="1547"/>
      <c r="H3129" s="8"/>
      <c r="I3129" s="8"/>
      <c r="J3129" s="8"/>
      <c r="K3129" s="8"/>
      <c r="L3129" s="8"/>
      <c r="M3129" s="8"/>
      <c r="N3129" s="8"/>
      <c r="O3129" s="8"/>
      <c r="P3129" s="8"/>
      <c r="Q3129" s="8"/>
      <c r="R3129" s="8"/>
      <c r="S3129" s="8"/>
      <c r="T3129" s="8"/>
      <c r="U3129" s="8"/>
      <c r="V3129" s="8"/>
      <c r="W3129" s="8"/>
      <c r="X3129" s="771"/>
      <c r="Y3129" s="771"/>
      <c r="Z3129" s="771"/>
      <c r="AA3129" s="771"/>
      <c r="AB3129" s="771"/>
      <c r="AC3129" s="771"/>
      <c r="AD3129" s="771"/>
      <c r="AE3129" s="771"/>
      <c r="AF3129" s="771"/>
      <c r="AG3129" s="771"/>
      <c r="AH3129" s="771"/>
      <c r="AI3129" s="771"/>
      <c r="AJ3129" s="771"/>
      <c r="AK3129" s="771"/>
      <c r="AL3129" s="771"/>
      <c r="AM3129" s="771"/>
      <c r="AN3129" s="771"/>
      <c r="AO3129" s="771"/>
      <c r="AP3129" s="771"/>
      <c r="AQ3129" s="771"/>
      <c r="AR3129" s="771"/>
      <c r="AS3129" s="771"/>
      <c r="AT3129" s="771"/>
      <c r="AU3129" s="771"/>
    </row>
    <row r="3130" spans="1:47" s="1432" customFormat="1" outlineLevel="1" x14ac:dyDescent="0.2">
      <c r="A3130" s="8"/>
      <c r="B3130" s="8"/>
      <c r="C3130" s="1989" t="s">
        <v>1757</v>
      </c>
      <c r="D3130" s="1989" t="s">
        <v>6450</v>
      </c>
      <c r="E3130" s="1989">
        <v>17.059999999999999</v>
      </c>
      <c r="F3130" s="38">
        <f t="shared" ref="F3130:F3193" si="46">E3130*$G$4*$J$4</f>
        <v>1387.3403544</v>
      </c>
      <c r="G3130" s="1547"/>
      <c r="H3130" s="8"/>
      <c r="I3130" s="8"/>
      <c r="J3130" s="8"/>
      <c r="K3130" s="8"/>
      <c r="L3130" s="8"/>
      <c r="M3130" s="8"/>
      <c r="N3130" s="8"/>
      <c r="O3130" s="8"/>
      <c r="P3130" s="8"/>
      <c r="Q3130" s="8"/>
      <c r="R3130" s="8"/>
      <c r="S3130" s="8"/>
      <c r="T3130" s="8"/>
      <c r="U3130" s="8"/>
      <c r="V3130" s="8"/>
      <c r="W3130" s="8"/>
      <c r="X3130" s="771"/>
      <c r="Y3130" s="771"/>
      <c r="Z3130" s="771"/>
      <c r="AA3130" s="771"/>
      <c r="AB3130" s="771"/>
      <c r="AC3130" s="771"/>
      <c r="AD3130" s="771"/>
      <c r="AE3130" s="771"/>
      <c r="AF3130" s="771"/>
      <c r="AG3130" s="771"/>
      <c r="AH3130" s="771"/>
      <c r="AI3130" s="771"/>
      <c r="AJ3130" s="771"/>
      <c r="AK3130" s="771"/>
      <c r="AL3130" s="771"/>
      <c r="AM3130" s="771"/>
      <c r="AN3130" s="771"/>
      <c r="AO3130" s="771"/>
      <c r="AP3130" s="771"/>
      <c r="AQ3130" s="771"/>
      <c r="AR3130" s="771"/>
      <c r="AS3130" s="771"/>
      <c r="AT3130" s="771"/>
      <c r="AU3130" s="771"/>
    </row>
    <row r="3131" spans="1:47" s="1432" customFormat="1" outlineLevel="1" x14ac:dyDescent="0.2">
      <c r="A3131" s="8"/>
      <c r="B3131" s="8"/>
      <c r="C3131" s="1989" t="s">
        <v>1758</v>
      </c>
      <c r="D3131" s="1989" t="s">
        <v>8320</v>
      </c>
      <c r="E3131" s="6">
        <v>8616.66</v>
      </c>
      <c r="F3131" s="38">
        <f t="shared" si="46"/>
        <v>700717.47585840011</v>
      </c>
      <c r="G3131" s="1547"/>
      <c r="H3131" s="8"/>
      <c r="I3131" s="8"/>
      <c r="J3131" s="8"/>
      <c r="K3131" s="8"/>
      <c r="L3131" s="8"/>
      <c r="M3131" s="8"/>
      <c r="N3131" s="8"/>
      <c r="O3131" s="8"/>
      <c r="P3131" s="8"/>
      <c r="Q3131" s="8"/>
      <c r="R3131" s="8"/>
      <c r="S3131" s="8"/>
      <c r="T3131" s="8"/>
      <c r="U3131" s="8"/>
      <c r="V3131" s="8"/>
      <c r="W3131" s="8"/>
      <c r="X3131" s="771"/>
      <c r="Y3131" s="771"/>
      <c r="Z3131" s="771"/>
      <c r="AA3131" s="771"/>
      <c r="AB3131" s="771"/>
      <c r="AC3131" s="771"/>
      <c r="AD3131" s="771"/>
      <c r="AE3131" s="771"/>
      <c r="AF3131" s="771"/>
      <c r="AG3131" s="771"/>
      <c r="AH3131" s="771"/>
      <c r="AI3131" s="771"/>
      <c r="AJ3131" s="771"/>
      <c r="AK3131" s="771"/>
      <c r="AL3131" s="771"/>
      <c r="AM3131" s="771"/>
      <c r="AN3131" s="771"/>
      <c r="AO3131" s="771"/>
      <c r="AP3131" s="771"/>
      <c r="AQ3131" s="771"/>
      <c r="AR3131" s="771"/>
      <c r="AS3131" s="771"/>
      <c r="AT3131" s="771"/>
      <c r="AU3131" s="771"/>
    </row>
    <row r="3132" spans="1:47" s="1432" customFormat="1" outlineLevel="1" x14ac:dyDescent="0.2">
      <c r="A3132" s="8"/>
      <c r="B3132" s="8"/>
      <c r="C3132" s="1989" t="s">
        <v>3114</v>
      </c>
      <c r="D3132" s="1989" t="s">
        <v>3382</v>
      </c>
      <c r="E3132" s="6">
        <v>1520.96</v>
      </c>
      <c r="F3132" s="38">
        <f t="shared" si="46"/>
        <v>123686.35319040001</v>
      </c>
      <c r="G3132" s="1547"/>
      <c r="H3132" s="8"/>
      <c r="I3132" s="8"/>
      <c r="J3132" s="8"/>
      <c r="K3132" s="8"/>
      <c r="L3132" s="8"/>
      <c r="M3132" s="8"/>
      <c r="N3132" s="8"/>
      <c r="O3132" s="8"/>
      <c r="P3132" s="8"/>
      <c r="Q3132" s="8"/>
      <c r="R3132" s="8"/>
      <c r="S3132" s="8"/>
      <c r="T3132" s="8"/>
      <c r="U3132" s="8"/>
      <c r="V3132" s="8"/>
      <c r="W3132" s="8"/>
      <c r="X3132" s="771"/>
      <c r="Y3132" s="771"/>
      <c r="Z3132" s="771"/>
      <c r="AA3132" s="771"/>
      <c r="AB3132" s="771"/>
      <c r="AC3132" s="771"/>
      <c r="AD3132" s="771"/>
      <c r="AE3132" s="771"/>
      <c r="AF3132" s="771"/>
      <c r="AG3132" s="771"/>
      <c r="AH3132" s="771"/>
      <c r="AI3132" s="771"/>
      <c r="AJ3132" s="771"/>
      <c r="AK3132" s="771"/>
      <c r="AL3132" s="771"/>
      <c r="AM3132" s="771"/>
      <c r="AN3132" s="771"/>
      <c r="AO3132" s="771"/>
      <c r="AP3132" s="771"/>
      <c r="AQ3132" s="771"/>
      <c r="AR3132" s="771"/>
      <c r="AS3132" s="771"/>
      <c r="AT3132" s="771"/>
      <c r="AU3132" s="771"/>
    </row>
    <row r="3133" spans="1:47" s="1432" customFormat="1" outlineLevel="1" x14ac:dyDescent="0.2">
      <c r="A3133" s="8"/>
      <c r="B3133" s="8"/>
      <c r="C3133" s="1989" t="s">
        <v>2652</v>
      </c>
      <c r="D3133" s="1989" t="s">
        <v>8321</v>
      </c>
      <c r="E3133" s="1989">
        <v>5.0199999999999996</v>
      </c>
      <c r="F3133" s="38">
        <f t="shared" si="46"/>
        <v>408.2326248</v>
      </c>
      <c r="G3133" s="1547"/>
      <c r="H3133" s="8"/>
      <c r="I3133" s="8"/>
      <c r="J3133" s="8"/>
      <c r="K3133" s="8"/>
      <c r="L3133" s="8"/>
      <c r="M3133" s="8"/>
      <c r="N3133" s="8"/>
      <c r="O3133" s="8"/>
      <c r="P3133" s="8"/>
      <c r="Q3133" s="8"/>
      <c r="R3133" s="8"/>
      <c r="S3133" s="8"/>
      <c r="T3133" s="8"/>
      <c r="U3133" s="8"/>
      <c r="V3133" s="8"/>
      <c r="W3133" s="8"/>
      <c r="X3133" s="771"/>
      <c r="Y3133" s="771"/>
      <c r="Z3133" s="771"/>
      <c r="AA3133" s="771"/>
      <c r="AB3133" s="771"/>
      <c r="AC3133" s="771"/>
      <c r="AD3133" s="771"/>
      <c r="AE3133" s="771"/>
      <c r="AF3133" s="771"/>
      <c r="AG3133" s="771"/>
      <c r="AH3133" s="771"/>
      <c r="AI3133" s="771"/>
      <c r="AJ3133" s="771"/>
      <c r="AK3133" s="771"/>
      <c r="AL3133" s="771"/>
      <c r="AM3133" s="771"/>
      <c r="AN3133" s="771"/>
      <c r="AO3133" s="771"/>
      <c r="AP3133" s="771"/>
      <c r="AQ3133" s="771"/>
      <c r="AR3133" s="771"/>
      <c r="AS3133" s="771"/>
      <c r="AT3133" s="771"/>
      <c r="AU3133" s="771"/>
    </row>
    <row r="3134" spans="1:47" s="1432" customFormat="1" outlineLevel="1" x14ac:dyDescent="0.2">
      <c r="A3134" s="8"/>
      <c r="B3134" s="8"/>
      <c r="C3134" s="1989" t="s">
        <v>254</v>
      </c>
      <c r="D3134" s="1989" t="s">
        <v>8322</v>
      </c>
      <c r="E3134" s="1989">
        <v>12.04</v>
      </c>
      <c r="F3134" s="38">
        <f t="shared" si="46"/>
        <v>979.10772959999997</v>
      </c>
      <c r="G3134" s="1547"/>
      <c r="H3134" s="8"/>
      <c r="I3134" s="8"/>
      <c r="J3134" s="8"/>
      <c r="K3134" s="8"/>
      <c r="L3134" s="8"/>
      <c r="M3134" s="8"/>
      <c r="N3134" s="8"/>
      <c r="O3134" s="8"/>
      <c r="P3134" s="8"/>
      <c r="Q3134" s="8"/>
      <c r="R3134" s="8"/>
      <c r="S3134" s="8"/>
      <c r="T3134" s="8"/>
      <c r="U3134" s="8"/>
      <c r="V3134" s="8"/>
      <c r="W3134" s="8"/>
      <c r="X3134" s="771"/>
      <c r="Y3134" s="771"/>
      <c r="Z3134" s="771"/>
      <c r="AA3134" s="771"/>
      <c r="AB3134" s="771"/>
      <c r="AC3134" s="771"/>
      <c r="AD3134" s="771"/>
      <c r="AE3134" s="771"/>
      <c r="AF3134" s="771"/>
      <c r="AG3134" s="771"/>
      <c r="AH3134" s="771"/>
      <c r="AI3134" s="771"/>
      <c r="AJ3134" s="771"/>
      <c r="AK3134" s="771"/>
      <c r="AL3134" s="771"/>
      <c r="AM3134" s="771"/>
      <c r="AN3134" s="771"/>
      <c r="AO3134" s="771"/>
      <c r="AP3134" s="771"/>
      <c r="AQ3134" s="771"/>
      <c r="AR3134" s="771"/>
      <c r="AS3134" s="771"/>
      <c r="AT3134" s="771"/>
      <c r="AU3134" s="771"/>
    </row>
    <row r="3135" spans="1:47" s="1432" customFormat="1" outlineLevel="1" x14ac:dyDescent="0.2">
      <c r="A3135" s="8"/>
      <c r="B3135" s="8"/>
      <c r="C3135" s="1989" t="s">
        <v>2657</v>
      </c>
      <c r="D3135" s="1989" t="s">
        <v>8323</v>
      </c>
      <c r="E3135" s="1989">
        <v>0</v>
      </c>
      <c r="F3135" s="38">
        <f t="shared" si="46"/>
        <v>0</v>
      </c>
      <c r="G3135" s="1547"/>
      <c r="H3135" s="8"/>
      <c r="I3135" s="8"/>
      <c r="J3135" s="8"/>
      <c r="K3135" s="8"/>
      <c r="L3135" s="8"/>
      <c r="M3135" s="8"/>
      <c r="N3135" s="8"/>
      <c r="O3135" s="8"/>
      <c r="P3135" s="8"/>
      <c r="Q3135" s="8"/>
      <c r="R3135" s="8"/>
      <c r="S3135" s="8"/>
      <c r="T3135" s="8"/>
      <c r="U3135" s="8"/>
      <c r="V3135" s="8"/>
      <c r="W3135" s="8"/>
      <c r="X3135" s="771"/>
      <c r="Y3135" s="771"/>
      <c r="Z3135" s="771"/>
      <c r="AA3135" s="771"/>
      <c r="AB3135" s="771"/>
      <c r="AC3135" s="771"/>
      <c r="AD3135" s="771"/>
      <c r="AE3135" s="771"/>
      <c r="AF3135" s="771"/>
      <c r="AG3135" s="771"/>
      <c r="AH3135" s="771"/>
      <c r="AI3135" s="771"/>
      <c r="AJ3135" s="771"/>
      <c r="AK3135" s="771"/>
      <c r="AL3135" s="771"/>
      <c r="AM3135" s="771"/>
      <c r="AN3135" s="771"/>
      <c r="AO3135" s="771"/>
      <c r="AP3135" s="771"/>
      <c r="AQ3135" s="771"/>
      <c r="AR3135" s="771"/>
      <c r="AS3135" s="771"/>
      <c r="AT3135" s="771"/>
      <c r="AU3135" s="771"/>
    </row>
    <row r="3136" spans="1:47" s="1432" customFormat="1" outlineLevel="1" x14ac:dyDescent="0.2">
      <c r="A3136" s="8"/>
      <c r="B3136" s="8"/>
      <c r="C3136" s="1989" t="s">
        <v>2658</v>
      </c>
      <c r="D3136" s="1989" t="s">
        <v>6451</v>
      </c>
      <c r="E3136" s="1989">
        <v>0</v>
      </c>
      <c r="F3136" s="38">
        <f t="shared" si="46"/>
        <v>0</v>
      </c>
      <c r="G3136" s="1547"/>
      <c r="H3136" s="8"/>
      <c r="I3136" s="8"/>
      <c r="J3136" s="8"/>
      <c r="K3136" s="8"/>
      <c r="L3136" s="8"/>
      <c r="M3136" s="8"/>
      <c r="N3136" s="8"/>
      <c r="O3136" s="8"/>
      <c r="P3136" s="8"/>
      <c r="Q3136" s="8"/>
      <c r="R3136" s="8"/>
      <c r="S3136" s="8"/>
      <c r="T3136" s="8"/>
      <c r="U3136" s="8"/>
      <c r="V3136" s="8"/>
      <c r="W3136" s="8"/>
      <c r="X3136" s="771"/>
      <c r="Y3136" s="771"/>
      <c r="Z3136" s="771"/>
      <c r="AA3136" s="771"/>
      <c r="AB3136" s="771"/>
      <c r="AC3136" s="771"/>
      <c r="AD3136" s="771"/>
      <c r="AE3136" s="771"/>
      <c r="AF3136" s="771"/>
      <c r="AG3136" s="771"/>
      <c r="AH3136" s="771"/>
      <c r="AI3136" s="771"/>
      <c r="AJ3136" s="771"/>
      <c r="AK3136" s="771"/>
      <c r="AL3136" s="771"/>
      <c r="AM3136" s="771"/>
      <c r="AN3136" s="771"/>
      <c r="AO3136" s="771"/>
      <c r="AP3136" s="771"/>
      <c r="AQ3136" s="771"/>
      <c r="AR3136" s="771"/>
      <c r="AS3136" s="771"/>
      <c r="AT3136" s="771"/>
      <c r="AU3136" s="771"/>
    </row>
    <row r="3137" spans="1:47" s="1432" customFormat="1" outlineLevel="1" x14ac:dyDescent="0.2">
      <c r="A3137" s="8"/>
      <c r="B3137" s="8"/>
      <c r="C3137" s="1989" t="s">
        <v>3383</v>
      </c>
      <c r="D3137" s="1989" t="s">
        <v>8324</v>
      </c>
      <c r="E3137" s="1989">
        <v>0</v>
      </c>
      <c r="F3137" s="38">
        <f t="shared" si="46"/>
        <v>0</v>
      </c>
      <c r="G3137" s="1547"/>
      <c r="H3137" s="8"/>
      <c r="I3137" s="8"/>
      <c r="J3137" s="8"/>
      <c r="K3137" s="8"/>
      <c r="L3137" s="8"/>
      <c r="M3137" s="8"/>
      <c r="N3137" s="8"/>
      <c r="O3137" s="8"/>
      <c r="P3137" s="8"/>
      <c r="Q3137" s="8"/>
      <c r="R3137" s="8"/>
      <c r="S3137" s="8"/>
      <c r="T3137" s="8"/>
      <c r="U3137" s="8"/>
      <c r="V3137" s="8"/>
      <c r="W3137" s="8"/>
      <c r="X3137" s="771"/>
      <c r="Y3137" s="771"/>
      <c r="Z3137" s="771"/>
      <c r="AA3137" s="771"/>
      <c r="AB3137" s="771"/>
      <c r="AC3137" s="771"/>
      <c r="AD3137" s="771"/>
      <c r="AE3137" s="771"/>
      <c r="AF3137" s="771"/>
      <c r="AG3137" s="771"/>
      <c r="AH3137" s="771"/>
      <c r="AI3137" s="771"/>
      <c r="AJ3137" s="771"/>
      <c r="AK3137" s="771"/>
      <c r="AL3137" s="771"/>
      <c r="AM3137" s="771"/>
      <c r="AN3137" s="771"/>
      <c r="AO3137" s="771"/>
      <c r="AP3137" s="771"/>
      <c r="AQ3137" s="771"/>
      <c r="AR3137" s="771"/>
      <c r="AS3137" s="771"/>
      <c r="AT3137" s="771"/>
      <c r="AU3137" s="771"/>
    </row>
    <row r="3138" spans="1:47" s="1432" customFormat="1" outlineLevel="1" x14ac:dyDescent="0.2">
      <c r="A3138" s="8"/>
      <c r="B3138" s="8"/>
      <c r="C3138" s="1989" t="s">
        <v>2660</v>
      </c>
      <c r="D3138" s="1989" t="s">
        <v>3384</v>
      </c>
      <c r="E3138" s="1989">
        <v>388.87</v>
      </c>
      <c r="F3138" s="38">
        <f t="shared" si="46"/>
        <v>31623.390598800004</v>
      </c>
      <c r="G3138" s="1547"/>
      <c r="H3138" s="8"/>
      <c r="I3138" s="8"/>
      <c r="J3138" s="8"/>
      <c r="K3138" s="8"/>
      <c r="O3138" s="8"/>
      <c r="P3138" s="8"/>
      <c r="Q3138" s="8"/>
      <c r="R3138" s="8"/>
      <c r="S3138" s="8"/>
      <c r="T3138" s="8"/>
      <c r="U3138" s="8"/>
      <c r="V3138" s="8"/>
      <c r="W3138" s="8"/>
      <c r="X3138" s="771"/>
      <c r="Y3138" s="771"/>
      <c r="Z3138" s="771"/>
      <c r="AA3138" s="771"/>
      <c r="AB3138" s="771"/>
      <c r="AC3138" s="771"/>
      <c r="AD3138" s="771"/>
      <c r="AE3138" s="771"/>
      <c r="AF3138" s="771"/>
      <c r="AG3138" s="771"/>
      <c r="AH3138" s="771"/>
      <c r="AI3138" s="771"/>
      <c r="AJ3138" s="771"/>
      <c r="AK3138" s="771"/>
      <c r="AL3138" s="771"/>
      <c r="AM3138" s="771"/>
      <c r="AN3138" s="771"/>
      <c r="AO3138" s="771"/>
      <c r="AP3138" s="771"/>
      <c r="AQ3138" s="771"/>
      <c r="AR3138" s="771"/>
      <c r="AS3138" s="771"/>
      <c r="AT3138" s="771"/>
      <c r="AU3138" s="771"/>
    </row>
    <row r="3139" spans="1:47" s="1432" customFormat="1" outlineLevel="1" x14ac:dyDescent="0.2">
      <c r="A3139" s="8"/>
      <c r="B3139" s="8"/>
      <c r="C3139" s="1989" t="s">
        <v>2665</v>
      </c>
      <c r="D3139" s="1989" t="s">
        <v>8325</v>
      </c>
      <c r="E3139" s="1989">
        <v>0</v>
      </c>
      <c r="F3139" s="38">
        <f t="shared" si="46"/>
        <v>0</v>
      </c>
      <c r="G3139" s="1547"/>
      <c r="H3139" s="8"/>
      <c r="I3139" s="8"/>
      <c r="J3139" s="8"/>
      <c r="K3139" s="8"/>
      <c r="O3139" s="8"/>
      <c r="P3139" s="8"/>
      <c r="Q3139" s="8"/>
      <c r="R3139" s="8"/>
      <c r="S3139" s="8"/>
      <c r="T3139" s="8"/>
      <c r="U3139" s="8"/>
      <c r="V3139" s="8"/>
      <c r="W3139" s="8"/>
      <c r="X3139" s="771"/>
      <c r="Y3139" s="771"/>
      <c r="Z3139" s="771"/>
      <c r="AA3139" s="771"/>
      <c r="AB3139" s="771"/>
      <c r="AC3139" s="771"/>
      <c r="AD3139" s="771"/>
      <c r="AE3139" s="771"/>
      <c r="AF3139" s="771"/>
      <c r="AG3139" s="771"/>
      <c r="AH3139" s="771"/>
      <c r="AI3139" s="771"/>
      <c r="AJ3139" s="771"/>
      <c r="AK3139" s="771"/>
      <c r="AL3139" s="771"/>
      <c r="AM3139" s="771"/>
      <c r="AN3139" s="771"/>
      <c r="AO3139" s="771"/>
      <c r="AP3139" s="771"/>
      <c r="AQ3139" s="771"/>
      <c r="AR3139" s="771"/>
      <c r="AS3139" s="771"/>
      <c r="AT3139" s="771"/>
      <c r="AU3139" s="771"/>
    </row>
    <row r="3140" spans="1:47" s="1432" customFormat="1" outlineLevel="1" x14ac:dyDescent="0.2">
      <c r="A3140" s="8"/>
      <c r="B3140" s="8"/>
      <c r="C3140" s="1989" t="s">
        <v>4193</v>
      </c>
      <c r="D3140" s="1989" t="s">
        <v>6452</v>
      </c>
      <c r="E3140" s="1989">
        <v>0</v>
      </c>
      <c r="F3140" s="38">
        <f t="shared" si="46"/>
        <v>0</v>
      </c>
      <c r="G3140" s="1547"/>
      <c r="H3140" s="8"/>
      <c r="I3140" s="8"/>
      <c r="J3140" s="8"/>
      <c r="K3140" s="8"/>
      <c r="O3140" s="8"/>
      <c r="P3140" s="8"/>
      <c r="Q3140" s="8"/>
      <c r="R3140" s="8"/>
      <c r="S3140" s="8"/>
      <c r="T3140" s="8"/>
      <c r="U3140" s="8"/>
      <c r="V3140" s="8"/>
      <c r="W3140" s="8"/>
      <c r="X3140" s="771"/>
      <c r="Y3140" s="771"/>
      <c r="Z3140" s="771"/>
      <c r="AA3140" s="771"/>
      <c r="AB3140" s="771"/>
      <c r="AC3140" s="771"/>
      <c r="AD3140" s="771"/>
      <c r="AE3140" s="771"/>
      <c r="AF3140" s="771"/>
      <c r="AG3140" s="771"/>
      <c r="AH3140" s="771"/>
      <c r="AI3140" s="771"/>
      <c r="AJ3140" s="771"/>
      <c r="AK3140" s="771"/>
      <c r="AL3140" s="771"/>
      <c r="AM3140" s="771"/>
      <c r="AN3140" s="771"/>
      <c r="AO3140" s="771"/>
      <c r="AP3140" s="771"/>
      <c r="AQ3140" s="771"/>
      <c r="AR3140" s="771"/>
      <c r="AS3140" s="771"/>
      <c r="AT3140" s="771"/>
      <c r="AU3140" s="771"/>
    </row>
    <row r="3141" spans="1:47" s="1432" customFormat="1" outlineLevel="1" x14ac:dyDescent="0.2">
      <c r="A3141" s="8"/>
      <c r="B3141" s="8"/>
      <c r="C3141" s="1989" t="s">
        <v>4919</v>
      </c>
      <c r="D3141" s="1989" t="s">
        <v>8326</v>
      </c>
      <c r="E3141" s="1989">
        <v>12.74</v>
      </c>
      <c r="F3141" s="38">
        <f t="shared" si="46"/>
        <v>1036.0325976000001</v>
      </c>
      <c r="G3141" s="1547"/>
      <c r="H3141" s="8"/>
      <c r="I3141" s="8"/>
      <c r="J3141" s="8"/>
      <c r="K3141" s="8"/>
      <c r="O3141" s="8"/>
      <c r="P3141" s="8"/>
      <c r="Q3141" s="8"/>
      <c r="R3141" s="8"/>
      <c r="S3141" s="8"/>
      <c r="T3141" s="8"/>
      <c r="U3141" s="8"/>
      <c r="V3141" s="8"/>
      <c r="W3141" s="8"/>
      <c r="X3141" s="771"/>
      <c r="Y3141" s="771"/>
      <c r="Z3141" s="771"/>
      <c r="AA3141" s="771"/>
      <c r="AB3141" s="771"/>
      <c r="AC3141" s="771"/>
      <c r="AD3141" s="771"/>
      <c r="AE3141" s="771"/>
      <c r="AF3141" s="771"/>
      <c r="AG3141" s="771"/>
      <c r="AH3141" s="771"/>
      <c r="AI3141" s="771"/>
      <c r="AJ3141" s="771"/>
      <c r="AK3141" s="771"/>
      <c r="AL3141" s="771"/>
      <c r="AM3141" s="771"/>
      <c r="AN3141" s="771"/>
      <c r="AO3141" s="771"/>
      <c r="AP3141" s="771"/>
      <c r="AQ3141" s="771"/>
      <c r="AR3141" s="771"/>
      <c r="AS3141" s="771"/>
      <c r="AT3141" s="771"/>
      <c r="AU3141" s="771"/>
    </row>
    <row r="3142" spans="1:47" s="1432" customFormat="1" outlineLevel="1" x14ac:dyDescent="0.2">
      <c r="A3142" s="8"/>
      <c r="B3142" s="8"/>
      <c r="C3142" s="1989" t="s">
        <v>255</v>
      </c>
      <c r="D3142" s="1989" t="s">
        <v>8327</v>
      </c>
      <c r="E3142" s="1989">
        <v>2.71</v>
      </c>
      <c r="F3142" s="38">
        <f t="shared" si="46"/>
        <v>220.38056040000001</v>
      </c>
      <c r="G3142" s="1547"/>
      <c r="H3142" s="8"/>
      <c r="I3142" s="8"/>
      <c r="J3142" s="8"/>
      <c r="K3142" s="8"/>
      <c r="O3142" s="8"/>
      <c r="P3142" s="8"/>
      <c r="Q3142" s="8"/>
      <c r="R3142" s="8"/>
      <c r="S3142" s="8"/>
      <c r="T3142" s="8"/>
      <c r="U3142" s="8"/>
      <c r="V3142" s="8"/>
      <c r="W3142" s="8"/>
      <c r="X3142" s="771"/>
      <c r="Y3142" s="771"/>
      <c r="Z3142" s="771"/>
      <c r="AA3142" s="771"/>
      <c r="AB3142" s="771"/>
      <c r="AC3142" s="771"/>
      <c r="AD3142" s="771"/>
      <c r="AE3142" s="771"/>
      <c r="AF3142" s="771"/>
      <c r="AG3142" s="771"/>
      <c r="AH3142" s="771"/>
      <c r="AI3142" s="771"/>
      <c r="AJ3142" s="771"/>
      <c r="AK3142" s="771"/>
      <c r="AL3142" s="771"/>
      <c r="AM3142" s="771"/>
      <c r="AN3142" s="771"/>
      <c r="AO3142" s="771"/>
      <c r="AP3142" s="771"/>
      <c r="AQ3142" s="771"/>
      <c r="AR3142" s="771"/>
      <c r="AS3142" s="771"/>
      <c r="AT3142" s="771"/>
      <c r="AU3142" s="771"/>
    </row>
    <row r="3143" spans="1:47" s="1432" customFormat="1" outlineLevel="1" x14ac:dyDescent="0.2">
      <c r="A3143" s="8"/>
      <c r="B3143" s="8"/>
      <c r="C3143" s="1989" t="s">
        <v>256</v>
      </c>
      <c r="D3143" s="1989" t="s">
        <v>3385</v>
      </c>
      <c r="E3143" s="1989">
        <v>15.81</v>
      </c>
      <c r="F3143" s="38">
        <f t="shared" si="46"/>
        <v>1285.6888044000002</v>
      </c>
      <c r="G3143" s="1547"/>
      <c r="H3143" s="8"/>
      <c r="I3143" s="8"/>
      <c r="J3143" s="8"/>
      <c r="K3143" s="8"/>
      <c r="O3143" s="8"/>
      <c r="P3143" s="8"/>
      <c r="Q3143" s="8"/>
      <c r="R3143" s="8"/>
      <c r="S3143" s="8"/>
      <c r="T3143" s="8"/>
      <c r="U3143" s="8"/>
      <c r="V3143" s="8"/>
      <c r="W3143" s="8"/>
      <c r="X3143" s="771"/>
      <c r="Y3143" s="771"/>
      <c r="Z3143" s="771"/>
      <c r="AA3143" s="771"/>
      <c r="AB3143" s="771"/>
      <c r="AC3143" s="771"/>
      <c r="AD3143" s="771"/>
      <c r="AE3143" s="771"/>
      <c r="AF3143" s="771"/>
      <c r="AG3143" s="771"/>
      <c r="AH3143" s="771"/>
      <c r="AI3143" s="771"/>
      <c r="AJ3143" s="771"/>
      <c r="AK3143" s="771"/>
      <c r="AL3143" s="771"/>
      <c r="AM3143" s="771"/>
      <c r="AN3143" s="771"/>
      <c r="AO3143" s="771"/>
      <c r="AP3143" s="771"/>
      <c r="AQ3143" s="771"/>
      <c r="AR3143" s="771"/>
      <c r="AS3143" s="771"/>
      <c r="AT3143" s="771"/>
      <c r="AU3143" s="771"/>
    </row>
    <row r="3144" spans="1:47" s="1432" customFormat="1" outlineLevel="1" x14ac:dyDescent="0.2">
      <c r="A3144" s="8"/>
      <c r="B3144" s="8"/>
      <c r="C3144" s="1989" t="s">
        <v>257</v>
      </c>
      <c r="D3144" s="1989" t="s">
        <v>8328</v>
      </c>
      <c r="E3144" s="1989">
        <v>269.51</v>
      </c>
      <c r="F3144" s="38">
        <f t="shared" si="46"/>
        <v>21916.8873924</v>
      </c>
      <c r="G3144" s="1547"/>
      <c r="H3144" s="8"/>
      <c r="I3144" s="8"/>
      <c r="J3144" s="8"/>
      <c r="K3144" s="8"/>
      <c r="O3144" s="8"/>
      <c r="P3144" s="8"/>
      <c r="Q3144" s="8"/>
      <c r="R3144" s="8"/>
      <c r="S3144" s="8"/>
      <c r="T3144" s="8"/>
      <c r="U3144" s="8"/>
      <c r="V3144" s="8"/>
      <c r="W3144" s="8"/>
      <c r="X3144" s="771"/>
      <c r="Y3144" s="771"/>
      <c r="Z3144" s="771"/>
      <c r="AA3144" s="771"/>
      <c r="AB3144" s="771"/>
      <c r="AC3144" s="771"/>
      <c r="AD3144" s="771"/>
      <c r="AE3144" s="771"/>
      <c r="AF3144" s="771"/>
      <c r="AG3144" s="771"/>
      <c r="AH3144" s="771"/>
      <c r="AI3144" s="771"/>
      <c r="AJ3144" s="771"/>
      <c r="AK3144" s="771"/>
      <c r="AL3144" s="771"/>
      <c r="AM3144" s="771"/>
      <c r="AN3144" s="771"/>
      <c r="AO3144" s="771"/>
      <c r="AP3144" s="771"/>
      <c r="AQ3144" s="771"/>
      <c r="AR3144" s="771"/>
      <c r="AS3144" s="771"/>
      <c r="AT3144" s="771"/>
      <c r="AU3144" s="771"/>
    </row>
    <row r="3145" spans="1:47" s="1432" customFormat="1" outlineLevel="1" x14ac:dyDescent="0.2">
      <c r="A3145" s="8"/>
      <c r="B3145" s="8"/>
      <c r="C3145" s="1989" t="s">
        <v>258</v>
      </c>
      <c r="D3145" s="1989" t="s">
        <v>6453</v>
      </c>
      <c r="E3145" s="1989">
        <v>33.979999999999997</v>
      </c>
      <c r="F3145" s="38">
        <f t="shared" si="46"/>
        <v>2763.2957351999999</v>
      </c>
      <c r="G3145" s="1547"/>
      <c r="H3145" s="8"/>
      <c r="I3145" s="8"/>
      <c r="J3145" s="8"/>
      <c r="K3145" s="8"/>
      <c r="O3145" s="8"/>
      <c r="P3145" s="8"/>
      <c r="Q3145" s="8"/>
      <c r="R3145" s="8"/>
      <c r="S3145" s="8"/>
      <c r="T3145" s="8"/>
      <c r="U3145" s="8"/>
      <c r="V3145" s="8"/>
      <c r="W3145" s="8"/>
      <c r="X3145" s="771"/>
      <c r="Y3145" s="771"/>
      <c r="Z3145" s="771"/>
      <c r="AA3145" s="771"/>
      <c r="AB3145" s="771"/>
      <c r="AC3145" s="771"/>
      <c r="AD3145" s="771"/>
      <c r="AE3145" s="771"/>
      <c r="AF3145" s="771"/>
      <c r="AG3145" s="771"/>
      <c r="AH3145" s="771"/>
      <c r="AI3145" s="771"/>
      <c r="AJ3145" s="771"/>
      <c r="AK3145" s="771"/>
      <c r="AL3145" s="771"/>
      <c r="AM3145" s="771"/>
      <c r="AN3145" s="771"/>
      <c r="AO3145" s="771"/>
      <c r="AP3145" s="771"/>
      <c r="AQ3145" s="771"/>
      <c r="AR3145" s="771"/>
      <c r="AS3145" s="771"/>
      <c r="AT3145" s="771"/>
      <c r="AU3145" s="771"/>
    </row>
    <row r="3146" spans="1:47" s="1432" customFormat="1" outlineLevel="1" x14ac:dyDescent="0.2">
      <c r="A3146" s="8"/>
      <c r="B3146" s="8"/>
      <c r="C3146" s="1989" t="s">
        <v>259</v>
      </c>
      <c r="D3146" s="1989" t="s">
        <v>6454</v>
      </c>
      <c r="E3146" s="1989">
        <v>48.2</v>
      </c>
      <c r="F3146" s="38">
        <f t="shared" si="46"/>
        <v>3919.6837680000003</v>
      </c>
      <c r="G3146" s="1547"/>
      <c r="H3146" s="8"/>
      <c r="I3146" s="8"/>
      <c r="J3146" s="8"/>
      <c r="K3146" s="8"/>
      <c r="O3146" s="8"/>
      <c r="P3146" s="8"/>
      <c r="Q3146" s="8"/>
      <c r="R3146" s="8"/>
      <c r="S3146" s="8"/>
      <c r="T3146" s="8"/>
      <c r="U3146" s="8"/>
      <c r="V3146" s="8"/>
      <c r="W3146" s="8"/>
      <c r="X3146" s="771"/>
      <c r="Y3146" s="771"/>
      <c r="Z3146" s="771"/>
      <c r="AA3146" s="771"/>
      <c r="AB3146" s="771"/>
      <c r="AC3146" s="771"/>
      <c r="AD3146" s="771"/>
      <c r="AE3146" s="771"/>
      <c r="AF3146" s="771"/>
      <c r="AG3146" s="771"/>
      <c r="AH3146" s="771"/>
      <c r="AI3146" s="771"/>
      <c r="AJ3146" s="771"/>
      <c r="AK3146" s="771"/>
      <c r="AL3146" s="771"/>
      <c r="AM3146" s="771"/>
      <c r="AN3146" s="771"/>
      <c r="AO3146" s="771"/>
      <c r="AP3146" s="771"/>
      <c r="AQ3146" s="771"/>
      <c r="AR3146" s="771"/>
      <c r="AS3146" s="771"/>
      <c r="AT3146" s="771"/>
      <c r="AU3146" s="771"/>
    </row>
    <row r="3147" spans="1:47" s="1432" customFormat="1" outlineLevel="1" x14ac:dyDescent="0.2">
      <c r="A3147" s="8"/>
      <c r="B3147" s="8"/>
      <c r="C3147" s="1989" t="s">
        <v>2667</v>
      </c>
      <c r="D3147" s="1989" t="s">
        <v>8329</v>
      </c>
      <c r="E3147" s="1989">
        <v>28.62</v>
      </c>
      <c r="F3147" s="38">
        <f t="shared" si="46"/>
        <v>2327.4138888000002</v>
      </c>
      <c r="G3147" s="1547"/>
      <c r="H3147" s="8"/>
      <c r="I3147" s="8"/>
      <c r="J3147" s="8"/>
      <c r="K3147" s="8"/>
      <c r="O3147" s="8"/>
      <c r="P3147" s="8"/>
      <c r="Q3147" s="8"/>
      <c r="R3147" s="8"/>
      <c r="S3147" s="8"/>
      <c r="T3147" s="8"/>
      <c r="U3147" s="8"/>
      <c r="V3147" s="8"/>
      <c r="W3147" s="8"/>
      <c r="X3147" s="771"/>
      <c r="Y3147" s="771"/>
      <c r="Z3147" s="771"/>
      <c r="AA3147" s="771"/>
      <c r="AB3147" s="771"/>
      <c r="AC3147" s="771"/>
      <c r="AD3147" s="771"/>
      <c r="AE3147" s="771"/>
      <c r="AF3147" s="771"/>
      <c r="AG3147" s="771"/>
      <c r="AH3147" s="771"/>
      <c r="AI3147" s="771"/>
      <c r="AJ3147" s="771"/>
      <c r="AK3147" s="771"/>
      <c r="AL3147" s="771"/>
      <c r="AM3147" s="771"/>
      <c r="AN3147" s="771"/>
      <c r="AO3147" s="771"/>
      <c r="AP3147" s="771"/>
      <c r="AQ3147" s="771"/>
      <c r="AR3147" s="771"/>
      <c r="AS3147" s="771"/>
      <c r="AT3147" s="771"/>
      <c r="AU3147" s="771"/>
    </row>
    <row r="3148" spans="1:47" s="1432" customFormat="1" outlineLevel="1" x14ac:dyDescent="0.2">
      <c r="A3148" s="8"/>
      <c r="B3148" s="8"/>
      <c r="C3148" s="1989" t="s">
        <v>260</v>
      </c>
      <c r="D3148" s="1989" t="s">
        <v>8330</v>
      </c>
      <c r="E3148" s="1989">
        <v>2.71</v>
      </c>
      <c r="F3148" s="38">
        <f t="shared" si="46"/>
        <v>220.38056040000001</v>
      </c>
      <c r="G3148" s="1547"/>
      <c r="H3148" s="8"/>
      <c r="I3148" s="8"/>
      <c r="J3148" s="8"/>
      <c r="K3148" s="8"/>
      <c r="O3148" s="8"/>
      <c r="P3148" s="8"/>
      <c r="Q3148" s="8"/>
      <c r="R3148" s="8"/>
      <c r="S3148" s="8"/>
      <c r="T3148" s="8"/>
      <c r="U3148" s="8"/>
      <c r="V3148" s="8"/>
      <c r="W3148" s="8"/>
      <c r="X3148" s="771"/>
      <c r="Y3148" s="771"/>
      <c r="Z3148" s="771"/>
      <c r="AA3148" s="771"/>
      <c r="AB3148" s="771"/>
      <c r="AC3148" s="771"/>
      <c r="AD3148" s="771"/>
      <c r="AE3148" s="771"/>
      <c r="AF3148" s="771"/>
      <c r="AG3148" s="771"/>
      <c r="AH3148" s="771"/>
      <c r="AI3148" s="771"/>
      <c r="AJ3148" s="771"/>
      <c r="AK3148" s="771"/>
      <c r="AL3148" s="771"/>
      <c r="AM3148" s="771"/>
      <c r="AN3148" s="771"/>
      <c r="AO3148" s="771"/>
      <c r="AP3148" s="771"/>
      <c r="AQ3148" s="771"/>
      <c r="AR3148" s="771"/>
      <c r="AS3148" s="771"/>
      <c r="AT3148" s="771"/>
      <c r="AU3148" s="771"/>
    </row>
    <row r="3149" spans="1:47" s="1432" customFormat="1" outlineLevel="1" x14ac:dyDescent="0.2">
      <c r="A3149" s="8"/>
      <c r="B3149" s="8"/>
      <c r="C3149" s="1989" t="s">
        <v>261</v>
      </c>
      <c r="D3149" s="1989" t="s">
        <v>8331</v>
      </c>
      <c r="E3149" s="1989">
        <v>23.42</v>
      </c>
      <c r="F3149" s="38">
        <f t="shared" si="46"/>
        <v>1904.5434408000003</v>
      </c>
      <c r="G3149" s="1547"/>
      <c r="H3149" s="8"/>
      <c r="I3149" s="8"/>
      <c r="J3149" s="8"/>
      <c r="K3149" s="8"/>
      <c r="O3149" s="8"/>
      <c r="P3149" s="8"/>
      <c r="Q3149" s="8"/>
      <c r="R3149" s="8"/>
      <c r="S3149" s="8"/>
      <c r="T3149" s="8"/>
      <c r="U3149" s="8"/>
      <c r="V3149" s="8"/>
      <c r="W3149" s="8"/>
      <c r="X3149" s="771"/>
      <c r="Y3149" s="771"/>
      <c r="Z3149" s="771"/>
      <c r="AA3149" s="771"/>
      <c r="AB3149" s="771"/>
      <c r="AC3149" s="771"/>
      <c r="AD3149" s="771"/>
      <c r="AE3149" s="771"/>
      <c r="AF3149" s="771"/>
      <c r="AG3149" s="771"/>
      <c r="AH3149" s="771"/>
      <c r="AI3149" s="771"/>
      <c r="AJ3149" s="771"/>
      <c r="AK3149" s="771"/>
      <c r="AL3149" s="771"/>
      <c r="AM3149" s="771"/>
      <c r="AN3149" s="771"/>
      <c r="AO3149" s="771"/>
      <c r="AP3149" s="771"/>
      <c r="AQ3149" s="771"/>
      <c r="AR3149" s="771"/>
      <c r="AS3149" s="771"/>
      <c r="AT3149" s="771"/>
      <c r="AU3149" s="771"/>
    </row>
    <row r="3150" spans="1:47" s="1432" customFormat="1" outlineLevel="1" x14ac:dyDescent="0.2">
      <c r="A3150" s="8"/>
      <c r="B3150" s="8"/>
      <c r="C3150" s="1989" t="s">
        <v>1465</v>
      </c>
      <c r="D3150" s="1989" t="s">
        <v>6455</v>
      </c>
      <c r="E3150" s="6">
        <v>119771.18</v>
      </c>
      <c r="F3150" s="38">
        <f t="shared" si="46"/>
        <v>9739940.8738631997</v>
      </c>
      <c r="G3150" s="1547"/>
      <c r="H3150" s="8"/>
      <c r="I3150" s="8"/>
      <c r="J3150" s="8"/>
      <c r="K3150" s="8"/>
      <c r="O3150" s="8"/>
      <c r="P3150" s="8"/>
      <c r="Q3150" s="8"/>
      <c r="R3150" s="8"/>
      <c r="S3150" s="8"/>
      <c r="T3150" s="8"/>
      <c r="U3150" s="8"/>
      <c r="V3150" s="8"/>
      <c r="W3150" s="8"/>
      <c r="X3150" s="771"/>
      <c r="Y3150" s="771"/>
      <c r="Z3150" s="771"/>
      <c r="AA3150" s="771"/>
      <c r="AB3150" s="771"/>
      <c r="AC3150" s="771"/>
      <c r="AD3150" s="771"/>
      <c r="AE3150" s="771"/>
      <c r="AF3150" s="771"/>
      <c r="AG3150" s="771"/>
      <c r="AH3150" s="771"/>
      <c r="AI3150" s="771"/>
      <c r="AJ3150" s="771"/>
      <c r="AK3150" s="771"/>
      <c r="AL3150" s="771"/>
      <c r="AM3150" s="771"/>
      <c r="AN3150" s="771"/>
      <c r="AO3150" s="771"/>
      <c r="AP3150" s="771"/>
      <c r="AQ3150" s="771"/>
      <c r="AR3150" s="771"/>
      <c r="AS3150" s="771"/>
      <c r="AT3150" s="771"/>
      <c r="AU3150" s="771"/>
    </row>
    <row r="3151" spans="1:47" s="1432" customFormat="1" outlineLevel="1" x14ac:dyDescent="0.2">
      <c r="A3151" s="8"/>
      <c r="B3151" s="8"/>
      <c r="C3151" s="1989" t="s">
        <v>4194</v>
      </c>
      <c r="D3151" s="1989" t="s">
        <v>4195</v>
      </c>
      <c r="E3151" s="1989">
        <v>0</v>
      </c>
      <c r="F3151" s="38">
        <f t="shared" si="46"/>
        <v>0</v>
      </c>
      <c r="G3151" s="1547"/>
      <c r="H3151" s="8"/>
      <c r="I3151" s="8"/>
      <c r="J3151" s="8"/>
      <c r="K3151" s="8"/>
      <c r="O3151" s="8"/>
      <c r="P3151" s="8"/>
      <c r="Q3151" s="8"/>
      <c r="R3151" s="8"/>
      <c r="S3151" s="8"/>
      <c r="T3151" s="8"/>
      <c r="U3151" s="8"/>
      <c r="V3151" s="8"/>
      <c r="W3151" s="8"/>
      <c r="X3151" s="771"/>
      <c r="Y3151" s="771"/>
      <c r="Z3151" s="771"/>
      <c r="AA3151" s="771"/>
      <c r="AB3151" s="771"/>
      <c r="AC3151" s="771"/>
      <c r="AD3151" s="771"/>
      <c r="AE3151" s="771"/>
      <c r="AF3151" s="771"/>
      <c r="AG3151" s="771"/>
      <c r="AH3151" s="771"/>
      <c r="AI3151" s="771"/>
      <c r="AJ3151" s="771"/>
      <c r="AK3151" s="771"/>
      <c r="AL3151" s="771"/>
      <c r="AM3151" s="771"/>
      <c r="AN3151" s="771"/>
      <c r="AO3151" s="771"/>
      <c r="AP3151" s="771"/>
      <c r="AQ3151" s="771"/>
      <c r="AR3151" s="771"/>
      <c r="AS3151" s="771"/>
      <c r="AT3151" s="771"/>
      <c r="AU3151" s="771"/>
    </row>
    <row r="3152" spans="1:47" s="1432" customFormat="1" outlineLevel="1" x14ac:dyDescent="0.2">
      <c r="A3152" s="8"/>
      <c r="B3152" s="8"/>
      <c r="C3152" s="1989" t="s">
        <v>4196</v>
      </c>
      <c r="D3152" s="1989" t="s">
        <v>8332</v>
      </c>
      <c r="E3152" s="1989">
        <v>20.12</v>
      </c>
      <c r="F3152" s="38">
        <f t="shared" si="46"/>
        <v>1636.1833488000002</v>
      </c>
      <c r="G3152" s="1547"/>
      <c r="H3152" s="8"/>
      <c r="I3152" s="8"/>
      <c r="J3152" s="8"/>
      <c r="K3152" s="8"/>
      <c r="O3152" s="8"/>
      <c r="P3152" s="8"/>
      <c r="Q3152" s="8"/>
      <c r="R3152" s="8"/>
      <c r="S3152" s="8"/>
      <c r="T3152" s="8"/>
      <c r="U3152" s="8"/>
      <c r="V3152" s="8"/>
      <c r="W3152" s="8"/>
      <c r="X3152" s="771"/>
      <c r="Y3152" s="771"/>
      <c r="Z3152" s="771"/>
      <c r="AA3152" s="771"/>
      <c r="AB3152" s="771"/>
      <c r="AC3152" s="771"/>
      <c r="AD3152" s="771"/>
      <c r="AE3152" s="771"/>
      <c r="AF3152" s="771"/>
      <c r="AG3152" s="771"/>
      <c r="AH3152" s="771"/>
      <c r="AI3152" s="771"/>
      <c r="AJ3152" s="771"/>
      <c r="AK3152" s="771"/>
      <c r="AL3152" s="771"/>
      <c r="AM3152" s="771"/>
      <c r="AN3152" s="771"/>
      <c r="AO3152" s="771"/>
      <c r="AP3152" s="771"/>
      <c r="AQ3152" s="771"/>
      <c r="AR3152" s="771"/>
      <c r="AS3152" s="771"/>
      <c r="AT3152" s="771"/>
      <c r="AU3152" s="771"/>
    </row>
    <row r="3153" spans="1:47" s="1432" customFormat="1" outlineLevel="1" x14ac:dyDescent="0.2">
      <c r="A3153" s="8"/>
      <c r="B3153" s="8"/>
      <c r="C3153" s="1989" t="s">
        <v>3115</v>
      </c>
      <c r="D3153" s="1989" t="s">
        <v>6456</v>
      </c>
      <c r="E3153" s="1989">
        <v>3.54</v>
      </c>
      <c r="F3153" s="38">
        <f t="shared" si="46"/>
        <v>287.87718960000001</v>
      </c>
      <c r="G3153" s="1547"/>
      <c r="H3153" s="8"/>
      <c r="I3153" s="8"/>
      <c r="J3153" s="8"/>
      <c r="K3153" s="8"/>
      <c r="O3153" s="8"/>
      <c r="P3153" s="8"/>
      <c r="Q3153" s="8"/>
      <c r="R3153" s="8"/>
      <c r="S3153" s="8"/>
      <c r="T3153" s="8"/>
      <c r="U3153" s="8"/>
      <c r="V3153" s="8"/>
      <c r="W3153" s="8"/>
      <c r="X3153" s="771"/>
      <c r="Y3153" s="771"/>
      <c r="Z3153" s="771"/>
      <c r="AA3153" s="771"/>
      <c r="AB3153" s="771"/>
      <c r="AC3153" s="771"/>
      <c r="AD3153" s="771"/>
      <c r="AE3153" s="771"/>
      <c r="AF3153" s="771"/>
      <c r="AG3153" s="771"/>
      <c r="AH3153" s="771"/>
      <c r="AI3153" s="771"/>
      <c r="AJ3153" s="771"/>
      <c r="AK3153" s="771"/>
      <c r="AL3153" s="771"/>
      <c r="AM3153" s="771"/>
      <c r="AN3153" s="771"/>
      <c r="AO3153" s="771"/>
      <c r="AP3153" s="771"/>
      <c r="AQ3153" s="771"/>
      <c r="AR3153" s="771"/>
      <c r="AS3153" s="771"/>
      <c r="AT3153" s="771"/>
      <c r="AU3153" s="771"/>
    </row>
    <row r="3154" spans="1:47" s="1432" customFormat="1" outlineLevel="1" x14ac:dyDescent="0.2">
      <c r="A3154" s="8"/>
      <c r="B3154" s="8"/>
      <c r="C3154" s="1989" t="s">
        <v>1466</v>
      </c>
      <c r="D3154" s="1989" t="s">
        <v>3386</v>
      </c>
      <c r="E3154" s="1989">
        <v>635.42999999999995</v>
      </c>
      <c r="F3154" s="38">
        <f t="shared" si="46"/>
        <v>51673.955533200002</v>
      </c>
      <c r="G3154" s="1547"/>
      <c r="H3154" s="8"/>
      <c r="I3154" s="8"/>
      <c r="J3154" s="8"/>
      <c r="K3154" s="8"/>
      <c r="O3154" s="8"/>
      <c r="P3154" s="8"/>
      <c r="Q3154" s="8"/>
      <c r="R3154" s="8"/>
      <c r="S3154" s="8"/>
      <c r="T3154" s="8"/>
      <c r="U3154" s="8"/>
      <c r="V3154" s="8"/>
      <c r="W3154" s="8"/>
      <c r="X3154" s="771"/>
      <c r="Y3154" s="771"/>
      <c r="Z3154" s="771"/>
      <c r="AA3154" s="771"/>
      <c r="AB3154" s="771"/>
      <c r="AC3154" s="771"/>
      <c r="AD3154" s="771"/>
      <c r="AE3154" s="771"/>
      <c r="AF3154" s="771"/>
      <c r="AG3154" s="771"/>
      <c r="AH3154" s="771"/>
      <c r="AI3154" s="771"/>
      <c r="AJ3154" s="771"/>
      <c r="AK3154" s="771"/>
      <c r="AL3154" s="771"/>
      <c r="AM3154" s="771"/>
      <c r="AN3154" s="771"/>
      <c r="AO3154" s="771"/>
      <c r="AP3154" s="771"/>
      <c r="AQ3154" s="771"/>
      <c r="AR3154" s="771"/>
      <c r="AS3154" s="771"/>
      <c r="AT3154" s="771"/>
      <c r="AU3154" s="771"/>
    </row>
    <row r="3155" spans="1:47" s="1505" customFormat="1" outlineLevel="1" x14ac:dyDescent="0.2">
      <c r="A3155" s="8"/>
      <c r="B3155" s="8"/>
      <c r="C3155" s="1989" t="s">
        <v>4197</v>
      </c>
      <c r="D3155" s="1989" t="s">
        <v>8333</v>
      </c>
      <c r="E3155" s="1989">
        <v>0</v>
      </c>
      <c r="F3155" s="38">
        <f t="shared" si="46"/>
        <v>0</v>
      </c>
      <c r="G3155" s="1547"/>
      <c r="H3155" s="8"/>
      <c r="I3155" s="8"/>
      <c r="J3155" s="8"/>
      <c r="K3155" s="8"/>
      <c r="O3155" s="8"/>
      <c r="P3155" s="8"/>
      <c r="Q3155" s="8"/>
      <c r="R3155" s="8"/>
      <c r="S3155" s="8"/>
      <c r="T3155" s="8"/>
      <c r="U3155" s="8"/>
      <c r="V3155" s="8"/>
      <c r="W3155" s="8"/>
      <c r="X3155" s="771"/>
      <c r="Y3155" s="771"/>
      <c r="Z3155" s="771"/>
      <c r="AA3155" s="771"/>
      <c r="AB3155" s="771"/>
      <c r="AC3155" s="771"/>
      <c r="AD3155" s="771"/>
      <c r="AE3155" s="771"/>
      <c r="AF3155" s="771"/>
      <c r="AG3155" s="771"/>
      <c r="AH3155" s="771"/>
      <c r="AI3155" s="771"/>
      <c r="AJ3155" s="771"/>
      <c r="AK3155" s="771"/>
      <c r="AL3155" s="771"/>
      <c r="AM3155" s="771"/>
      <c r="AN3155" s="771"/>
      <c r="AO3155" s="771"/>
      <c r="AP3155" s="771"/>
      <c r="AQ3155" s="771"/>
      <c r="AR3155" s="771"/>
      <c r="AS3155" s="771"/>
      <c r="AT3155" s="771"/>
      <c r="AU3155" s="771"/>
    </row>
    <row r="3156" spans="1:47" s="1505" customFormat="1" outlineLevel="1" x14ac:dyDescent="0.2">
      <c r="A3156" s="8"/>
      <c r="B3156" s="8"/>
      <c r="C3156" s="1989" t="s">
        <v>4198</v>
      </c>
      <c r="D3156" s="1989" t="s">
        <v>6457</v>
      </c>
      <c r="E3156" s="1989">
        <v>1.25</v>
      </c>
      <c r="F3156" s="38">
        <f t="shared" si="46"/>
        <v>101.65155000000001</v>
      </c>
      <c r="G3156" s="1547"/>
      <c r="H3156" s="8"/>
      <c r="I3156" s="8"/>
      <c r="J3156" s="8"/>
      <c r="K3156" s="8"/>
      <c r="O3156" s="8"/>
      <c r="P3156" s="8"/>
      <c r="Q3156" s="8"/>
      <c r="R3156" s="8"/>
      <c r="S3156" s="8"/>
      <c r="T3156" s="8"/>
      <c r="U3156" s="8"/>
      <c r="V3156" s="8"/>
      <c r="W3156" s="8"/>
      <c r="X3156" s="771"/>
      <c r="Y3156" s="771"/>
      <c r="Z3156" s="771"/>
      <c r="AA3156" s="771"/>
      <c r="AB3156" s="771"/>
      <c r="AC3156" s="771"/>
      <c r="AD3156" s="771"/>
      <c r="AE3156" s="771"/>
      <c r="AF3156" s="771"/>
      <c r="AG3156" s="771"/>
      <c r="AH3156" s="771"/>
      <c r="AI3156" s="771"/>
      <c r="AJ3156" s="771"/>
      <c r="AK3156" s="771"/>
      <c r="AL3156" s="771"/>
      <c r="AM3156" s="771"/>
      <c r="AN3156" s="771"/>
      <c r="AO3156" s="771"/>
      <c r="AP3156" s="771"/>
      <c r="AQ3156" s="771"/>
      <c r="AR3156" s="771"/>
      <c r="AS3156" s="771"/>
      <c r="AT3156" s="771"/>
      <c r="AU3156" s="771"/>
    </row>
    <row r="3157" spans="1:47" s="1505" customFormat="1" outlineLevel="1" x14ac:dyDescent="0.2">
      <c r="A3157" s="8"/>
      <c r="B3157" s="8"/>
      <c r="C3157" s="1989" t="s">
        <v>2691</v>
      </c>
      <c r="D3157" s="1989" t="s">
        <v>6458</v>
      </c>
      <c r="E3157" s="1989">
        <v>0</v>
      </c>
      <c r="F3157" s="38">
        <f t="shared" si="46"/>
        <v>0</v>
      </c>
      <c r="G3157" s="1547"/>
      <c r="H3157" s="8"/>
      <c r="I3157" s="8"/>
      <c r="J3157" s="8"/>
      <c r="K3157" s="8"/>
      <c r="O3157" s="8"/>
      <c r="P3157" s="8"/>
      <c r="Q3157" s="8"/>
      <c r="R3157" s="8"/>
      <c r="S3157" s="8"/>
      <c r="T3157" s="8"/>
      <c r="U3157" s="8"/>
      <c r="V3157" s="8"/>
      <c r="W3157" s="8"/>
      <c r="X3157" s="771"/>
      <c r="Y3157" s="771"/>
      <c r="Z3157" s="771"/>
      <c r="AA3157" s="771"/>
      <c r="AB3157" s="771"/>
      <c r="AC3157" s="771"/>
      <c r="AD3157" s="771"/>
      <c r="AE3157" s="771"/>
      <c r="AF3157" s="771"/>
      <c r="AG3157" s="771"/>
      <c r="AH3157" s="771"/>
      <c r="AI3157" s="771"/>
      <c r="AJ3157" s="771"/>
      <c r="AK3157" s="771"/>
      <c r="AL3157" s="771"/>
      <c r="AM3157" s="771"/>
      <c r="AN3157" s="771"/>
      <c r="AO3157" s="771"/>
      <c r="AP3157" s="771"/>
      <c r="AQ3157" s="771"/>
      <c r="AR3157" s="771"/>
      <c r="AS3157" s="771"/>
      <c r="AT3157" s="771"/>
      <c r="AU3157" s="771"/>
    </row>
    <row r="3158" spans="1:47" s="1505" customFormat="1" outlineLevel="1" x14ac:dyDescent="0.2">
      <c r="A3158" s="8"/>
      <c r="B3158" s="8"/>
      <c r="C3158" s="1989" t="s">
        <v>4920</v>
      </c>
      <c r="D3158" s="1989" t="s">
        <v>4921</v>
      </c>
      <c r="E3158" s="1989">
        <v>0</v>
      </c>
      <c r="F3158" s="38">
        <f t="shared" si="46"/>
        <v>0</v>
      </c>
      <c r="G3158" s="1547"/>
      <c r="H3158" s="8"/>
      <c r="I3158" s="8"/>
      <c r="J3158" s="8"/>
      <c r="K3158" s="8"/>
      <c r="O3158" s="8"/>
      <c r="P3158" s="8"/>
      <c r="Q3158" s="8"/>
      <c r="R3158" s="8"/>
      <c r="S3158" s="8"/>
      <c r="T3158" s="8"/>
      <c r="U3158" s="8"/>
      <c r="V3158" s="8"/>
      <c r="W3158" s="8"/>
      <c r="X3158" s="771"/>
      <c r="Y3158" s="771"/>
      <c r="Z3158" s="771"/>
      <c r="AA3158" s="771"/>
      <c r="AB3158" s="771"/>
      <c r="AC3158" s="771"/>
      <c r="AD3158" s="771"/>
      <c r="AE3158" s="771"/>
      <c r="AF3158" s="771"/>
      <c r="AG3158" s="771"/>
      <c r="AH3158" s="771"/>
      <c r="AI3158" s="771"/>
      <c r="AJ3158" s="771"/>
      <c r="AK3158" s="771"/>
      <c r="AL3158" s="771"/>
      <c r="AM3158" s="771"/>
      <c r="AN3158" s="771"/>
      <c r="AO3158" s="771"/>
      <c r="AP3158" s="771"/>
      <c r="AQ3158" s="771"/>
      <c r="AR3158" s="771"/>
      <c r="AS3158" s="771"/>
      <c r="AT3158" s="771"/>
      <c r="AU3158" s="771"/>
    </row>
    <row r="3159" spans="1:47" s="1505" customFormat="1" outlineLevel="1" x14ac:dyDescent="0.2">
      <c r="A3159" s="8"/>
      <c r="B3159" s="8"/>
      <c r="C3159" s="1989" t="s">
        <v>1467</v>
      </c>
      <c r="D3159" s="1989" t="s">
        <v>8334</v>
      </c>
      <c r="E3159" s="1989">
        <v>82.54</v>
      </c>
      <c r="F3159" s="38">
        <f t="shared" si="46"/>
        <v>6712.2551496000005</v>
      </c>
      <c r="G3159" s="1547"/>
      <c r="H3159" s="8"/>
      <c r="I3159" s="8"/>
      <c r="J3159" s="8"/>
      <c r="K3159" s="8"/>
      <c r="O3159" s="8"/>
      <c r="P3159" s="8"/>
      <c r="Q3159" s="8"/>
      <c r="R3159" s="8"/>
      <c r="S3159" s="8"/>
      <c r="T3159" s="8"/>
      <c r="U3159" s="8"/>
      <c r="V3159" s="8"/>
      <c r="W3159" s="8"/>
      <c r="X3159" s="771"/>
      <c r="Y3159" s="771"/>
      <c r="Z3159" s="771"/>
      <c r="AA3159" s="771"/>
      <c r="AB3159" s="771"/>
      <c r="AC3159" s="771"/>
      <c r="AD3159" s="771"/>
      <c r="AE3159" s="771"/>
      <c r="AF3159" s="771"/>
      <c r="AG3159" s="771"/>
      <c r="AH3159" s="771"/>
      <c r="AI3159" s="771"/>
      <c r="AJ3159" s="771"/>
      <c r="AK3159" s="771"/>
      <c r="AL3159" s="771"/>
      <c r="AM3159" s="771"/>
      <c r="AN3159" s="771"/>
      <c r="AO3159" s="771"/>
      <c r="AP3159" s="771"/>
      <c r="AQ3159" s="771"/>
      <c r="AR3159" s="771"/>
      <c r="AS3159" s="771"/>
      <c r="AT3159" s="771"/>
      <c r="AU3159" s="771"/>
    </row>
    <row r="3160" spans="1:47" s="1505" customFormat="1" outlineLevel="1" x14ac:dyDescent="0.2">
      <c r="A3160" s="8"/>
      <c r="B3160" s="8"/>
      <c r="C3160" s="1989" t="s">
        <v>1468</v>
      </c>
      <c r="D3160" s="1989" t="s">
        <v>8335</v>
      </c>
      <c r="E3160" s="1989">
        <v>41.24</v>
      </c>
      <c r="F3160" s="38">
        <f t="shared" si="46"/>
        <v>3353.6879376000002</v>
      </c>
      <c r="G3160" s="1547"/>
      <c r="H3160" s="8"/>
      <c r="I3160" s="8"/>
      <c r="J3160" s="8"/>
      <c r="K3160" s="8"/>
      <c r="O3160" s="8"/>
      <c r="P3160" s="8"/>
      <c r="Q3160" s="8"/>
      <c r="R3160" s="8"/>
      <c r="S3160" s="8"/>
      <c r="T3160" s="8"/>
      <c r="U3160" s="8"/>
      <c r="V3160" s="8"/>
      <c r="W3160" s="8"/>
      <c r="X3160" s="771"/>
      <c r="Y3160" s="771"/>
      <c r="Z3160" s="771"/>
      <c r="AA3160" s="771"/>
      <c r="AB3160" s="771"/>
      <c r="AC3160" s="771"/>
      <c r="AD3160" s="771"/>
      <c r="AE3160" s="771"/>
      <c r="AF3160" s="771"/>
      <c r="AG3160" s="771"/>
      <c r="AH3160" s="771"/>
      <c r="AI3160" s="771"/>
      <c r="AJ3160" s="771"/>
      <c r="AK3160" s="771"/>
      <c r="AL3160" s="771"/>
      <c r="AM3160" s="771"/>
      <c r="AN3160" s="771"/>
      <c r="AO3160" s="771"/>
      <c r="AP3160" s="771"/>
      <c r="AQ3160" s="771"/>
      <c r="AR3160" s="771"/>
      <c r="AS3160" s="771"/>
      <c r="AT3160" s="771"/>
      <c r="AU3160" s="771"/>
    </row>
    <row r="3161" spans="1:47" s="1505" customFormat="1" outlineLevel="1" x14ac:dyDescent="0.2">
      <c r="A3161" s="8"/>
      <c r="B3161" s="8"/>
      <c r="C3161" s="1989" t="s">
        <v>1469</v>
      </c>
      <c r="D3161" s="1989" t="s">
        <v>6459</v>
      </c>
      <c r="E3161" s="1989">
        <v>890.96</v>
      </c>
      <c r="F3161" s="38">
        <f t="shared" si="46"/>
        <v>72453.971990400009</v>
      </c>
      <c r="G3161" s="1547"/>
      <c r="H3161" s="8"/>
      <c r="I3161" s="8"/>
      <c r="J3161" s="8"/>
      <c r="K3161" s="8"/>
      <c r="O3161" s="8"/>
      <c r="P3161" s="8"/>
      <c r="Q3161" s="8"/>
      <c r="R3161" s="8"/>
      <c r="S3161" s="8"/>
      <c r="T3161" s="8"/>
      <c r="U3161" s="8"/>
      <c r="V3161" s="8"/>
      <c r="W3161" s="8"/>
      <c r="X3161" s="771"/>
      <c r="Y3161" s="771"/>
      <c r="Z3161" s="771"/>
      <c r="AA3161" s="771"/>
      <c r="AB3161" s="771"/>
      <c r="AC3161" s="771"/>
      <c r="AD3161" s="771"/>
      <c r="AE3161" s="771"/>
      <c r="AF3161" s="771"/>
      <c r="AG3161" s="771"/>
      <c r="AH3161" s="771"/>
      <c r="AI3161" s="771"/>
      <c r="AJ3161" s="771"/>
      <c r="AK3161" s="771"/>
      <c r="AL3161" s="771"/>
      <c r="AM3161" s="771"/>
      <c r="AN3161" s="771"/>
      <c r="AO3161" s="771"/>
      <c r="AP3161" s="771"/>
      <c r="AQ3161" s="771"/>
      <c r="AR3161" s="771"/>
      <c r="AS3161" s="771"/>
      <c r="AT3161" s="771"/>
      <c r="AU3161" s="771"/>
    </row>
    <row r="3162" spans="1:47" s="1505" customFormat="1" outlineLevel="1" x14ac:dyDescent="0.2">
      <c r="A3162" s="8"/>
      <c r="B3162" s="8"/>
      <c r="C3162" s="1989" t="s">
        <v>2697</v>
      </c>
      <c r="D3162" s="1989" t="s">
        <v>3387</v>
      </c>
      <c r="E3162" s="1989">
        <v>733.72</v>
      </c>
      <c r="F3162" s="38">
        <f t="shared" si="46"/>
        <v>59667.020212800009</v>
      </c>
      <c r="G3162" s="1547"/>
      <c r="H3162" s="8"/>
      <c r="I3162" s="8"/>
      <c r="J3162" s="8"/>
      <c r="K3162" s="8"/>
      <c r="O3162" s="8"/>
      <c r="P3162" s="8"/>
      <c r="Q3162" s="8"/>
      <c r="R3162" s="8"/>
      <c r="S3162" s="8"/>
      <c r="T3162" s="8"/>
      <c r="U3162" s="8"/>
      <c r="V3162" s="8"/>
      <c r="W3162" s="8"/>
      <c r="X3162" s="771"/>
      <c r="Y3162" s="771"/>
      <c r="Z3162" s="771"/>
      <c r="AA3162" s="771"/>
      <c r="AB3162" s="771"/>
      <c r="AC3162" s="771"/>
      <c r="AD3162" s="771"/>
      <c r="AE3162" s="771"/>
      <c r="AF3162" s="771"/>
      <c r="AG3162" s="771"/>
      <c r="AH3162" s="771"/>
      <c r="AI3162" s="771"/>
      <c r="AJ3162" s="771"/>
      <c r="AK3162" s="771"/>
      <c r="AL3162" s="771"/>
      <c r="AM3162" s="771"/>
      <c r="AN3162" s="771"/>
      <c r="AO3162" s="771"/>
      <c r="AP3162" s="771"/>
      <c r="AQ3162" s="771"/>
      <c r="AR3162" s="771"/>
      <c r="AS3162" s="771"/>
      <c r="AT3162" s="771"/>
      <c r="AU3162" s="771"/>
    </row>
    <row r="3163" spans="1:47" s="1505" customFormat="1" outlineLevel="1" x14ac:dyDescent="0.2">
      <c r="A3163" s="8"/>
      <c r="B3163" s="8"/>
      <c r="C3163" s="1989" t="s">
        <v>584</v>
      </c>
      <c r="D3163" s="1989" t="s">
        <v>8336</v>
      </c>
      <c r="E3163" s="1989">
        <v>69.33</v>
      </c>
      <c r="F3163" s="38">
        <f t="shared" si="46"/>
        <v>5638.0015692000006</v>
      </c>
      <c r="G3163" s="1547"/>
      <c r="H3163" s="8"/>
      <c r="I3163" s="8"/>
      <c r="J3163" s="8"/>
      <c r="K3163" s="8"/>
      <c r="O3163" s="8"/>
      <c r="P3163" s="8"/>
      <c r="Q3163" s="8"/>
      <c r="R3163" s="8"/>
      <c r="S3163" s="8"/>
      <c r="T3163" s="8"/>
      <c r="U3163" s="8"/>
      <c r="V3163" s="8"/>
      <c r="W3163" s="8"/>
      <c r="X3163" s="771"/>
      <c r="Y3163" s="771"/>
      <c r="Z3163" s="771"/>
      <c r="AA3163" s="771"/>
      <c r="AB3163" s="771"/>
      <c r="AC3163" s="771"/>
      <c r="AD3163" s="771"/>
      <c r="AE3163" s="771"/>
      <c r="AF3163" s="771"/>
      <c r="AG3163" s="771"/>
      <c r="AH3163" s="771"/>
      <c r="AI3163" s="771"/>
      <c r="AJ3163" s="771"/>
      <c r="AK3163" s="771"/>
      <c r="AL3163" s="771"/>
      <c r="AM3163" s="771"/>
      <c r="AN3163" s="771"/>
      <c r="AO3163" s="771"/>
      <c r="AP3163" s="771"/>
      <c r="AQ3163" s="771"/>
      <c r="AR3163" s="771"/>
      <c r="AS3163" s="771"/>
      <c r="AT3163" s="771"/>
      <c r="AU3163" s="771"/>
    </row>
    <row r="3164" spans="1:47" s="1505" customFormat="1" outlineLevel="1" x14ac:dyDescent="0.2">
      <c r="A3164" s="8"/>
      <c r="B3164" s="8"/>
      <c r="C3164" s="1989" t="s">
        <v>585</v>
      </c>
      <c r="D3164" s="1989" t="s">
        <v>8337</v>
      </c>
      <c r="E3164" s="1989">
        <v>78.349999999999994</v>
      </c>
      <c r="F3164" s="38">
        <f t="shared" si="46"/>
        <v>6371.5191540000005</v>
      </c>
      <c r="G3164" s="1547"/>
      <c r="H3164" s="8"/>
      <c r="I3164" s="8"/>
      <c r="J3164" s="8"/>
      <c r="K3164" s="8"/>
      <c r="O3164" s="8"/>
      <c r="P3164" s="8"/>
      <c r="Q3164" s="8"/>
      <c r="R3164" s="8"/>
      <c r="S3164" s="8"/>
      <c r="T3164" s="8"/>
      <c r="U3164" s="8"/>
      <c r="V3164" s="8"/>
      <c r="W3164" s="8"/>
      <c r="X3164" s="771"/>
      <c r="Y3164" s="771"/>
      <c r="Z3164" s="771"/>
      <c r="AA3164" s="771"/>
      <c r="AB3164" s="771"/>
      <c r="AC3164" s="771"/>
      <c r="AD3164" s="771"/>
      <c r="AE3164" s="771"/>
      <c r="AF3164" s="771"/>
      <c r="AG3164" s="771"/>
      <c r="AH3164" s="771"/>
      <c r="AI3164" s="771"/>
      <c r="AJ3164" s="771"/>
      <c r="AK3164" s="771"/>
      <c r="AL3164" s="771"/>
      <c r="AM3164" s="771"/>
      <c r="AN3164" s="771"/>
      <c r="AO3164" s="771"/>
      <c r="AP3164" s="771"/>
      <c r="AQ3164" s="771"/>
      <c r="AR3164" s="771"/>
      <c r="AS3164" s="771"/>
      <c r="AT3164" s="771"/>
      <c r="AU3164" s="771"/>
    </row>
    <row r="3165" spans="1:47" s="1505" customFormat="1" outlineLevel="1" x14ac:dyDescent="0.2">
      <c r="A3165" s="8"/>
      <c r="B3165" s="8"/>
      <c r="C3165" s="1989" t="s">
        <v>586</v>
      </c>
      <c r="D3165" s="1989" t="s">
        <v>8338</v>
      </c>
      <c r="E3165" s="1989">
        <v>36.58</v>
      </c>
      <c r="F3165" s="38">
        <f t="shared" si="46"/>
        <v>2974.7309591999997</v>
      </c>
      <c r="G3165" s="1547"/>
      <c r="H3165" s="8"/>
      <c r="I3165" s="8"/>
      <c r="J3165" s="8"/>
      <c r="K3165" s="8"/>
      <c r="O3165" s="8"/>
      <c r="P3165" s="8"/>
      <c r="Q3165" s="8"/>
      <c r="R3165" s="8"/>
      <c r="S3165" s="8"/>
      <c r="T3165" s="8"/>
      <c r="U3165" s="8"/>
      <c r="V3165" s="8"/>
      <c r="W3165" s="8"/>
      <c r="X3165" s="771"/>
      <c r="Y3165" s="771"/>
      <c r="Z3165" s="771"/>
      <c r="AA3165" s="771"/>
      <c r="AB3165" s="771"/>
      <c r="AC3165" s="771"/>
      <c r="AD3165" s="771"/>
      <c r="AE3165" s="771"/>
      <c r="AF3165" s="771"/>
      <c r="AG3165" s="771"/>
      <c r="AH3165" s="771"/>
      <c r="AI3165" s="771"/>
      <c r="AJ3165" s="771"/>
      <c r="AK3165" s="771"/>
      <c r="AL3165" s="771"/>
      <c r="AM3165" s="771"/>
      <c r="AN3165" s="771"/>
      <c r="AO3165" s="771"/>
      <c r="AP3165" s="771"/>
      <c r="AQ3165" s="771"/>
      <c r="AR3165" s="771"/>
      <c r="AS3165" s="771"/>
      <c r="AT3165" s="771"/>
      <c r="AU3165" s="771"/>
    </row>
    <row r="3166" spans="1:47" s="1505" customFormat="1" outlineLevel="1" x14ac:dyDescent="0.2">
      <c r="A3166" s="8"/>
      <c r="B3166" s="8"/>
      <c r="C3166" s="1989" t="s">
        <v>587</v>
      </c>
      <c r="D3166" s="1989" t="s">
        <v>6460</v>
      </c>
      <c r="E3166" s="1989">
        <v>42.78</v>
      </c>
      <c r="F3166" s="38">
        <f t="shared" si="46"/>
        <v>3478.9226472</v>
      </c>
      <c r="G3166" s="1547"/>
      <c r="H3166" s="8"/>
      <c r="I3166" s="8"/>
      <c r="J3166" s="8"/>
      <c r="K3166" s="8"/>
      <c r="O3166" s="8"/>
      <c r="P3166" s="8"/>
      <c r="Q3166" s="8"/>
      <c r="R3166" s="8"/>
      <c r="S3166" s="8"/>
      <c r="T3166" s="8"/>
      <c r="U3166" s="8"/>
      <c r="V3166" s="8"/>
      <c r="W3166" s="8"/>
      <c r="X3166" s="771"/>
      <c r="Y3166" s="771"/>
      <c r="Z3166" s="771"/>
      <c r="AA3166" s="771"/>
      <c r="AB3166" s="771"/>
      <c r="AC3166" s="771"/>
      <c r="AD3166" s="771"/>
      <c r="AE3166" s="771"/>
      <c r="AF3166" s="771"/>
      <c r="AG3166" s="771"/>
      <c r="AH3166" s="771"/>
      <c r="AI3166" s="771"/>
      <c r="AJ3166" s="771"/>
      <c r="AK3166" s="771"/>
      <c r="AL3166" s="771"/>
      <c r="AM3166" s="771"/>
      <c r="AN3166" s="771"/>
      <c r="AO3166" s="771"/>
      <c r="AP3166" s="771"/>
      <c r="AQ3166" s="771"/>
      <c r="AR3166" s="771"/>
      <c r="AS3166" s="771"/>
      <c r="AT3166" s="771"/>
      <c r="AU3166" s="771"/>
    </row>
    <row r="3167" spans="1:47" s="1505" customFormat="1" outlineLevel="1" x14ac:dyDescent="0.2">
      <c r="A3167" s="8"/>
      <c r="B3167" s="8"/>
      <c r="C3167" s="1989" t="s">
        <v>588</v>
      </c>
      <c r="D3167" s="1989" t="s">
        <v>589</v>
      </c>
      <c r="E3167" s="1989">
        <v>45.96</v>
      </c>
      <c r="F3167" s="38">
        <f t="shared" si="46"/>
        <v>3737.5241904000004</v>
      </c>
      <c r="G3167" s="1547"/>
      <c r="H3167" s="8"/>
      <c r="I3167" s="8"/>
      <c r="J3167" s="8"/>
      <c r="K3167" s="8"/>
      <c r="O3167" s="8"/>
      <c r="P3167" s="8"/>
      <c r="Q3167" s="8"/>
      <c r="R3167" s="8"/>
      <c r="S3167" s="8"/>
      <c r="T3167" s="8"/>
      <c r="U3167" s="8"/>
      <c r="V3167" s="8"/>
      <c r="W3167" s="8"/>
      <c r="X3167" s="771"/>
      <c r="Y3167" s="771"/>
      <c r="Z3167" s="771"/>
      <c r="AA3167" s="771"/>
      <c r="AB3167" s="771"/>
      <c r="AC3167" s="771"/>
      <c r="AD3167" s="771"/>
      <c r="AE3167" s="771"/>
      <c r="AF3167" s="771"/>
      <c r="AG3167" s="771"/>
      <c r="AH3167" s="771"/>
      <c r="AI3167" s="771"/>
      <c r="AJ3167" s="771"/>
      <c r="AK3167" s="771"/>
      <c r="AL3167" s="771"/>
      <c r="AM3167" s="771"/>
      <c r="AN3167" s="771"/>
      <c r="AO3167" s="771"/>
      <c r="AP3167" s="771"/>
      <c r="AQ3167" s="771"/>
      <c r="AR3167" s="771"/>
      <c r="AS3167" s="771"/>
      <c r="AT3167" s="771"/>
      <c r="AU3167" s="771"/>
    </row>
    <row r="3168" spans="1:47" s="1505" customFormat="1" outlineLevel="1" x14ac:dyDescent="0.2">
      <c r="A3168" s="8"/>
      <c r="B3168" s="8"/>
      <c r="C3168" s="1989" t="s">
        <v>4922</v>
      </c>
      <c r="D3168" s="1989" t="s">
        <v>8339</v>
      </c>
      <c r="E3168" s="1989">
        <v>48.5</v>
      </c>
      <c r="F3168" s="38">
        <f t="shared" si="46"/>
        <v>3944.08014</v>
      </c>
      <c r="G3168" s="1547"/>
      <c r="H3168" s="8"/>
      <c r="I3168" s="8"/>
      <c r="J3168" s="8"/>
      <c r="K3168" s="8"/>
      <c r="O3168" s="8"/>
      <c r="P3168" s="8"/>
      <c r="Q3168" s="8"/>
      <c r="R3168" s="8"/>
      <c r="S3168" s="8"/>
      <c r="T3168" s="8"/>
      <c r="U3168" s="8"/>
      <c r="V3168" s="8"/>
      <c r="W3168" s="8"/>
      <c r="X3168" s="771"/>
      <c r="Y3168" s="771"/>
      <c r="Z3168" s="771"/>
      <c r="AA3168" s="771"/>
      <c r="AB3168" s="771"/>
      <c r="AC3168" s="771"/>
      <c r="AD3168" s="771"/>
      <c r="AE3168" s="771"/>
      <c r="AF3168" s="771"/>
      <c r="AG3168" s="771"/>
      <c r="AH3168" s="771"/>
      <c r="AI3168" s="771"/>
      <c r="AJ3168" s="771"/>
      <c r="AK3168" s="771"/>
      <c r="AL3168" s="771"/>
      <c r="AM3168" s="771"/>
      <c r="AN3168" s="771"/>
      <c r="AO3168" s="771"/>
      <c r="AP3168" s="771"/>
      <c r="AQ3168" s="771"/>
      <c r="AR3168" s="771"/>
      <c r="AS3168" s="771"/>
      <c r="AT3168" s="771"/>
      <c r="AU3168" s="771"/>
    </row>
    <row r="3169" spans="1:47" s="1505" customFormat="1" outlineLevel="1" x14ac:dyDescent="0.2">
      <c r="A3169" s="8"/>
      <c r="B3169" s="8"/>
      <c r="C3169" s="1989" t="s">
        <v>590</v>
      </c>
      <c r="D3169" s="1989" t="s">
        <v>8340</v>
      </c>
      <c r="E3169" s="1989">
        <v>21</v>
      </c>
      <c r="F3169" s="38">
        <f t="shared" si="46"/>
        <v>1707.74604</v>
      </c>
      <c r="G3169" s="1547"/>
      <c r="H3169" s="8"/>
      <c r="I3169" s="8"/>
      <c r="J3169" s="8"/>
      <c r="K3169" s="8"/>
      <c r="O3169" s="8"/>
      <c r="P3169" s="8"/>
      <c r="Q3169" s="8"/>
      <c r="R3169" s="8"/>
      <c r="S3169" s="8"/>
      <c r="T3169" s="8"/>
      <c r="U3169" s="8"/>
      <c r="V3169" s="8"/>
      <c r="W3169" s="8"/>
      <c r="X3169" s="771"/>
      <c r="Y3169" s="771"/>
      <c r="Z3169" s="771"/>
      <c r="AA3169" s="771"/>
      <c r="AB3169" s="771"/>
      <c r="AC3169" s="771"/>
      <c r="AD3169" s="771"/>
      <c r="AE3169" s="771"/>
      <c r="AF3169" s="771"/>
      <c r="AG3169" s="771"/>
      <c r="AH3169" s="771"/>
      <c r="AI3169" s="771"/>
      <c r="AJ3169" s="771"/>
      <c r="AK3169" s="771"/>
      <c r="AL3169" s="771"/>
      <c r="AM3169" s="771"/>
      <c r="AN3169" s="771"/>
      <c r="AO3169" s="771"/>
      <c r="AP3169" s="771"/>
      <c r="AQ3169" s="771"/>
      <c r="AR3169" s="771"/>
      <c r="AS3169" s="771"/>
      <c r="AT3169" s="771"/>
      <c r="AU3169" s="771"/>
    </row>
    <row r="3170" spans="1:47" s="1505" customFormat="1" outlineLevel="1" x14ac:dyDescent="0.2">
      <c r="A3170" s="8"/>
      <c r="B3170" s="8"/>
      <c r="C3170" s="1989" t="s">
        <v>591</v>
      </c>
      <c r="D3170" s="1989" t="s">
        <v>6461</v>
      </c>
      <c r="E3170" s="1989">
        <v>48.2</v>
      </c>
      <c r="F3170" s="38">
        <f t="shared" si="46"/>
        <v>3919.6837680000003</v>
      </c>
      <c r="G3170" s="1547"/>
      <c r="H3170" s="8"/>
      <c r="I3170" s="8"/>
      <c r="J3170" s="8"/>
      <c r="K3170" s="8"/>
      <c r="O3170" s="8"/>
      <c r="P3170" s="8"/>
      <c r="Q3170" s="8"/>
      <c r="R3170" s="8"/>
      <c r="S3170" s="8"/>
      <c r="T3170" s="8"/>
      <c r="U3170" s="8"/>
      <c r="V3170" s="8"/>
      <c r="W3170" s="8"/>
      <c r="X3170" s="771"/>
      <c r="Y3170" s="771"/>
      <c r="Z3170" s="771"/>
      <c r="AA3170" s="771"/>
      <c r="AB3170" s="771"/>
      <c r="AC3170" s="771"/>
      <c r="AD3170" s="771"/>
      <c r="AE3170" s="771"/>
      <c r="AF3170" s="771"/>
      <c r="AG3170" s="771"/>
      <c r="AH3170" s="771"/>
      <c r="AI3170" s="771"/>
      <c r="AJ3170" s="771"/>
      <c r="AK3170" s="771"/>
      <c r="AL3170" s="771"/>
      <c r="AM3170" s="771"/>
      <c r="AN3170" s="771"/>
      <c r="AO3170" s="771"/>
      <c r="AP3170" s="771"/>
      <c r="AQ3170" s="771"/>
      <c r="AR3170" s="771"/>
      <c r="AS3170" s="771"/>
      <c r="AT3170" s="771"/>
      <c r="AU3170" s="771"/>
    </row>
    <row r="3171" spans="1:47" s="1505" customFormat="1" outlineLevel="1" x14ac:dyDescent="0.2">
      <c r="A3171" s="8"/>
      <c r="B3171" s="8"/>
      <c r="C3171" s="1989" t="s">
        <v>4199</v>
      </c>
      <c r="D3171" s="1989" t="s">
        <v>6462</v>
      </c>
      <c r="E3171" s="1989">
        <v>52.57</v>
      </c>
      <c r="F3171" s="38">
        <f t="shared" si="46"/>
        <v>4275.0575867999996</v>
      </c>
      <c r="G3171" s="1547"/>
      <c r="H3171" s="8"/>
      <c r="I3171" s="8"/>
      <c r="J3171" s="8"/>
      <c r="K3171" s="8"/>
      <c r="O3171" s="8"/>
      <c r="P3171" s="8"/>
      <c r="Q3171" s="8"/>
      <c r="R3171" s="8"/>
      <c r="S3171" s="8"/>
      <c r="T3171" s="8"/>
      <c r="U3171" s="8"/>
      <c r="V3171" s="8"/>
      <c r="W3171" s="8"/>
      <c r="X3171" s="771"/>
      <c r="Y3171" s="771"/>
      <c r="Z3171" s="771"/>
      <c r="AA3171" s="771"/>
      <c r="AB3171" s="771"/>
      <c r="AC3171" s="771"/>
      <c r="AD3171" s="771"/>
      <c r="AE3171" s="771"/>
      <c r="AF3171" s="771"/>
      <c r="AG3171" s="771"/>
      <c r="AH3171" s="771"/>
      <c r="AI3171" s="771"/>
      <c r="AJ3171" s="771"/>
      <c r="AK3171" s="771"/>
      <c r="AL3171" s="771"/>
      <c r="AM3171" s="771"/>
      <c r="AN3171" s="771"/>
      <c r="AO3171" s="771"/>
      <c r="AP3171" s="771"/>
      <c r="AQ3171" s="771"/>
      <c r="AR3171" s="771"/>
      <c r="AS3171" s="771"/>
      <c r="AT3171" s="771"/>
      <c r="AU3171" s="771"/>
    </row>
    <row r="3172" spans="1:47" s="1505" customFormat="1" outlineLevel="1" x14ac:dyDescent="0.2">
      <c r="A3172" s="8"/>
      <c r="B3172" s="8"/>
      <c r="C3172" s="1989" t="s">
        <v>592</v>
      </c>
      <c r="D3172" s="1989" t="s">
        <v>6463</v>
      </c>
      <c r="E3172" s="1989">
        <v>49.09</v>
      </c>
      <c r="F3172" s="38">
        <f t="shared" si="46"/>
        <v>3992.0596716000005</v>
      </c>
      <c r="G3172" s="1547"/>
      <c r="H3172" s="8"/>
      <c r="I3172" s="8"/>
      <c r="J3172" s="8"/>
      <c r="K3172" s="8"/>
      <c r="O3172" s="8"/>
      <c r="P3172" s="8"/>
      <c r="Q3172" s="8"/>
      <c r="R3172" s="8"/>
      <c r="S3172" s="8"/>
      <c r="T3172" s="8"/>
      <c r="U3172" s="8"/>
      <c r="V3172" s="8"/>
      <c r="W3172" s="8"/>
      <c r="X3172" s="771"/>
      <c r="Y3172" s="771"/>
      <c r="Z3172" s="771"/>
      <c r="AA3172" s="771"/>
      <c r="AB3172" s="771"/>
      <c r="AC3172" s="771"/>
      <c r="AD3172" s="771"/>
      <c r="AE3172" s="771"/>
      <c r="AF3172" s="771"/>
      <c r="AG3172" s="771"/>
      <c r="AH3172" s="771"/>
      <c r="AI3172" s="771"/>
      <c r="AJ3172" s="771"/>
      <c r="AK3172" s="771"/>
      <c r="AL3172" s="771"/>
      <c r="AM3172" s="771"/>
      <c r="AN3172" s="771"/>
      <c r="AO3172" s="771"/>
      <c r="AP3172" s="771"/>
      <c r="AQ3172" s="771"/>
      <c r="AR3172" s="771"/>
      <c r="AS3172" s="771"/>
      <c r="AT3172" s="771"/>
      <c r="AU3172" s="771"/>
    </row>
    <row r="3173" spans="1:47" s="1505" customFormat="1" outlineLevel="1" x14ac:dyDescent="0.2">
      <c r="A3173" s="8"/>
      <c r="B3173" s="8"/>
      <c r="C3173" s="1989" t="s">
        <v>593</v>
      </c>
      <c r="D3173" s="1989" t="s">
        <v>6464</v>
      </c>
      <c r="E3173" s="1989">
        <v>22.77</v>
      </c>
      <c r="F3173" s="38">
        <f t="shared" si="46"/>
        <v>1851.6846347999999</v>
      </c>
      <c r="G3173" s="1547"/>
      <c r="H3173" s="8"/>
      <c r="I3173" s="8"/>
      <c r="J3173" s="8"/>
      <c r="K3173" s="8"/>
      <c r="O3173" s="8"/>
      <c r="P3173" s="8"/>
      <c r="Q3173" s="8"/>
      <c r="R3173" s="8"/>
      <c r="S3173" s="8"/>
      <c r="T3173" s="8"/>
      <c r="U3173" s="8"/>
      <c r="V3173" s="8"/>
      <c r="W3173" s="8"/>
      <c r="X3173" s="771"/>
      <c r="Y3173" s="771"/>
      <c r="Z3173" s="771"/>
      <c r="AA3173" s="771"/>
      <c r="AB3173" s="771"/>
      <c r="AC3173" s="771"/>
      <c r="AD3173" s="771"/>
      <c r="AE3173" s="771"/>
      <c r="AF3173" s="771"/>
      <c r="AG3173" s="771"/>
      <c r="AH3173" s="771"/>
      <c r="AI3173" s="771"/>
      <c r="AJ3173" s="771"/>
      <c r="AK3173" s="771"/>
      <c r="AL3173" s="771"/>
      <c r="AM3173" s="771"/>
      <c r="AN3173" s="771"/>
      <c r="AO3173" s="771"/>
      <c r="AP3173" s="771"/>
      <c r="AQ3173" s="771"/>
      <c r="AR3173" s="771"/>
      <c r="AS3173" s="771"/>
      <c r="AT3173" s="771"/>
      <c r="AU3173" s="771"/>
    </row>
    <row r="3174" spans="1:47" s="1505" customFormat="1" outlineLevel="1" x14ac:dyDescent="0.2">
      <c r="A3174" s="8"/>
      <c r="B3174" s="8"/>
      <c r="C3174" s="1989" t="s">
        <v>594</v>
      </c>
      <c r="D3174" s="1989" t="s">
        <v>6465</v>
      </c>
      <c r="E3174" s="1989">
        <v>22.77</v>
      </c>
      <c r="F3174" s="38">
        <f t="shared" si="46"/>
        <v>1851.6846347999999</v>
      </c>
      <c r="G3174" s="1547"/>
      <c r="H3174" s="8"/>
      <c r="I3174" s="8"/>
      <c r="J3174" s="8"/>
      <c r="K3174" s="8"/>
      <c r="O3174" s="8"/>
      <c r="P3174" s="8"/>
      <c r="Q3174" s="8"/>
      <c r="R3174" s="8"/>
      <c r="S3174" s="8"/>
      <c r="T3174" s="8"/>
      <c r="U3174" s="8"/>
      <c r="V3174" s="8"/>
      <c r="W3174" s="8"/>
      <c r="X3174" s="771"/>
      <c r="Y3174" s="771"/>
      <c r="Z3174" s="771"/>
      <c r="AA3174" s="771"/>
      <c r="AB3174" s="771"/>
      <c r="AC3174" s="771"/>
      <c r="AD3174" s="771"/>
      <c r="AE3174" s="771"/>
      <c r="AF3174" s="771"/>
      <c r="AG3174" s="771"/>
      <c r="AH3174" s="771"/>
      <c r="AI3174" s="771"/>
      <c r="AJ3174" s="771"/>
      <c r="AK3174" s="771"/>
      <c r="AL3174" s="771"/>
      <c r="AM3174" s="771"/>
      <c r="AN3174" s="771"/>
      <c r="AO3174" s="771"/>
      <c r="AP3174" s="771"/>
      <c r="AQ3174" s="771"/>
      <c r="AR3174" s="771"/>
      <c r="AS3174" s="771"/>
      <c r="AT3174" s="771"/>
      <c r="AU3174" s="771"/>
    </row>
    <row r="3175" spans="1:47" s="1505" customFormat="1" outlineLevel="1" x14ac:dyDescent="0.2">
      <c r="A3175" s="8"/>
      <c r="B3175" s="8"/>
      <c r="C3175" s="1989" t="s">
        <v>3116</v>
      </c>
      <c r="D3175" s="1989" t="s">
        <v>4200</v>
      </c>
      <c r="E3175" s="1989">
        <v>108.32</v>
      </c>
      <c r="F3175" s="38">
        <f t="shared" si="46"/>
        <v>8808.7167167999996</v>
      </c>
      <c r="G3175" s="1547"/>
      <c r="H3175" s="8"/>
      <c r="I3175" s="8"/>
      <c r="J3175" s="8"/>
      <c r="K3175" s="8"/>
      <c r="O3175" s="8"/>
      <c r="P3175" s="8"/>
      <c r="Q3175" s="8"/>
      <c r="R3175" s="8"/>
      <c r="S3175" s="8"/>
      <c r="T3175" s="8"/>
      <c r="U3175" s="8"/>
      <c r="V3175" s="8"/>
      <c r="W3175" s="8"/>
      <c r="X3175" s="771"/>
      <c r="Y3175" s="771"/>
      <c r="Z3175" s="771"/>
      <c r="AA3175" s="771"/>
      <c r="AB3175" s="771"/>
      <c r="AC3175" s="771"/>
      <c r="AD3175" s="771"/>
      <c r="AE3175" s="771"/>
      <c r="AF3175" s="771"/>
      <c r="AG3175" s="771"/>
      <c r="AH3175" s="771"/>
      <c r="AI3175" s="771"/>
      <c r="AJ3175" s="771"/>
      <c r="AK3175" s="771"/>
      <c r="AL3175" s="771"/>
      <c r="AM3175" s="771"/>
      <c r="AN3175" s="771"/>
      <c r="AO3175" s="771"/>
      <c r="AP3175" s="771"/>
      <c r="AQ3175" s="771"/>
      <c r="AR3175" s="771"/>
      <c r="AS3175" s="771"/>
      <c r="AT3175" s="771"/>
      <c r="AU3175" s="771"/>
    </row>
    <row r="3176" spans="1:47" s="1505" customFormat="1" outlineLevel="1" x14ac:dyDescent="0.2">
      <c r="A3176" s="8"/>
      <c r="B3176" s="8"/>
      <c r="C3176" s="1989" t="s">
        <v>595</v>
      </c>
      <c r="D3176" s="1989" t="s">
        <v>8341</v>
      </c>
      <c r="E3176" s="1989">
        <v>5.25</v>
      </c>
      <c r="F3176" s="38">
        <f t="shared" si="46"/>
        <v>426.93651</v>
      </c>
      <c r="G3176" s="1547"/>
      <c r="H3176" s="8"/>
      <c r="I3176" s="8"/>
      <c r="J3176" s="8"/>
      <c r="K3176" s="8"/>
      <c r="O3176" s="8"/>
      <c r="P3176" s="8"/>
      <c r="Q3176" s="8"/>
      <c r="R3176" s="8"/>
      <c r="S3176" s="8"/>
      <c r="T3176" s="8"/>
      <c r="U3176" s="8"/>
      <c r="V3176" s="8"/>
      <c r="W3176" s="8"/>
      <c r="X3176" s="771"/>
      <c r="Y3176" s="771"/>
      <c r="Z3176" s="771"/>
      <c r="AA3176" s="771"/>
      <c r="AB3176" s="771"/>
      <c r="AC3176" s="771"/>
      <c r="AD3176" s="771"/>
      <c r="AE3176" s="771"/>
      <c r="AF3176" s="771"/>
      <c r="AG3176" s="771"/>
      <c r="AH3176" s="771"/>
      <c r="AI3176" s="771"/>
      <c r="AJ3176" s="771"/>
      <c r="AK3176" s="771"/>
      <c r="AL3176" s="771"/>
      <c r="AM3176" s="771"/>
      <c r="AN3176" s="771"/>
      <c r="AO3176" s="771"/>
      <c r="AP3176" s="771"/>
      <c r="AQ3176" s="771"/>
      <c r="AR3176" s="771"/>
      <c r="AS3176" s="771"/>
      <c r="AT3176" s="771"/>
      <c r="AU3176" s="771"/>
    </row>
    <row r="3177" spans="1:47" s="1505" customFormat="1" outlineLevel="1" x14ac:dyDescent="0.2">
      <c r="A3177" s="8"/>
      <c r="B3177" s="8"/>
      <c r="C3177" s="1989" t="s">
        <v>596</v>
      </c>
      <c r="D3177" s="1989" t="s">
        <v>6466</v>
      </c>
      <c r="E3177" s="1989">
        <v>503.09</v>
      </c>
      <c r="F3177" s="38">
        <f t="shared" si="46"/>
        <v>40911.902631600002</v>
      </c>
      <c r="G3177" s="1547"/>
      <c r="H3177" s="8"/>
      <c r="I3177" s="8"/>
      <c r="J3177" s="8"/>
      <c r="K3177" s="8"/>
      <c r="O3177" s="8"/>
      <c r="P3177" s="8"/>
      <c r="Q3177" s="8"/>
      <c r="R3177" s="8"/>
      <c r="S3177" s="8"/>
      <c r="T3177" s="8"/>
      <c r="U3177" s="8"/>
      <c r="V3177" s="8"/>
      <c r="W3177" s="8"/>
      <c r="X3177" s="771"/>
      <c r="Y3177" s="771"/>
      <c r="Z3177" s="771"/>
      <c r="AA3177" s="771"/>
      <c r="AB3177" s="771"/>
      <c r="AC3177" s="771"/>
      <c r="AD3177" s="771"/>
      <c r="AE3177" s="771"/>
      <c r="AF3177" s="771"/>
      <c r="AG3177" s="771"/>
      <c r="AH3177" s="771"/>
      <c r="AI3177" s="771"/>
      <c r="AJ3177" s="771"/>
      <c r="AK3177" s="771"/>
      <c r="AL3177" s="771"/>
      <c r="AM3177" s="771"/>
      <c r="AN3177" s="771"/>
      <c r="AO3177" s="771"/>
      <c r="AP3177" s="771"/>
      <c r="AQ3177" s="771"/>
      <c r="AR3177" s="771"/>
      <c r="AS3177" s="771"/>
      <c r="AT3177" s="771"/>
      <c r="AU3177" s="771"/>
    </row>
    <row r="3178" spans="1:47" s="1505" customFormat="1" outlineLevel="1" x14ac:dyDescent="0.2">
      <c r="A3178" s="8"/>
      <c r="B3178" s="8"/>
      <c r="C3178" s="1989" t="s">
        <v>597</v>
      </c>
      <c r="D3178" s="1989" t="s">
        <v>6467</v>
      </c>
      <c r="E3178" s="1989">
        <v>450.7</v>
      </c>
      <c r="F3178" s="38">
        <f t="shared" si="46"/>
        <v>36651.482867999999</v>
      </c>
      <c r="G3178" s="1547"/>
      <c r="H3178" s="8"/>
      <c r="I3178" s="8"/>
      <c r="J3178" s="8"/>
      <c r="K3178" s="8"/>
      <c r="O3178" s="8"/>
      <c r="P3178" s="8"/>
      <c r="Q3178" s="8"/>
      <c r="R3178" s="8"/>
      <c r="S3178" s="8"/>
      <c r="T3178" s="8"/>
      <c r="U3178" s="8"/>
      <c r="V3178" s="8"/>
      <c r="W3178" s="8"/>
      <c r="X3178" s="771"/>
      <c r="Y3178" s="771"/>
      <c r="Z3178" s="771"/>
      <c r="AA3178" s="771"/>
      <c r="AB3178" s="771"/>
      <c r="AC3178" s="771"/>
      <c r="AD3178" s="771"/>
      <c r="AE3178" s="771"/>
      <c r="AF3178" s="771"/>
      <c r="AG3178" s="771"/>
      <c r="AH3178" s="771"/>
      <c r="AI3178" s="771"/>
      <c r="AJ3178" s="771"/>
      <c r="AK3178" s="771"/>
      <c r="AL3178" s="771"/>
      <c r="AM3178" s="771"/>
      <c r="AN3178" s="771"/>
      <c r="AO3178" s="771"/>
      <c r="AP3178" s="771"/>
      <c r="AQ3178" s="771"/>
      <c r="AR3178" s="771"/>
      <c r="AS3178" s="771"/>
      <c r="AT3178" s="771"/>
      <c r="AU3178" s="771"/>
    </row>
    <row r="3179" spans="1:47" s="1505" customFormat="1" outlineLevel="1" x14ac:dyDescent="0.2">
      <c r="A3179" s="8"/>
      <c r="B3179" s="8"/>
      <c r="C3179" s="1989" t="s">
        <v>598</v>
      </c>
      <c r="D3179" s="1989" t="s">
        <v>6468</v>
      </c>
      <c r="E3179" s="1989">
        <v>530.35</v>
      </c>
      <c r="F3179" s="38">
        <f t="shared" si="46"/>
        <v>43128.719634000001</v>
      </c>
      <c r="G3179" s="1547"/>
      <c r="H3179" s="8"/>
      <c r="I3179" s="8"/>
      <c r="J3179" s="8"/>
      <c r="K3179" s="8"/>
      <c r="O3179" s="8"/>
      <c r="P3179" s="8"/>
      <c r="Q3179" s="8"/>
      <c r="R3179" s="8"/>
      <c r="S3179" s="8"/>
      <c r="T3179" s="8"/>
      <c r="U3179" s="8"/>
      <c r="V3179" s="8"/>
      <c r="W3179" s="8"/>
      <c r="X3179" s="771"/>
      <c r="Y3179" s="771"/>
      <c r="Z3179" s="771"/>
      <c r="AA3179" s="771"/>
      <c r="AB3179" s="771"/>
      <c r="AC3179" s="771"/>
      <c r="AD3179" s="771"/>
      <c r="AE3179" s="771"/>
      <c r="AF3179" s="771"/>
      <c r="AG3179" s="771"/>
      <c r="AH3179" s="771"/>
      <c r="AI3179" s="771"/>
      <c r="AJ3179" s="771"/>
      <c r="AK3179" s="771"/>
      <c r="AL3179" s="771"/>
      <c r="AM3179" s="771"/>
      <c r="AN3179" s="771"/>
      <c r="AO3179" s="771"/>
      <c r="AP3179" s="771"/>
      <c r="AQ3179" s="771"/>
      <c r="AR3179" s="771"/>
      <c r="AS3179" s="771"/>
      <c r="AT3179" s="771"/>
      <c r="AU3179" s="771"/>
    </row>
    <row r="3180" spans="1:47" s="1505" customFormat="1" outlineLevel="1" x14ac:dyDescent="0.2">
      <c r="A3180" s="8"/>
      <c r="B3180" s="8"/>
      <c r="C3180" s="1989" t="s">
        <v>599</v>
      </c>
      <c r="D3180" s="1989" t="s">
        <v>6469</v>
      </c>
      <c r="E3180" s="1989">
        <v>364.8</v>
      </c>
      <c r="F3180" s="38">
        <f t="shared" si="46"/>
        <v>29665.988352</v>
      </c>
      <c r="G3180" s="1547"/>
      <c r="H3180" s="8"/>
      <c r="I3180" s="8"/>
      <c r="J3180" s="8"/>
      <c r="K3180" s="8"/>
      <c r="O3180" s="8"/>
      <c r="P3180" s="8"/>
      <c r="Q3180" s="8"/>
      <c r="R3180" s="8"/>
      <c r="S3180" s="8"/>
      <c r="T3180" s="8"/>
      <c r="U3180" s="8"/>
      <c r="V3180" s="8"/>
      <c r="W3180" s="8"/>
      <c r="X3180" s="771"/>
      <c r="Y3180" s="771"/>
      <c r="Z3180" s="771"/>
      <c r="AA3180" s="771"/>
      <c r="AB3180" s="771"/>
      <c r="AC3180" s="771"/>
      <c r="AD3180" s="771"/>
      <c r="AE3180" s="771"/>
      <c r="AF3180" s="771"/>
      <c r="AG3180" s="771"/>
      <c r="AH3180" s="771"/>
      <c r="AI3180" s="771"/>
      <c r="AJ3180" s="771"/>
      <c r="AK3180" s="771"/>
      <c r="AL3180" s="771"/>
      <c r="AM3180" s="771"/>
      <c r="AN3180" s="771"/>
      <c r="AO3180" s="771"/>
      <c r="AP3180" s="771"/>
      <c r="AQ3180" s="771"/>
      <c r="AR3180" s="771"/>
      <c r="AS3180" s="771"/>
      <c r="AT3180" s="771"/>
      <c r="AU3180" s="771"/>
    </row>
    <row r="3181" spans="1:47" s="1505" customFormat="1" outlineLevel="1" x14ac:dyDescent="0.2">
      <c r="A3181" s="8"/>
      <c r="B3181" s="8"/>
      <c r="C3181" s="1989" t="s">
        <v>600</v>
      </c>
      <c r="D3181" s="1989" t="s">
        <v>6470</v>
      </c>
      <c r="E3181" s="1989">
        <v>571.91999999999996</v>
      </c>
      <c r="F3181" s="38">
        <f t="shared" si="46"/>
        <v>46509.243580800001</v>
      </c>
      <c r="G3181" s="1547"/>
      <c r="H3181" s="8"/>
      <c r="I3181" s="8"/>
      <c r="J3181" s="8"/>
      <c r="K3181" s="8"/>
      <c r="O3181" s="8"/>
      <c r="P3181" s="8"/>
      <c r="Q3181" s="8"/>
      <c r="R3181" s="8"/>
      <c r="S3181" s="8"/>
      <c r="T3181" s="8"/>
      <c r="U3181" s="8"/>
      <c r="V3181" s="8"/>
      <c r="W3181" s="8"/>
      <c r="X3181" s="771"/>
      <c r="Y3181" s="771"/>
      <c r="Z3181" s="771"/>
      <c r="AA3181" s="771"/>
      <c r="AB3181" s="771"/>
      <c r="AC3181" s="771"/>
      <c r="AD3181" s="771"/>
      <c r="AE3181" s="771"/>
      <c r="AF3181" s="771"/>
      <c r="AG3181" s="771"/>
      <c r="AH3181" s="771"/>
      <c r="AI3181" s="771"/>
      <c r="AJ3181" s="771"/>
      <c r="AK3181" s="771"/>
      <c r="AL3181" s="771"/>
      <c r="AM3181" s="771"/>
      <c r="AN3181" s="771"/>
      <c r="AO3181" s="771"/>
      <c r="AP3181" s="771"/>
      <c r="AQ3181" s="771"/>
      <c r="AR3181" s="771"/>
      <c r="AS3181" s="771"/>
      <c r="AT3181" s="771"/>
      <c r="AU3181" s="771"/>
    </row>
    <row r="3182" spans="1:47" s="1505" customFormat="1" outlineLevel="1" x14ac:dyDescent="0.2">
      <c r="A3182" s="8"/>
      <c r="B3182" s="8"/>
      <c r="C3182" s="1989" t="s">
        <v>601</v>
      </c>
      <c r="D3182" s="1989" t="s">
        <v>6471</v>
      </c>
      <c r="E3182" s="1989">
        <v>582.35</v>
      </c>
      <c r="F3182" s="38">
        <f t="shared" si="46"/>
        <v>47357.424114000009</v>
      </c>
      <c r="G3182" s="1547"/>
      <c r="H3182" s="8"/>
      <c r="I3182" s="8"/>
      <c r="J3182" s="8"/>
      <c r="K3182" s="8"/>
      <c r="O3182" s="8"/>
      <c r="P3182" s="8"/>
      <c r="Q3182" s="8"/>
      <c r="R3182" s="8"/>
      <c r="S3182" s="8"/>
      <c r="T3182" s="8"/>
      <c r="U3182" s="8"/>
      <c r="V3182" s="8"/>
      <c r="W3182" s="8"/>
      <c r="X3182" s="771"/>
      <c r="Y3182" s="771"/>
      <c r="Z3182" s="771"/>
      <c r="AA3182" s="771"/>
      <c r="AB3182" s="771"/>
      <c r="AC3182" s="771"/>
      <c r="AD3182" s="771"/>
      <c r="AE3182" s="771"/>
      <c r="AF3182" s="771"/>
      <c r="AG3182" s="771"/>
      <c r="AH3182" s="771"/>
      <c r="AI3182" s="771"/>
      <c r="AJ3182" s="771"/>
      <c r="AK3182" s="771"/>
      <c r="AL3182" s="771"/>
      <c r="AM3182" s="771"/>
      <c r="AN3182" s="771"/>
      <c r="AO3182" s="771"/>
      <c r="AP3182" s="771"/>
      <c r="AQ3182" s="771"/>
      <c r="AR3182" s="771"/>
      <c r="AS3182" s="771"/>
      <c r="AT3182" s="771"/>
      <c r="AU3182" s="771"/>
    </row>
    <row r="3183" spans="1:47" s="1505" customFormat="1" outlineLevel="1" x14ac:dyDescent="0.2">
      <c r="A3183" s="8"/>
      <c r="B3183" s="8"/>
      <c r="C3183" s="1989" t="s">
        <v>602</v>
      </c>
      <c r="D3183" s="1989" t="s">
        <v>6472</v>
      </c>
      <c r="E3183" s="1989">
        <v>740.75</v>
      </c>
      <c r="F3183" s="38">
        <f t="shared" si="46"/>
        <v>60238.708530000004</v>
      </c>
      <c r="G3183" s="1547"/>
      <c r="H3183" s="8"/>
      <c r="I3183" s="8"/>
      <c r="J3183" s="8"/>
      <c r="K3183" s="8"/>
      <c r="O3183" s="8"/>
      <c r="P3183" s="8"/>
      <c r="Q3183" s="8"/>
      <c r="R3183" s="8"/>
      <c r="S3183" s="8"/>
      <c r="T3183" s="8"/>
      <c r="U3183" s="8"/>
      <c r="V3183" s="8"/>
      <c r="W3183" s="8"/>
      <c r="X3183" s="771"/>
      <c r="Y3183" s="771"/>
      <c r="Z3183" s="771"/>
      <c r="AA3183" s="771"/>
      <c r="AB3183" s="771"/>
      <c r="AC3183" s="771"/>
      <c r="AD3183" s="771"/>
      <c r="AE3183" s="771"/>
      <c r="AF3183" s="771"/>
      <c r="AG3183" s="771"/>
      <c r="AH3183" s="771"/>
      <c r="AI3183" s="771"/>
      <c r="AJ3183" s="771"/>
      <c r="AK3183" s="771"/>
      <c r="AL3183" s="771"/>
      <c r="AM3183" s="771"/>
      <c r="AN3183" s="771"/>
      <c r="AO3183" s="771"/>
      <c r="AP3183" s="771"/>
      <c r="AQ3183" s="771"/>
      <c r="AR3183" s="771"/>
      <c r="AS3183" s="771"/>
      <c r="AT3183" s="771"/>
      <c r="AU3183" s="771"/>
    </row>
    <row r="3184" spans="1:47" s="1505" customFormat="1" outlineLevel="1" x14ac:dyDescent="0.2">
      <c r="A3184" s="8"/>
      <c r="B3184" s="8"/>
      <c r="C3184" s="1989" t="s">
        <v>603</v>
      </c>
      <c r="D3184" s="1989" t="s">
        <v>604</v>
      </c>
      <c r="E3184" s="1989">
        <v>123.84</v>
      </c>
      <c r="F3184" s="38">
        <f t="shared" si="46"/>
        <v>10070.822361600001</v>
      </c>
      <c r="G3184" s="1547"/>
      <c r="H3184" s="8"/>
      <c r="I3184" s="8"/>
      <c r="J3184" s="8"/>
      <c r="K3184" s="8"/>
      <c r="O3184" s="8"/>
      <c r="P3184" s="8"/>
      <c r="Q3184" s="8"/>
      <c r="R3184" s="8"/>
      <c r="S3184" s="8"/>
      <c r="T3184" s="8"/>
      <c r="U3184" s="8"/>
      <c r="V3184" s="8"/>
      <c r="W3184" s="8"/>
      <c r="X3184" s="771"/>
      <c r="Y3184" s="771"/>
      <c r="Z3184" s="771"/>
      <c r="AA3184" s="771"/>
      <c r="AB3184" s="771"/>
      <c r="AC3184" s="771"/>
      <c r="AD3184" s="771"/>
      <c r="AE3184" s="771"/>
      <c r="AF3184" s="771"/>
      <c r="AG3184" s="771"/>
      <c r="AH3184" s="771"/>
      <c r="AI3184" s="771"/>
      <c r="AJ3184" s="771"/>
      <c r="AK3184" s="771"/>
      <c r="AL3184" s="771"/>
      <c r="AM3184" s="771"/>
      <c r="AN3184" s="771"/>
      <c r="AO3184" s="771"/>
      <c r="AP3184" s="771"/>
      <c r="AQ3184" s="771"/>
      <c r="AR3184" s="771"/>
      <c r="AS3184" s="771"/>
      <c r="AT3184" s="771"/>
      <c r="AU3184" s="771"/>
    </row>
    <row r="3185" spans="1:47" s="1505" customFormat="1" outlineLevel="1" x14ac:dyDescent="0.2">
      <c r="A3185" s="8"/>
      <c r="B3185" s="8"/>
      <c r="C3185" s="1989" t="s">
        <v>605</v>
      </c>
      <c r="D3185" s="1989" t="s">
        <v>3388</v>
      </c>
      <c r="E3185" s="1989">
        <v>183.3</v>
      </c>
      <c r="F3185" s="38">
        <f t="shared" si="46"/>
        <v>14906.183292000002</v>
      </c>
      <c r="G3185" s="1547"/>
      <c r="H3185" s="8"/>
      <c r="I3185" s="8"/>
      <c r="J3185" s="8"/>
      <c r="K3185" s="8"/>
      <c r="O3185" s="8"/>
      <c r="P3185" s="8"/>
      <c r="Q3185" s="8"/>
      <c r="R3185" s="8"/>
      <c r="S3185" s="8"/>
      <c r="T3185" s="8"/>
      <c r="U3185" s="8"/>
      <c r="V3185" s="8"/>
      <c r="W3185" s="8"/>
      <c r="X3185" s="771"/>
      <c r="Y3185" s="771"/>
      <c r="Z3185" s="771"/>
      <c r="AA3185" s="771"/>
      <c r="AB3185" s="771"/>
      <c r="AC3185" s="771"/>
      <c r="AD3185" s="771"/>
      <c r="AE3185" s="771"/>
      <c r="AF3185" s="771"/>
      <c r="AG3185" s="771"/>
      <c r="AH3185" s="771"/>
      <c r="AI3185" s="771"/>
      <c r="AJ3185" s="771"/>
      <c r="AK3185" s="771"/>
      <c r="AL3185" s="771"/>
      <c r="AM3185" s="771"/>
      <c r="AN3185" s="771"/>
      <c r="AO3185" s="771"/>
      <c r="AP3185" s="771"/>
      <c r="AQ3185" s="771"/>
      <c r="AR3185" s="771"/>
      <c r="AS3185" s="771"/>
      <c r="AT3185" s="771"/>
      <c r="AU3185" s="771"/>
    </row>
    <row r="3186" spans="1:47" s="1505" customFormat="1" outlineLevel="1" x14ac:dyDescent="0.2">
      <c r="A3186" s="8"/>
      <c r="B3186" s="8"/>
      <c r="C3186" s="1989" t="s">
        <v>2698</v>
      </c>
      <c r="D3186" s="1989" t="s">
        <v>6473</v>
      </c>
      <c r="E3186" s="1989">
        <v>188.68</v>
      </c>
      <c r="F3186" s="38">
        <f t="shared" si="46"/>
        <v>15343.6915632</v>
      </c>
      <c r="G3186" s="1547"/>
      <c r="H3186" s="8"/>
      <c r="I3186" s="8"/>
      <c r="J3186" s="8"/>
      <c r="K3186" s="8"/>
      <c r="O3186" s="8"/>
      <c r="P3186" s="8"/>
      <c r="Q3186" s="8"/>
      <c r="R3186" s="8"/>
      <c r="S3186" s="8"/>
      <c r="T3186" s="8"/>
      <c r="U3186" s="8"/>
      <c r="V3186" s="8"/>
      <c r="W3186" s="8"/>
      <c r="X3186" s="771"/>
      <c r="Y3186" s="771"/>
      <c r="Z3186" s="771"/>
      <c r="AA3186" s="771"/>
      <c r="AB3186" s="771"/>
      <c r="AC3186" s="771"/>
      <c r="AD3186" s="771"/>
      <c r="AE3186" s="771"/>
      <c r="AF3186" s="771"/>
      <c r="AG3186" s="771"/>
      <c r="AH3186" s="771"/>
      <c r="AI3186" s="771"/>
      <c r="AJ3186" s="771"/>
      <c r="AK3186" s="771"/>
      <c r="AL3186" s="771"/>
      <c r="AM3186" s="771"/>
      <c r="AN3186" s="771"/>
      <c r="AO3186" s="771"/>
      <c r="AP3186" s="771"/>
      <c r="AQ3186" s="771"/>
      <c r="AR3186" s="771"/>
      <c r="AS3186" s="771"/>
      <c r="AT3186" s="771"/>
      <c r="AU3186" s="771"/>
    </row>
    <row r="3187" spans="1:47" s="1505" customFormat="1" outlineLevel="1" x14ac:dyDescent="0.2">
      <c r="A3187" s="8"/>
      <c r="B3187" s="8"/>
      <c r="C3187" s="1989" t="s">
        <v>606</v>
      </c>
      <c r="D3187" s="1989" t="s">
        <v>607</v>
      </c>
      <c r="E3187" s="1989">
        <v>108.5</v>
      </c>
      <c r="F3187" s="38">
        <f t="shared" si="46"/>
        <v>8823.3545400000003</v>
      </c>
      <c r="G3187" s="1547"/>
      <c r="H3187" s="8"/>
      <c r="I3187" s="8"/>
      <c r="J3187" s="8"/>
      <c r="K3187" s="8"/>
      <c r="O3187" s="8"/>
      <c r="P3187" s="8"/>
      <c r="Q3187" s="8"/>
      <c r="R3187" s="8"/>
      <c r="S3187" s="8"/>
      <c r="T3187" s="8"/>
      <c r="U3187" s="8"/>
      <c r="V3187" s="8"/>
      <c r="W3187" s="8"/>
      <c r="X3187" s="771"/>
      <c r="Y3187" s="771"/>
      <c r="Z3187" s="771"/>
      <c r="AA3187" s="771"/>
      <c r="AB3187" s="771"/>
      <c r="AC3187" s="771"/>
      <c r="AD3187" s="771"/>
      <c r="AE3187" s="771"/>
      <c r="AF3187" s="771"/>
      <c r="AG3187" s="771"/>
      <c r="AH3187" s="771"/>
      <c r="AI3187" s="771"/>
      <c r="AJ3187" s="771"/>
      <c r="AK3187" s="771"/>
      <c r="AL3187" s="771"/>
      <c r="AM3187" s="771"/>
      <c r="AN3187" s="771"/>
      <c r="AO3187" s="771"/>
      <c r="AP3187" s="771"/>
      <c r="AQ3187" s="771"/>
      <c r="AR3187" s="771"/>
      <c r="AS3187" s="771"/>
      <c r="AT3187" s="771"/>
      <c r="AU3187" s="771"/>
    </row>
    <row r="3188" spans="1:47" s="1432" customFormat="1" outlineLevel="1" x14ac:dyDescent="0.2">
      <c r="A3188" s="8"/>
      <c r="B3188" s="8"/>
      <c r="C3188" s="1989" t="s">
        <v>2699</v>
      </c>
      <c r="D3188" s="1989" t="s">
        <v>8342</v>
      </c>
      <c r="E3188" s="1989">
        <v>176.88</v>
      </c>
      <c r="F3188" s="38">
        <f t="shared" si="46"/>
        <v>14384.100931200001</v>
      </c>
      <c r="G3188" s="1547"/>
      <c r="H3188" s="8"/>
      <c r="I3188" s="8"/>
      <c r="J3188" s="8"/>
      <c r="K3188" s="8"/>
      <c r="O3188" s="8"/>
      <c r="P3188" s="8"/>
      <c r="Q3188" s="8"/>
      <c r="R3188" s="8"/>
      <c r="S3188" s="8"/>
      <c r="T3188" s="8"/>
      <c r="U3188" s="8"/>
      <c r="V3188" s="8"/>
      <c r="W3188" s="8"/>
      <c r="X3188" s="771"/>
      <c r="Y3188" s="771"/>
      <c r="Z3188" s="771"/>
      <c r="AA3188" s="771"/>
      <c r="AB3188" s="771"/>
      <c r="AC3188" s="771"/>
      <c r="AD3188" s="771"/>
      <c r="AE3188" s="771"/>
      <c r="AF3188" s="771"/>
      <c r="AG3188" s="771"/>
      <c r="AH3188" s="771"/>
      <c r="AI3188" s="771"/>
      <c r="AJ3188" s="771"/>
      <c r="AK3188" s="771"/>
      <c r="AL3188" s="771"/>
      <c r="AM3188" s="771"/>
      <c r="AN3188" s="771"/>
      <c r="AO3188" s="771"/>
      <c r="AP3188" s="771"/>
      <c r="AQ3188" s="771"/>
      <c r="AR3188" s="771"/>
      <c r="AS3188" s="771"/>
      <c r="AT3188" s="771"/>
      <c r="AU3188" s="771"/>
    </row>
    <row r="3189" spans="1:47" s="1432" customFormat="1" outlineLevel="1" x14ac:dyDescent="0.2">
      <c r="A3189" s="8"/>
      <c r="B3189" s="8"/>
      <c r="C3189" s="1989" t="s">
        <v>1957</v>
      </c>
      <c r="D3189" s="1989" t="s">
        <v>6474</v>
      </c>
      <c r="E3189" s="1989">
        <v>30.68</v>
      </c>
      <c r="F3189" s="38">
        <f t="shared" si="46"/>
        <v>2494.9356432</v>
      </c>
      <c r="G3189" s="1547"/>
      <c r="H3189" s="8"/>
      <c r="I3189" s="8"/>
      <c r="J3189" s="8"/>
      <c r="K3189" s="8"/>
      <c r="O3189" s="8"/>
      <c r="P3189" s="8"/>
      <c r="Q3189" s="8"/>
      <c r="R3189" s="8"/>
      <c r="S3189" s="8"/>
      <c r="T3189" s="8"/>
      <c r="U3189" s="8"/>
      <c r="V3189" s="8"/>
      <c r="W3189" s="8"/>
      <c r="X3189" s="771"/>
      <c r="Y3189" s="771"/>
      <c r="Z3189" s="771"/>
      <c r="AA3189" s="771"/>
      <c r="AB3189" s="771"/>
      <c r="AC3189" s="771"/>
      <c r="AD3189" s="771"/>
      <c r="AE3189" s="771"/>
      <c r="AF3189" s="771"/>
      <c r="AG3189" s="771"/>
      <c r="AH3189" s="771"/>
      <c r="AI3189" s="771"/>
      <c r="AJ3189" s="771"/>
      <c r="AK3189" s="771"/>
      <c r="AL3189" s="771"/>
      <c r="AM3189" s="771"/>
      <c r="AN3189" s="771"/>
      <c r="AO3189" s="771"/>
      <c r="AP3189" s="771"/>
      <c r="AQ3189" s="771"/>
      <c r="AR3189" s="771"/>
      <c r="AS3189" s="771"/>
      <c r="AT3189" s="771"/>
      <c r="AU3189" s="771"/>
    </row>
    <row r="3190" spans="1:47" s="1432" customFormat="1" outlineLevel="1" x14ac:dyDescent="0.2">
      <c r="A3190" s="8"/>
      <c r="B3190" s="8"/>
      <c r="C3190" s="1989" t="s">
        <v>1958</v>
      </c>
      <c r="D3190" s="1989" t="s">
        <v>3389</v>
      </c>
      <c r="E3190" s="6">
        <v>1060.76</v>
      </c>
      <c r="F3190" s="38">
        <f t="shared" si="46"/>
        <v>86262.318542400011</v>
      </c>
      <c r="G3190" s="1547"/>
      <c r="H3190" s="8"/>
      <c r="I3190" s="8"/>
      <c r="J3190" s="8"/>
      <c r="K3190" s="8"/>
      <c r="O3190" s="8"/>
      <c r="P3190" s="8"/>
      <c r="Q3190" s="8"/>
      <c r="R3190" s="8"/>
      <c r="S3190" s="8"/>
      <c r="T3190" s="8"/>
      <c r="U3190" s="8"/>
      <c r="V3190" s="8"/>
      <c r="W3190" s="8"/>
      <c r="X3190" s="771"/>
      <c r="Y3190" s="771"/>
      <c r="Z3190" s="771"/>
      <c r="AA3190" s="771"/>
      <c r="AB3190" s="771"/>
      <c r="AC3190" s="771"/>
      <c r="AD3190" s="771"/>
      <c r="AE3190" s="771"/>
      <c r="AF3190" s="771"/>
      <c r="AG3190" s="771"/>
      <c r="AH3190" s="771"/>
      <c r="AI3190" s="771"/>
      <c r="AJ3190" s="771"/>
      <c r="AK3190" s="771"/>
      <c r="AL3190" s="771"/>
      <c r="AM3190" s="771"/>
      <c r="AN3190" s="771"/>
      <c r="AO3190" s="771"/>
      <c r="AP3190" s="771"/>
      <c r="AQ3190" s="771"/>
      <c r="AR3190" s="771"/>
      <c r="AS3190" s="771"/>
      <c r="AT3190" s="771"/>
      <c r="AU3190" s="771"/>
    </row>
    <row r="3191" spans="1:47" s="1432" customFormat="1" outlineLevel="1" x14ac:dyDescent="0.2">
      <c r="A3191" s="8"/>
      <c r="B3191" s="8"/>
      <c r="C3191" s="1989" t="s">
        <v>608</v>
      </c>
      <c r="D3191" s="1989" t="s">
        <v>6475</v>
      </c>
      <c r="E3191" s="1989">
        <v>28.03</v>
      </c>
      <c r="F3191" s="38">
        <f t="shared" si="46"/>
        <v>2279.4343572000002</v>
      </c>
      <c r="G3191" s="1547"/>
      <c r="H3191" s="8"/>
      <c r="I3191" s="8"/>
      <c r="J3191" s="8"/>
      <c r="K3191" s="8"/>
      <c r="O3191" s="8"/>
      <c r="P3191" s="8"/>
      <c r="Q3191" s="8"/>
      <c r="R3191" s="8"/>
      <c r="S3191" s="8"/>
      <c r="T3191" s="8"/>
      <c r="U3191" s="8"/>
      <c r="V3191" s="8"/>
      <c r="W3191" s="8"/>
      <c r="X3191" s="771"/>
      <c r="Y3191" s="771"/>
      <c r="Z3191" s="771"/>
      <c r="AA3191" s="771"/>
      <c r="AB3191" s="771"/>
      <c r="AC3191" s="771"/>
      <c r="AD3191" s="771"/>
      <c r="AE3191" s="771"/>
      <c r="AF3191" s="771"/>
      <c r="AG3191" s="771"/>
      <c r="AH3191" s="771"/>
      <c r="AI3191" s="771"/>
      <c r="AJ3191" s="771"/>
      <c r="AK3191" s="771"/>
      <c r="AL3191" s="771"/>
      <c r="AM3191" s="771"/>
      <c r="AN3191" s="771"/>
      <c r="AO3191" s="771"/>
      <c r="AP3191" s="771"/>
      <c r="AQ3191" s="771"/>
      <c r="AR3191" s="771"/>
      <c r="AS3191" s="771"/>
      <c r="AT3191" s="771"/>
      <c r="AU3191" s="771"/>
    </row>
    <row r="3192" spans="1:47" s="1432" customFormat="1" outlineLevel="1" x14ac:dyDescent="0.2">
      <c r="A3192" s="8"/>
      <c r="B3192" s="8"/>
      <c r="C3192" s="1989" t="s">
        <v>1959</v>
      </c>
      <c r="D3192" s="1989" t="s">
        <v>6476</v>
      </c>
      <c r="E3192" s="1989">
        <v>43.42</v>
      </c>
      <c r="F3192" s="38">
        <f t="shared" si="46"/>
        <v>3530.9682408000003</v>
      </c>
      <c r="G3192" s="1547"/>
      <c r="H3192" s="8"/>
      <c r="I3192" s="8"/>
      <c r="J3192" s="8"/>
      <c r="K3192" s="8"/>
      <c r="O3192" s="8"/>
      <c r="P3192" s="8"/>
      <c r="Q3192" s="8"/>
      <c r="R3192" s="8"/>
      <c r="S3192" s="8"/>
      <c r="T3192" s="8"/>
      <c r="U3192" s="8"/>
      <c r="V3192" s="8"/>
      <c r="W3192" s="8"/>
      <c r="X3192" s="771"/>
      <c r="Y3192" s="771"/>
      <c r="Z3192" s="771"/>
      <c r="AA3192" s="771"/>
      <c r="AB3192" s="771"/>
      <c r="AC3192" s="771"/>
      <c r="AD3192" s="771"/>
      <c r="AE3192" s="771"/>
      <c r="AF3192" s="771"/>
      <c r="AG3192" s="771"/>
      <c r="AH3192" s="771"/>
      <c r="AI3192" s="771"/>
      <c r="AJ3192" s="771"/>
      <c r="AK3192" s="771"/>
      <c r="AL3192" s="771"/>
      <c r="AM3192" s="771"/>
      <c r="AN3192" s="771"/>
      <c r="AO3192" s="771"/>
      <c r="AP3192" s="771"/>
      <c r="AQ3192" s="771"/>
      <c r="AR3192" s="771"/>
      <c r="AS3192" s="771"/>
      <c r="AT3192" s="771"/>
      <c r="AU3192" s="771"/>
    </row>
    <row r="3193" spans="1:47" s="1432" customFormat="1" outlineLevel="1" x14ac:dyDescent="0.2">
      <c r="A3193" s="8"/>
      <c r="B3193" s="8"/>
      <c r="C3193" s="1989" t="s">
        <v>3117</v>
      </c>
      <c r="D3193" s="1989" t="s">
        <v>6477</v>
      </c>
      <c r="E3193" s="1989">
        <v>25.55</v>
      </c>
      <c r="F3193" s="38">
        <f t="shared" si="46"/>
        <v>2077.7576820000004</v>
      </c>
      <c r="G3193" s="1547"/>
      <c r="H3193" s="8"/>
      <c r="I3193" s="8"/>
      <c r="J3193" s="8"/>
      <c r="K3193" s="8"/>
      <c r="O3193" s="8"/>
      <c r="P3193" s="8"/>
      <c r="Q3193" s="8"/>
      <c r="R3193" s="8"/>
      <c r="S3193" s="8"/>
      <c r="T3193" s="8"/>
      <c r="U3193" s="8"/>
      <c r="V3193" s="8"/>
      <c r="W3193" s="8"/>
      <c r="X3193" s="771"/>
      <c r="Y3193" s="771"/>
      <c r="Z3193" s="771"/>
      <c r="AA3193" s="771"/>
      <c r="AB3193" s="771"/>
      <c r="AC3193" s="771"/>
      <c r="AD3193" s="771"/>
      <c r="AE3193" s="771"/>
      <c r="AF3193" s="771"/>
      <c r="AG3193" s="771"/>
      <c r="AH3193" s="771"/>
      <c r="AI3193" s="771"/>
      <c r="AJ3193" s="771"/>
      <c r="AK3193" s="771"/>
      <c r="AL3193" s="771"/>
      <c r="AM3193" s="771"/>
      <c r="AN3193" s="771"/>
      <c r="AO3193" s="771"/>
      <c r="AP3193" s="771"/>
      <c r="AQ3193" s="771"/>
      <c r="AR3193" s="771"/>
      <c r="AS3193" s="771"/>
      <c r="AT3193" s="771"/>
      <c r="AU3193" s="771"/>
    </row>
    <row r="3194" spans="1:47" s="1432" customFormat="1" outlineLevel="1" x14ac:dyDescent="0.2">
      <c r="A3194" s="8"/>
      <c r="B3194" s="8"/>
      <c r="C3194" s="1989" t="s">
        <v>3390</v>
      </c>
      <c r="D3194" s="1989" t="s">
        <v>6478</v>
      </c>
      <c r="E3194" s="1989">
        <v>796.5</v>
      </c>
      <c r="F3194" s="38">
        <f t="shared" ref="F3194:F3200" si="47">E3194*$G$4*$J$4</f>
        <v>64772.367660000004</v>
      </c>
      <c r="G3194" s="1547"/>
      <c r="H3194" s="8"/>
      <c r="I3194" s="8"/>
      <c r="J3194" s="8"/>
      <c r="K3194" s="8"/>
      <c r="O3194" s="8"/>
      <c r="P3194" s="8"/>
      <c r="Q3194" s="8"/>
      <c r="R3194" s="8"/>
      <c r="S3194" s="8"/>
      <c r="T3194" s="8"/>
      <c r="U3194" s="8"/>
      <c r="V3194" s="8"/>
      <c r="W3194" s="8"/>
      <c r="X3194" s="771"/>
      <c r="Y3194" s="771"/>
      <c r="Z3194" s="771"/>
      <c r="AA3194" s="771"/>
      <c r="AB3194" s="771"/>
      <c r="AC3194" s="771"/>
      <c r="AD3194" s="771"/>
      <c r="AE3194" s="771"/>
      <c r="AF3194" s="771"/>
      <c r="AG3194" s="771"/>
      <c r="AH3194" s="771"/>
      <c r="AI3194" s="771"/>
      <c r="AJ3194" s="771"/>
      <c r="AK3194" s="771"/>
      <c r="AL3194" s="771"/>
      <c r="AM3194" s="771"/>
      <c r="AN3194" s="771"/>
      <c r="AO3194" s="771"/>
      <c r="AP3194" s="771"/>
      <c r="AQ3194" s="771"/>
      <c r="AR3194" s="771"/>
      <c r="AS3194" s="771"/>
      <c r="AT3194" s="771"/>
      <c r="AU3194" s="771"/>
    </row>
    <row r="3195" spans="1:47" s="1432" customFormat="1" outlineLevel="1" x14ac:dyDescent="0.2">
      <c r="A3195" s="8"/>
      <c r="B3195" s="8"/>
      <c r="C3195" s="1989" t="s">
        <v>609</v>
      </c>
      <c r="D3195" s="1989" t="s">
        <v>6479</v>
      </c>
      <c r="E3195" s="1989">
        <v>28.03</v>
      </c>
      <c r="F3195" s="38">
        <f t="shared" si="47"/>
        <v>2279.4343572000002</v>
      </c>
      <c r="G3195" s="1547"/>
      <c r="H3195" s="8"/>
      <c r="I3195" s="8"/>
      <c r="J3195" s="8"/>
      <c r="K3195" s="8"/>
      <c r="O3195" s="8"/>
      <c r="P3195" s="8"/>
      <c r="Q3195" s="8"/>
      <c r="R3195" s="8"/>
      <c r="S3195" s="8"/>
      <c r="T3195" s="8"/>
      <c r="U3195" s="8"/>
      <c r="V3195" s="8"/>
      <c r="W3195" s="8"/>
      <c r="X3195" s="771"/>
      <c r="Y3195" s="771"/>
      <c r="Z3195" s="771"/>
      <c r="AA3195" s="771"/>
      <c r="AB3195" s="771"/>
      <c r="AC3195" s="771"/>
      <c r="AD3195" s="771"/>
      <c r="AE3195" s="771"/>
      <c r="AF3195" s="771"/>
      <c r="AG3195" s="771"/>
      <c r="AH3195" s="771"/>
      <c r="AI3195" s="771"/>
      <c r="AJ3195" s="771"/>
      <c r="AK3195" s="771"/>
      <c r="AL3195" s="771"/>
      <c r="AM3195" s="771"/>
      <c r="AN3195" s="771"/>
      <c r="AO3195" s="771"/>
      <c r="AP3195" s="771"/>
      <c r="AQ3195" s="771"/>
      <c r="AR3195" s="771"/>
      <c r="AS3195" s="771"/>
      <c r="AT3195" s="771"/>
      <c r="AU3195" s="771"/>
    </row>
    <row r="3196" spans="1:47" s="1432" customFormat="1" outlineLevel="1" x14ac:dyDescent="0.2">
      <c r="A3196" s="8"/>
      <c r="B3196" s="8"/>
      <c r="C3196" s="1989" t="s">
        <v>2700</v>
      </c>
      <c r="D3196" s="1989" t="s">
        <v>6480</v>
      </c>
      <c r="E3196" s="1989">
        <v>0</v>
      </c>
      <c r="F3196" s="38">
        <f t="shared" si="47"/>
        <v>0</v>
      </c>
      <c r="G3196" s="1547"/>
      <c r="H3196" s="8"/>
      <c r="I3196" s="8"/>
      <c r="J3196" s="8"/>
      <c r="K3196" s="8"/>
      <c r="O3196" s="8"/>
      <c r="P3196" s="8"/>
      <c r="Q3196" s="8"/>
      <c r="R3196" s="8"/>
      <c r="S3196" s="8"/>
      <c r="T3196" s="8"/>
      <c r="U3196" s="8"/>
      <c r="V3196" s="8"/>
      <c r="W3196" s="8"/>
      <c r="X3196" s="771"/>
      <c r="Y3196" s="771"/>
      <c r="Z3196" s="771"/>
      <c r="AA3196" s="771"/>
      <c r="AB3196" s="771"/>
      <c r="AC3196" s="771"/>
      <c r="AD3196" s="771"/>
      <c r="AE3196" s="771"/>
      <c r="AF3196" s="771"/>
      <c r="AG3196" s="771"/>
      <c r="AH3196" s="771"/>
      <c r="AI3196" s="771"/>
      <c r="AJ3196" s="771"/>
      <c r="AK3196" s="771"/>
      <c r="AL3196" s="771"/>
      <c r="AM3196" s="771"/>
      <c r="AN3196" s="771"/>
      <c r="AO3196" s="771"/>
      <c r="AP3196" s="771"/>
      <c r="AQ3196" s="771"/>
      <c r="AR3196" s="771"/>
      <c r="AS3196" s="771"/>
      <c r="AT3196" s="771"/>
      <c r="AU3196" s="771"/>
    </row>
    <row r="3197" spans="1:47" s="1432" customFormat="1" outlineLevel="1" x14ac:dyDescent="0.2">
      <c r="A3197" s="8"/>
      <c r="B3197" s="8"/>
      <c r="C3197" s="1989" t="s">
        <v>610</v>
      </c>
      <c r="D3197" s="1989" t="s">
        <v>6481</v>
      </c>
      <c r="E3197" s="1989">
        <v>46.08</v>
      </c>
      <c r="F3197" s="38">
        <f t="shared" si="47"/>
        <v>3747.2827392000004</v>
      </c>
      <c r="G3197" s="1547"/>
      <c r="H3197" s="8"/>
      <c r="I3197" s="8"/>
      <c r="J3197" s="8"/>
      <c r="K3197" s="8"/>
      <c r="O3197" s="8"/>
      <c r="P3197" s="8"/>
      <c r="Q3197" s="8"/>
      <c r="R3197" s="8"/>
      <c r="S3197" s="8"/>
      <c r="T3197" s="8"/>
      <c r="U3197" s="8"/>
      <c r="V3197" s="8"/>
      <c r="W3197" s="8"/>
      <c r="X3197" s="771"/>
      <c r="Y3197" s="771"/>
      <c r="Z3197" s="771"/>
      <c r="AA3197" s="771"/>
      <c r="AB3197" s="771"/>
      <c r="AC3197" s="771"/>
      <c r="AD3197" s="771"/>
      <c r="AE3197" s="771"/>
      <c r="AF3197" s="771"/>
      <c r="AG3197" s="771"/>
      <c r="AH3197" s="771"/>
      <c r="AI3197" s="771"/>
      <c r="AJ3197" s="771"/>
      <c r="AK3197" s="771"/>
      <c r="AL3197" s="771"/>
      <c r="AM3197" s="771"/>
      <c r="AN3197" s="771"/>
      <c r="AO3197" s="771"/>
      <c r="AP3197" s="771"/>
      <c r="AQ3197" s="771"/>
      <c r="AR3197" s="771"/>
      <c r="AS3197" s="771"/>
      <c r="AT3197" s="771"/>
      <c r="AU3197" s="771"/>
    </row>
    <row r="3198" spans="1:47" s="1432" customFormat="1" outlineLevel="1" x14ac:dyDescent="0.2">
      <c r="A3198" s="8"/>
      <c r="B3198" s="8"/>
      <c r="C3198" s="1989" t="s">
        <v>611</v>
      </c>
      <c r="D3198" s="1989" t="s">
        <v>6482</v>
      </c>
      <c r="E3198" s="1989">
        <v>37.049999999999997</v>
      </c>
      <c r="F3198" s="38">
        <f t="shared" si="47"/>
        <v>3012.9519419999997</v>
      </c>
      <c r="G3198" s="1547"/>
      <c r="H3198" s="8"/>
      <c r="I3198" s="8"/>
      <c r="J3198" s="8"/>
      <c r="K3198" s="8"/>
      <c r="O3198" s="8"/>
      <c r="P3198" s="8"/>
      <c r="Q3198" s="8"/>
      <c r="R3198" s="8"/>
      <c r="S3198" s="8"/>
      <c r="T3198" s="8"/>
      <c r="U3198" s="8"/>
      <c r="V3198" s="8"/>
      <c r="W3198" s="8"/>
      <c r="X3198" s="771"/>
      <c r="Y3198" s="771"/>
      <c r="Z3198" s="771"/>
      <c r="AA3198" s="771"/>
      <c r="AB3198" s="771"/>
      <c r="AC3198" s="771"/>
      <c r="AD3198" s="771"/>
      <c r="AE3198" s="771"/>
      <c r="AF3198" s="771"/>
      <c r="AG3198" s="771"/>
      <c r="AH3198" s="771"/>
      <c r="AI3198" s="771"/>
      <c r="AJ3198" s="771"/>
      <c r="AK3198" s="771"/>
      <c r="AL3198" s="771"/>
      <c r="AM3198" s="771"/>
      <c r="AN3198" s="771"/>
      <c r="AO3198" s="771"/>
      <c r="AP3198" s="771"/>
      <c r="AQ3198" s="771"/>
      <c r="AR3198" s="771"/>
      <c r="AS3198" s="771"/>
      <c r="AT3198" s="771"/>
      <c r="AU3198" s="771"/>
    </row>
    <row r="3199" spans="1:47" s="1432" customFormat="1" outlineLevel="1" x14ac:dyDescent="0.2">
      <c r="A3199" s="8"/>
      <c r="B3199" s="8"/>
      <c r="C3199" s="1989" t="s">
        <v>4923</v>
      </c>
      <c r="D3199" s="1989" t="s">
        <v>8343</v>
      </c>
      <c r="E3199" s="1989">
        <v>155.52000000000001</v>
      </c>
      <c r="F3199" s="38">
        <f t="shared" si="47"/>
        <v>12647.079244800001</v>
      </c>
      <c r="G3199" s="1547"/>
      <c r="H3199" s="8"/>
      <c r="I3199" s="8"/>
      <c r="J3199" s="8"/>
      <c r="K3199" s="8"/>
      <c r="O3199" s="8"/>
      <c r="P3199" s="8"/>
      <c r="Q3199" s="8"/>
      <c r="R3199" s="8"/>
      <c r="S3199" s="8"/>
      <c r="T3199" s="8"/>
      <c r="U3199" s="8"/>
      <c r="V3199" s="8"/>
      <c r="W3199" s="8"/>
      <c r="X3199" s="771"/>
      <c r="Y3199" s="771"/>
      <c r="Z3199" s="771"/>
      <c r="AA3199" s="771"/>
      <c r="AB3199" s="771"/>
      <c r="AC3199" s="771"/>
      <c r="AD3199" s="771"/>
      <c r="AE3199" s="771"/>
      <c r="AF3199" s="771"/>
      <c r="AG3199" s="771"/>
      <c r="AH3199" s="771"/>
      <c r="AI3199" s="771"/>
      <c r="AJ3199" s="771"/>
      <c r="AK3199" s="771"/>
      <c r="AL3199" s="771"/>
      <c r="AM3199" s="771"/>
      <c r="AN3199" s="771"/>
      <c r="AO3199" s="771"/>
      <c r="AP3199" s="771"/>
      <c r="AQ3199" s="771"/>
      <c r="AR3199" s="771"/>
      <c r="AS3199" s="771"/>
      <c r="AT3199" s="771"/>
      <c r="AU3199" s="771"/>
    </row>
    <row r="3200" spans="1:47" s="1432" customFormat="1" outlineLevel="1" x14ac:dyDescent="0.2">
      <c r="A3200" s="8"/>
      <c r="B3200" s="8"/>
      <c r="C3200" s="1989" t="s">
        <v>612</v>
      </c>
      <c r="D3200" s="1989" t="s">
        <v>6483</v>
      </c>
      <c r="E3200" s="1989">
        <v>21</v>
      </c>
      <c r="F3200" s="38">
        <f t="shared" si="47"/>
        <v>1707.74604</v>
      </c>
      <c r="G3200" s="1547"/>
      <c r="H3200" s="8"/>
      <c r="I3200" s="8"/>
      <c r="J3200" s="8"/>
      <c r="K3200" s="8"/>
      <c r="O3200" s="8"/>
      <c r="P3200" s="8"/>
      <c r="Q3200" s="8"/>
      <c r="R3200" s="8"/>
      <c r="S3200" s="8"/>
      <c r="T3200" s="8"/>
      <c r="U3200" s="8"/>
      <c r="V3200" s="8"/>
      <c r="W3200" s="8"/>
      <c r="X3200" s="771"/>
      <c r="Y3200" s="771"/>
      <c r="Z3200" s="771"/>
      <c r="AA3200" s="771"/>
      <c r="AB3200" s="771"/>
      <c r="AC3200" s="771"/>
      <c r="AD3200" s="771"/>
      <c r="AE3200" s="771"/>
      <c r="AF3200" s="771"/>
      <c r="AG3200" s="771"/>
      <c r="AH3200" s="771"/>
      <c r="AI3200" s="771"/>
      <c r="AJ3200" s="771"/>
      <c r="AK3200" s="771"/>
      <c r="AL3200" s="771"/>
      <c r="AM3200" s="771"/>
      <c r="AN3200" s="771"/>
      <c r="AO3200" s="771"/>
      <c r="AP3200" s="771"/>
      <c r="AQ3200" s="771"/>
      <c r="AR3200" s="771"/>
      <c r="AS3200" s="771"/>
      <c r="AT3200" s="771"/>
      <c r="AU3200" s="771"/>
    </row>
    <row r="3201" spans="1:8" outlineLevel="1" x14ac:dyDescent="0.2">
      <c r="A3201" s="1545"/>
      <c r="B3201" s="1545"/>
      <c r="C3201" s="1989" t="s">
        <v>613</v>
      </c>
      <c r="D3201" s="1989" t="s">
        <v>6484</v>
      </c>
      <c r="E3201" s="1989">
        <v>97.06</v>
      </c>
      <c r="F3201" s="1546">
        <f t="shared" si="45"/>
        <v>7893.0395544000003</v>
      </c>
      <c r="G3201" s="1553"/>
      <c r="H3201" s="28"/>
    </row>
    <row r="3202" spans="1:8" outlineLevel="1" x14ac:dyDescent="0.2">
      <c r="A3202" s="1545"/>
      <c r="B3202" s="1545"/>
      <c r="C3202" s="1989" t="s">
        <v>2704</v>
      </c>
      <c r="D3202" s="1989" t="s">
        <v>8344</v>
      </c>
      <c r="E3202" s="1989">
        <v>0</v>
      </c>
      <c r="F3202" s="1546">
        <f t="shared" si="45"/>
        <v>0</v>
      </c>
      <c r="G3202" s="1553"/>
      <c r="H3202" s="28"/>
    </row>
    <row r="3203" spans="1:8" outlineLevel="1" x14ac:dyDescent="0.2">
      <c r="A3203" s="1545"/>
      <c r="B3203" s="1545"/>
      <c r="C3203" s="1989" t="s">
        <v>1328</v>
      </c>
      <c r="D3203" s="1989" t="s">
        <v>3118</v>
      </c>
      <c r="E3203" s="1989">
        <v>3.54</v>
      </c>
      <c r="F3203" s="1546">
        <f t="shared" si="45"/>
        <v>287.87718960000001</v>
      </c>
      <c r="G3203" s="1553"/>
      <c r="H3203" s="28"/>
    </row>
    <row r="3204" spans="1:8" outlineLevel="1" x14ac:dyDescent="0.2">
      <c r="A3204" s="1545"/>
      <c r="B3204" s="1545"/>
      <c r="C3204" s="1989" t="s">
        <v>3119</v>
      </c>
      <c r="D3204" s="1989" t="s">
        <v>3120</v>
      </c>
      <c r="E3204" s="1989">
        <v>130.27000000000001</v>
      </c>
      <c r="F3204" s="1546">
        <f t="shared" si="45"/>
        <v>10593.717934800001</v>
      </c>
      <c r="G3204" s="1553"/>
      <c r="H3204" s="28"/>
    </row>
    <row r="3205" spans="1:8" outlineLevel="1" x14ac:dyDescent="0.2">
      <c r="A3205" s="1545"/>
      <c r="B3205" s="1545"/>
      <c r="C3205" s="1989" t="s">
        <v>6852</v>
      </c>
      <c r="D3205" s="1989" t="s">
        <v>8345</v>
      </c>
      <c r="E3205" s="1989">
        <v>5.37</v>
      </c>
      <c r="F3205" s="1546">
        <f t="shared" si="45"/>
        <v>436.69505880000003</v>
      </c>
      <c r="G3205" s="1553"/>
      <c r="H3205" s="28"/>
    </row>
    <row r="3206" spans="1:8" outlineLevel="1" x14ac:dyDescent="0.2">
      <c r="A3206" s="1545"/>
      <c r="B3206" s="1545"/>
      <c r="C3206" s="1989" t="s">
        <v>614</v>
      </c>
      <c r="D3206" s="1989" t="s">
        <v>6485</v>
      </c>
      <c r="E3206" s="1989">
        <v>91.92</v>
      </c>
      <c r="F3206" s="1546">
        <f t="shared" si="45"/>
        <v>7475.0483808000008</v>
      </c>
      <c r="G3206" s="1553"/>
      <c r="H3206" s="28"/>
    </row>
    <row r="3207" spans="1:8" outlineLevel="1" x14ac:dyDescent="0.2">
      <c r="A3207" s="1545"/>
      <c r="B3207" s="1545"/>
      <c r="C3207" s="1989" t="s">
        <v>615</v>
      </c>
      <c r="D3207" s="1989" t="s">
        <v>8346</v>
      </c>
      <c r="E3207" s="1989">
        <v>74.400000000000006</v>
      </c>
      <c r="F3207" s="1546">
        <f t="shared" si="45"/>
        <v>6050.3002560000004</v>
      </c>
      <c r="G3207" s="1553"/>
      <c r="H3207" s="28"/>
    </row>
    <row r="3208" spans="1:8" outlineLevel="1" x14ac:dyDescent="0.2">
      <c r="A3208" s="1545"/>
      <c r="B3208" s="1545"/>
      <c r="C3208" s="1989" t="s">
        <v>616</v>
      </c>
      <c r="D3208" s="1989" t="s">
        <v>8347</v>
      </c>
      <c r="E3208" s="1989">
        <v>20.36</v>
      </c>
      <c r="F3208" s="1546">
        <f t="shared" si="45"/>
        <v>1655.7004463999999</v>
      </c>
      <c r="G3208" s="1553"/>
      <c r="H3208" s="28"/>
    </row>
    <row r="3209" spans="1:8" outlineLevel="1" x14ac:dyDescent="0.2">
      <c r="A3209" s="1545"/>
      <c r="B3209" s="1545"/>
      <c r="C3209" s="1989" t="s">
        <v>617</v>
      </c>
      <c r="D3209" s="1989" t="s">
        <v>6486</v>
      </c>
      <c r="E3209" s="1989">
        <v>19.2</v>
      </c>
      <c r="F3209" s="1546">
        <f t="shared" si="45"/>
        <v>1561.367808</v>
      </c>
      <c r="G3209" s="1553"/>
      <c r="H3209" s="28"/>
    </row>
    <row r="3210" spans="1:8" outlineLevel="1" x14ac:dyDescent="0.2">
      <c r="A3210" s="1545"/>
      <c r="B3210" s="1545"/>
      <c r="C3210" s="1989" t="s">
        <v>3391</v>
      </c>
      <c r="D3210" s="1989" t="s">
        <v>8348</v>
      </c>
      <c r="E3210" s="1989">
        <v>61.3</v>
      </c>
      <c r="F3210" s="1546">
        <f t="shared" si="45"/>
        <v>4984.9920119999997</v>
      </c>
      <c r="G3210" s="1553"/>
      <c r="H3210" s="28"/>
    </row>
    <row r="3211" spans="1:8" outlineLevel="1" x14ac:dyDescent="0.2">
      <c r="A3211" s="1545"/>
      <c r="B3211" s="1545"/>
      <c r="C3211" s="1989" t="s">
        <v>618</v>
      </c>
      <c r="D3211" s="1989" t="s">
        <v>8349</v>
      </c>
      <c r="E3211" s="1989">
        <v>54.52</v>
      </c>
      <c r="F3211" s="1546">
        <f t="shared" si="45"/>
        <v>4433.6340048000011</v>
      </c>
      <c r="G3211" s="1553"/>
      <c r="H3211" s="28"/>
    </row>
    <row r="3212" spans="1:8" ht="15" customHeight="1" outlineLevel="1" x14ac:dyDescent="0.2">
      <c r="A3212" s="1545"/>
      <c r="B3212" s="1545"/>
      <c r="C3212" s="1989" t="s">
        <v>619</v>
      </c>
      <c r="D3212" s="1989" t="s">
        <v>3392</v>
      </c>
      <c r="E3212" s="1989">
        <v>16.170000000000002</v>
      </c>
      <c r="F3212" s="1546">
        <f t="shared" ref="F3212:F3275" si="48">E3212*$G$4*$J$4</f>
        <v>1314.9644508000001</v>
      </c>
      <c r="G3212" s="1553"/>
      <c r="H3212" s="28"/>
    </row>
    <row r="3213" spans="1:8" outlineLevel="1" x14ac:dyDescent="0.2">
      <c r="A3213" s="1545"/>
      <c r="B3213" s="1545"/>
      <c r="C3213" s="1989" t="s">
        <v>620</v>
      </c>
      <c r="D3213" s="1989" t="s">
        <v>6487</v>
      </c>
      <c r="E3213" s="1989">
        <v>12.1</v>
      </c>
      <c r="F3213" s="1546">
        <f t="shared" si="48"/>
        <v>983.98700400000007</v>
      </c>
      <c r="G3213" s="1553"/>
      <c r="H3213" s="28"/>
    </row>
    <row r="3214" spans="1:8" outlineLevel="1" x14ac:dyDescent="0.2">
      <c r="A3214" s="1545"/>
      <c r="B3214" s="1545"/>
      <c r="C3214" s="1989" t="s">
        <v>621</v>
      </c>
      <c r="D3214" s="1989" t="s">
        <v>8350</v>
      </c>
      <c r="E3214" s="1989">
        <v>54.52</v>
      </c>
      <c r="F3214" s="1546">
        <f t="shared" si="48"/>
        <v>4433.6340048000011</v>
      </c>
      <c r="G3214" s="1553"/>
      <c r="H3214" s="28"/>
    </row>
    <row r="3215" spans="1:8" outlineLevel="1" x14ac:dyDescent="0.2">
      <c r="A3215" s="1545"/>
      <c r="B3215" s="1545"/>
      <c r="C3215" s="1989" t="s">
        <v>2722</v>
      </c>
      <c r="D3215" s="1989" t="s">
        <v>8351</v>
      </c>
      <c r="E3215" s="1989">
        <v>0</v>
      </c>
      <c r="F3215" s="1546">
        <f t="shared" si="48"/>
        <v>0</v>
      </c>
      <c r="G3215" s="1553"/>
      <c r="H3215" s="28"/>
    </row>
    <row r="3216" spans="1:8" outlineLevel="1" x14ac:dyDescent="0.2">
      <c r="A3216" s="1545"/>
      <c r="B3216" s="1545"/>
      <c r="C3216" s="1989" t="s">
        <v>2723</v>
      </c>
      <c r="D3216" s="1989" t="s">
        <v>8352</v>
      </c>
      <c r="E3216" s="1989">
        <v>0</v>
      </c>
      <c r="F3216" s="1546">
        <f t="shared" si="48"/>
        <v>0</v>
      </c>
      <c r="G3216" s="1553"/>
      <c r="H3216" s="28"/>
    </row>
    <row r="3217" spans="1:14" outlineLevel="1" x14ac:dyDescent="0.2">
      <c r="A3217" s="28"/>
      <c r="B3217" s="28"/>
      <c r="C3217" s="1989" t="s">
        <v>2724</v>
      </c>
      <c r="D3217" s="1989" t="s">
        <v>8353</v>
      </c>
      <c r="E3217" s="1989">
        <v>61.3</v>
      </c>
      <c r="F3217" s="1546">
        <f t="shared" si="48"/>
        <v>4984.9920119999997</v>
      </c>
      <c r="G3217" s="1547"/>
      <c r="H3217" s="28"/>
    </row>
    <row r="3218" spans="1:14" outlineLevel="1" x14ac:dyDescent="0.2">
      <c r="A3218" s="28"/>
      <c r="B3218" s="28"/>
      <c r="C3218" s="1989" t="s">
        <v>2725</v>
      </c>
      <c r="D3218" s="1989" t="s">
        <v>8354</v>
      </c>
      <c r="E3218" s="1989">
        <v>86.49</v>
      </c>
      <c r="F3218" s="1546">
        <f t="shared" si="48"/>
        <v>7033.4740476000006</v>
      </c>
      <c r="G3218" s="1547"/>
      <c r="H3218" s="28"/>
    </row>
    <row r="3219" spans="1:14" outlineLevel="1" x14ac:dyDescent="0.2">
      <c r="A3219" s="28"/>
      <c r="B3219" s="28"/>
      <c r="C3219" s="1989" t="s">
        <v>2726</v>
      </c>
      <c r="D3219" s="1989" t="s">
        <v>6488</v>
      </c>
      <c r="E3219" s="6">
        <v>4052.71</v>
      </c>
      <c r="F3219" s="1546">
        <f t="shared" si="48"/>
        <v>329571.40256039996</v>
      </c>
      <c r="G3219" s="1547"/>
      <c r="H3219" s="28"/>
    </row>
    <row r="3220" spans="1:14" outlineLevel="1" x14ac:dyDescent="0.2">
      <c r="A3220" s="28"/>
      <c r="B3220" s="28"/>
      <c r="C3220" s="1989" t="s">
        <v>625</v>
      </c>
      <c r="D3220" s="1989" t="s">
        <v>6489</v>
      </c>
      <c r="E3220" s="1989">
        <v>196</v>
      </c>
      <c r="F3220" s="1546">
        <f t="shared" si="48"/>
        <v>15938.963040000001</v>
      </c>
      <c r="G3220" s="1547"/>
      <c r="H3220" s="28"/>
    </row>
    <row r="3221" spans="1:14" outlineLevel="1" x14ac:dyDescent="0.2">
      <c r="A3221" s="28"/>
      <c r="B3221" s="28"/>
      <c r="C3221" s="1989" t="s">
        <v>626</v>
      </c>
      <c r="D3221" s="1989" t="s">
        <v>8355</v>
      </c>
      <c r="E3221" s="1989">
        <v>86.49</v>
      </c>
      <c r="F3221" s="1546">
        <f t="shared" si="48"/>
        <v>7033.4740476000006</v>
      </c>
      <c r="G3221" s="1547"/>
      <c r="H3221" s="28"/>
      <c r="N3221" s="37"/>
    </row>
    <row r="3222" spans="1:14" outlineLevel="1" x14ac:dyDescent="0.2">
      <c r="C3222" s="1989" t="s">
        <v>627</v>
      </c>
      <c r="D3222" s="1989" t="s">
        <v>6490</v>
      </c>
      <c r="E3222" s="1989">
        <v>4.71</v>
      </c>
      <c r="F3222" s="1546">
        <f t="shared" si="48"/>
        <v>383.02304040000001</v>
      </c>
      <c r="G3222" s="1547"/>
      <c r="N3222" s="37"/>
    </row>
    <row r="3223" spans="1:14" outlineLevel="1" x14ac:dyDescent="0.2">
      <c r="C3223" s="1989" t="s">
        <v>3393</v>
      </c>
      <c r="D3223" s="1989" t="s">
        <v>3394</v>
      </c>
      <c r="E3223" s="1989">
        <v>0</v>
      </c>
      <c r="F3223" s="1546">
        <f t="shared" si="48"/>
        <v>0</v>
      </c>
      <c r="G3223" s="1547"/>
      <c r="N3223" s="37"/>
    </row>
    <row r="3224" spans="1:14" outlineLevel="1" x14ac:dyDescent="0.2">
      <c r="C3224" s="1989" t="s">
        <v>628</v>
      </c>
      <c r="D3224" s="1989" t="s">
        <v>629</v>
      </c>
      <c r="E3224" s="1989">
        <v>90.74</v>
      </c>
      <c r="F3224" s="1546">
        <f t="shared" si="48"/>
        <v>7379.0893176</v>
      </c>
      <c r="G3224" s="1547"/>
      <c r="N3224" s="37"/>
    </row>
    <row r="3225" spans="1:14" outlineLevel="1" x14ac:dyDescent="0.2">
      <c r="C3225" s="1989" t="s">
        <v>630</v>
      </c>
      <c r="D3225" s="1989" t="s">
        <v>6491</v>
      </c>
      <c r="E3225" s="1989">
        <v>291.39999999999998</v>
      </c>
      <c r="F3225" s="1546">
        <f t="shared" si="48"/>
        <v>23697.009335999999</v>
      </c>
      <c r="G3225" s="1547"/>
      <c r="N3225" s="37"/>
    </row>
    <row r="3226" spans="1:14" outlineLevel="1" x14ac:dyDescent="0.2">
      <c r="C3226" s="1989" t="s">
        <v>631</v>
      </c>
      <c r="D3226" s="1989" t="s">
        <v>6492</v>
      </c>
      <c r="E3226" s="1989">
        <v>0</v>
      </c>
      <c r="F3226" s="1546">
        <f t="shared" si="48"/>
        <v>0</v>
      </c>
      <c r="G3226" s="1547"/>
      <c r="N3226" s="37"/>
    </row>
    <row r="3227" spans="1:14" outlineLevel="1" x14ac:dyDescent="0.2">
      <c r="C3227" s="1989" t="s">
        <v>632</v>
      </c>
      <c r="D3227" s="1989" t="s">
        <v>8356</v>
      </c>
      <c r="E3227" s="1989">
        <v>599.74</v>
      </c>
      <c r="F3227" s="1546">
        <f t="shared" si="48"/>
        <v>48771.600477600005</v>
      </c>
      <c r="G3227" s="1547"/>
      <c r="N3227" s="37"/>
    </row>
    <row r="3228" spans="1:14" outlineLevel="1" x14ac:dyDescent="0.2">
      <c r="C3228" s="1989" t="s">
        <v>633</v>
      </c>
      <c r="D3228" s="1989" t="s">
        <v>6493</v>
      </c>
      <c r="E3228" s="1989">
        <v>65.02</v>
      </c>
      <c r="F3228" s="1546">
        <f t="shared" si="48"/>
        <v>5287.5070247999993</v>
      </c>
      <c r="G3228" s="1547"/>
      <c r="N3228" s="37"/>
    </row>
    <row r="3229" spans="1:14" outlineLevel="1" x14ac:dyDescent="0.2">
      <c r="C3229" s="1989" t="s">
        <v>634</v>
      </c>
      <c r="D3229" s="1989" t="s">
        <v>6494</v>
      </c>
      <c r="E3229" s="1989">
        <v>21.95</v>
      </c>
      <c r="F3229" s="1546">
        <f t="shared" si="48"/>
        <v>1785.0012180000001</v>
      </c>
      <c r="G3229" s="1547"/>
      <c r="N3229" s="37"/>
    </row>
    <row r="3230" spans="1:14" outlineLevel="1" x14ac:dyDescent="0.2">
      <c r="C3230" s="1989" t="s">
        <v>1723</v>
      </c>
      <c r="D3230" s="1989" t="s">
        <v>8357</v>
      </c>
      <c r="E3230" s="1989">
        <v>21.95</v>
      </c>
      <c r="F3230" s="1546">
        <f t="shared" si="48"/>
        <v>1785.0012180000001</v>
      </c>
      <c r="G3230" s="1547"/>
      <c r="N3230" s="37"/>
    </row>
    <row r="3231" spans="1:14" outlineLevel="1" x14ac:dyDescent="0.2">
      <c r="C3231" s="1989" t="s">
        <v>1724</v>
      </c>
      <c r="D3231" s="1989" t="s">
        <v>8358</v>
      </c>
      <c r="E3231" s="1989">
        <v>20.18</v>
      </c>
      <c r="F3231" s="1546">
        <f t="shared" si="48"/>
        <v>1641.0626232</v>
      </c>
      <c r="G3231" s="1547"/>
      <c r="N3231" s="37"/>
    </row>
    <row r="3232" spans="1:14" outlineLevel="1" x14ac:dyDescent="0.2">
      <c r="C3232" s="1989" t="s">
        <v>1725</v>
      </c>
      <c r="D3232" s="1989" t="s">
        <v>6495</v>
      </c>
      <c r="E3232" s="1989">
        <v>20.18</v>
      </c>
      <c r="F3232" s="1546">
        <f t="shared" si="48"/>
        <v>1641.0626232</v>
      </c>
      <c r="G3232" s="1547"/>
      <c r="N3232" s="37"/>
    </row>
    <row r="3233" spans="3:14" outlineLevel="1" x14ac:dyDescent="0.2">
      <c r="C3233" s="1989" t="s">
        <v>1726</v>
      </c>
      <c r="D3233" s="1989" t="s">
        <v>6496</v>
      </c>
      <c r="E3233" s="1989">
        <v>62.6</v>
      </c>
      <c r="F3233" s="1546">
        <f t="shared" si="48"/>
        <v>5090.709624000001</v>
      </c>
      <c r="G3233" s="1547"/>
      <c r="N3233" s="37"/>
    </row>
    <row r="3234" spans="3:14" outlineLevel="1" x14ac:dyDescent="0.2">
      <c r="C3234" s="1989" t="s">
        <v>4201</v>
      </c>
      <c r="D3234" s="1989" t="s">
        <v>6497</v>
      </c>
      <c r="E3234" s="1989">
        <v>0</v>
      </c>
      <c r="F3234" s="1546">
        <f t="shared" si="48"/>
        <v>0</v>
      </c>
      <c r="G3234" s="1547"/>
      <c r="N3234" s="37"/>
    </row>
    <row r="3235" spans="3:14" outlineLevel="1" x14ac:dyDescent="0.2">
      <c r="C3235" s="1989" t="s">
        <v>1727</v>
      </c>
      <c r="D3235" s="1989" t="s">
        <v>6498</v>
      </c>
      <c r="E3235" s="1989">
        <v>29.8</v>
      </c>
      <c r="F3235" s="1546">
        <f t="shared" si="48"/>
        <v>2423.3729520000002</v>
      </c>
      <c r="G3235" s="1547"/>
      <c r="N3235" s="37"/>
    </row>
    <row r="3236" spans="3:14" outlineLevel="1" x14ac:dyDescent="0.2">
      <c r="C3236" s="1989" t="s">
        <v>1728</v>
      </c>
      <c r="D3236" s="1989" t="s">
        <v>8359</v>
      </c>
      <c r="E3236" s="1989">
        <v>33.57</v>
      </c>
      <c r="F3236" s="1546">
        <f t="shared" si="48"/>
        <v>2729.9540268000001</v>
      </c>
      <c r="G3236" s="1547"/>
      <c r="N3236" s="37"/>
    </row>
    <row r="3237" spans="3:14" outlineLevel="1" x14ac:dyDescent="0.2">
      <c r="C3237" s="1989" t="s">
        <v>1729</v>
      </c>
      <c r="D3237" s="1989" t="s">
        <v>8360</v>
      </c>
      <c r="E3237" s="1989">
        <v>278.83</v>
      </c>
      <c r="F3237" s="1546">
        <f t="shared" si="48"/>
        <v>22674.801349199999</v>
      </c>
      <c r="G3237" s="1547"/>
      <c r="N3237" s="37"/>
    </row>
    <row r="3238" spans="3:14" outlineLevel="1" x14ac:dyDescent="0.2">
      <c r="C3238" s="1989" t="s">
        <v>1730</v>
      </c>
      <c r="D3238" s="1989" t="s">
        <v>6499</v>
      </c>
      <c r="E3238" s="1989">
        <v>1.65</v>
      </c>
      <c r="F3238" s="1546">
        <f t="shared" si="48"/>
        <v>134.180046</v>
      </c>
      <c r="G3238" s="1547"/>
      <c r="N3238" s="37"/>
    </row>
    <row r="3239" spans="3:14" outlineLevel="1" x14ac:dyDescent="0.2">
      <c r="C3239" s="1989" t="s">
        <v>2735</v>
      </c>
      <c r="D3239" s="1989" t="s">
        <v>6500</v>
      </c>
      <c r="E3239" s="1989">
        <v>3.78</v>
      </c>
      <c r="F3239" s="1546">
        <f t="shared" si="48"/>
        <v>307.39428720000001</v>
      </c>
      <c r="G3239" s="1547"/>
      <c r="N3239" s="37"/>
    </row>
    <row r="3240" spans="3:14" outlineLevel="1" x14ac:dyDescent="0.2">
      <c r="C3240" s="1989" t="s">
        <v>1731</v>
      </c>
      <c r="D3240" s="1989" t="s">
        <v>8361</v>
      </c>
      <c r="E3240" s="1989">
        <v>62.54</v>
      </c>
      <c r="F3240" s="1546">
        <f t="shared" si="48"/>
        <v>5085.8303496000008</v>
      </c>
      <c r="G3240" s="1547"/>
      <c r="N3240" s="37"/>
    </row>
    <row r="3241" spans="3:14" outlineLevel="1" x14ac:dyDescent="0.2">
      <c r="C3241" s="1989" t="s">
        <v>1732</v>
      </c>
      <c r="D3241" s="1989" t="s">
        <v>1733</v>
      </c>
      <c r="E3241" s="1989">
        <v>46.08</v>
      </c>
      <c r="F3241" s="1546">
        <f t="shared" si="48"/>
        <v>3747.2827392000004</v>
      </c>
      <c r="G3241" s="1547"/>
      <c r="N3241" s="37"/>
    </row>
    <row r="3242" spans="3:14" outlineLevel="1" x14ac:dyDescent="0.2">
      <c r="C3242" s="1989" t="s">
        <v>1734</v>
      </c>
      <c r="D3242" s="1989" t="s">
        <v>3395</v>
      </c>
      <c r="E3242" s="1989">
        <v>320.19</v>
      </c>
      <c r="F3242" s="1546">
        <f t="shared" si="48"/>
        <v>26038.247835600003</v>
      </c>
      <c r="G3242" s="1547"/>
      <c r="N3242" s="37"/>
    </row>
    <row r="3243" spans="3:14" outlineLevel="1" x14ac:dyDescent="0.2">
      <c r="C3243" s="1989" t="s">
        <v>1735</v>
      </c>
      <c r="D3243" s="1989" t="s">
        <v>8362</v>
      </c>
      <c r="E3243" s="1989">
        <v>4.25</v>
      </c>
      <c r="F3243" s="1546">
        <f t="shared" si="48"/>
        <v>345.61527000000001</v>
      </c>
      <c r="G3243" s="1547"/>
      <c r="N3243" s="37"/>
    </row>
    <row r="3244" spans="3:14" outlineLevel="1" x14ac:dyDescent="0.2">
      <c r="C3244" s="1989" t="s">
        <v>1736</v>
      </c>
      <c r="D3244" s="1989" t="s">
        <v>8363</v>
      </c>
      <c r="E3244" s="1989">
        <v>29.15</v>
      </c>
      <c r="F3244" s="1546">
        <f t="shared" si="48"/>
        <v>2370.514146</v>
      </c>
      <c r="G3244" s="1547"/>
      <c r="N3244" s="37"/>
    </row>
    <row r="3245" spans="3:14" outlineLevel="1" x14ac:dyDescent="0.2">
      <c r="C3245" s="1989" t="s">
        <v>1737</v>
      </c>
      <c r="D3245" s="1989" t="s">
        <v>8364</v>
      </c>
      <c r="E3245" s="1989">
        <v>0</v>
      </c>
      <c r="F3245" s="1546">
        <f t="shared" si="48"/>
        <v>0</v>
      </c>
      <c r="G3245" s="1547"/>
      <c r="N3245" s="37"/>
    </row>
    <row r="3246" spans="3:14" outlineLevel="1" x14ac:dyDescent="0.2">
      <c r="C3246" s="1989" t="s">
        <v>3121</v>
      </c>
      <c r="D3246" s="1989" t="s">
        <v>8365</v>
      </c>
      <c r="E3246" s="1989">
        <v>33.22</v>
      </c>
      <c r="F3246" s="1546">
        <f t="shared" si="48"/>
        <v>2701.4915928</v>
      </c>
      <c r="G3246" s="1547"/>
      <c r="N3246" s="37"/>
    </row>
    <row r="3247" spans="3:14" outlineLevel="1" x14ac:dyDescent="0.2">
      <c r="C3247" s="1989" t="s">
        <v>1738</v>
      </c>
      <c r="D3247" s="1989" t="s">
        <v>8366</v>
      </c>
      <c r="E3247" s="1989">
        <v>3.6</v>
      </c>
      <c r="F3247" s="1546">
        <f t="shared" si="48"/>
        <v>292.75646400000005</v>
      </c>
      <c r="G3247" s="1547"/>
      <c r="N3247" s="37"/>
    </row>
    <row r="3248" spans="3:14" outlineLevel="1" x14ac:dyDescent="0.2">
      <c r="C3248" s="1989" t="s">
        <v>1810</v>
      </c>
      <c r="D3248" s="1989" t="s">
        <v>6501</v>
      </c>
      <c r="E3248" s="1989">
        <v>42.53</v>
      </c>
      <c r="F3248" s="1546">
        <f t="shared" si="48"/>
        <v>3458.5923372000002</v>
      </c>
      <c r="G3248" s="1547"/>
    </row>
    <row r="3249" spans="3:14" outlineLevel="1" x14ac:dyDescent="0.2">
      <c r="C3249" s="1989" t="s">
        <v>3122</v>
      </c>
      <c r="D3249" s="1989" t="s">
        <v>6502</v>
      </c>
      <c r="E3249" s="1989">
        <v>53.75</v>
      </c>
      <c r="F3249" s="1546">
        <f t="shared" si="48"/>
        <v>4371.0166500000005</v>
      </c>
      <c r="G3249" s="1547"/>
      <c r="N3249" s="37"/>
    </row>
    <row r="3250" spans="3:14" outlineLevel="1" x14ac:dyDescent="0.2">
      <c r="C3250" s="1989" t="s">
        <v>476</v>
      </c>
      <c r="D3250" s="1989" t="s">
        <v>6503</v>
      </c>
      <c r="E3250" s="1989">
        <v>212.34</v>
      </c>
      <c r="F3250" s="1546">
        <f t="shared" si="48"/>
        <v>17267.752101599999</v>
      </c>
      <c r="G3250" s="1547"/>
      <c r="N3250" s="37"/>
    </row>
    <row r="3251" spans="3:14" outlineLevel="1" x14ac:dyDescent="0.2">
      <c r="C3251" s="1989" t="s">
        <v>4924</v>
      </c>
      <c r="D3251" s="1989" t="s">
        <v>8367</v>
      </c>
      <c r="E3251" s="1989">
        <v>78.59</v>
      </c>
      <c r="F3251" s="1546">
        <f t="shared" si="48"/>
        <v>6391.0362516000014</v>
      </c>
      <c r="G3251" s="1547"/>
      <c r="N3251" s="37"/>
    </row>
    <row r="3252" spans="3:14" outlineLevel="1" x14ac:dyDescent="0.2">
      <c r="C3252" s="1989" t="s">
        <v>2743</v>
      </c>
      <c r="D3252" s="1989" t="s">
        <v>6504</v>
      </c>
      <c r="E3252" s="1989">
        <v>0</v>
      </c>
      <c r="F3252" s="1546">
        <f t="shared" si="48"/>
        <v>0</v>
      </c>
      <c r="G3252" s="1547"/>
      <c r="N3252" s="37"/>
    </row>
    <row r="3253" spans="3:14" outlineLevel="1" x14ac:dyDescent="0.2">
      <c r="C3253" s="1989" t="s">
        <v>1960</v>
      </c>
      <c r="D3253" s="1989" t="s">
        <v>8368</v>
      </c>
      <c r="E3253" s="1989">
        <v>34.99</v>
      </c>
      <c r="F3253" s="1546">
        <f t="shared" si="48"/>
        <v>2845.4301876</v>
      </c>
      <c r="G3253" s="1547"/>
      <c r="N3253" s="37"/>
    </row>
    <row r="3254" spans="3:14" outlineLevel="1" x14ac:dyDescent="0.2">
      <c r="C3254" s="1989" t="s">
        <v>1961</v>
      </c>
      <c r="D3254" s="1989" t="s">
        <v>3396</v>
      </c>
      <c r="E3254" s="1989">
        <v>28.85</v>
      </c>
      <c r="F3254" s="1546">
        <f t="shared" si="48"/>
        <v>2346.1177739999998</v>
      </c>
      <c r="G3254" s="1547"/>
      <c r="N3254" s="37"/>
    </row>
    <row r="3255" spans="3:14" outlineLevel="1" x14ac:dyDescent="0.2">
      <c r="C3255" s="1989" t="s">
        <v>477</v>
      </c>
      <c r="D3255" s="1989" t="s">
        <v>1942</v>
      </c>
      <c r="E3255" s="1989">
        <v>90</v>
      </c>
      <c r="F3255" s="1546">
        <f t="shared" si="48"/>
        <v>7318.9116000000004</v>
      </c>
      <c r="G3255" s="1547"/>
      <c r="N3255" s="37"/>
    </row>
    <row r="3256" spans="3:14" outlineLevel="1" x14ac:dyDescent="0.2">
      <c r="C3256" s="1989" t="s">
        <v>2745</v>
      </c>
      <c r="D3256" s="1989" t="s">
        <v>8369</v>
      </c>
      <c r="E3256" s="1989">
        <v>0</v>
      </c>
      <c r="F3256" s="1546">
        <f t="shared" si="48"/>
        <v>0</v>
      </c>
      <c r="G3256" s="1547"/>
      <c r="N3256" s="37"/>
    </row>
    <row r="3257" spans="3:14" outlineLevel="1" x14ac:dyDescent="0.2">
      <c r="C3257" s="1989" t="s">
        <v>1943</v>
      </c>
      <c r="D3257" s="1989" t="s">
        <v>8370</v>
      </c>
      <c r="E3257" s="1989">
        <v>63.9</v>
      </c>
      <c r="F3257" s="1546">
        <f t="shared" si="48"/>
        <v>5196.4272359999995</v>
      </c>
      <c r="G3257" s="1547"/>
      <c r="N3257" s="37"/>
    </row>
    <row r="3258" spans="3:14" outlineLevel="1" x14ac:dyDescent="0.2">
      <c r="C3258" s="1989" t="s">
        <v>2746</v>
      </c>
      <c r="D3258" s="1989" t="s">
        <v>8371</v>
      </c>
      <c r="E3258" s="1989">
        <v>43.84</v>
      </c>
      <c r="F3258" s="1546">
        <f t="shared" si="48"/>
        <v>3565.1231616000005</v>
      </c>
      <c r="G3258" s="1547"/>
      <c r="N3258" s="37"/>
    </row>
    <row r="3259" spans="3:14" outlineLevel="1" x14ac:dyDescent="0.2">
      <c r="C3259" s="1989" t="s">
        <v>6853</v>
      </c>
      <c r="D3259" s="1989" t="s">
        <v>8372</v>
      </c>
      <c r="E3259" s="1989">
        <v>0.68</v>
      </c>
      <c r="F3259" s="1546">
        <f t="shared" si="48"/>
        <v>55.298443200000008</v>
      </c>
      <c r="G3259" s="1547"/>
      <c r="N3259" s="37"/>
    </row>
    <row r="3260" spans="3:14" outlineLevel="1" x14ac:dyDescent="0.2">
      <c r="C3260" s="1989" t="s">
        <v>4925</v>
      </c>
      <c r="D3260" s="1989" t="s">
        <v>8373</v>
      </c>
      <c r="E3260" s="1989">
        <v>81.069999999999993</v>
      </c>
      <c r="F3260" s="1546">
        <f t="shared" si="48"/>
        <v>6592.7129267999999</v>
      </c>
      <c r="G3260" s="1547"/>
      <c r="N3260" s="37"/>
    </row>
    <row r="3261" spans="3:14" outlineLevel="1" x14ac:dyDescent="0.2">
      <c r="C3261" s="1989" t="s">
        <v>905</v>
      </c>
      <c r="D3261" s="1989" t="s">
        <v>6505</v>
      </c>
      <c r="E3261" s="1989">
        <v>42.48</v>
      </c>
      <c r="F3261" s="1546">
        <f t="shared" si="48"/>
        <v>3454.5262751999999</v>
      </c>
      <c r="G3261" s="1547"/>
      <c r="N3261" s="37"/>
    </row>
    <row r="3262" spans="3:14" outlineLevel="1" x14ac:dyDescent="0.2">
      <c r="C3262" s="1989" t="s">
        <v>906</v>
      </c>
      <c r="D3262" s="1989" t="s">
        <v>8374</v>
      </c>
      <c r="E3262" s="1989">
        <v>210.57</v>
      </c>
      <c r="F3262" s="1546">
        <f t="shared" si="48"/>
        <v>17123.813506799997</v>
      </c>
      <c r="G3262" s="1547"/>
      <c r="N3262" s="37"/>
    </row>
    <row r="3263" spans="3:14" outlineLevel="1" x14ac:dyDescent="0.2">
      <c r="C3263" s="1989" t="s">
        <v>907</v>
      </c>
      <c r="D3263" s="1989" t="s">
        <v>8375</v>
      </c>
      <c r="E3263" s="1989">
        <v>172.52</v>
      </c>
      <c r="F3263" s="1546">
        <f t="shared" si="48"/>
        <v>14029.5403248</v>
      </c>
      <c r="G3263" s="1547"/>
      <c r="N3263" s="37"/>
    </row>
    <row r="3264" spans="3:14" outlineLevel="1" x14ac:dyDescent="0.2">
      <c r="C3264" s="1989" t="s">
        <v>2754</v>
      </c>
      <c r="D3264" s="1989" t="s">
        <v>8376</v>
      </c>
      <c r="E3264" s="1989">
        <v>10.74</v>
      </c>
      <c r="F3264" s="1546">
        <f t="shared" si="48"/>
        <v>873.39011760000005</v>
      </c>
      <c r="G3264" s="1547"/>
      <c r="N3264" s="37"/>
    </row>
    <row r="3265" spans="3:14" outlineLevel="1" x14ac:dyDescent="0.2">
      <c r="C3265" s="1989" t="s">
        <v>4202</v>
      </c>
      <c r="D3265" s="1989" t="s">
        <v>6506</v>
      </c>
      <c r="E3265" s="6">
        <v>1059.05</v>
      </c>
      <c r="F3265" s="1546">
        <f t="shared" si="48"/>
        <v>86123.259221999993</v>
      </c>
      <c r="G3265" s="1547"/>
      <c r="N3265" s="37"/>
    </row>
    <row r="3266" spans="3:14" outlineLevel="1" x14ac:dyDescent="0.2">
      <c r="C3266" s="1989" t="s">
        <v>908</v>
      </c>
      <c r="D3266" s="1989" t="s">
        <v>6507</v>
      </c>
      <c r="E3266" s="1989">
        <v>6.2</v>
      </c>
      <c r="F3266" s="1546">
        <f t="shared" si="48"/>
        <v>504.191688</v>
      </c>
      <c r="G3266" s="1547"/>
      <c r="N3266" s="37"/>
    </row>
    <row r="3267" spans="3:14" outlineLevel="1" x14ac:dyDescent="0.2">
      <c r="C3267" s="1989" t="s">
        <v>3123</v>
      </c>
      <c r="D3267" s="1989" t="s">
        <v>6508</v>
      </c>
      <c r="E3267" s="1989">
        <v>91.63</v>
      </c>
      <c r="F3267" s="1546">
        <f t="shared" si="48"/>
        <v>7451.4652212000001</v>
      </c>
      <c r="G3267" s="1547"/>
    </row>
    <row r="3268" spans="3:14" outlineLevel="1" x14ac:dyDescent="0.2">
      <c r="C3268" s="1989" t="s">
        <v>910</v>
      </c>
      <c r="D3268" s="1989" t="s">
        <v>8377</v>
      </c>
      <c r="E3268" s="1989">
        <v>62.3</v>
      </c>
      <c r="F3268" s="1546">
        <f t="shared" si="48"/>
        <v>5066.3132519999999</v>
      </c>
      <c r="G3268" s="1547"/>
    </row>
    <row r="3269" spans="3:14" outlineLevel="1" x14ac:dyDescent="0.2">
      <c r="C3269" s="1989" t="s">
        <v>911</v>
      </c>
      <c r="D3269" s="1989" t="s">
        <v>3397</v>
      </c>
      <c r="E3269" s="1989">
        <v>53.58</v>
      </c>
      <c r="F3269" s="1546">
        <f t="shared" si="48"/>
        <v>4357.1920392000002</v>
      </c>
      <c r="G3269" s="1547"/>
    </row>
    <row r="3270" spans="3:14" outlineLevel="1" x14ac:dyDescent="0.2">
      <c r="C3270" s="1989" t="s">
        <v>912</v>
      </c>
      <c r="D3270" s="1989" t="s">
        <v>6509</v>
      </c>
      <c r="E3270" s="1989">
        <v>12.57</v>
      </c>
      <c r="F3270" s="1546">
        <f t="shared" si="48"/>
        <v>1022.2079868000001</v>
      </c>
      <c r="G3270" s="1547"/>
    </row>
    <row r="3271" spans="3:14" outlineLevel="1" x14ac:dyDescent="0.2">
      <c r="C3271" s="1989" t="s">
        <v>913</v>
      </c>
      <c r="D3271" s="1989" t="s">
        <v>914</v>
      </c>
      <c r="E3271" s="1989">
        <v>183.9</v>
      </c>
      <c r="F3271" s="1546">
        <f t="shared" si="48"/>
        <v>14954.976036000002</v>
      </c>
      <c r="G3271" s="1547"/>
    </row>
    <row r="3272" spans="3:14" outlineLevel="1" x14ac:dyDescent="0.2">
      <c r="C3272" s="1989" t="s">
        <v>915</v>
      </c>
      <c r="D3272" s="1989" t="s">
        <v>6510</v>
      </c>
      <c r="E3272" s="1989">
        <v>78.41</v>
      </c>
      <c r="F3272" s="1546">
        <f t="shared" si="48"/>
        <v>6376.3984284000007</v>
      </c>
      <c r="G3272" s="1547"/>
    </row>
    <row r="3273" spans="3:14" outlineLevel="1" x14ac:dyDescent="0.2">
      <c r="C3273" s="1989" t="s">
        <v>2766</v>
      </c>
      <c r="D3273" s="1989" t="s">
        <v>8378</v>
      </c>
      <c r="E3273" s="1989">
        <v>0</v>
      </c>
      <c r="F3273" s="1546">
        <f t="shared" si="48"/>
        <v>0</v>
      </c>
      <c r="G3273" s="1547"/>
    </row>
    <row r="3274" spans="3:14" outlineLevel="1" x14ac:dyDescent="0.2">
      <c r="C3274" s="1989" t="s">
        <v>916</v>
      </c>
      <c r="D3274" s="1989" t="s">
        <v>1241</v>
      </c>
      <c r="E3274" s="1989">
        <v>101.27</v>
      </c>
      <c r="F3274" s="1546">
        <f t="shared" si="48"/>
        <v>8235.4019747999992</v>
      </c>
      <c r="G3274" s="1547"/>
    </row>
    <row r="3275" spans="3:14" outlineLevel="1" x14ac:dyDescent="0.2">
      <c r="C3275" s="1989" t="s">
        <v>1242</v>
      </c>
      <c r="D3275" s="1989" t="s">
        <v>8338</v>
      </c>
      <c r="E3275" s="1989">
        <v>46.55</v>
      </c>
      <c r="F3275" s="1546">
        <f t="shared" si="48"/>
        <v>3785.5037219999999</v>
      </c>
      <c r="G3275" s="1547"/>
    </row>
    <row r="3276" spans="3:14" outlineLevel="1" x14ac:dyDescent="0.2">
      <c r="C3276" s="1989" t="s">
        <v>3398</v>
      </c>
      <c r="D3276" s="1989" t="s">
        <v>8379</v>
      </c>
      <c r="E3276" s="1989">
        <v>113.81</v>
      </c>
      <c r="F3276" s="1546">
        <f t="shared" ref="F3276:F3339" si="49">E3276*$G$4*$J$4</f>
        <v>9255.1703244</v>
      </c>
      <c r="G3276" s="1547"/>
    </row>
    <row r="3277" spans="3:14" outlineLevel="1" x14ac:dyDescent="0.2">
      <c r="C3277" s="1989" t="s">
        <v>4203</v>
      </c>
      <c r="D3277" s="1989" t="s">
        <v>8380</v>
      </c>
      <c r="E3277" s="1989">
        <v>1.77</v>
      </c>
      <c r="F3277" s="1546">
        <f t="shared" si="49"/>
        <v>143.9385948</v>
      </c>
      <c r="G3277" s="1547"/>
    </row>
    <row r="3278" spans="3:14" outlineLevel="1" x14ac:dyDescent="0.2">
      <c r="C3278" s="1989" t="s">
        <v>2771</v>
      </c>
      <c r="D3278" s="1989" t="s">
        <v>2772</v>
      </c>
      <c r="E3278" s="1989">
        <v>85.96</v>
      </c>
      <c r="F3278" s="1546">
        <f t="shared" si="49"/>
        <v>6990.3737904</v>
      </c>
      <c r="G3278" s="1547"/>
    </row>
    <row r="3279" spans="3:14" outlineLevel="1" x14ac:dyDescent="0.2">
      <c r="C3279" s="1989" t="s">
        <v>4204</v>
      </c>
      <c r="D3279" s="1989" t="s">
        <v>6511</v>
      </c>
      <c r="E3279" s="1989">
        <v>6.25</v>
      </c>
      <c r="F3279" s="1546">
        <f t="shared" si="49"/>
        <v>508.25775000000004</v>
      </c>
      <c r="G3279" s="1547"/>
    </row>
    <row r="3280" spans="3:14" outlineLevel="1" x14ac:dyDescent="0.2">
      <c r="C3280" s="1989" t="s">
        <v>2773</v>
      </c>
      <c r="D3280" s="1989" t="s">
        <v>8381</v>
      </c>
      <c r="E3280" s="1989">
        <v>0</v>
      </c>
      <c r="F3280" s="1546">
        <f t="shared" si="49"/>
        <v>0</v>
      </c>
      <c r="G3280" s="1547"/>
    </row>
    <row r="3281" spans="3:7" outlineLevel="1" x14ac:dyDescent="0.2">
      <c r="C3281" s="1989" t="s">
        <v>6854</v>
      </c>
      <c r="D3281" s="1989" t="s">
        <v>8382</v>
      </c>
      <c r="E3281" s="1989">
        <v>11.86</v>
      </c>
      <c r="F3281" s="1546">
        <f t="shared" si="49"/>
        <v>964.46990640000001</v>
      </c>
      <c r="G3281" s="1547"/>
    </row>
    <row r="3282" spans="3:7" outlineLevel="1" x14ac:dyDescent="0.2">
      <c r="C3282" s="1989" t="s">
        <v>1243</v>
      </c>
      <c r="D3282" s="1989" t="s">
        <v>3124</v>
      </c>
      <c r="E3282" s="1989">
        <v>68.650000000000006</v>
      </c>
      <c r="F3282" s="1546">
        <f t="shared" si="49"/>
        <v>5582.7031260000012</v>
      </c>
      <c r="G3282" s="1547"/>
    </row>
    <row r="3283" spans="3:7" outlineLevel="1" x14ac:dyDescent="0.2">
      <c r="C3283" s="1989" t="s">
        <v>1244</v>
      </c>
      <c r="D3283" s="1989" t="s">
        <v>8383</v>
      </c>
      <c r="E3283" s="1989">
        <v>431.76</v>
      </c>
      <c r="F3283" s="1546">
        <f t="shared" si="49"/>
        <v>35111.258582399998</v>
      </c>
      <c r="G3283" s="1547"/>
    </row>
    <row r="3284" spans="3:7" outlineLevel="1" x14ac:dyDescent="0.2">
      <c r="C3284" s="1989" t="s">
        <v>2777</v>
      </c>
      <c r="D3284" s="1989" t="s">
        <v>8384</v>
      </c>
      <c r="E3284" s="1989">
        <v>0</v>
      </c>
      <c r="F3284" s="1546">
        <f t="shared" si="49"/>
        <v>0</v>
      </c>
      <c r="G3284" s="1547"/>
    </row>
    <row r="3285" spans="3:7" outlineLevel="1" x14ac:dyDescent="0.2">
      <c r="C3285" s="1989" t="s">
        <v>2780</v>
      </c>
      <c r="D3285" s="1989" t="s">
        <v>8385</v>
      </c>
      <c r="E3285" s="1989">
        <v>54.52</v>
      </c>
      <c r="F3285" s="1546">
        <f t="shared" si="49"/>
        <v>4433.6340048000011</v>
      </c>
      <c r="G3285" s="1547"/>
    </row>
    <row r="3286" spans="3:7" outlineLevel="1" x14ac:dyDescent="0.2">
      <c r="C3286" s="1989" t="s">
        <v>2058</v>
      </c>
      <c r="D3286" s="1989" t="s">
        <v>8386</v>
      </c>
      <c r="E3286" s="1989">
        <v>7.55</v>
      </c>
      <c r="F3286" s="1546">
        <f t="shared" si="49"/>
        <v>613.9753619999999</v>
      </c>
      <c r="G3286" s="1547"/>
    </row>
    <row r="3287" spans="3:7" outlineLevel="1" x14ac:dyDescent="0.2">
      <c r="C3287" s="1989" t="s">
        <v>2781</v>
      </c>
      <c r="D3287" s="1989" t="s">
        <v>6512</v>
      </c>
      <c r="E3287" s="1989">
        <v>48.2</v>
      </c>
      <c r="F3287" s="1546">
        <f t="shared" si="49"/>
        <v>3919.6837680000003</v>
      </c>
      <c r="G3287" s="1547"/>
    </row>
    <row r="3288" spans="3:7" outlineLevel="1" x14ac:dyDescent="0.2">
      <c r="C3288" s="1989" t="s">
        <v>2059</v>
      </c>
      <c r="D3288" s="1989" t="s">
        <v>8387</v>
      </c>
      <c r="E3288" s="1989">
        <v>268.27</v>
      </c>
      <c r="F3288" s="1546">
        <f t="shared" si="49"/>
        <v>21816.049054800002</v>
      </c>
      <c r="G3288" s="1547"/>
    </row>
    <row r="3289" spans="3:7" outlineLevel="1" x14ac:dyDescent="0.2">
      <c r="C3289" s="1989" t="s">
        <v>2060</v>
      </c>
      <c r="D3289" s="1989" t="s">
        <v>3399</v>
      </c>
      <c r="E3289" s="1989">
        <v>964.3</v>
      </c>
      <c r="F3289" s="1546">
        <f t="shared" si="49"/>
        <v>78418.071731999997</v>
      </c>
      <c r="G3289" s="1547"/>
    </row>
    <row r="3290" spans="3:7" outlineLevel="1" x14ac:dyDescent="0.2">
      <c r="C3290" s="1989" t="s">
        <v>2782</v>
      </c>
      <c r="D3290" s="1989" t="s">
        <v>8388</v>
      </c>
      <c r="E3290" s="1989">
        <v>0</v>
      </c>
      <c r="F3290" s="1546">
        <f t="shared" si="49"/>
        <v>0</v>
      </c>
      <c r="G3290" s="1547"/>
    </row>
    <row r="3291" spans="3:7" outlineLevel="1" x14ac:dyDescent="0.2">
      <c r="C3291" s="1989" t="s">
        <v>2061</v>
      </c>
      <c r="D3291" s="1989" t="s">
        <v>2062</v>
      </c>
      <c r="E3291" s="1989">
        <v>121.72</v>
      </c>
      <c r="F3291" s="1546">
        <f t="shared" si="49"/>
        <v>9898.4213328000005</v>
      </c>
      <c r="G3291" s="1547"/>
    </row>
    <row r="3292" spans="3:7" outlineLevel="1" x14ac:dyDescent="0.2">
      <c r="C3292" s="1989" t="s">
        <v>2783</v>
      </c>
      <c r="D3292" s="1989" t="s">
        <v>8389</v>
      </c>
      <c r="E3292" s="1989">
        <v>46.73</v>
      </c>
      <c r="F3292" s="1546">
        <f t="shared" si="49"/>
        <v>3800.1415451999997</v>
      </c>
      <c r="G3292" s="1547"/>
    </row>
    <row r="3293" spans="3:7" outlineLevel="1" x14ac:dyDescent="0.2">
      <c r="C3293" s="1989" t="s">
        <v>2784</v>
      </c>
      <c r="D3293" s="1989" t="s">
        <v>8390</v>
      </c>
      <c r="E3293" s="1989">
        <v>0</v>
      </c>
      <c r="F3293" s="1546">
        <f t="shared" si="49"/>
        <v>0</v>
      </c>
      <c r="G3293" s="1547"/>
    </row>
    <row r="3294" spans="3:7" outlineLevel="1" x14ac:dyDescent="0.2">
      <c r="C3294" s="1989" t="s">
        <v>2785</v>
      </c>
      <c r="D3294" s="1989" t="s">
        <v>8391</v>
      </c>
      <c r="E3294" s="1989">
        <v>66.430000000000007</v>
      </c>
      <c r="F3294" s="1546">
        <f t="shared" si="49"/>
        <v>5402.1699732000006</v>
      </c>
      <c r="G3294" s="1547"/>
    </row>
    <row r="3295" spans="3:7" outlineLevel="1" x14ac:dyDescent="0.2">
      <c r="C3295" s="1989" t="s">
        <v>2786</v>
      </c>
      <c r="D3295" s="1989" t="s">
        <v>6513</v>
      </c>
      <c r="E3295" s="1989">
        <v>0</v>
      </c>
      <c r="F3295" s="1546">
        <f t="shared" si="49"/>
        <v>0</v>
      </c>
      <c r="G3295" s="1547"/>
    </row>
    <row r="3296" spans="3:7" outlineLevel="1" x14ac:dyDescent="0.2">
      <c r="C3296" s="1989" t="s">
        <v>2063</v>
      </c>
      <c r="D3296" s="1989" t="s">
        <v>6514</v>
      </c>
      <c r="E3296" s="6">
        <v>1573.24</v>
      </c>
      <c r="F3296" s="1546">
        <f t="shared" si="49"/>
        <v>127937.82761760001</v>
      </c>
      <c r="G3296" s="1547"/>
    </row>
    <row r="3297" spans="3:7" outlineLevel="1" x14ac:dyDescent="0.2">
      <c r="C3297" s="1989" t="s">
        <v>2064</v>
      </c>
      <c r="D3297" s="1989" t="s">
        <v>3400</v>
      </c>
      <c r="E3297" s="6">
        <v>1270.8599999999999</v>
      </c>
      <c r="F3297" s="1546">
        <f t="shared" si="49"/>
        <v>103347.9110664</v>
      </c>
      <c r="G3297" s="1547"/>
    </row>
    <row r="3298" spans="3:7" outlineLevel="1" x14ac:dyDescent="0.2">
      <c r="C3298" s="1989" t="s">
        <v>3125</v>
      </c>
      <c r="D3298" s="1989" t="s">
        <v>3401</v>
      </c>
      <c r="E3298" s="6">
        <v>1376.77</v>
      </c>
      <c r="F3298" s="1546">
        <f t="shared" si="49"/>
        <v>111960.64359480001</v>
      </c>
      <c r="G3298" s="1547"/>
    </row>
    <row r="3299" spans="3:7" outlineLevel="1" x14ac:dyDescent="0.2">
      <c r="C3299" s="1989" t="s">
        <v>6855</v>
      </c>
      <c r="D3299" s="1989" t="s">
        <v>8392</v>
      </c>
      <c r="E3299" s="1989">
        <v>10.74</v>
      </c>
      <c r="F3299" s="1546">
        <f t="shared" si="49"/>
        <v>873.39011760000005</v>
      </c>
      <c r="G3299" s="1547"/>
    </row>
    <row r="3300" spans="3:7" outlineLevel="1" x14ac:dyDescent="0.2">
      <c r="C3300" s="1989" t="s">
        <v>4926</v>
      </c>
      <c r="D3300" s="1989" t="s">
        <v>8393</v>
      </c>
      <c r="E3300" s="1989">
        <v>26.79</v>
      </c>
      <c r="F3300" s="1546">
        <f t="shared" si="49"/>
        <v>2178.5960196000001</v>
      </c>
      <c r="G3300" s="1547"/>
    </row>
    <row r="3301" spans="3:7" outlineLevel="1" x14ac:dyDescent="0.2">
      <c r="C3301" s="1989" t="s">
        <v>4205</v>
      </c>
      <c r="D3301" s="1989" t="s">
        <v>4206</v>
      </c>
      <c r="E3301" s="1989">
        <v>27.2</v>
      </c>
      <c r="F3301" s="1546">
        <f t="shared" si="49"/>
        <v>2211.9377280000003</v>
      </c>
      <c r="G3301" s="1547"/>
    </row>
    <row r="3302" spans="3:7" outlineLevel="1" x14ac:dyDescent="0.2">
      <c r="C3302" s="1989" t="s">
        <v>3126</v>
      </c>
      <c r="D3302" s="1989" t="s">
        <v>8394</v>
      </c>
      <c r="E3302" s="1989">
        <v>0</v>
      </c>
      <c r="F3302" s="1546">
        <f t="shared" si="49"/>
        <v>0</v>
      </c>
      <c r="G3302" s="1547"/>
    </row>
    <row r="3303" spans="3:7" outlineLevel="1" x14ac:dyDescent="0.2">
      <c r="C3303" s="1989" t="s">
        <v>4207</v>
      </c>
      <c r="D3303" s="1989" t="s">
        <v>6515</v>
      </c>
      <c r="E3303" s="1989">
        <v>120.42</v>
      </c>
      <c r="F3303" s="1546">
        <f t="shared" si="49"/>
        <v>9792.7037208000002</v>
      </c>
      <c r="G3303" s="1547"/>
    </row>
    <row r="3304" spans="3:7" outlineLevel="1" x14ac:dyDescent="0.2">
      <c r="C3304" s="1989" t="s">
        <v>2787</v>
      </c>
      <c r="D3304" s="1989" t="s">
        <v>6516</v>
      </c>
      <c r="E3304" s="1989">
        <v>0</v>
      </c>
      <c r="F3304" s="1546">
        <f t="shared" si="49"/>
        <v>0</v>
      </c>
      <c r="G3304" s="1547"/>
    </row>
    <row r="3305" spans="3:7" outlineLevel="1" x14ac:dyDescent="0.2">
      <c r="C3305" s="1989" t="s">
        <v>4208</v>
      </c>
      <c r="D3305" s="1989" t="s">
        <v>8395</v>
      </c>
      <c r="E3305" s="1989">
        <v>8.67</v>
      </c>
      <c r="F3305" s="1546">
        <f t="shared" si="49"/>
        <v>705.05515080000009</v>
      </c>
      <c r="G3305" s="1547"/>
    </row>
    <row r="3306" spans="3:7" outlineLevel="1" x14ac:dyDescent="0.2">
      <c r="C3306" s="1989" t="s">
        <v>6856</v>
      </c>
      <c r="D3306" s="1989" t="s">
        <v>6517</v>
      </c>
      <c r="E3306" s="1989">
        <v>1.55</v>
      </c>
      <c r="F3306" s="1546">
        <f t="shared" si="49"/>
        <v>126.047922</v>
      </c>
      <c r="G3306" s="1547"/>
    </row>
    <row r="3307" spans="3:7" outlineLevel="1" x14ac:dyDescent="0.2">
      <c r="C3307" s="1989" t="s">
        <v>1171</v>
      </c>
      <c r="D3307" s="1989" t="s">
        <v>8396</v>
      </c>
      <c r="E3307" s="1989">
        <v>0.04</v>
      </c>
      <c r="F3307" s="1546">
        <f t="shared" si="49"/>
        <v>3.2528496000000002</v>
      </c>
      <c r="G3307" s="1547"/>
    </row>
    <row r="3308" spans="3:7" outlineLevel="1" x14ac:dyDescent="0.2">
      <c r="C3308" s="1989" t="s">
        <v>1172</v>
      </c>
      <c r="D3308" s="1989" t="s">
        <v>8397</v>
      </c>
      <c r="E3308" s="1989">
        <v>0.04</v>
      </c>
      <c r="F3308" s="1546">
        <f t="shared" si="49"/>
        <v>3.2528496000000002</v>
      </c>
      <c r="G3308" s="1547"/>
    </row>
    <row r="3309" spans="3:7" outlineLevel="1" x14ac:dyDescent="0.2">
      <c r="C3309" s="1989" t="s">
        <v>558</v>
      </c>
      <c r="D3309" s="1989" t="s">
        <v>6518</v>
      </c>
      <c r="E3309" s="1989">
        <v>0.27</v>
      </c>
      <c r="F3309" s="1546">
        <f t="shared" si="49"/>
        <v>21.956734800000003</v>
      </c>
      <c r="G3309" s="1547"/>
    </row>
    <row r="3310" spans="3:7" outlineLevel="1" x14ac:dyDescent="0.2">
      <c r="C3310" s="1989" t="s">
        <v>2654</v>
      </c>
      <c r="D3310" s="1989" t="s">
        <v>6519</v>
      </c>
      <c r="E3310" s="1989">
        <v>0.27</v>
      </c>
      <c r="F3310" s="1546">
        <f t="shared" si="49"/>
        <v>21.956734800000003</v>
      </c>
      <c r="G3310" s="1547"/>
    </row>
    <row r="3311" spans="3:7" outlineLevel="1" x14ac:dyDescent="0.2">
      <c r="C3311" s="1989" t="s">
        <v>559</v>
      </c>
      <c r="D3311" s="1989" t="s">
        <v>560</v>
      </c>
      <c r="E3311" s="1989">
        <v>0.27</v>
      </c>
      <c r="F3311" s="1546">
        <f t="shared" si="49"/>
        <v>21.956734800000003</v>
      </c>
      <c r="G3311" s="1547"/>
    </row>
    <row r="3312" spans="3:7" outlineLevel="1" x14ac:dyDescent="0.2">
      <c r="C3312" s="1989" t="s">
        <v>561</v>
      </c>
      <c r="D3312" s="1989" t="s">
        <v>562</v>
      </c>
      <c r="E3312" s="1989">
        <v>0.27</v>
      </c>
      <c r="F3312" s="1546">
        <f t="shared" si="49"/>
        <v>21.956734800000003</v>
      </c>
      <c r="G3312" s="1547"/>
    </row>
    <row r="3313" spans="3:7" outlineLevel="1" x14ac:dyDescent="0.2">
      <c r="C3313" s="1989" t="s">
        <v>563</v>
      </c>
      <c r="D3313" s="1989" t="s">
        <v>8398</v>
      </c>
      <c r="E3313" s="1989">
        <v>0.08</v>
      </c>
      <c r="F3313" s="1546">
        <f t="shared" si="49"/>
        <v>6.5056992000000005</v>
      </c>
      <c r="G3313" s="1547"/>
    </row>
    <row r="3314" spans="3:7" outlineLevel="1" x14ac:dyDescent="0.2">
      <c r="C3314" s="1989" t="s">
        <v>2662</v>
      </c>
      <c r="D3314" s="1989" t="s">
        <v>2663</v>
      </c>
      <c r="E3314" s="1989">
        <v>0.15</v>
      </c>
      <c r="F3314" s="1546">
        <f t="shared" si="49"/>
        <v>12.198186</v>
      </c>
      <c r="G3314" s="1547"/>
    </row>
    <row r="3315" spans="3:7" outlineLevel="1" x14ac:dyDescent="0.2">
      <c r="C3315" s="1989" t="s">
        <v>2664</v>
      </c>
      <c r="D3315" s="1989" t="s">
        <v>8399</v>
      </c>
      <c r="E3315" s="1989">
        <v>0.02</v>
      </c>
      <c r="F3315" s="1546">
        <f t="shared" si="49"/>
        <v>1.6264248000000001</v>
      </c>
      <c r="G3315" s="1547"/>
    </row>
    <row r="3316" spans="3:7" outlineLevel="1" x14ac:dyDescent="0.2">
      <c r="C3316" s="1989" t="s">
        <v>1173</v>
      </c>
      <c r="D3316" s="1989" t="s">
        <v>8400</v>
      </c>
      <c r="E3316" s="1989">
        <v>0.02</v>
      </c>
      <c r="F3316" s="1546">
        <f t="shared" si="49"/>
        <v>1.6264248000000001</v>
      </c>
      <c r="G3316" s="1547"/>
    </row>
    <row r="3317" spans="3:7" outlineLevel="1" x14ac:dyDescent="0.2">
      <c r="C3317" s="1989" t="s">
        <v>568</v>
      </c>
      <c r="D3317" s="1989" t="s">
        <v>8401</v>
      </c>
      <c r="E3317" s="1989">
        <v>0.01</v>
      </c>
      <c r="F3317" s="1546">
        <f t="shared" si="49"/>
        <v>0.81321240000000006</v>
      </c>
      <c r="G3317" s="1547"/>
    </row>
    <row r="3318" spans="3:7" outlineLevel="1" x14ac:dyDescent="0.2">
      <c r="C3318" s="1989" t="s">
        <v>1174</v>
      </c>
      <c r="D3318" s="1989" t="s">
        <v>8402</v>
      </c>
      <c r="E3318" s="1989">
        <v>0.02</v>
      </c>
      <c r="F3318" s="1546">
        <f t="shared" si="49"/>
        <v>1.6264248000000001</v>
      </c>
      <c r="G3318" s="1547"/>
    </row>
    <row r="3319" spans="3:7" outlineLevel="1" x14ac:dyDescent="0.2">
      <c r="C3319" s="1989" t="s">
        <v>1175</v>
      </c>
      <c r="D3319" s="1989" t="s">
        <v>8403</v>
      </c>
      <c r="E3319" s="1989">
        <v>0.02</v>
      </c>
      <c r="F3319" s="1546">
        <f t="shared" si="49"/>
        <v>1.6264248000000001</v>
      </c>
      <c r="G3319" s="1547"/>
    </row>
    <row r="3320" spans="3:7" outlineLevel="1" x14ac:dyDescent="0.2">
      <c r="C3320" s="1989" t="s">
        <v>1176</v>
      </c>
      <c r="D3320" s="1989" t="s">
        <v>1177</v>
      </c>
      <c r="E3320" s="1989">
        <v>7.0000000000000007E-2</v>
      </c>
      <c r="F3320" s="1546">
        <f t="shared" si="49"/>
        <v>5.6924868000000011</v>
      </c>
      <c r="G3320" s="1547"/>
    </row>
    <row r="3321" spans="3:7" outlineLevel="1" x14ac:dyDescent="0.2">
      <c r="C3321" s="1989" t="s">
        <v>385</v>
      </c>
      <c r="D3321" s="1989" t="s">
        <v>8404</v>
      </c>
      <c r="E3321" s="1989">
        <v>0.06</v>
      </c>
      <c r="F3321" s="1546">
        <f t="shared" si="49"/>
        <v>4.8792743999999999</v>
      </c>
      <c r="G3321" s="1547"/>
    </row>
    <row r="3322" spans="3:7" outlineLevel="1" x14ac:dyDescent="0.2">
      <c r="C3322" s="1989" t="s">
        <v>386</v>
      </c>
      <c r="D3322" s="1989" t="s">
        <v>6520</v>
      </c>
      <c r="E3322" s="1989">
        <v>7.0000000000000007E-2</v>
      </c>
      <c r="F3322" s="1546">
        <f t="shared" si="49"/>
        <v>5.6924868000000011</v>
      </c>
      <c r="G3322" s="1547"/>
    </row>
    <row r="3323" spans="3:7" outlineLevel="1" x14ac:dyDescent="0.2">
      <c r="C3323" s="1989" t="s">
        <v>387</v>
      </c>
      <c r="D3323" s="1989" t="s">
        <v>1178</v>
      </c>
      <c r="E3323" s="1989">
        <v>7.0000000000000007E-2</v>
      </c>
      <c r="F3323" s="1546">
        <f t="shared" si="49"/>
        <v>5.6924868000000011</v>
      </c>
      <c r="G3323" s="1547"/>
    </row>
    <row r="3324" spans="3:7" outlineLevel="1" x14ac:dyDescent="0.2">
      <c r="C3324" s="1989" t="s">
        <v>388</v>
      </c>
      <c r="D3324" s="1989" t="s">
        <v>6521</v>
      </c>
      <c r="E3324" s="1989">
        <v>0.14000000000000001</v>
      </c>
      <c r="F3324" s="1546">
        <f t="shared" si="49"/>
        <v>11.384973600000002</v>
      </c>
      <c r="G3324" s="1547"/>
    </row>
    <row r="3325" spans="3:7" outlineLevel="1" x14ac:dyDescent="0.2">
      <c r="C3325" s="1989" t="s">
        <v>1179</v>
      </c>
      <c r="D3325" s="1989" t="s">
        <v>8405</v>
      </c>
      <c r="E3325" s="1989">
        <v>0.14000000000000001</v>
      </c>
      <c r="F3325" s="1546">
        <f t="shared" si="49"/>
        <v>11.384973600000002</v>
      </c>
      <c r="G3325" s="1547"/>
    </row>
    <row r="3326" spans="3:7" outlineLevel="1" x14ac:dyDescent="0.2">
      <c r="C3326" s="1989" t="s">
        <v>2666</v>
      </c>
      <c r="D3326" s="1989" t="s">
        <v>8406</v>
      </c>
      <c r="E3326" s="1989">
        <v>0.26</v>
      </c>
      <c r="F3326" s="1546">
        <f t="shared" si="49"/>
        <v>21.143522400000002</v>
      </c>
      <c r="G3326" s="1547"/>
    </row>
    <row r="3327" spans="3:7" outlineLevel="1" x14ac:dyDescent="0.2">
      <c r="C3327" s="1989" t="s">
        <v>389</v>
      </c>
      <c r="D3327" s="1989" t="s">
        <v>8407</v>
      </c>
      <c r="E3327" s="1989">
        <v>0.02</v>
      </c>
      <c r="F3327" s="1546">
        <f t="shared" si="49"/>
        <v>1.6264248000000001</v>
      </c>
      <c r="G3327" s="1547"/>
    </row>
    <row r="3328" spans="3:7" outlineLevel="1" x14ac:dyDescent="0.2">
      <c r="C3328" s="1989" t="s">
        <v>390</v>
      </c>
      <c r="D3328" s="1989" t="s">
        <v>8408</v>
      </c>
      <c r="E3328" s="1989">
        <v>0.02</v>
      </c>
      <c r="F3328" s="1546">
        <f t="shared" si="49"/>
        <v>1.6264248000000001</v>
      </c>
      <c r="G3328" s="1547"/>
    </row>
    <row r="3329" spans="3:7" outlineLevel="1" x14ac:dyDescent="0.2">
      <c r="C3329" s="1989" t="s">
        <v>2668</v>
      </c>
      <c r="D3329" s="1989" t="s">
        <v>4209</v>
      </c>
      <c r="E3329" s="1989">
        <v>0</v>
      </c>
      <c r="F3329" s="1546">
        <f t="shared" si="49"/>
        <v>0</v>
      </c>
      <c r="G3329" s="1547"/>
    </row>
    <row r="3330" spans="3:7" outlineLevel="1" x14ac:dyDescent="0.2">
      <c r="C3330" s="1989" t="s">
        <v>117</v>
      </c>
      <c r="D3330" s="1989" t="s">
        <v>707</v>
      </c>
      <c r="E3330" s="1989">
        <v>0.08</v>
      </c>
      <c r="F3330" s="1546">
        <f t="shared" si="49"/>
        <v>6.5056992000000005</v>
      </c>
      <c r="G3330" s="1547"/>
    </row>
    <row r="3331" spans="3:7" outlineLevel="1" x14ac:dyDescent="0.2">
      <c r="C3331" s="1989" t="s">
        <v>118</v>
      </c>
      <c r="D3331" s="1989" t="s">
        <v>708</v>
      </c>
      <c r="E3331" s="1989">
        <v>0.32</v>
      </c>
      <c r="F3331" s="1546">
        <f t="shared" si="49"/>
        <v>26.022796800000002</v>
      </c>
      <c r="G3331" s="1547"/>
    </row>
    <row r="3332" spans="3:7" outlineLevel="1" x14ac:dyDescent="0.2">
      <c r="C3332" s="1989" t="s">
        <v>2687</v>
      </c>
      <c r="D3332" s="1989" t="s">
        <v>8409</v>
      </c>
      <c r="E3332" s="1989">
        <v>0.25</v>
      </c>
      <c r="F3332" s="1546">
        <f t="shared" si="49"/>
        <v>20.330310000000001</v>
      </c>
      <c r="G3332" s="1547"/>
    </row>
    <row r="3333" spans="3:7" outlineLevel="1" x14ac:dyDescent="0.2">
      <c r="C3333" s="1989" t="s">
        <v>1180</v>
      </c>
      <c r="D3333" s="1989" t="s">
        <v>8410</v>
      </c>
      <c r="E3333" s="1989">
        <v>0.25</v>
      </c>
      <c r="F3333" s="1546">
        <f t="shared" si="49"/>
        <v>20.330310000000001</v>
      </c>
      <c r="G3333" s="1547"/>
    </row>
    <row r="3334" spans="3:7" outlineLevel="1" x14ac:dyDescent="0.2">
      <c r="C3334" s="1989" t="s">
        <v>119</v>
      </c>
      <c r="D3334" s="1989" t="s">
        <v>8411</v>
      </c>
      <c r="E3334" s="1989">
        <v>7.0000000000000007E-2</v>
      </c>
      <c r="F3334" s="1546">
        <f t="shared" si="49"/>
        <v>5.6924868000000011</v>
      </c>
      <c r="G3334" s="1547"/>
    </row>
    <row r="3335" spans="3:7" outlineLevel="1" x14ac:dyDescent="0.2">
      <c r="C3335" s="1989" t="s">
        <v>120</v>
      </c>
      <c r="D3335" s="1989" t="s">
        <v>6522</v>
      </c>
      <c r="E3335" s="1989">
        <v>0.12</v>
      </c>
      <c r="F3335" s="1546">
        <f t="shared" si="49"/>
        <v>9.7585487999999998</v>
      </c>
      <c r="G3335" s="1547"/>
    </row>
    <row r="3336" spans="3:7" outlineLevel="1" x14ac:dyDescent="0.2">
      <c r="C3336" s="1989" t="s">
        <v>121</v>
      </c>
      <c r="D3336" s="1989" t="s">
        <v>6523</v>
      </c>
      <c r="E3336" s="1989">
        <v>0.12</v>
      </c>
      <c r="F3336" s="1546">
        <f t="shared" si="49"/>
        <v>9.7585487999999998</v>
      </c>
      <c r="G3336" s="1547"/>
    </row>
    <row r="3337" spans="3:7" outlineLevel="1" x14ac:dyDescent="0.2">
      <c r="C3337" s="1989" t="s">
        <v>122</v>
      </c>
      <c r="D3337" s="1989" t="s">
        <v>6524</v>
      </c>
      <c r="E3337" s="1989">
        <v>0.12</v>
      </c>
      <c r="F3337" s="1546">
        <f t="shared" si="49"/>
        <v>9.7585487999999998</v>
      </c>
      <c r="G3337" s="1547"/>
    </row>
    <row r="3338" spans="3:7" outlineLevel="1" x14ac:dyDescent="0.2">
      <c r="C3338" s="1989" t="s">
        <v>123</v>
      </c>
      <c r="D3338" s="1989" t="s">
        <v>709</v>
      </c>
      <c r="E3338" s="1989">
        <v>0.12</v>
      </c>
      <c r="F3338" s="1546">
        <f t="shared" si="49"/>
        <v>9.7585487999999998</v>
      </c>
      <c r="G3338" s="1547"/>
    </row>
    <row r="3339" spans="3:7" outlineLevel="1" x14ac:dyDescent="0.2">
      <c r="C3339" s="1989" t="s">
        <v>6857</v>
      </c>
      <c r="D3339" s="1989" t="s">
        <v>8412</v>
      </c>
      <c r="E3339" s="1989">
        <v>0</v>
      </c>
      <c r="F3339" s="1546">
        <f t="shared" si="49"/>
        <v>0</v>
      </c>
      <c r="G3339" s="1547"/>
    </row>
    <row r="3340" spans="3:7" outlineLevel="1" x14ac:dyDescent="0.2">
      <c r="C3340" s="1989" t="s">
        <v>124</v>
      </c>
      <c r="D3340" s="1989" t="s">
        <v>8413</v>
      </c>
      <c r="E3340" s="1989">
        <v>0.08</v>
      </c>
      <c r="F3340" s="1546">
        <f t="shared" ref="F3340:F3391" si="50">E3340*$G$4*$J$4</f>
        <v>6.5056992000000005</v>
      </c>
      <c r="G3340" s="1547"/>
    </row>
    <row r="3341" spans="3:7" outlineLevel="1" x14ac:dyDescent="0.2">
      <c r="C3341" s="1989" t="s">
        <v>125</v>
      </c>
      <c r="D3341" s="1989" t="s">
        <v>710</v>
      </c>
      <c r="E3341" s="1989">
        <v>1.04</v>
      </c>
      <c r="F3341" s="1546">
        <f t="shared" si="50"/>
        <v>84.574089600000008</v>
      </c>
      <c r="G3341" s="1547"/>
    </row>
    <row r="3342" spans="3:7" outlineLevel="1" x14ac:dyDescent="0.2">
      <c r="C3342" s="1989" t="s">
        <v>1396</v>
      </c>
      <c r="D3342" s="1989" t="s">
        <v>6525</v>
      </c>
      <c r="E3342" s="1989">
        <v>1.04</v>
      </c>
      <c r="F3342" s="1546">
        <f t="shared" si="50"/>
        <v>84.574089600000008</v>
      </c>
      <c r="G3342" s="1547"/>
    </row>
    <row r="3343" spans="3:7" outlineLevel="1" x14ac:dyDescent="0.2">
      <c r="C3343" s="1989" t="s">
        <v>126</v>
      </c>
      <c r="D3343" s="1989" t="s">
        <v>6526</v>
      </c>
      <c r="E3343" s="1989">
        <v>0.94</v>
      </c>
      <c r="F3343" s="1546">
        <f t="shared" si="50"/>
        <v>76.441965600000003</v>
      </c>
      <c r="G3343" s="1547"/>
    </row>
    <row r="3344" spans="3:7" outlineLevel="1" x14ac:dyDescent="0.2">
      <c r="C3344" s="1989" t="s">
        <v>379</v>
      </c>
      <c r="D3344" s="1989" t="s">
        <v>6527</v>
      </c>
      <c r="E3344" s="1989">
        <v>1.04</v>
      </c>
      <c r="F3344" s="1546">
        <f t="shared" si="50"/>
        <v>84.574089600000008</v>
      </c>
      <c r="G3344" s="1547"/>
    </row>
    <row r="3345" spans="3:7" outlineLevel="1" x14ac:dyDescent="0.2">
      <c r="C3345" s="1989" t="s">
        <v>380</v>
      </c>
      <c r="D3345" s="1989" t="s">
        <v>711</v>
      </c>
      <c r="E3345" s="1989">
        <v>1.04</v>
      </c>
      <c r="F3345" s="1546">
        <f t="shared" si="50"/>
        <v>84.574089600000008</v>
      </c>
      <c r="G3345" s="1547"/>
    </row>
    <row r="3346" spans="3:7" outlineLevel="1" x14ac:dyDescent="0.2">
      <c r="C3346" s="1989" t="s">
        <v>1397</v>
      </c>
      <c r="D3346" s="1989" t="s">
        <v>6528</v>
      </c>
      <c r="E3346" s="1989">
        <v>1.04</v>
      </c>
      <c r="F3346" s="1546">
        <f t="shared" si="50"/>
        <v>84.574089600000008</v>
      </c>
      <c r="G3346" s="1547"/>
    </row>
    <row r="3347" spans="3:7" outlineLevel="1" x14ac:dyDescent="0.2">
      <c r="C3347" s="1989" t="s">
        <v>636</v>
      </c>
      <c r="D3347" s="1989" t="s">
        <v>6529</v>
      </c>
      <c r="E3347" s="1989">
        <v>0.94</v>
      </c>
      <c r="F3347" s="1546">
        <f t="shared" si="50"/>
        <v>76.441965600000003</v>
      </c>
      <c r="G3347" s="1547"/>
    </row>
    <row r="3348" spans="3:7" outlineLevel="1" x14ac:dyDescent="0.2">
      <c r="C3348" s="1989" t="s">
        <v>637</v>
      </c>
      <c r="D3348" s="1989" t="s">
        <v>6530</v>
      </c>
      <c r="E3348" s="1989">
        <v>1.04</v>
      </c>
      <c r="F3348" s="1546">
        <f t="shared" si="50"/>
        <v>84.574089600000008</v>
      </c>
      <c r="G3348" s="1547"/>
    </row>
    <row r="3349" spans="3:7" outlineLevel="1" x14ac:dyDescent="0.2">
      <c r="C3349" s="1989" t="s">
        <v>638</v>
      </c>
      <c r="D3349" s="1989" t="s">
        <v>6531</v>
      </c>
      <c r="E3349" s="1989">
        <v>1.07</v>
      </c>
      <c r="F3349" s="1546">
        <f t="shared" si="50"/>
        <v>87.013726800000015</v>
      </c>
      <c r="G3349" s="1547"/>
    </row>
    <row r="3350" spans="3:7" outlineLevel="1" x14ac:dyDescent="0.2">
      <c r="C3350" s="1989" t="s">
        <v>639</v>
      </c>
      <c r="D3350" s="1989" t="s">
        <v>6532</v>
      </c>
      <c r="E3350" s="1989">
        <v>1.07</v>
      </c>
      <c r="F3350" s="1546">
        <f t="shared" si="50"/>
        <v>87.013726800000015</v>
      </c>
      <c r="G3350" s="1547"/>
    </row>
    <row r="3351" spans="3:7" outlineLevel="1" x14ac:dyDescent="0.2">
      <c r="C3351" s="1989" t="s">
        <v>640</v>
      </c>
      <c r="D3351" s="1989" t="s">
        <v>6533</v>
      </c>
      <c r="E3351" s="1989">
        <v>1.07</v>
      </c>
      <c r="F3351" s="1546">
        <f t="shared" si="50"/>
        <v>87.013726800000015</v>
      </c>
      <c r="G3351" s="1547"/>
    </row>
    <row r="3352" spans="3:7" outlineLevel="1" x14ac:dyDescent="0.2">
      <c r="C3352" s="1989" t="s">
        <v>1755</v>
      </c>
      <c r="D3352" s="1989" t="s">
        <v>6534</v>
      </c>
      <c r="E3352" s="1989">
        <v>1.07</v>
      </c>
      <c r="F3352" s="1546">
        <f t="shared" si="50"/>
        <v>87.013726800000015</v>
      </c>
      <c r="G3352" s="1547"/>
    </row>
    <row r="3353" spans="3:7" outlineLevel="1" x14ac:dyDescent="0.2">
      <c r="C3353" s="1989" t="s">
        <v>102</v>
      </c>
      <c r="D3353" s="1989" t="s">
        <v>8414</v>
      </c>
      <c r="E3353" s="1989">
        <v>0.02</v>
      </c>
      <c r="F3353" s="1546">
        <f t="shared" si="50"/>
        <v>1.6264248000000001</v>
      </c>
      <c r="G3353" s="1547"/>
    </row>
    <row r="3354" spans="3:7" outlineLevel="1" x14ac:dyDescent="0.2">
      <c r="C3354" s="1989" t="s">
        <v>2752</v>
      </c>
      <c r="D3354" s="1989" t="s">
        <v>6535</v>
      </c>
      <c r="E3354" s="1989">
        <v>26.01</v>
      </c>
      <c r="F3354" s="1546">
        <f t="shared" si="50"/>
        <v>2115.1654524</v>
      </c>
      <c r="G3354" s="1547"/>
    </row>
    <row r="3355" spans="3:7" outlineLevel="1" x14ac:dyDescent="0.2">
      <c r="C3355" s="1989" t="s">
        <v>2753</v>
      </c>
      <c r="D3355" s="1989" t="s">
        <v>3402</v>
      </c>
      <c r="E3355" s="1989">
        <v>0</v>
      </c>
      <c r="F3355" s="1546">
        <f t="shared" si="50"/>
        <v>0</v>
      </c>
      <c r="G3355" s="1547"/>
    </row>
    <row r="3356" spans="3:7" outlineLevel="1" x14ac:dyDescent="0.2">
      <c r="C3356" s="1989" t="s">
        <v>6858</v>
      </c>
      <c r="D3356" s="1989" t="s">
        <v>8415</v>
      </c>
      <c r="E3356" s="1989">
        <v>0</v>
      </c>
      <c r="F3356" s="1546">
        <f t="shared" si="50"/>
        <v>0</v>
      </c>
      <c r="G3356" s="1547"/>
    </row>
    <row r="3357" spans="3:7" outlineLevel="1" x14ac:dyDescent="0.2">
      <c r="C3357" s="1989" t="s">
        <v>1954</v>
      </c>
      <c r="D3357" s="1989" t="s">
        <v>3403</v>
      </c>
      <c r="E3357" s="1989">
        <v>26.01</v>
      </c>
      <c r="F3357" s="1546">
        <f t="shared" si="50"/>
        <v>2115.1654524</v>
      </c>
      <c r="G3357" s="1547"/>
    </row>
    <row r="3358" spans="3:7" outlineLevel="1" x14ac:dyDescent="0.2">
      <c r="C3358" s="1989" t="s">
        <v>1955</v>
      </c>
      <c r="D3358" s="1989" t="s">
        <v>6536</v>
      </c>
      <c r="E3358" s="1989">
        <v>26.01</v>
      </c>
      <c r="F3358" s="1546">
        <f t="shared" si="50"/>
        <v>2115.1654524</v>
      </c>
      <c r="G3358" s="1547"/>
    </row>
    <row r="3359" spans="3:7" outlineLevel="1" x14ac:dyDescent="0.2">
      <c r="C3359" s="1989" t="s">
        <v>2755</v>
      </c>
      <c r="D3359" s="1989" t="s">
        <v>6537</v>
      </c>
      <c r="E3359" s="1989">
        <v>0</v>
      </c>
      <c r="F3359" s="1546">
        <f t="shared" si="50"/>
        <v>0</v>
      </c>
      <c r="G3359" s="1547"/>
    </row>
    <row r="3360" spans="3:7" outlineLevel="1" x14ac:dyDescent="0.2">
      <c r="C3360" s="1989" t="s">
        <v>110</v>
      </c>
      <c r="D3360" s="1989" t="s">
        <v>3404</v>
      </c>
      <c r="E3360" s="1989">
        <v>28.06</v>
      </c>
      <c r="F3360" s="1546">
        <f t="shared" si="50"/>
        <v>2281.8739943999999</v>
      </c>
      <c r="G3360" s="1547"/>
    </row>
    <row r="3361" spans="3:7" outlineLevel="1" x14ac:dyDescent="0.2">
      <c r="C3361" s="1989" t="s">
        <v>8416</v>
      </c>
      <c r="D3361" s="1989" t="s">
        <v>8417</v>
      </c>
      <c r="E3361" s="1989">
        <v>0</v>
      </c>
      <c r="F3361" s="1546">
        <f t="shared" si="50"/>
        <v>0</v>
      </c>
      <c r="G3361" s="1547"/>
    </row>
    <row r="3362" spans="3:7" outlineLevel="1" x14ac:dyDescent="0.2">
      <c r="C3362" s="1989" t="s">
        <v>6859</v>
      </c>
      <c r="D3362" s="1989" t="s">
        <v>8418</v>
      </c>
      <c r="E3362" s="1989">
        <v>0</v>
      </c>
      <c r="F3362" s="1546">
        <f t="shared" si="50"/>
        <v>0</v>
      </c>
      <c r="G3362" s="1547"/>
    </row>
    <row r="3363" spans="3:7" outlineLevel="1" x14ac:dyDescent="0.2">
      <c r="C3363" s="1989" t="s">
        <v>111</v>
      </c>
      <c r="D3363" s="1989" t="s">
        <v>6538</v>
      </c>
      <c r="E3363" s="1989">
        <v>23.85</v>
      </c>
      <c r="F3363" s="1546">
        <f t="shared" si="50"/>
        <v>1939.5115740000001</v>
      </c>
      <c r="G3363" s="1547"/>
    </row>
    <row r="3364" spans="3:7" outlineLevel="1" x14ac:dyDescent="0.2">
      <c r="C3364" s="1989" t="s">
        <v>112</v>
      </c>
      <c r="D3364" s="1989" t="s">
        <v>3127</v>
      </c>
      <c r="E3364" s="1989">
        <v>23.85</v>
      </c>
      <c r="F3364" s="1546">
        <f t="shared" si="50"/>
        <v>1939.5115740000001</v>
      </c>
      <c r="G3364" s="1547"/>
    </row>
    <row r="3365" spans="3:7" outlineLevel="1" x14ac:dyDescent="0.2">
      <c r="C3365" s="1989" t="s">
        <v>1962</v>
      </c>
      <c r="D3365" s="1989" t="s">
        <v>8419</v>
      </c>
      <c r="E3365" s="1989">
        <v>0.15</v>
      </c>
      <c r="F3365" s="1546">
        <f t="shared" si="50"/>
        <v>12.198186</v>
      </c>
      <c r="G3365" s="1547"/>
    </row>
    <row r="3366" spans="3:7" outlineLevel="1" x14ac:dyDescent="0.2">
      <c r="C3366" s="1989" t="s">
        <v>1963</v>
      </c>
      <c r="D3366" s="1989" t="s">
        <v>1964</v>
      </c>
      <c r="E3366" s="1989">
        <v>0.15</v>
      </c>
      <c r="F3366" s="1546">
        <f t="shared" si="50"/>
        <v>12.198186</v>
      </c>
      <c r="G3366" s="1547"/>
    </row>
    <row r="3367" spans="3:7" outlineLevel="1" x14ac:dyDescent="0.2">
      <c r="C3367" s="1989" t="s">
        <v>1965</v>
      </c>
      <c r="D3367" s="1989" t="s">
        <v>6539</v>
      </c>
      <c r="E3367" s="1989">
        <v>0.34</v>
      </c>
      <c r="F3367" s="1546">
        <f t="shared" si="50"/>
        <v>27.649221600000004</v>
      </c>
      <c r="G3367" s="1547"/>
    </row>
    <row r="3368" spans="3:7" outlineLevel="1" x14ac:dyDescent="0.2">
      <c r="C3368" s="1989" t="s">
        <v>4927</v>
      </c>
      <c r="D3368" s="1989" t="s">
        <v>6540</v>
      </c>
      <c r="E3368" s="1989">
        <v>0.22</v>
      </c>
      <c r="F3368" s="1546">
        <f t="shared" si="50"/>
        <v>17.890672800000001</v>
      </c>
      <c r="G3368" s="1547"/>
    </row>
    <row r="3369" spans="3:7" outlineLevel="1" x14ac:dyDescent="0.2">
      <c r="C3369" s="1989" t="s">
        <v>4210</v>
      </c>
      <c r="D3369" s="1989" t="s">
        <v>6541</v>
      </c>
      <c r="E3369" s="1989">
        <v>0.35</v>
      </c>
      <c r="F3369" s="1546">
        <f t="shared" si="50"/>
        <v>28.462434000000002</v>
      </c>
      <c r="G3369" s="1547"/>
    </row>
    <row r="3370" spans="3:7" outlineLevel="1" x14ac:dyDescent="0.2">
      <c r="C3370" s="1989" t="s">
        <v>6860</v>
      </c>
      <c r="D3370" s="1989" t="s">
        <v>6542</v>
      </c>
      <c r="E3370" s="1989">
        <v>0.35</v>
      </c>
      <c r="F3370" s="1546">
        <f t="shared" si="50"/>
        <v>28.462434000000002</v>
      </c>
      <c r="G3370" s="1547"/>
    </row>
    <row r="3371" spans="3:7" outlineLevel="1" x14ac:dyDescent="0.2">
      <c r="C3371" s="1989" t="s">
        <v>3128</v>
      </c>
      <c r="D3371" s="1989" t="s">
        <v>6543</v>
      </c>
      <c r="E3371" s="1989">
        <v>0.12</v>
      </c>
      <c r="F3371" s="1546">
        <f t="shared" si="50"/>
        <v>9.7585487999999998</v>
      </c>
      <c r="G3371" s="1547"/>
    </row>
    <row r="3372" spans="3:7" outlineLevel="1" x14ac:dyDescent="0.2">
      <c r="C3372" s="1989" t="s">
        <v>1966</v>
      </c>
      <c r="D3372" s="1989" t="s">
        <v>1967</v>
      </c>
      <c r="E3372" s="1989">
        <v>0.17</v>
      </c>
      <c r="F3372" s="1546">
        <f t="shared" si="50"/>
        <v>13.824610800000002</v>
      </c>
      <c r="G3372" s="1547"/>
    </row>
    <row r="3373" spans="3:7" outlineLevel="1" x14ac:dyDescent="0.2">
      <c r="C3373" s="1989" t="s">
        <v>6861</v>
      </c>
      <c r="D3373" s="1989" t="s">
        <v>8420</v>
      </c>
      <c r="E3373" s="1989">
        <v>0.56999999999999995</v>
      </c>
      <c r="F3373" s="1546">
        <f t="shared" si="50"/>
        <v>46.353106799999999</v>
      </c>
      <c r="G3373" s="1547"/>
    </row>
    <row r="3374" spans="3:7" outlineLevel="1" x14ac:dyDescent="0.2">
      <c r="C3374" s="1989" t="s">
        <v>6862</v>
      </c>
      <c r="D3374" s="1989" t="s">
        <v>8421</v>
      </c>
      <c r="E3374" s="1989">
        <v>0.41</v>
      </c>
      <c r="F3374" s="1546">
        <f t="shared" si="50"/>
        <v>33.341708400000002</v>
      </c>
      <c r="G3374" s="1547"/>
    </row>
    <row r="3375" spans="3:7" outlineLevel="1" x14ac:dyDescent="0.2">
      <c r="C3375" s="1989" t="s">
        <v>1968</v>
      </c>
      <c r="D3375" s="1989" t="s">
        <v>8422</v>
      </c>
      <c r="E3375" s="1989">
        <v>0.35</v>
      </c>
      <c r="F3375" s="1546">
        <f t="shared" si="50"/>
        <v>28.462434000000002</v>
      </c>
      <c r="G3375" s="1547"/>
    </row>
    <row r="3376" spans="3:7" outlineLevel="1" x14ac:dyDescent="0.2">
      <c r="C3376" s="1989" t="s">
        <v>6863</v>
      </c>
      <c r="D3376" s="1989" t="s">
        <v>6544</v>
      </c>
      <c r="E3376" s="1989">
        <v>0.26</v>
      </c>
      <c r="F3376" s="1546">
        <f t="shared" si="50"/>
        <v>21.143522400000002</v>
      </c>
      <c r="G3376" s="1547"/>
    </row>
    <row r="3377" spans="3:7" outlineLevel="1" x14ac:dyDescent="0.2">
      <c r="C3377" s="1989" t="s">
        <v>6864</v>
      </c>
      <c r="D3377" s="1989" t="s">
        <v>6545</v>
      </c>
      <c r="E3377" s="1989">
        <v>0.22</v>
      </c>
      <c r="F3377" s="1546">
        <f t="shared" si="50"/>
        <v>17.890672800000001</v>
      </c>
      <c r="G3377" s="1547"/>
    </row>
    <row r="3378" spans="3:7" outlineLevel="1" x14ac:dyDescent="0.2">
      <c r="C3378" s="1989" t="s">
        <v>4211</v>
      </c>
      <c r="D3378" s="1989" t="s">
        <v>8423</v>
      </c>
      <c r="E3378" s="1989">
        <v>0.39</v>
      </c>
      <c r="F3378" s="1546">
        <f t="shared" si="50"/>
        <v>31.715283599999999</v>
      </c>
      <c r="G3378" s="1547"/>
    </row>
    <row r="3379" spans="3:7" outlineLevel="1" x14ac:dyDescent="0.2">
      <c r="C3379" s="1989" t="s">
        <v>4212</v>
      </c>
      <c r="D3379" s="1989" t="s">
        <v>4213</v>
      </c>
      <c r="E3379" s="1989">
        <v>0.19</v>
      </c>
      <c r="F3379" s="1546">
        <f t="shared" si="50"/>
        <v>15.451035599999999</v>
      </c>
      <c r="G3379" s="1547"/>
    </row>
    <row r="3380" spans="3:7" outlineLevel="1" x14ac:dyDescent="0.2">
      <c r="C3380" s="1989" t="s">
        <v>1969</v>
      </c>
      <c r="D3380" s="1989" t="s">
        <v>6546</v>
      </c>
      <c r="E3380" s="1989">
        <v>0.39</v>
      </c>
      <c r="F3380" s="1546">
        <f t="shared" si="50"/>
        <v>31.715283599999999</v>
      </c>
      <c r="G3380" s="1547"/>
    </row>
    <row r="3381" spans="3:7" outlineLevel="1" x14ac:dyDescent="0.2">
      <c r="C3381" s="1989" t="s">
        <v>1970</v>
      </c>
      <c r="D3381" s="1989" t="s">
        <v>6547</v>
      </c>
      <c r="E3381" s="1989">
        <v>0.39</v>
      </c>
      <c r="F3381" s="1546">
        <f t="shared" si="50"/>
        <v>31.715283599999999</v>
      </c>
      <c r="G3381" s="1547"/>
    </row>
    <row r="3382" spans="3:7" outlineLevel="1" x14ac:dyDescent="0.2">
      <c r="C3382" s="1989" t="s">
        <v>6865</v>
      </c>
      <c r="D3382" s="1989" t="s">
        <v>6548</v>
      </c>
      <c r="E3382" s="1989">
        <v>0.18</v>
      </c>
      <c r="F3382" s="1546">
        <f t="shared" si="50"/>
        <v>14.637823200000001</v>
      </c>
      <c r="G3382" s="1547"/>
    </row>
    <row r="3383" spans="3:7" outlineLevel="1" x14ac:dyDescent="0.2">
      <c r="C3383" s="1989" t="s">
        <v>4928</v>
      </c>
      <c r="D3383" s="1989" t="s">
        <v>6549</v>
      </c>
      <c r="E3383" s="1989">
        <v>0.17</v>
      </c>
      <c r="F3383" s="1546">
        <f t="shared" si="50"/>
        <v>13.824610800000002</v>
      </c>
      <c r="G3383" s="1547"/>
    </row>
    <row r="3384" spans="3:7" outlineLevel="1" x14ac:dyDescent="0.2">
      <c r="C3384" s="1989" t="s">
        <v>6866</v>
      </c>
      <c r="D3384" s="1989" t="s">
        <v>8424</v>
      </c>
      <c r="E3384" s="1989">
        <v>0.14000000000000001</v>
      </c>
      <c r="F3384" s="1546">
        <f t="shared" si="50"/>
        <v>11.384973600000002</v>
      </c>
      <c r="G3384" s="1547"/>
    </row>
    <row r="3385" spans="3:7" outlineLevel="1" x14ac:dyDescent="0.2">
      <c r="C3385" s="1989" t="s">
        <v>3405</v>
      </c>
      <c r="D3385" s="1989" t="s">
        <v>8425</v>
      </c>
      <c r="E3385" s="1989">
        <v>0.39</v>
      </c>
      <c r="F3385" s="1546">
        <f t="shared" si="50"/>
        <v>31.715283599999999</v>
      </c>
      <c r="G3385" s="1547"/>
    </row>
    <row r="3386" spans="3:7" outlineLevel="1" x14ac:dyDescent="0.2">
      <c r="C3386" s="1989" t="s">
        <v>6867</v>
      </c>
      <c r="D3386" s="1989" t="s">
        <v>6550</v>
      </c>
      <c r="E3386" s="1989">
        <v>0.52</v>
      </c>
      <c r="F3386" s="1546">
        <f t="shared" si="50"/>
        <v>42.287044800000004</v>
      </c>
      <c r="G3386" s="1547"/>
    </row>
    <row r="3387" spans="3:7" outlineLevel="1" x14ac:dyDescent="0.2">
      <c r="C3387" s="1989" t="s">
        <v>6868</v>
      </c>
      <c r="D3387" s="1989" t="s">
        <v>6551</v>
      </c>
      <c r="E3387" s="1989">
        <v>0.52</v>
      </c>
      <c r="F3387" s="1546">
        <f t="shared" si="50"/>
        <v>42.287044800000004</v>
      </c>
      <c r="G3387" s="1547"/>
    </row>
    <row r="3388" spans="3:7" outlineLevel="1" x14ac:dyDescent="0.2">
      <c r="C3388" s="1989" t="s">
        <v>2794</v>
      </c>
      <c r="D3388" s="1989" t="s">
        <v>2795</v>
      </c>
      <c r="E3388" s="1989">
        <v>0.39</v>
      </c>
      <c r="F3388" s="1546">
        <f t="shared" si="50"/>
        <v>31.715283599999999</v>
      </c>
      <c r="G3388" s="1547"/>
    </row>
    <row r="3389" spans="3:7" outlineLevel="1" x14ac:dyDescent="0.2">
      <c r="C3389" s="1989" t="s">
        <v>1971</v>
      </c>
      <c r="D3389" s="1989" t="s">
        <v>8426</v>
      </c>
      <c r="E3389" s="1989">
        <v>0.51</v>
      </c>
      <c r="F3389" s="1546">
        <f t="shared" si="50"/>
        <v>41.473832399999999</v>
      </c>
      <c r="G3389" s="1547"/>
    </row>
    <row r="3390" spans="3:7" outlineLevel="1" x14ac:dyDescent="0.2">
      <c r="C3390" s="1989" t="s">
        <v>2790</v>
      </c>
      <c r="D3390" s="1989" t="s">
        <v>8427</v>
      </c>
      <c r="E3390" s="1989">
        <v>0.39</v>
      </c>
      <c r="F3390" s="1546">
        <f t="shared" si="50"/>
        <v>31.715283599999999</v>
      </c>
      <c r="G3390" s="1547"/>
    </row>
    <row r="3391" spans="3:7" outlineLevel="1" x14ac:dyDescent="0.2">
      <c r="C3391" s="1989" t="s">
        <v>6869</v>
      </c>
      <c r="D3391" s="1989" t="s">
        <v>6552</v>
      </c>
      <c r="E3391" s="1989">
        <v>0.74</v>
      </c>
      <c r="F3391" s="1546">
        <f t="shared" si="50"/>
        <v>60.177717600000008</v>
      </c>
      <c r="G3391" s="1547"/>
    </row>
    <row r="3392" spans="3:7" outlineLevel="1" x14ac:dyDescent="0.2">
      <c r="C3392" s="1989" t="s">
        <v>4214</v>
      </c>
      <c r="D3392" s="1989" t="s">
        <v>4215</v>
      </c>
      <c r="E3392" s="1989">
        <v>0.52</v>
      </c>
      <c r="F3392" s="1546">
        <f t="shared" ref="F3392:F3430" si="51">E3392*$G$4*$J$4</f>
        <v>42.287044800000004</v>
      </c>
      <c r="G3392" s="1547"/>
    </row>
    <row r="3393" spans="3:7" outlineLevel="1" x14ac:dyDescent="0.2">
      <c r="C3393" s="1989" t="s">
        <v>1972</v>
      </c>
      <c r="D3393" s="1989" t="s">
        <v>6553</v>
      </c>
      <c r="E3393" s="1989">
        <v>0.39</v>
      </c>
      <c r="F3393" s="1546">
        <f t="shared" si="51"/>
        <v>31.715283599999999</v>
      </c>
      <c r="G3393" s="1547"/>
    </row>
    <row r="3394" spans="3:7" outlineLevel="1" x14ac:dyDescent="0.2">
      <c r="C3394" s="1989" t="s">
        <v>6870</v>
      </c>
      <c r="D3394" s="1989" t="s">
        <v>8428</v>
      </c>
      <c r="E3394" s="1989">
        <v>0.52</v>
      </c>
      <c r="F3394" s="1546">
        <f t="shared" si="51"/>
        <v>42.287044800000004</v>
      </c>
      <c r="G3394" s="1547"/>
    </row>
    <row r="3395" spans="3:7" outlineLevel="1" x14ac:dyDescent="0.2">
      <c r="C3395" s="1989" t="s">
        <v>1973</v>
      </c>
      <c r="D3395" s="1989" t="s">
        <v>6554</v>
      </c>
      <c r="E3395" s="1989">
        <v>0.15</v>
      </c>
      <c r="F3395" s="1546">
        <f t="shared" si="51"/>
        <v>12.198186</v>
      </c>
      <c r="G3395" s="1547"/>
    </row>
    <row r="3396" spans="3:7" outlineLevel="1" x14ac:dyDescent="0.2">
      <c r="C3396" s="1989" t="s">
        <v>4216</v>
      </c>
      <c r="D3396" s="1989" t="s">
        <v>4217</v>
      </c>
      <c r="E3396" s="1989">
        <v>0.15</v>
      </c>
      <c r="F3396" s="1546">
        <f t="shared" si="51"/>
        <v>12.198186</v>
      </c>
      <c r="G3396" s="1547"/>
    </row>
    <row r="3397" spans="3:7" outlineLevel="1" x14ac:dyDescent="0.2">
      <c r="C3397" s="1989" t="s">
        <v>1974</v>
      </c>
      <c r="D3397" s="1989" t="s">
        <v>8429</v>
      </c>
      <c r="E3397" s="1989">
        <v>0.32</v>
      </c>
      <c r="F3397" s="1546">
        <f t="shared" si="51"/>
        <v>26.022796800000002</v>
      </c>
      <c r="G3397" s="1547"/>
    </row>
    <row r="3398" spans="3:7" outlineLevel="1" x14ac:dyDescent="0.2">
      <c r="C3398" s="1989" t="s">
        <v>2802</v>
      </c>
      <c r="D3398" s="1989" t="s">
        <v>3129</v>
      </c>
      <c r="E3398" s="1989">
        <v>0.17</v>
      </c>
      <c r="F3398" s="1546">
        <f t="shared" si="51"/>
        <v>13.824610800000002</v>
      </c>
      <c r="G3398" s="1547"/>
    </row>
    <row r="3399" spans="3:7" outlineLevel="1" x14ac:dyDescent="0.2">
      <c r="C3399" s="1989" t="s">
        <v>1975</v>
      </c>
      <c r="D3399" s="1989" t="s">
        <v>8430</v>
      </c>
      <c r="E3399" s="1989">
        <v>0.51</v>
      </c>
      <c r="F3399" s="1546">
        <f t="shared" si="51"/>
        <v>41.473832399999999</v>
      </c>
      <c r="G3399" s="1547"/>
    </row>
    <row r="3400" spans="3:7" outlineLevel="1" x14ac:dyDescent="0.2">
      <c r="C3400" s="1989" t="s">
        <v>1976</v>
      </c>
      <c r="D3400" s="1989" t="s">
        <v>8431</v>
      </c>
      <c r="E3400" s="1989">
        <v>0.35</v>
      </c>
      <c r="F3400" s="1546">
        <f t="shared" si="51"/>
        <v>28.462434000000002</v>
      </c>
      <c r="G3400" s="1547"/>
    </row>
    <row r="3401" spans="3:7" outlineLevel="1" x14ac:dyDescent="0.2">
      <c r="C3401" s="1989" t="s">
        <v>2796</v>
      </c>
      <c r="D3401" s="1989" t="s">
        <v>2797</v>
      </c>
      <c r="E3401" s="1989">
        <v>0.18</v>
      </c>
      <c r="F3401" s="1546">
        <f t="shared" si="51"/>
        <v>14.637823200000001</v>
      </c>
      <c r="G3401" s="1547"/>
    </row>
    <row r="3402" spans="3:7" outlineLevel="1" x14ac:dyDescent="0.2">
      <c r="C3402" s="1989" t="s">
        <v>6871</v>
      </c>
      <c r="D3402" s="1989" t="s">
        <v>6555</v>
      </c>
      <c r="E3402" s="1989">
        <v>0.18</v>
      </c>
      <c r="F3402" s="1546">
        <f t="shared" si="51"/>
        <v>14.637823200000001</v>
      </c>
      <c r="G3402" s="1547"/>
    </row>
    <row r="3403" spans="3:7" outlineLevel="1" x14ac:dyDescent="0.2">
      <c r="C3403" s="1989" t="s">
        <v>4218</v>
      </c>
      <c r="D3403" s="1989" t="s">
        <v>4219</v>
      </c>
      <c r="E3403" s="1989">
        <v>0.2</v>
      </c>
      <c r="F3403" s="1546">
        <f t="shared" si="51"/>
        <v>16.264248000000002</v>
      </c>
      <c r="G3403" s="1547"/>
    </row>
    <row r="3404" spans="3:7" outlineLevel="1" x14ac:dyDescent="0.2">
      <c r="C3404" s="1989" t="s">
        <v>2793</v>
      </c>
      <c r="D3404" s="1989" t="s">
        <v>6556</v>
      </c>
      <c r="E3404" s="1989">
        <v>0.39</v>
      </c>
      <c r="F3404" s="1546">
        <f t="shared" si="51"/>
        <v>31.715283599999999</v>
      </c>
      <c r="G3404" s="1547"/>
    </row>
    <row r="3405" spans="3:7" outlineLevel="1" x14ac:dyDescent="0.2">
      <c r="C3405" s="1989" t="s">
        <v>4929</v>
      </c>
      <c r="D3405" s="1989" t="s">
        <v>6557</v>
      </c>
      <c r="E3405" s="1989">
        <v>0.2</v>
      </c>
      <c r="F3405" s="1546">
        <f t="shared" si="51"/>
        <v>16.264248000000002</v>
      </c>
      <c r="G3405" s="1547"/>
    </row>
    <row r="3406" spans="3:7" outlineLevel="1" x14ac:dyDescent="0.2">
      <c r="C3406" s="1989" t="s">
        <v>3130</v>
      </c>
      <c r="D3406" s="1989" t="s">
        <v>3131</v>
      </c>
      <c r="E3406" s="1989">
        <v>0.17</v>
      </c>
      <c r="F3406" s="1546">
        <f t="shared" si="51"/>
        <v>13.824610800000002</v>
      </c>
      <c r="G3406" s="1547"/>
    </row>
    <row r="3407" spans="3:7" outlineLevel="1" x14ac:dyDescent="0.2">
      <c r="C3407" s="1989" t="s">
        <v>6872</v>
      </c>
      <c r="D3407" s="1989" t="s">
        <v>8432</v>
      </c>
      <c r="E3407" s="1989">
        <v>0.41</v>
      </c>
      <c r="F3407" s="1546">
        <f t="shared" si="51"/>
        <v>33.341708400000002</v>
      </c>
      <c r="G3407" s="1547"/>
    </row>
    <row r="3408" spans="3:7" outlineLevel="1" x14ac:dyDescent="0.2">
      <c r="C3408" s="1989" t="s">
        <v>4220</v>
      </c>
      <c r="D3408" s="1989" t="s">
        <v>6558</v>
      </c>
      <c r="E3408" s="1989">
        <v>0.35</v>
      </c>
      <c r="F3408" s="1546">
        <f t="shared" si="51"/>
        <v>28.462434000000002</v>
      </c>
      <c r="G3408" s="1547"/>
    </row>
    <row r="3409" spans="3:7" outlineLevel="1" x14ac:dyDescent="0.2">
      <c r="C3409" s="1989" t="s">
        <v>3132</v>
      </c>
      <c r="D3409" s="1989" t="s">
        <v>6559</v>
      </c>
      <c r="E3409" s="1989">
        <v>0.17</v>
      </c>
      <c r="F3409" s="1546">
        <f t="shared" si="51"/>
        <v>13.824610800000002</v>
      </c>
      <c r="G3409" s="1547"/>
    </row>
    <row r="3410" spans="3:7" outlineLevel="1" x14ac:dyDescent="0.2">
      <c r="C3410" s="1989" t="s">
        <v>4221</v>
      </c>
      <c r="D3410" s="1989" t="s">
        <v>6560</v>
      </c>
      <c r="E3410" s="1989">
        <v>0.35</v>
      </c>
      <c r="F3410" s="1546">
        <f t="shared" si="51"/>
        <v>28.462434000000002</v>
      </c>
      <c r="G3410" s="1547"/>
    </row>
    <row r="3411" spans="3:7" outlineLevel="1" x14ac:dyDescent="0.2">
      <c r="C3411" s="1989" t="s">
        <v>4222</v>
      </c>
      <c r="D3411" s="1989" t="s">
        <v>6561</v>
      </c>
      <c r="E3411" s="1989">
        <v>0.19</v>
      </c>
      <c r="F3411" s="1546">
        <f t="shared" si="51"/>
        <v>15.451035599999999</v>
      </c>
      <c r="G3411" s="1547"/>
    </row>
    <row r="3412" spans="3:7" outlineLevel="1" x14ac:dyDescent="0.2">
      <c r="C3412" s="1989" t="s">
        <v>1977</v>
      </c>
      <c r="D3412" s="1989" t="s">
        <v>4223</v>
      </c>
      <c r="E3412" s="1989">
        <v>0.08</v>
      </c>
      <c r="F3412" s="1546">
        <f t="shared" si="51"/>
        <v>6.5056992000000005</v>
      </c>
      <c r="G3412" s="1547"/>
    </row>
    <row r="3413" spans="3:7" outlineLevel="1" x14ac:dyDescent="0.2">
      <c r="C3413" s="1989" t="s">
        <v>4930</v>
      </c>
      <c r="D3413" s="1989" t="s">
        <v>6562</v>
      </c>
      <c r="E3413" s="1989">
        <v>0.18</v>
      </c>
      <c r="F3413" s="1546">
        <f t="shared" si="51"/>
        <v>14.637823200000001</v>
      </c>
      <c r="G3413" s="1547"/>
    </row>
    <row r="3414" spans="3:7" outlineLevel="1" x14ac:dyDescent="0.2">
      <c r="C3414" s="1989" t="s">
        <v>4224</v>
      </c>
      <c r="D3414" s="1989" t="s">
        <v>8433</v>
      </c>
      <c r="E3414" s="1989">
        <v>0.15</v>
      </c>
      <c r="F3414" s="1546">
        <f t="shared" si="51"/>
        <v>12.198186</v>
      </c>
      <c r="G3414" s="1547"/>
    </row>
    <row r="3415" spans="3:7" outlineLevel="1" x14ac:dyDescent="0.2">
      <c r="C3415" s="1989" t="s">
        <v>1978</v>
      </c>
      <c r="D3415" s="1989" t="s">
        <v>1979</v>
      </c>
      <c r="E3415" s="1989">
        <v>0.17</v>
      </c>
      <c r="F3415" s="1546">
        <f t="shared" si="51"/>
        <v>13.824610800000002</v>
      </c>
      <c r="G3415" s="1547"/>
    </row>
    <row r="3416" spans="3:7" outlineLevel="1" x14ac:dyDescent="0.2">
      <c r="C3416" s="1989" t="s">
        <v>6873</v>
      </c>
      <c r="D3416" s="1989" t="s">
        <v>6563</v>
      </c>
      <c r="E3416" s="1989">
        <v>0.18</v>
      </c>
      <c r="F3416" s="1546">
        <f t="shared" si="51"/>
        <v>14.637823200000001</v>
      </c>
      <c r="G3416" s="1547"/>
    </row>
    <row r="3417" spans="3:7" outlineLevel="1" x14ac:dyDescent="0.2">
      <c r="C3417" s="1989" t="s">
        <v>1980</v>
      </c>
      <c r="D3417" s="1989" t="s">
        <v>1981</v>
      </c>
      <c r="E3417" s="1989">
        <v>0.17</v>
      </c>
      <c r="F3417" s="1546">
        <f t="shared" si="51"/>
        <v>13.824610800000002</v>
      </c>
      <c r="G3417" s="1547"/>
    </row>
    <row r="3418" spans="3:7" outlineLevel="1" x14ac:dyDescent="0.2">
      <c r="C3418" s="1989" t="s">
        <v>1982</v>
      </c>
      <c r="D3418" s="1989" t="s">
        <v>8434</v>
      </c>
      <c r="E3418" s="1989">
        <v>7.0000000000000007E-2</v>
      </c>
      <c r="F3418" s="1546">
        <f t="shared" si="51"/>
        <v>5.6924868000000011</v>
      </c>
      <c r="G3418" s="1547"/>
    </row>
    <row r="3419" spans="3:7" outlineLevel="1" x14ac:dyDescent="0.2">
      <c r="C3419" s="1989" t="s">
        <v>6874</v>
      </c>
      <c r="D3419" s="1989" t="s">
        <v>8435</v>
      </c>
      <c r="E3419" s="1989">
        <v>0.18</v>
      </c>
      <c r="F3419" s="1546">
        <f t="shared" si="51"/>
        <v>14.637823200000001</v>
      </c>
      <c r="G3419" s="1547"/>
    </row>
    <row r="3420" spans="3:7" outlineLevel="1" x14ac:dyDescent="0.2">
      <c r="C3420" s="1989" t="s">
        <v>4225</v>
      </c>
      <c r="D3420" s="1989" t="s">
        <v>4226</v>
      </c>
      <c r="E3420" s="1989">
        <v>0.35</v>
      </c>
      <c r="F3420" s="1546">
        <f t="shared" si="51"/>
        <v>28.462434000000002</v>
      </c>
      <c r="G3420" s="1547"/>
    </row>
    <row r="3421" spans="3:7" outlineLevel="1" x14ac:dyDescent="0.2">
      <c r="C3421" s="1989" t="s">
        <v>1983</v>
      </c>
      <c r="D3421" s="1989" t="s">
        <v>8436</v>
      </c>
      <c r="E3421" s="1989">
        <v>0.13</v>
      </c>
      <c r="F3421" s="1546">
        <f t="shared" si="51"/>
        <v>10.571761200000001</v>
      </c>
      <c r="G3421" s="1547"/>
    </row>
    <row r="3422" spans="3:7" outlineLevel="1" x14ac:dyDescent="0.2">
      <c r="C3422" s="1989" t="s">
        <v>1984</v>
      </c>
      <c r="D3422" s="1989" t="s">
        <v>8437</v>
      </c>
      <c r="E3422" s="1989">
        <v>0.14000000000000001</v>
      </c>
      <c r="F3422" s="1546">
        <f t="shared" si="51"/>
        <v>11.384973600000002</v>
      </c>
      <c r="G3422" s="1547"/>
    </row>
    <row r="3423" spans="3:7" outlineLevel="1" x14ac:dyDescent="0.2">
      <c r="C3423" s="1989" t="s">
        <v>1985</v>
      </c>
      <c r="D3423" s="1989" t="s">
        <v>6564</v>
      </c>
      <c r="E3423" s="1989">
        <v>0.15</v>
      </c>
      <c r="F3423" s="1546">
        <f t="shared" si="51"/>
        <v>12.198186</v>
      </c>
      <c r="G3423" s="1547"/>
    </row>
    <row r="3424" spans="3:7" outlineLevel="1" x14ac:dyDescent="0.2">
      <c r="C3424" s="1989" t="s">
        <v>3406</v>
      </c>
      <c r="D3424" s="1989" t="s">
        <v>3407</v>
      </c>
      <c r="E3424" s="1989">
        <v>0.17</v>
      </c>
      <c r="F3424" s="1546">
        <f t="shared" si="51"/>
        <v>13.824610800000002</v>
      </c>
      <c r="G3424" s="1547"/>
    </row>
    <row r="3425" spans="3:7" outlineLevel="1" x14ac:dyDescent="0.2">
      <c r="C3425" s="1989" t="s">
        <v>1986</v>
      </c>
      <c r="D3425" s="1989" t="s">
        <v>8438</v>
      </c>
      <c r="E3425" s="1989">
        <v>0.15</v>
      </c>
      <c r="F3425" s="1546">
        <f t="shared" si="51"/>
        <v>12.198186</v>
      </c>
      <c r="G3425" s="1547"/>
    </row>
    <row r="3426" spans="3:7" outlineLevel="1" x14ac:dyDescent="0.2">
      <c r="C3426" s="1989" t="s">
        <v>3408</v>
      </c>
      <c r="D3426" s="1989" t="s">
        <v>3409</v>
      </c>
      <c r="E3426" s="1989">
        <v>7.0000000000000007E-2</v>
      </c>
      <c r="F3426" s="1546">
        <f t="shared" si="51"/>
        <v>5.6924868000000011</v>
      </c>
      <c r="G3426" s="1547"/>
    </row>
    <row r="3427" spans="3:7" outlineLevel="1" x14ac:dyDescent="0.2">
      <c r="C3427" s="1989" t="s">
        <v>4227</v>
      </c>
      <c r="D3427" s="1989" t="s">
        <v>4228</v>
      </c>
      <c r="E3427" s="1989">
        <v>0.19</v>
      </c>
      <c r="F3427" s="1546">
        <f t="shared" si="51"/>
        <v>15.451035599999999</v>
      </c>
      <c r="G3427" s="1547"/>
    </row>
    <row r="3428" spans="3:7" outlineLevel="1" x14ac:dyDescent="0.2">
      <c r="C3428" s="1989" t="s">
        <v>2803</v>
      </c>
      <c r="D3428" s="1989" t="s">
        <v>6565</v>
      </c>
      <c r="E3428" s="1989">
        <v>0.17</v>
      </c>
      <c r="F3428" s="1546">
        <f t="shared" si="51"/>
        <v>13.824610800000002</v>
      </c>
      <c r="G3428" s="1547"/>
    </row>
    <row r="3429" spans="3:7" outlineLevel="1" x14ac:dyDescent="0.2">
      <c r="C3429" s="1989" t="s">
        <v>1987</v>
      </c>
      <c r="D3429" s="1989" t="s">
        <v>1988</v>
      </c>
      <c r="E3429" s="1989">
        <v>0.08</v>
      </c>
      <c r="F3429" s="1546">
        <f t="shared" si="51"/>
        <v>6.5056992000000005</v>
      </c>
      <c r="G3429" s="1547"/>
    </row>
    <row r="3430" spans="3:7" outlineLevel="1" x14ac:dyDescent="0.2">
      <c r="C3430" s="1989" t="s">
        <v>1989</v>
      </c>
      <c r="D3430" s="1989" t="s">
        <v>1990</v>
      </c>
      <c r="E3430" s="1989">
        <v>0.77</v>
      </c>
      <c r="F3430" s="1546">
        <f t="shared" si="51"/>
        <v>62.617354800000001</v>
      </c>
      <c r="G3430" s="1547"/>
    </row>
    <row r="3431" spans="3:7" outlineLevel="1" x14ac:dyDescent="0.2">
      <c r="C3431" s="1989" t="s">
        <v>6875</v>
      </c>
      <c r="D3431" s="1989" t="s">
        <v>6566</v>
      </c>
      <c r="E3431" s="1989">
        <v>0.18</v>
      </c>
      <c r="F3431" s="1546">
        <f t="shared" ref="F3431:F3494" si="52">E3431*$G$4*$J$4</f>
        <v>14.637823200000001</v>
      </c>
      <c r="G3431" s="1547"/>
    </row>
    <row r="3432" spans="3:7" outlineLevel="1" x14ac:dyDescent="0.2">
      <c r="C3432" s="1989" t="s">
        <v>3133</v>
      </c>
      <c r="D3432" s="1989" t="s">
        <v>8439</v>
      </c>
      <c r="E3432" s="1989">
        <v>0.17</v>
      </c>
      <c r="F3432" s="1546">
        <f t="shared" si="52"/>
        <v>13.824610800000002</v>
      </c>
      <c r="G3432" s="1547"/>
    </row>
    <row r="3433" spans="3:7" outlineLevel="1" x14ac:dyDescent="0.2">
      <c r="C3433" s="1989" t="s">
        <v>3134</v>
      </c>
      <c r="D3433" s="1989" t="s">
        <v>8440</v>
      </c>
      <c r="E3433" s="1989">
        <v>0.39</v>
      </c>
      <c r="F3433" s="1546">
        <f t="shared" si="52"/>
        <v>31.715283599999999</v>
      </c>
      <c r="G3433" s="1547"/>
    </row>
    <row r="3434" spans="3:7" outlineLevel="1" x14ac:dyDescent="0.2">
      <c r="C3434" s="1989" t="s">
        <v>6876</v>
      </c>
      <c r="D3434" s="1989" t="s">
        <v>8441</v>
      </c>
      <c r="E3434" s="1989">
        <v>0.35</v>
      </c>
      <c r="F3434" s="1546">
        <f t="shared" si="52"/>
        <v>28.462434000000002</v>
      </c>
      <c r="G3434" s="1547"/>
    </row>
    <row r="3435" spans="3:7" outlineLevel="1" x14ac:dyDescent="0.2">
      <c r="C3435" s="1989" t="s">
        <v>1991</v>
      </c>
      <c r="D3435" s="1989" t="s">
        <v>6567</v>
      </c>
      <c r="E3435" s="1989">
        <v>0.39</v>
      </c>
      <c r="F3435" s="1546">
        <f t="shared" si="52"/>
        <v>31.715283599999999</v>
      </c>
      <c r="G3435" s="1547"/>
    </row>
    <row r="3436" spans="3:7" outlineLevel="1" x14ac:dyDescent="0.2">
      <c r="C3436" s="1989" t="s">
        <v>1992</v>
      </c>
      <c r="D3436" s="1989" t="s">
        <v>6568</v>
      </c>
      <c r="E3436" s="1989">
        <v>0.22</v>
      </c>
      <c r="F3436" s="1546">
        <f t="shared" si="52"/>
        <v>17.890672800000001</v>
      </c>
      <c r="G3436" s="1547"/>
    </row>
    <row r="3437" spans="3:7" outlineLevel="1" x14ac:dyDescent="0.2">
      <c r="C3437" s="1989" t="s">
        <v>1993</v>
      </c>
      <c r="D3437" s="1989" t="s">
        <v>1994</v>
      </c>
      <c r="E3437" s="1989">
        <v>0.17</v>
      </c>
      <c r="F3437" s="1546">
        <f t="shared" si="52"/>
        <v>13.824610800000002</v>
      </c>
      <c r="G3437" s="1547"/>
    </row>
    <row r="3438" spans="3:7" outlineLevel="1" x14ac:dyDescent="0.2">
      <c r="C3438" s="1989" t="s">
        <v>1995</v>
      </c>
      <c r="D3438" s="1989" t="s">
        <v>1996</v>
      </c>
      <c r="E3438" s="1989">
        <v>0.15</v>
      </c>
      <c r="F3438" s="1546">
        <f t="shared" si="52"/>
        <v>12.198186</v>
      </c>
      <c r="G3438" s="1547"/>
    </row>
    <row r="3439" spans="3:7" outlineLevel="1" x14ac:dyDescent="0.2">
      <c r="C3439" s="1989" t="s">
        <v>6877</v>
      </c>
      <c r="D3439" s="1989" t="s">
        <v>8442</v>
      </c>
      <c r="E3439" s="1989">
        <v>0.11</v>
      </c>
      <c r="F3439" s="1546">
        <f t="shared" si="52"/>
        <v>8.9453364000000004</v>
      </c>
      <c r="G3439" s="1547"/>
    </row>
    <row r="3440" spans="3:7" outlineLevel="1" x14ac:dyDescent="0.2">
      <c r="C3440" s="1989" t="s">
        <v>2798</v>
      </c>
      <c r="D3440" s="1989" t="s">
        <v>8443</v>
      </c>
      <c r="E3440" s="1989">
        <v>0</v>
      </c>
      <c r="F3440" s="1546">
        <f t="shared" si="52"/>
        <v>0</v>
      </c>
      <c r="G3440" s="1547"/>
    </row>
    <row r="3441" spans="3:7" outlineLevel="1" x14ac:dyDescent="0.2">
      <c r="C3441" s="1989" t="s">
        <v>2799</v>
      </c>
      <c r="D3441" s="1989" t="s">
        <v>6569</v>
      </c>
      <c r="E3441" s="1989">
        <v>0</v>
      </c>
      <c r="F3441" s="1546">
        <f t="shared" si="52"/>
        <v>0</v>
      </c>
      <c r="G3441" s="1547"/>
    </row>
    <row r="3442" spans="3:7" outlineLevel="1" x14ac:dyDescent="0.2">
      <c r="C3442" s="1989" t="s">
        <v>2800</v>
      </c>
      <c r="D3442" s="1989" t="s">
        <v>6570</v>
      </c>
      <c r="E3442" s="1989">
        <v>0</v>
      </c>
      <c r="F3442" s="1546">
        <f t="shared" si="52"/>
        <v>0</v>
      </c>
      <c r="G3442" s="1547"/>
    </row>
    <row r="3443" spans="3:7" outlineLevel="1" x14ac:dyDescent="0.2">
      <c r="C3443" s="1989" t="s">
        <v>1997</v>
      </c>
      <c r="D3443" s="1989" t="s">
        <v>8444</v>
      </c>
      <c r="E3443" s="1989">
        <v>0.39</v>
      </c>
      <c r="F3443" s="1546">
        <f t="shared" si="52"/>
        <v>31.715283599999999</v>
      </c>
      <c r="G3443" s="1547"/>
    </row>
    <row r="3444" spans="3:7" outlineLevel="1" x14ac:dyDescent="0.2">
      <c r="C3444" s="1989" t="s">
        <v>6878</v>
      </c>
      <c r="D3444" s="1989" t="s">
        <v>8445</v>
      </c>
      <c r="E3444" s="1989">
        <v>0.74</v>
      </c>
      <c r="F3444" s="1546">
        <f t="shared" si="52"/>
        <v>60.177717600000008</v>
      </c>
      <c r="G3444" s="1547"/>
    </row>
    <row r="3445" spans="3:7" outlineLevel="1" x14ac:dyDescent="0.2">
      <c r="C3445" s="1989" t="s">
        <v>2805</v>
      </c>
      <c r="D3445" s="1989" t="s">
        <v>2806</v>
      </c>
      <c r="E3445" s="1989">
        <v>0.17</v>
      </c>
      <c r="F3445" s="1546">
        <f t="shared" si="52"/>
        <v>13.824610800000002</v>
      </c>
      <c r="G3445" s="1547"/>
    </row>
    <row r="3446" spans="3:7" outlineLevel="1" x14ac:dyDescent="0.2">
      <c r="C3446" s="1989" t="s">
        <v>2801</v>
      </c>
      <c r="D3446" s="1989" t="s">
        <v>8446</v>
      </c>
      <c r="E3446" s="1989">
        <v>0.15</v>
      </c>
      <c r="F3446" s="1546">
        <f t="shared" si="52"/>
        <v>12.198186</v>
      </c>
      <c r="G3446" s="1547"/>
    </row>
    <row r="3447" spans="3:7" outlineLevel="1" x14ac:dyDescent="0.2">
      <c r="C3447" s="1989" t="s">
        <v>4229</v>
      </c>
      <c r="D3447" s="1989" t="s">
        <v>4230</v>
      </c>
      <c r="E3447" s="1989">
        <v>0.17</v>
      </c>
      <c r="F3447" s="1546">
        <f t="shared" si="52"/>
        <v>13.824610800000002</v>
      </c>
      <c r="G3447" s="1547"/>
    </row>
    <row r="3448" spans="3:7" outlineLevel="1" x14ac:dyDescent="0.2">
      <c r="C3448" s="1989" t="s">
        <v>2792</v>
      </c>
      <c r="D3448" s="1989" t="s">
        <v>8447</v>
      </c>
      <c r="E3448" s="1989">
        <v>0.39</v>
      </c>
      <c r="F3448" s="1546">
        <f t="shared" si="52"/>
        <v>31.715283599999999</v>
      </c>
      <c r="G3448" s="1547"/>
    </row>
    <row r="3449" spans="3:7" outlineLevel="1" x14ac:dyDescent="0.2">
      <c r="C3449" s="1989" t="s">
        <v>4231</v>
      </c>
      <c r="D3449" s="1989" t="s">
        <v>6571</v>
      </c>
      <c r="E3449" s="1989">
        <v>0.2</v>
      </c>
      <c r="F3449" s="1546">
        <f t="shared" si="52"/>
        <v>16.264248000000002</v>
      </c>
      <c r="G3449" s="1547"/>
    </row>
    <row r="3450" spans="3:7" outlineLevel="1" x14ac:dyDescent="0.2">
      <c r="C3450" s="1989" t="s">
        <v>4232</v>
      </c>
      <c r="D3450" s="1989" t="s">
        <v>8448</v>
      </c>
      <c r="E3450" s="1989">
        <v>0.14000000000000001</v>
      </c>
      <c r="F3450" s="1546">
        <f t="shared" si="52"/>
        <v>11.384973600000002</v>
      </c>
      <c r="G3450" s="1547"/>
    </row>
    <row r="3451" spans="3:7" outlineLevel="1" x14ac:dyDescent="0.2">
      <c r="C3451" s="1989" t="s">
        <v>2791</v>
      </c>
      <c r="D3451" s="1989" t="s">
        <v>6572</v>
      </c>
      <c r="E3451" s="1989">
        <v>0.39</v>
      </c>
      <c r="F3451" s="1546">
        <f t="shared" si="52"/>
        <v>31.715283599999999</v>
      </c>
      <c r="G3451" s="1547"/>
    </row>
    <row r="3452" spans="3:7" outlineLevel="1" x14ac:dyDescent="0.2">
      <c r="C3452" s="1989" t="s">
        <v>1998</v>
      </c>
      <c r="D3452" s="1989" t="s">
        <v>8449</v>
      </c>
      <c r="E3452" s="1989">
        <v>0.35</v>
      </c>
      <c r="F3452" s="1546">
        <f t="shared" si="52"/>
        <v>28.462434000000002</v>
      </c>
      <c r="G3452" s="1547"/>
    </row>
    <row r="3453" spans="3:7" outlineLevel="1" x14ac:dyDescent="0.2">
      <c r="C3453" s="1989" t="s">
        <v>3410</v>
      </c>
      <c r="D3453" s="1989" t="s">
        <v>6573</v>
      </c>
      <c r="E3453" s="1989">
        <v>0.15</v>
      </c>
      <c r="F3453" s="1546">
        <f t="shared" si="52"/>
        <v>12.198186</v>
      </c>
      <c r="G3453" s="1547"/>
    </row>
    <row r="3454" spans="3:7" outlineLevel="1" x14ac:dyDescent="0.2">
      <c r="C3454" s="1989" t="s">
        <v>2804</v>
      </c>
      <c r="D3454" s="1989" t="s">
        <v>6574</v>
      </c>
      <c r="E3454" s="1989">
        <v>0.17</v>
      </c>
      <c r="F3454" s="1546">
        <f t="shared" si="52"/>
        <v>13.824610800000002</v>
      </c>
      <c r="G3454" s="1547"/>
    </row>
    <row r="3455" spans="3:7" outlineLevel="1" x14ac:dyDescent="0.2">
      <c r="C3455" s="1989" t="s">
        <v>3411</v>
      </c>
      <c r="D3455" s="1989" t="s">
        <v>8450</v>
      </c>
      <c r="E3455" s="1989">
        <v>59</v>
      </c>
      <c r="F3455" s="1546">
        <f t="shared" si="52"/>
        <v>4797.95316</v>
      </c>
      <c r="G3455" s="1547"/>
    </row>
    <row r="3456" spans="3:7" outlineLevel="1" x14ac:dyDescent="0.2">
      <c r="C3456" s="1989" t="s">
        <v>3412</v>
      </c>
      <c r="D3456" s="1989" t="s">
        <v>6575</v>
      </c>
      <c r="E3456" s="1989">
        <v>59</v>
      </c>
      <c r="F3456" s="1546">
        <f t="shared" si="52"/>
        <v>4797.95316</v>
      </c>
      <c r="G3456" s="1547"/>
    </row>
    <row r="3457" spans="1:47" outlineLevel="1" x14ac:dyDescent="0.2">
      <c r="C3457" s="1989" t="s">
        <v>3413</v>
      </c>
      <c r="D3457" s="1989" t="s">
        <v>8451</v>
      </c>
      <c r="E3457" s="1989">
        <v>59</v>
      </c>
      <c r="F3457" s="1546">
        <f t="shared" si="52"/>
        <v>4797.95316</v>
      </c>
      <c r="G3457" s="1547"/>
    </row>
    <row r="3458" spans="1:47" outlineLevel="1" x14ac:dyDescent="0.2">
      <c r="C3458" s="1989" t="s">
        <v>3414</v>
      </c>
      <c r="D3458" s="1989" t="s">
        <v>6576</v>
      </c>
      <c r="E3458" s="1989">
        <v>59</v>
      </c>
      <c r="F3458" s="1546">
        <f t="shared" si="52"/>
        <v>4797.95316</v>
      </c>
      <c r="G3458" s="1547"/>
    </row>
    <row r="3459" spans="1:47" outlineLevel="1" x14ac:dyDescent="0.2">
      <c r="C3459" s="1989" t="s">
        <v>2807</v>
      </c>
      <c r="D3459" s="1989" t="s">
        <v>2808</v>
      </c>
      <c r="E3459" s="1989">
        <v>0</v>
      </c>
      <c r="F3459" s="1546">
        <f t="shared" si="52"/>
        <v>0</v>
      </c>
      <c r="G3459" s="1547"/>
    </row>
    <row r="3460" spans="1:47" outlineLevel="1" x14ac:dyDescent="0.2">
      <c r="C3460" s="1989" t="s">
        <v>2809</v>
      </c>
      <c r="D3460" s="1989" t="s">
        <v>6577</v>
      </c>
      <c r="E3460" s="1989">
        <v>0</v>
      </c>
      <c r="F3460" s="1546">
        <f t="shared" si="52"/>
        <v>0</v>
      </c>
      <c r="G3460" s="1547"/>
    </row>
    <row r="3461" spans="1:47" outlineLevel="1" x14ac:dyDescent="0.2">
      <c r="C3461" s="1989" t="s">
        <v>3135</v>
      </c>
      <c r="D3461" s="1989" t="s">
        <v>6578</v>
      </c>
      <c r="E3461" s="1989">
        <v>0</v>
      </c>
      <c r="F3461" s="1546">
        <f t="shared" si="52"/>
        <v>0</v>
      </c>
      <c r="G3461" s="1547"/>
    </row>
    <row r="3462" spans="1:47" outlineLevel="1" x14ac:dyDescent="0.2">
      <c r="C3462" s="1989" t="s">
        <v>2810</v>
      </c>
      <c r="D3462" s="1989" t="s">
        <v>6579</v>
      </c>
      <c r="E3462" s="1989">
        <v>0</v>
      </c>
      <c r="F3462" s="1546">
        <f t="shared" si="52"/>
        <v>0</v>
      </c>
      <c r="G3462" s="1547"/>
    </row>
    <row r="3463" spans="1:47" outlineLevel="1" x14ac:dyDescent="0.2">
      <c r="A3463" s="782"/>
      <c r="B3463" s="782"/>
      <c r="C3463" s="1989" t="s">
        <v>1999</v>
      </c>
      <c r="D3463" s="1989" t="s">
        <v>6580</v>
      </c>
      <c r="E3463" s="1989">
        <v>0</v>
      </c>
      <c r="F3463" s="1546">
        <f t="shared" si="52"/>
        <v>0</v>
      </c>
      <c r="G3463" s="1547"/>
    </row>
    <row r="3464" spans="1:47" s="15" customFormat="1" outlineLevel="1" x14ac:dyDescent="0.2">
      <c r="A3464" s="8"/>
      <c r="B3464" s="8"/>
      <c r="C3464" s="1989" t="s">
        <v>4931</v>
      </c>
      <c r="D3464" s="1989" t="s">
        <v>6581</v>
      </c>
      <c r="E3464" s="1989">
        <v>0</v>
      </c>
      <c r="F3464" s="1546">
        <f t="shared" si="52"/>
        <v>0</v>
      </c>
      <c r="G3464" s="1547"/>
      <c r="H3464" s="8"/>
      <c r="I3464" s="8"/>
      <c r="J3464" s="8"/>
      <c r="K3464" s="8"/>
      <c r="L3464" s="8"/>
      <c r="M3464" s="8"/>
      <c r="N3464" s="8"/>
      <c r="O3464" s="8"/>
      <c r="P3464" s="8"/>
      <c r="Q3464" s="8"/>
      <c r="R3464" s="8"/>
      <c r="S3464" s="8"/>
      <c r="T3464" s="8"/>
      <c r="U3464" s="8"/>
      <c r="V3464" s="8"/>
      <c r="W3464" s="8"/>
      <c r="X3464" s="771"/>
      <c r="Y3464" s="771"/>
      <c r="Z3464" s="771"/>
      <c r="AA3464" s="771"/>
      <c r="AB3464" s="771"/>
      <c r="AC3464" s="771"/>
      <c r="AD3464" s="771"/>
      <c r="AE3464" s="771"/>
      <c r="AF3464" s="771"/>
      <c r="AG3464" s="771"/>
      <c r="AH3464" s="771"/>
      <c r="AI3464" s="771"/>
      <c r="AJ3464" s="771"/>
      <c r="AK3464" s="771"/>
      <c r="AL3464" s="771"/>
      <c r="AM3464" s="771"/>
      <c r="AN3464" s="771"/>
      <c r="AO3464" s="771"/>
      <c r="AP3464" s="771"/>
      <c r="AQ3464" s="771"/>
      <c r="AR3464" s="771"/>
      <c r="AS3464" s="771"/>
      <c r="AT3464" s="771"/>
      <c r="AU3464" s="771"/>
    </row>
    <row r="3465" spans="1:47" s="15" customFormat="1" outlineLevel="1" x14ac:dyDescent="0.2">
      <c r="A3465" s="8"/>
      <c r="B3465" s="8"/>
      <c r="C3465" s="1989" t="s">
        <v>2000</v>
      </c>
      <c r="D3465" s="1989" t="s">
        <v>6582</v>
      </c>
      <c r="E3465" s="1989">
        <v>0</v>
      </c>
      <c r="F3465" s="1546">
        <f t="shared" si="52"/>
        <v>0</v>
      </c>
      <c r="G3465" s="1547"/>
      <c r="H3465" s="8"/>
      <c r="I3465" s="8"/>
      <c r="J3465" s="8"/>
      <c r="K3465" s="8"/>
      <c r="L3465" s="8"/>
      <c r="M3465" s="8"/>
      <c r="N3465" s="8"/>
      <c r="O3465" s="8"/>
      <c r="P3465" s="8"/>
      <c r="Q3465" s="8"/>
      <c r="R3465" s="8"/>
      <c r="S3465" s="8"/>
      <c r="T3465" s="8"/>
      <c r="U3465" s="8"/>
      <c r="V3465" s="8"/>
      <c r="W3465" s="8"/>
      <c r="X3465" s="771"/>
      <c r="Y3465" s="771"/>
      <c r="Z3465" s="771"/>
      <c r="AA3465" s="771"/>
      <c r="AB3465" s="771"/>
      <c r="AC3465" s="771"/>
      <c r="AD3465" s="771"/>
      <c r="AE3465" s="771"/>
      <c r="AF3465" s="771"/>
      <c r="AG3465" s="771"/>
      <c r="AH3465" s="771"/>
      <c r="AI3465" s="771"/>
      <c r="AJ3465" s="771"/>
      <c r="AK3465" s="771"/>
      <c r="AL3465" s="771"/>
      <c r="AM3465" s="771"/>
      <c r="AN3465" s="771"/>
      <c r="AO3465" s="771"/>
      <c r="AP3465" s="771"/>
      <c r="AQ3465" s="771"/>
      <c r="AR3465" s="771"/>
      <c r="AS3465" s="771"/>
      <c r="AT3465" s="771"/>
      <c r="AU3465" s="771"/>
    </row>
    <row r="3466" spans="1:47" s="15" customFormat="1" outlineLevel="1" x14ac:dyDescent="0.2">
      <c r="A3466" s="8"/>
      <c r="B3466" s="8"/>
      <c r="C3466" s="1989" t="s">
        <v>3136</v>
      </c>
      <c r="D3466" s="1989" t="s">
        <v>6583</v>
      </c>
      <c r="E3466" s="1989">
        <v>0</v>
      </c>
      <c r="F3466" s="1546">
        <f t="shared" si="52"/>
        <v>0</v>
      </c>
      <c r="G3466" s="1547"/>
      <c r="H3466" s="8"/>
      <c r="I3466" s="8"/>
      <c r="J3466" s="8"/>
      <c r="K3466" s="8"/>
      <c r="L3466" s="8"/>
      <c r="M3466" s="8"/>
      <c r="N3466" s="8"/>
      <c r="O3466" s="8"/>
      <c r="P3466" s="8"/>
      <c r="Q3466" s="8"/>
      <c r="R3466" s="8"/>
      <c r="S3466" s="8"/>
      <c r="T3466" s="8"/>
      <c r="U3466" s="8"/>
      <c r="V3466" s="8"/>
      <c r="W3466" s="8"/>
      <c r="X3466" s="771"/>
      <c r="Y3466" s="771"/>
      <c r="Z3466" s="771"/>
      <c r="AA3466" s="771"/>
      <c r="AB3466" s="771"/>
      <c r="AC3466" s="771"/>
      <c r="AD3466" s="771"/>
      <c r="AE3466" s="771"/>
      <c r="AF3466" s="771"/>
      <c r="AG3466" s="771"/>
      <c r="AH3466" s="771"/>
      <c r="AI3466" s="771"/>
      <c r="AJ3466" s="771"/>
      <c r="AK3466" s="771"/>
      <c r="AL3466" s="771"/>
      <c r="AM3466" s="771"/>
      <c r="AN3466" s="771"/>
      <c r="AO3466" s="771"/>
      <c r="AP3466" s="771"/>
      <c r="AQ3466" s="771"/>
      <c r="AR3466" s="771"/>
      <c r="AS3466" s="771"/>
      <c r="AT3466" s="771"/>
      <c r="AU3466" s="771"/>
    </row>
    <row r="3467" spans="1:47" s="15" customFormat="1" outlineLevel="1" x14ac:dyDescent="0.2">
      <c r="A3467" s="8"/>
      <c r="B3467" s="8"/>
      <c r="C3467" s="1989" t="s">
        <v>2811</v>
      </c>
      <c r="D3467" s="1989" t="s">
        <v>6584</v>
      </c>
      <c r="E3467" s="1989">
        <v>0</v>
      </c>
      <c r="F3467" s="1546">
        <f t="shared" si="52"/>
        <v>0</v>
      </c>
      <c r="G3467" s="1547"/>
      <c r="H3467" s="8"/>
      <c r="I3467" s="8"/>
      <c r="J3467" s="8"/>
      <c r="K3467" s="8"/>
      <c r="L3467" s="8"/>
      <c r="M3467" s="8"/>
      <c r="N3467" s="8"/>
      <c r="O3467" s="8"/>
      <c r="P3467" s="8"/>
      <c r="Q3467" s="8"/>
      <c r="R3467" s="8"/>
      <c r="S3467" s="8"/>
      <c r="T3467" s="8"/>
      <c r="U3467" s="8"/>
      <c r="V3467" s="8"/>
      <c r="W3467" s="8"/>
      <c r="X3467" s="771"/>
      <c r="Y3467" s="771"/>
      <c r="Z3467" s="771"/>
      <c r="AA3467" s="771"/>
      <c r="AB3467" s="771"/>
      <c r="AC3467" s="771"/>
      <c r="AD3467" s="771"/>
      <c r="AE3467" s="771"/>
      <c r="AF3467" s="771"/>
      <c r="AG3467" s="771"/>
      <c r="AH3467" s="771"/>
      <c r="AI3467" s="771"/>
      <c r="AJ3467" s="771"/>
      <c r="AK3467" s="771"/>
      <c r="AL3467" s="771"/>
      <c r="AM3467" s="771"/>
      <c r="AN3467" s="771"/>
      <c r="AO3467" s="771"/>
      <c r="AP3467" s="771"/>
      <c r="AQ3467" s="771"/>
      <c r="AR3467" s="771"/>
      <c r="AS3467" s="771"/>
      <c r="AT3467" s="771"/>
      <c r="AU3467" s="771"/>
    </row>
    <row r="3468" spans="1:47" s="15" customFormat="1" outlineLevel="1" x14ac:dyDescent="0.2">
      <c r="A3468" s="8"/>
      <c r="B3468" s="8"/>
      <c r="C3468" s="1989" t="s">
        <v>6879</v>
      </c>
      <c r="D3468" s="1989" t="s">
        <v>8452</v>
      </c>
      <c r="E3468" s="1989">
        <v>0.38</v>
      </c>
      <c r="F3468" s="1546">
        <f t="shared" si="52"/>
        <v>30.902071199999998</v>
      </c>
      <c r="G3468" s="1547"/>
      <c r="H3468" s="8"/>
      <c r="I3468" s="8"/>
      <c r="J3468" s="8"/>
      <c r="K3468" s="8"/>
      <c r="L3468" s="8"/>
      <c r="M3468" s="8"/>
      <c r="N3468" s="8"/>
      <c r="O3468" s="8"/>
      <c r="P3468" s="8"/>
      <c r="Q3468" s="8"/>
      <c r="R3468" s="8"/>
      <c r="S3468" s="8"/>
      <c r="T3468" s="8"/>
      <c r="U3468" s="8"/>
      <c r="V3468" s="8"/>
      <c r="W3468" s="8"/>
      <c r="X3468" s="771"/>
      <c r="Y3468" s="771"/>
      <c r="Z3468" s="771"/>
      <c r="AA3468" s="771"/>
      <c r="AB3468" s="771"/>
      <c r="AC3468" s="771"/>
      <c r="AD3468" s="771"/>
      <c r="AE3468" s="771"/>
      <c r="AF3468" s="771"/>
      <c r="AG3468" s="771"/>
      <c r="AH3468" s="771"/>
      <c r="AI3468" s="771"/>
      <c r="AJ3468" s="771"/>
      <c r="AK3468" s="771"/>
      <c r="AL3468" s="771"/>
      <c r="AM3468" s="771"/>
      <c r="AN3468" s="771"/>
      <c r="AO3468" s="771"/>
      <c r="AP3468" s="771"/>
      <c r="AQ3468" s="771"/>
      <c r="AR3468" s="771"/>
      <c r="AS3468" s="771"/>
      <c r="AT3468" s="771"/>
      <c r="AU3468" s="771"/>
    </row>
    <row r="3469" spans="1:47" s="15" customFormat="1" outlineLevel="1" x14ac:dyDescent="0.2">
      <c r="A3469" s="8"/>
      <c r="B3469" s="8"/>
      <c r="C3469" s="1989" t="s">
        <v>4932</v>
      </c>
      <c r="D3469" s="1989" t="s">
        <v>8453</v>
      </c>
      <c r="E3469" s="1989">
        <v>0</v>
      </c>
      <c r="F3469" s="1546">
        <f t="shared" si="52"/>
        <v>0</v>
      </c>
      <c r="G3469" s="1547"/>
      <c r="H3469" s="8"/>
      <c r="I3469" s="8"/>
      <c r="J3469" s="8"/>
      <c r="K3469" s="8"/>
      <c r="L3469" s="8"/>
      <c r="M3469" s="8"/>
      <c r="N3469" s="8"/>
      <c r="O3469" s="8"/>
      <c r="P3469" s="8"/>
      <c r="Q3469" s="8"/>
      <c r="R3469" s="8"/>
      <c r="S3469" s="8"/>
      <c r="T3469" s="8"/>
      <c r="U3469" s="8"/>
      <c r="V3469" s="8"/>
      <c r="W3469" s="8"/>
      <c r="X3469" s="771"/>
      <c r="Y3469" s="771"/>
      <c r="Z3469" s="771"/>
      <c r="AA3469" s="771"/>
      <c r="AB3469" s="771"/>
      <c r="AC3469" s="771"/>
      <c r="AD3469" s="771"/>
      <c r="AE3469" s="771"/>
      <c r="AF3469" s="771"/>
      <c r="AG3469" s="771"/>
      <c r="AH3469" s="771"/>
      <c r="AI3469" s="771"/>
      <c r="AJ3469" s="771"/>
      <c r="AK3469" s="771"/>
      <c r="AL3469" s="771"/>
      <c r="AM3469" s="771"/>
      <c r="AN3469" s="771"/>
      <c r="AO3469" s="771"/>
      <c r="AP3469" s="771"/>
      <c r="AQ3469" s="771"/>
      <c r="AR3469" s="771"/>
      <c r="AS3469" s="771"/>
      <c r="AT3469" s="771"/>
      <c r="AU3469" s="771"/>
    </row>
    <row r="3470" spans="1:47" s="15" customFormat="1" outlineLevel="1" x14ac:dyDescent="0.2">
      <c r="A3470" s="8"/>
      <c r="B3470" s="8"/>
      <c r="C3470" s="1989" t="s">
        <v>4933</v>
      </c>
      <c r="D3470" s="1989" t="s">
        <v>8454</v>
      </c>
      <c r="E3470" s="1989">
        <v>0</v>
      </c>
      <c r="F3470" s="1546">
        <f t="shared" si="52"/>
        <v>0</v>
      </c>
      <c r="G3470" s="1547"/>
      <c r="H3470" s="8"/>
      <c r="I3470" s="8"/>
      <c r="J3470" s="8"/>
      <c r="K3470" s="8"/>
      <c r="L3470" s="8"/>
      <c r="M3470" s="8"/>
      <c r="N3470" s="8"/>
      <c r="O3470" s="8"/>
      <c r="P3470" s="8"/>
      <c r="Q3470" s="8"/>
      <c r="R3470" s="8"/>
      <c r="S3470" s="8"/>
      <c r="T3470" s="8"/>
      <c r="U3470" s="8"/>
      <c r="V3470" s="8"/>
      <c r="W3470" s="8"/>
      <c r="X3470" s="771"/>
      <c r="Y3470" s="771"/>
      <c r="Z3470" s="771"/>
      <c r="AA3470" s="771"/>
      <c r="AB3470" s="771"/>
      <c r="AC3470" s="771"/>
      <c r="AD3470" s="771"/>
      <c r="AE3470" s="771"/>
      <c r="AF3470" s="771"/>
      <c r="AG3470" s="771"/>
      <c r="AH3470" s="771"/>
      <c r="AI3470" s="771"/>
      <c r="AJ3470" s="771"/>
      <c r="AK3470" s="771"/>
      <c r="AL3470" s="771"/>
      <c r="AM3470" s="771"/>
      <c r="AN3470" s="771"/>
      <c r="AO3470" s="771"/>
      <c r="AP3470" s="771"/>
      <c r="AQ3470" s="771"/>
      <c r="AR3470" s="771"/>
      <c r="AS3470" s="771"/>
      <c r="AT3470" s="771"/>
      <c r="AU3470" s="771"/>
    </row>
    <row r="3471" spans="1:47" s="15" customFormat="1" outlineLevel="1" x14ac:dyDescent="0.2">
      <c r="A3471" s="8"/>
      <c r="B3471" s="8"/>
      <c r="C3471" s="1989" t="s">
        <v>4233</v>
      </c>
      <c r="D3471" s="1989" t="s">
        <v>8455</v>
      </c>
      <c r="E3471" s="1989">
        <v>0.2</v>
      </c>
      <c r="F3471" s="1546">
        <f t="shared" si="52"/>
        <v>16.264248000000002</v>
      </c>
      <c r="G3471" s="1547"/>
      <c r="H3471" s="8"/>
      <c r="I3471" s="8"/>
      <c r="J3471" s="8"/>
      <c r="K3471" s="8"/>
      <c r="L3471" s="8"/>
      <c r="M3471" s="8"/>
      <c r="N3471" s="8"/>
      <c r="O3471" s="8"/>
      <c r="P3471" s="8"/>
      <c r="Q3471" s="8"/>
      <c r="R3471" s="8"/>
      <c r="S3471" s="8"/>
      <c r="T3471" s="8"/>
      <c r="U3471" s="8"/>
      <c r="V3471" s="8"/>
      <c r="W3471" s="8"/>
      <c r="X3471" s="771"/>
      <c r="Y3471" s="771"/>
      <c r="Z3471" s="771"/>
      <c r="AA3471" s="771"/>
      <c r="AB3471" s="771"/>
      <c r="AC3471" s="771"/>
      <c r="AD3471" s="771"/>
      <c r="AE3471" s="771"/>
      <c r="AF3471" s="771"/>
      <c r="AG3471" s="771"/>
      <c r="AH3471" s="771"/>
      <c r="AI3471" s="771"/>
      <c r="AJ3471" s="771"/>
      <c r="AK3471" s="771"/>
      <c r="AL3471" s="771"/>
      <c r="AM3471" s="771"/>
      <c r="AN3471" s="771"/>
      <c r="AO3471" s="771"/>
      <c r="AP3471" s="771"/>
      <c r="AQ3471" s="771"/>
      <c r="AR3471" s="771"/>
      <c r="AS3471" s="771"/>
      <c r="AT3471" s="771"/>
      <c r="AU3471" s="771"/>
    </row>
    <row r="3472" spans="1:47" s="15" customFormat="1" outlineLevel="1" x14ac:dyDescent="0.2">
      <c r="A3472" s="8"/>
      <c r="B3472" s="8"/>
      <c r="C3472" s="1989" t="s">
        <v>4234</v>
      </c>
      <c r="D3472" s="1989" t="s">
        <v>8456</v>
      </c>
      <c r="E3472" s="1989">
        <v>0.02</v>
      </c>
      <c r="F3472" s="1546">
        <f t="shared" si="52"/>
        <v>1.6264248000000001</v>
      </c>
      <c r="G3472" s="1547"/>
      <c r="H3472" s="8"/>
      <c r="I3472" s="8"/>
      <c r="J3472" s="8"/>
      <c r="K3472" s="8"/>
      <c r="L3472" s="8"/>
      <c r="M3472" s="8"/>
      <c r="N3472" s="8"/>
      <c r="O3472" s="8"/>
      <c r="P3472" s="8"/>
      <c r="Q3472" s="8"/>
      <c r="R3472" s="8"/>
      <c r="S3472" s="8"/>
      <c r="T3472" s="8"/>
      <c r="U3472" s="8"/>
      <c r="V3472" s="8"/>
      <c r="W3472" s="8"/>
      <c r="X3472" s="771"/>
      <c r="Y3472" s="771"/>
      <c r="Z3472" s="771"/>
      <c r="AA3472" s="771"/>
      <c r="AB3472" s="771"/>
      <c r="AC3472" s="771"/>
      <c r="AD3472" s="771"/>
      <c r="AE3472" s="771"/>
      <c r="AF3472" s="771"/>
      <c r="AG3472" s="771"/>
      <c r="AH3472" s="771"/>
      <c r="AI3472" s="771"/>
      <c r="AJ3472" s="771"/>
      <c r="AK3472" s="771"/>
      <c r="AL3472" s="771"/>
      <c r="AM3472" s="771"/>
      <c r="AN3472" s="771"/>
      <c r="AO3472" s="771"/>
      <c r="AP3472" s="771"/>
      <c r="AQ3472" s="771"/>
      <c r="AR3472" s="771"/>
      <c r="AS3472" s="771"/>
      <c r="AT3472" s="771"/>
      <c r="AU3472" s="771"/>
    </row>
    <row r="3473" spans="1:47" s="15" customFormat="1" outlineLevel="1" x14ac:dyDescent="0.2">
      <c r="A3473" s="8"/>
      <c r="B3473" s="8"/>
      <c r="C3473" s="1989" t="s">
        <v>4235</v>
      </c>
      <c r="D3473" s="1989" t="s">
        <v>4236</v>
      </c>
      <c r="E3473" s="1989">
        <v>8.24</v>
      </c>
      <c r="F3473" s="1546">
        <f t="shared" si="52"/>
        <v>670.08701760000008</v>
      </c>
      <c r="G3473" s="1547"/>
      <c r="H3473" s="8"/>
      <c r="I3473" s="8"/>
      <c r="J3473" s="8"/>
      <c r="K3473" s="8"/>
      <c r="L3473" s="8"/>
      <c r="M3473" s="8"/>
      <c r="N3473" s="8"/>
      <c r="O3473" s="8"/>
      <c r="P3473" s="8"/>
      <c r="Q3473" s="8"/>
      <c r="R3473" s="8"/>
      <c r="S3473" s="8"/>
      <c r="T3473" s="8"/>
      <c r="U3473" s="8"/>
      <c r="V3473" s="8"/>
      <c r="W3473" s="8"/>
      <c r="X3473" s="771"/>
      <c r="Y3473" s="771"/>
      <c r="Z3473" s="771"/>
      <c r="AA3473" s="771"/>
      <c r="AB3473" s="771"/>
      <c r="AC3473" s="771"/>
      <c r="AD3473" s="771"/>
      <c r="AE3473" s="771"/>
      <c r="AF3473" s="771"/>
      <c r="AG3473" s="771"/>
      <c r="AH3473" s="771"/>
      <c r="AI3473" s="771"/>
      <c r="AJ3473" s="771"/>
      <c r="AK3473" s="771"/>
      <c r="AL3473" s="771"/>
      <c r="AM3473" s="771"/>
      <c r="AN3473" s="771"/>
      <c r="AO3473" s="771"/>
      <c r="AP3473" s="771"/>
      <c r="AQ3473" s="771"/>
      <c r="AR3473" s="771"/>
      <c r="AS3473" s="771"/>
      <c r="AT3473" s="771"/>
      <c r="AU3473" s="771"/>
    </row>
    <row r="3474" spans="1:47" s="15" customFormat="1" outlineLevel="1" x14ac:dyDescent="0.2">
      <c r="A3474" s="8"/>
      <c r="B3474" s="8"/>
      <c r="C3474" s="1989" t="s">
        <v>4934</v>
      </c>
      <c r="D3474" s="1989" t="s">
        <v>8457</v>
      </c>
      <c r="E3474" s="1989">
        <v>0.08</v>
      </c>
      <c r="F3474" s="1546">
        <f t="shared" si="52"/>
        <v>6.5056992000000005</v>
      </c>
      <c r="G3474" s="1547"/>
      <c r="H3474" s="8"/>
      <c r="I3474" s="8"/>
      <c r="J3474" s="8"/>
      <c r="K3474" s="8"/>
      <c r="L3474" s="8"/>
      <c r="M3474" s="8"/>
      <c r="N3474" s="8"/>
      <c r="O3474" s="8"/>
      <c r="P3474" s="8"/>
      <c r="Q3474" s="8"/>
      <c r="R3474" s="8"/>
      <c r="S3474" s="8"/>
      <c r="T3474" s="8"/>
      <c r="U3474" s="8"/>
      <c r="V3474" s="8"/>
      <c r="W3474" s="8"/>
      <c r="X3474" s="771"/>
      <c r="Y3474" s="771"/>
      <c r="Z3474" s="771"/>
      <c r="AA3474" s="771"/>
      <c r="AB3474" s="771"/>
      <c r="AC3474" s="771"/>
      <c r="AD3474" s="771"/>
      <c r="AE3474" s="771"/>
      <c r="AF3474" s="771"/>
      <c r="AG3474" s="771"/>
      <c r="AH3474" s="771"/>
      <c r="AI3474" s="771"/>
      <c r="AJ3474" s="771"/>
      <c r="AK3474" s="771"/>
      <c r="AL3474" s="771"/>
      <c r="AM3474" s="771"/>
      <c r="AN3474" s="771"/>
      <c r="AO3474" s="771"/>
      <c r="AP3474" s="771"/>
      <c r="AQ3474" s="771"/>
      <c r="AR3474" s="771"/>
      <c r="AS3474" s="771"/>
      <c r="AT3474" s="771"/>
      <c r="AU3474" s="771"/>
    </row>
    <row r="3475" spans="1:47" s="15" customFormat="1" outlineLevel="1" x14ac:dyDescent="0.2">
      <c r="A3475" s="8"/>
      <c r="B3475" s="8"/>
      <c r="C3475" s="1989" t="s">
        <v>4237</v>
      </c>
      <c r="D3475" s="1989" t="s">
        <v>8458</v>
      </c>
      <c r="E3475" s="1989">
        <v>0.13</v>
      </c>
      <c r="F3475" s="1546">
        <f t="shared" si="52"/>
        <v>10.571761200000001</v>
      </c>
      <c r="G3475" s="1547"/>
      <c r="H3475" s="8"/>
      <c r="I3475" s="8"/>
      <c r="J3475" s="8"/>
      <c r="K3475" s="8"/>
      <c r="L3475" s="8"/>
      <c r="M3475" s="8"/>
      <c r="N3475" s="8"/>
      <c r="O3475" s="8"/>
      <c r="P3475" s="8"/>
      <c r="Q3475" s="8"/>
      <c r="R3475" s="8"/>
      <c r="S3475" s="8"/>
      <c r="T3475" s="8"/>
      <c r="U3475" s="8"/>
      <c r="V3475" s="8"/>
      <c r="W3475" s="8"/>
      <c r="X3475" s="771"/>
      <c r="Y3475" s="771"/>
      <c r="Z3475" s="771"/>
      <c r="AA3475" s="771"/>
      <c r="AB3475" s="771"/>
      <c r="AC3475" s="771"/>
      <c r="AD3475" s="771"/>
      <c r="AE3475" s="771"/>
      <c r="AF3475" s="771"/>
      <c r="AG3475" s="771"/>
      <c r="AH3475" s="771"/>
      <c r="AI3475" s="771"/>
      <c r="AJ3475" s="771"/>
      <c r="AK3475" s="771"/>
      <c r="AL3475" s="771"/>
      <c r="AM3475" s="771"/>
      <c r="AN3475" s="771"/>
      <c r="AO3475" s="771"/>
      <c r="AP3475" s="771"/>
      <c r="AQ3475" s="771"/>
      <c r="AR3475" s="771"/>
      <c r="AS3475" s="771"/>
      <c r="AT3475" s="771"/>
      <c r="AU3475" s="771"/>
    </row>
    <row r="3476" spans="1:47" s="15" customFormat="1" outlineLevel="1" x14ac:dyDescent="0.2">
      <c r="A3476" s="8"/>
      <c r="B3476" s="8"/>
      <c r="C3476" s="1989" t="s">
        <v>4238</v>
      </c>
      <c r="D3476" s="1989" t="s">
        <v>8459</v>
      </c>
      <c r="E3476" s="1989">
        <v>0.14000000000000001</v>
      </c>
      <c r="F3476" s="1546">
        <f t="shared" si="52"/>
        <v>11.384973600000002</v>
      </c>
      <c r="G3476" s="1547"/>
      <c r="H3476" s="8"/>
      <c r="I3476" s="8"/>
      <c r="J3476" s="8"/>
      <c r="K3476" s="8"/>
      <c r="L3476" s="8"/>
      <c r="M3476" s="8"/>
      <c r="N3476" s="8"/>
      <c r="O3476" s="8"/>
      <c r="P3476" s="8"/>
      <c r="Q3476" s="8"/>
      <c r="R3476" s="8"/>
      <c r="S3476" s="8"/>
      <c r="T3476" s="8"/>
      <c r="U3476" s="8"/>
      <c r="V3476" s="8"/>
      <c r="W3476" s="8"/>
      <c r="X3476" s="771"/>
      <c r="Y3476" s="771"/>
      <c r="Z3476" s="771"/>
      <c r="AA3476" s="771"/>
      <c r="AB3476" s="771"/>
      <c r="AC3476" s="771"/>
      <c r="AD3476" s="771"/>
      <c r="AE3476" s="771"/>
      <c r="AF3476" s="771"/>
      <c r="AG3476" s="771"/>
      <c r="AH3476" s="771"/>
      <c r="AI3476" s="771"/>
      <c r="AJ3476" s="771"/>
      <c r="AK3476" s="771"/>
      <c r="AL3476" s="771"/>
      <c r="AM3476" s="771"/>
      <c r="AN3476" s="771"/>
      <c r="AO3476" s="771"/>
      <c r="AP3476" s="771"/>
      <c r="AQ3476" s="771"/>
      <c r="AR3476" s="771"/>
      <c r="AS3476" s="771"/>
      <c r="AT3476" s="771"/>
      <c r="AU3476" s="771"/>
    </row>
    <row r="3477" spans="1:47" s="15" customFormat="1" outlineLevel="1" x14ac:dyDescent="0.2">
      <c r="A3477" s="8"/>
      <c r="B3477" s="8"/>
      <c r="C3477" s="1989" t="s">
        <v>6880</v>
      </c>
      <c r="D3477" s="1989" t="s">
        <v>8460</v>
      </c>
      <c r="E3477" s="1989">
        <v>0.08</v>
      </c>
      <c r="F3477" s="1546">
        <f t="shared" si="52"/>
        <v>6.5056992000000005</v>
      </c>
      <c r="G3477" s="1547"/>
      <c r="H3477" s="8"/>
      <c r="I3477" s="8"/>
      <c r="J3477" s="8"/>
      <c r="K3477" s="8"/>
      <c r="L3477" s="8"/>
      <c r="M3477" s="8"/>
      <c r="N3477" s="8"/>
      <c r="O3477" s="8"/>
      <c r="P3477" s="8"/>
      <c r="Q3477" s="8"/>
      <c r="R3477" s="8"/>
      <c r="S3477" s="8"/>
      <c r="T3477" s="8"/>
      <c r="U3477" s="8"/>
      <c r="V3477" s="8"/>
      <c r="W3477" s="8"/>
      <c r="X3477" s="771"/>
      <c r="Y3477" s="771"/>
      <c r="Z3477" s="771"/>
      <c r="AA3477" s="771"/>
      <c r="AB3477" s="771"/>
      <c r="AC3477" s="771"/>
      <c r="AD3477" s="771"/>
      <c r="AE3477" s="771"/>
      <c r="AF3477" s="771"/>
      <c r="AG3477" s="771"/>
      <c r="AH3477" s="771"/>
      <c r="AI3477" s="771"/>
      <c r="AJ3477" s="771"/>
      <c r="AK3477" s="771"/>
      <c r="AL3477" s="771"/>
      <c r="AM3477" s="771"/>
      <c r="AN3477" s="771"/>
      <c r="AO3477" s="771"/>
      <c r="AP3477" s="771"/>
      <c r="AQ3477" s="771"/>
      <c r="AR3477" s="771"/>
      <c r="AS3477" s="771"/>
      <c r="AT3477" s="771"/>
      <c r="AU3477" s="771"/>
    </row>
    <row r="3478" spans="1:47" s="15" customFormat="1" outlineLevel="1" x14ac:dyDescent="0.2">
      <c r="A3478" s="8"/>
      <c r="B3478" s="8"/>
      <c r="C3478" s="1989" t="s">
        <v>4239</v>
      </c>
      <c r="D3478" s="1989" t="s">
        <v>4240</v>
      </c>
      <c r="E3478" s="1989">
        <v>0.44</v>
      </c>
      <c r="F3478" s="1546">
        <f t="shared" si="52"/>
        <v>35.781345600000002</v>
      </c>
      <c r="G3478" s="1547"/>
      <c r="H3478" s="8"/>
      <c r="I3478" s="8"/>
      <c r="J3478" s="8"/>
      <c r="K3478" s="8"/>
      <c r="L3478" s="8"/>
      <c r="M3478" s="8"/>
      <c r="N3478" s="8"/>
      <c r="O3478" s="8"/>
      <c r="P3478" s="8"/>
      <c r="Q3478" s="8"/>
      <c r="R3478" s="8"/>
      <c r="S3478" s="8"/>
      <c r="T3478" s="8"/>
      <c r="U3478" s="8"/>
      <c r="V3478" s="8"/>
      <c r="W3478" s="8"/>
      <c r="X3478" s="771"/>
      <c r="Y3478" s="771"/>
      <c r="Z3478" s="771"/>
      <c r="AA3478" s="771"/>
      <c r="AB3478" s="771"/>
      <c r="AC3478" s="771"/>
      <c r="AD3478" s="771"/>
      <c r="AE3478" s="771"/>
      <c r="AF3478" s="771"/>
      <c r="AG3478" s="771"/>
      <c r="AH3478" s="771"/>
      <c r="AI3478" s="771"/>
      <c r="AJ3478" s="771"/>
      <c r="AK3478" s="771"/>
      <c r="AL3478" s="771"/>
      <c r="AM3478" s="771"/>
      <c r="AN3478" s="771"/>
      <c r="AO3478" s="771"/>
      <c r="AP3478" s="771"/>
      <c r="AQ3478" s="771"/>
      <c r="AR3478" s="771"/>
      <c r="AS3478" s="771"/>
      <c r="AT3478" s="771"/>
      <c r="AU3478" s="771"/>
    </row>
    <row r="3479" spans="1:47" s="15" customFormat="1" outlineLevel="1" x14ac:dyDescent="0.2">
      <c r="A3479" s="8"/>
      <c r="B3479" s="8"/>
      <c r="C3479" s="1989" t="s">
        <v>6881</v>
      </c>
      <c r="D3479" s="1989" t="s">
        <v>8461</v>
      </c>
      <c r="E3479" s="1989">
        <v>19.940000000000001</v>
      </c>
      <c r="F3479" s="1546">
        <f t="shared" si="52"/>
        <v>1621.5455256000002</v>
      </c>
      <c r="G3479" s="1547"/>
      <c r="H3479" s="8"/>
      <c r="I3479" s="8"/>
      <c r="J3479" s="8"/>
      <c r="K3479" s="8"/>
      <c r="L3479" s="8"/>
      <c r="M3479" s="8"/>
      <c r="N3479" s="8"/>
      <c r="O3479" s="8"/>
      <c r="P3479" s="8"/>
      <c r="Q3479" s="8"/>
      <c r="R3479" s="8"/>
      <c r="S3479" s="8"/>
      <c r="T3479" s="8"/>
      <c r="U3479" s="8"/>
      <c r="V3479" s="8"/>
      <c r="W3479" s="8"/>
      <c r="X3479" s="771"/>
      <c r="Y3479" s="771"/>
      <c r="Z3479" s="771"/>
      <c r="AA3479" s="771"/>
      <c r="AB3479" s="771"/>
      <c r="AC3479" s="771"/>
      <c r="AD3479" s="771"/>
      <c r="AE3479" s="771"/>
      <c r="AF3479" s="771"/>
      <c r="AG3479" s="771"/>
      <c r="AH3479" s="771"/>
      <c r="AI3479" s="771"/>
      <c r="AJ3479" s="771"/>
      <c r="AK3479" s="771"/>
      <c r="AL3479" s="771"/>
      <c r="AM3479" s="771"/>
      <c r="AN3479" s="771"/>
      <c r="AO3479" s="771"/>
      <c r="AP3479" s="771"/>
      <c r="AQ3479" s="771"/>
      <c r="AR3479" s="771"/>
      <c r="AS3479" s="771"/>
      <c r="AT3479" s="771"/>
      <c r="AU3479" s="771"/>
    </row>
    <row r="3480" spans="1:47" s="15" customFormat="1" outlineLevel="1" x14ac:dyDescent="0.2">
      <c r="A3480" s="8"/>
      <c r="B3480" s="8"/>
      <c r="C3480" s="1989" t="s">
        <v>4935</v>
      </c>
      <c r="D3480" s="1989" t="s">
        <v>8462</v>
      </c>
      <c r="E3480" s="1989">
        <v>0.76</v>
      </c>
      <c r="F3480" s="1546">
        <f t="shared" si="52"/>
        <v>61.804142399999996</v>
      </c>
      <c r="G3480" s="1547"/>
      <c r="H3480" s="8"/>
      <c r="I3480" s="8"/>
      <c r="J3480" s="8"/>
      <c r="K3480" s="8"/>
      <c r="L3480" s="8"/>
      <c r="M3480" s="8"/>
      <c r="N3480" s="8"/>
      <c r="O3480" s="8"/>
      <c r="P3480" s="8"/>
      <c r="Q3480" s="8"/>
      <c r="R3480" s="8"/>
      <c r="S3480" s="8"/>
      <c r="T3480" s="8"/>
      <c r="U3480" s="8"/>
      <c r="V3480" s="8"/>
      <c r="W3480" s="8"/>
      <c r="X3480" s="771"/>
      <c r="Y3480" s="771"/>
      <c r="Z3480" s="771"/>
      <c r="AA3480" s="771"/>
      <c r="AB3480" s="771"/>
      <c r="AC3480" s="771"/>
      <c r="AD3480" s="771"/>
      <c r="AE3480" s="771"/>
      <c r="AF3480" s="771"/>
      <c r="AG3480" s="771"/>
      <c r="AH3480" s="771"/>
      <c r="AI3480" s="771"/>
      <c r="AJ3480" s="771"/>
      <c r="AK3480" s="771"/>
      <c r="AL3480" s="771"/>
      <c r="AM3480" s="771"/>
      <c r="AN3480" s="771"/>
      <c r="AO3480" s="771"/>
      <c r="AP3480" s="771"/>
      <c r="AQ3480" s="771"/>
      <c r="AR3480" s="771"/>
      <c r="AS3480" s="771"/>
      <c r="AT3480" s="771"/>
      <c r="AU3480" s="771"/>
    </row>
    <row r="3481" spans="1:47" s="15" customFormat="1" outlineLevel="1" x14ac:dyDescent="0.2">
      <c r="A3481" s="8"/>
      <c r="B3481" s="8"/>
      <c r="C3481" s="1989" t="s">
        <v>6882</v>
      </c>
      <c r="D3481" s="1989" t="s">
        <v>8463</v>
      </c>
      <c r="E3481" s="1989">
        <v>0</v>
      </c>
      <c r="F3481" s="1546">
        <f t="shared" si="52"/>
        <v>0</v>
      </c>
      <c r="G3481" s="1547"/>
      <c r="H3481" s="8"/>
      <c r="I3481" s="8"/>
      <c r="J3481" s="8"/>
      <c r="K3481" s="8"/>
      <c r="L3481" s="8"/>
      <c r="M3481" s="8"/>
      <c r="N3481" s="8"/>
      <c r="O3481" s="8"/>
      <c r="P3481" s="8"/>
      <c r="Q3481" s="8"/>
      <c r="R3481" s="8"/>
      <c r="S3481" s="8"/>
      <c r="T3481" s="8"/>
      <c r="U3481" s="8"/>
      <c r="V3481" s="8"/>
      <c r="W3481" s="8"/>
      <c r="X3481" s="771"/>
      <c r="Y3481" s="771"/>
      <c r="Z3481" s="771"/>
      <c r="AA3481" s="771"/>
      <c r="AB3481" s="771"/>
      <c r="AC3481" s="771"/>
      <c r="AD3481" s="771"/>
      <c r="AE3481" s="771"/>
      <c r="AF3481" s="771"/>
      <c r="AG3481" s="771"/>
      <c r="AH3481" s="771"/>
      <c r="AI3481" s="771"/>
      <c r="AJ3481" s="771"/>
      <c r="AK3481" s="771"/>
      <c r="AL3481" s="771"/>
      <c r="AM3481" s="771"/>
      <c r="AN3481" s="771"/>
      <c r="AO3481" s="771"/>
      <c r="AP3481" s="771"/>
      <c r="AQ3481" s="771"/>
      <c r="AR3481" s="771"/>
      <c r="AS3481" s="771"/>
      <c r="AT3481" s="771"/>
      <c r="AU3481" s="771"/>
    </row>
    <row r="3482" spans="1:47" s="15" customFormat="1" outlineLevel="1" x14ac:dyDescent="0.2">
      <c r="A3482" s="8"/>
      <c r="B3482" s="8"/>
      <c r="C3482" s="1989" t="s">
        <v>4241</v>
      </c>
      <c r="D3482" s="1989" t="s">
        <v>8464</v>
      </c>
      <c r="E3482" s="1989">
        <v>0.5</v>
      </c>
      <c r="F3482" s="1546">
        <f t="shared" si="52"/>
        <v>40.660620000000002</v>
      </c>
      <c r="G3482" s="1547"/>
      <c r="H3482" s="8"/>
      <c r="I3482" s="8"/>
      <c r="J3482" s="8"/>
      <c r="K3482" s="8"/>
      <c r="L3482" s="8"/>
      <c r="M3482" s="8"/>
      <c r="N3482" s="8"/>
      <c r="O3482" s="8"/>
      <c r="P3482" s="8"/>
      <c r="Q3482" s="8"/>
      <c r="R3482" s="8"/>
      <c r="S3482" s="8"/>
      <c r="T3482" s="8"/>
      <c r="U3482" s="8"/>
      <c r="V3482" s="8"/>
      <c r="W3482" s="8"/>
      <c r="X3482" s="771"/>
      <c r="Y3482" s="771"/>
      <c r="Z3482" s="771"/>
      <c r="AA3482" s="771"/>
      <c r="AB3482" s="771"/>
      <c r="AC3482" s="771"/>
      <c r="AD3482" s="771"/>
      <c r="AE3482" s="771"/>
      <c r="AF3482" s="771"/>
      <c r="AG3482" s="771"/>
      <c r="AH3482" s="771"/>
      <c r="AI3482" s="771"/>
      <c r="AJ3482" s="771"/>
      <c r="AK3482" s="771"/>
      <c r="AL3482" s="771"/>
      <c r="AM3482" s="771"/>
      <c r="AN3482" s="771"/>
      <c r="AO3482" s="771"/>
      <c r="AP3482" s="771"/>
      <c r="AQ3482" s="771"/>
      <c r="AR3482" s="771"/>
      <c r="AS3482" s="771"/>
      <c r="AT3482" s="771"/>
      <c r="AU3482" s="771"/>
    </row>
    <row r="3483" spans="1:47" s="15" customFormat="1" outlineLevel="1" x14ac:dyDescent="0.2">
      <c r="A3483" s="8"/>
      <c r="B3483" s="8"/>
      <c r="C3483" s="1989" t="s">
        <v>6883</v>
      </c>
      <c r="D3483" s="1989" t="s">
        <v>8465</v>
      </c>
      <c r="E3483" s="1989">
        <v>0</v>
      </c>
      <c r="F3483" s="1546">
        <f t="shared" si="52"/>
        <v>0</v>
      </c>
      <c r="G3483" s="1547"/>
      <c r="H3483" s="8"/>
      <c r="I3483" s="8"/>
      <c r="J3483" s="8"/>
      <c r="K3483" s="8"/>
      <c r="L3483" s="8"/>
      <c r="M3483" s="8"/>
      <c r="N3483" s="8"/>
      <c r="O3483" s="8"/>
      <c r="P3483" s="8"/>
      <c r="Q3483" s="8"/>
      <c r="R3483" s="8"/>
      <c r="S3483" s="8"/>
      <c r="T3483" s="8"/>
      <c r="U3483" s="8"/>
      <c r="V3483" s="8"/>
      <c r="W3483" s="8"/>
      <c r="X3483" s="771"/>
      <c r="Y3483" s="771"/>
      <c r="Z3483" s="771"/>
      <c r="AA3483" s="771"/>
      <c r="AB3483" s="771"/>
      <c r="AC3483" s="771"/>
      <c r="AD3483" s="771"/>
      <c r="AE3483" s="771"/>
      <c r="AF3483" s="771"/>
      <c r="AG3483" s="771"/>
      <c r="AH3483" s="771"/>
      <c r="AI3483" s="771"/>
      <c r="AJ3483" s="771"/>
      <c r="AK3483" s="771"/>
      <c r="AL3483" s="771"/>
      <c r="AM3483" s="771"/>
      <c r="AN3483" s="771"/>
      <c r="AO3483" s="771"/>
      <c r="AP3483" s="771"/>
      <c r="AQ3483" s="771"/>
      <c r="AR3483" s="771"/>
      <c r="AS3483" s="771"/>
      <c r="AT3483" s="771"/>
      <c r="AU3483" s="771"/>
    </row>
    <row r="3484" spans="1:47" s="15" customFormat="1" outlineLevel="1" x14ac:dyDescent="0.2">
      <c r="A3484" s="8"/>
      <c r="B3484" s="8"/>
      <c r="C3484" s="1989" t="s">
        <v>4936</v>
      </c>
      <c r="D3484" s="1989" t="s">
        <v>8466</v>
      </c>
      <c r="E3484" s="1989">
        <v>1.79</v>
      </c>
      <c r="F3484" s="1546">
        <f t="shared" si="52"/>
        <v>145.56501960000003</v>
      </c>
      <c r="G3484" s="1547"/>
      <c r="H3484" s="8"/>
      <c r="I3484" s="8"/>
      <c r="J3484" s="8"/>
      <c r="K3484" s="8"/>
      <c r="L3484" s="8"/>
      <c r="M3484" s="8"/>
      <c r="N3484" s="8"/>
      <c r="O3484" s="8"/>
      <c r="P3484" s="8"/>
      <c r="Q3484" s="8"/>
      <c r="R3484" s="8"/>
      <c r="S3484" s="8"/>
      <c r="T3484" s="8"/>
      <c r="U3484" s="8"/>
      <c r="V3484" s="8"/>
      <c r="W3484" s="8"/>
      <c r="X3484" s="771"/>
      <c r="Y3484" s="771"/>
      <c r="Z3484" s="771"/>
      <c r="AA3484" s="771"/>
      <c r="AB3484" s="771"/>
      <c r="AC3484" s="771"/>
      <c r="AD3484" s="771"/>
      <c r="AE3484" s="771"/>
      <c r="AF3484" s="771"/>
      <c r="AG3484" s="771"/>
      <c r="AH3484" s="771"/>
      <c r="AI3484" s="771"/>
      <c r="AJ3484" s="771"/>
      <c r="AK3484" s="771"/>
      <c r="AL3484" s="771"/>
      <c r="AM3484" s="771"/>
      <c r="AN3484" s="771"/>
      <c r="AO3484" s="771"/>
      <c r="AP3484" s="771"/>
      <c r="AQ3484" s="771"/>
      <c r="AR3484" s="771"/>
      <c r="AS3484" s="771"/>
      <c r="AT3484" s="771"/>
      <c r="AU3484" s="771"/>
    </row>
    <row r="3485" spans="1:47" s="15" customFormat="1" outlineLevel="1" x14ac:dyDescent="0.2">
      <c r="A3485" s="8"/>
      <c r="B3485" s="8"/>
      <c r="C3485" s="1989" t="s">
        <v>2646</v>
      </c>
      <c r="D3485" s="1989" t="s">
        <v>8467</v>
      </c>
      <c r="E3485" s="1989">
        <v>0</v>
      </c>
      <c r="F3485" s="1546">
        <f t="shared" si="52"/>
        <v>0</v>
      </c>
      <c r="G3485" s="1547"/>
      <c r="H3485" s="8"/>
      <c r="I3485" s="8"/>
      <c r="J3485" s="8"/>
      <c r="K3485" s="8"/>
      <c r="L3485" s="8"/>
      <c r="M3485" s="8"/>
      <c r="N3485" s="8"/>
      <c r="O3485" s="8"/>
      <c r="P3485" s="8"/>
      <c r="Q3485" s="8"/>
      <c r="R3485" s="8"/>
      <c r="S3485" s="8"/>
      <c r="T3485" s="8"/>
      <c r="U3485" s="8"/>
      <c r="V3485" s="8"/>
      <c r="W3485" s="8"/>
      <c r="X3485" s="771"/>
      <c r="Y3485" s="771"/>
      <c r="Z3485" s="771"/>
      <c r="AA3485" s="771"/>
      <c r="AB3485" s="771"/>
      <c r="AC3485" s="771"/>
      <c r="AD3485" s="771"/>
      <c r="AE3485" s="771"/>
      <c r="AF3485" s="771"/>
      <c r="AG3485" s="771"/>
      <c r="AH3485" s="771"/>
      <c r="AI3485" s="771"/>
      <c r="AJ3485" s="771"/>
      <c r="AK3485" s="771"/>
      <c r="AL3485" s="771"/>
      <c r="AM3485" s="771"/>
      <c r="AN3485" s="771"/>
      <c r="AO3485" s="771"/>
      <c r="AP3485" s="771"/>
      <c r="AQ3485" s="771"/>
      <c r="AR3485" s="771"/>
      <c r="AS3485" s="771"/>
      <c r="AT3485" s="771"/>
      <c r="AU3485" s="771"/>
    </row>
    <row r="3486" spans="1:47" s="15" customFormat="1" outlineLevel="1" x14ac:dyDescent="0.2">
      <c r="A3486" s="8"/>
      <c r="B3486" s="8"/>
      <c r="C3486" s="1989" t="s">
        <v>4242</v>
      </c>
      <c r="D3486" s="1989" t="s">
        <v>4243</v>
      </c>
      <c r="E3486" s="1989">
        <v>1.49</v>
      </c>
      <c r="F3486" s="1546">
        <f t="shared" si="52"/>
        <v>121.16864760000001</v>
      </c>
      <c r="G3486" s="1547"/>
      <c r="H3486" s="8"/>
      <c r="I3486" s="8"/>
      <c r="J3486" s="8"/>
      <c r="K3486" s="8"/>
      <c r="L3486" s="8"/>
      <c r="M3486" s="8"/>
      <c r="N3486" s="8"/>
      <c r="O3486" s="8"/>
      <c r="P3486" s="8"/>
      <c r="Q3486" s="8"/>
      <c r="R3486" s="8"/>
      <c r="S3486" s="8"/>
      <c r="T3486" s="8"/>
      <c r="U3486" s="8"/>
      <c r="V3486" s="8"/>
      <c r="W3486" s="8"/>
      <c r="X3486" s="771"/>
      <c r="Y3486" s="771"/>
      <c r="Z3486" s="771"/>
      <c r="AA3486" s="771"/>
      <c r="AB3486" s="771"/>
      <c r="AC3486" s="771"/>
      <c r="AD3486" s="771"/>
      <c r="AE3486" s="771"/>
      <c r="AF3486" s="771"/>
      <c r="AG3486" s="771"/>
      <c r="AH3486" s="771"/>
      <c r="AI3486" s="771"/>
      <c r="AJ3486" s="771"/>
      <c r="AK3486" s="771"/>
      <c r="AL3486" s="771"/>
      <c r="AM3486" s="771"/>
      <c r="AN3486" s="771"/>
      <c r="AO3486" s="771"/>
      <c r="AP3486" s="771"/>
      <c r="AQ3486" s="771"/>
      <c r="AR3486" s="771"/>
      <c r="AS3486" s="771"/>
      <c r="AT3486" s="771"/>
      <c r="AU3486" s="771"/>
    </row>
    <row r="3487" spans="1:47" s="15" customFormat="1" outlineLevel="1" x14ac:dyDescent="0.2">
      <c r="A3487" s="8"/>
      <c r="B3487" s="8"/>
      <c r="C3487" s="1989" t="s">
        <v>4937</v>
      </c>
      <c r="D3487" s="1989" t="s">
        <v>8468</v>
      </c>
      <c r="E3487" s="1989">
        <v>3.71</v>
      </c>
      <c r="F3487" s="1546">
        <f t="shared" si="52"/>
        <v>301.70180040000002</v>
      </c>
      <c r="G3487" s="1547"/>
      <c r="H3487" s="8"/>
      <c r="I3487" s="8"/>
      <c r="J3487" s="8"/>
      <c r="K3487" s="8"/>
      <c r="L3487" s="8"/>
      <c r="M3487" s="8"/>
      <c r="N3487" s="8"/>
      <c r="O3487" s="8"/>
      <c r="P3487" s="8"/>
      <c r="Q3487" s="8"/>
      <c r="R3487" s="8"/>
      <c r="S3487" s="8"/>
      <c r="T3487" s="8"/>
      <c r="U3487" s="8"/>
      <c r="V3487" s="8"/>
      <c r="W3487" s="8"/>
      <c r="X3487" s="771"/>
      <c r="Y3487" s="771"/>
      <c r="Z3487" s="771"/>
      <c r="AA3487" s="771"/>
      <c r="AB3487" s="771"/>
      <c r="AC3487" s="771"/>
      <c r="AD3487" s="771"/>
      <c r="AE3487" s="771"/>
      <c r="AF3487" s="771"/>
      <c r="AG3487" s="771"/>
      <c r="AH3487" s="771"/>
      <c r="AI3487" s="771"/>
      <c r="AJ3487" s="771"/>
      <c r="AK3487" s="771"/>
      <c r="AL3487" s="771"/>
      <c r="AM3487" s="771"/>
      <c r="AN3487" s="771"/>
      <c r="AO3487" s="771"/>
      <c r="AP3487" s="771"/>
      <c r="AQ3487" s="771"/>
      <c r="AR3487" s="771"/>
      <c r="AS3487" s="771"/>
      <c r="AT3487" s="771"/>
      <c r="AU3487" s="771"/>
    </row>
    <row r="3488" spans="1:47" s="15" customFormat="1" outlineLevel="1" x14ac:dyDescent="0.2">
      <c r="A3488" s="8"/>
      <c r="B3488" s="8"/>
      <c r="C3488" s="1989" t="s">
        <v>6884</v>
      </c>
      <c r="D3488" s="1989" t="s">
        <v>8469</v>
      </c>
      <c r="E3488" s="1989">
        <v>7.56</v>
      </c>
      <c r="F3488" s="1546">
        <f t="shared" si="52"/>
        <v>614.78857440000002</v>
      </c>
      <c r="G3488" s="1547"/>
      <c r="H3488" s="8"/>
      <c r="I3488" s="8"/>
      <c r="J3488" s="8"/>
      <c r="K3488" s="8"/>
      <c r="L3488" s="8"/>
      <c r="M3488" s="8"/>
      <c r="N3488" s="8"/>
      <c r="O3488" s="8"/>
      <c r="P3488" s="8"/>
      <c r="Q3488" s="8"/>
      <c r="R3488" s="8"/>
      <c r="S3488" s="8"/>
      <c r="T3488" s="8"/>
      <c r="U3488" s="8"/>
      <c r="V3488" s="8"/>
      <c r="W3488" s="8"/>
      <c r="X3488" s="771"/>
      <c r="Y3488" s="771"/>
      <c r="Z3488" s="771"/>
      <c r="AA3488" s="771"/>
      <c r="AB3488" s="771"/>
      <c r="AC3488" s="771"/>
      <c r="AD3488" s="771"/>
      <c r="AE3488" s="771"/>
      <c r="AF3488" s="771"/>
      <c r="AG3488" s="771"/>
      <c r="AH3488" s="771"/>
      <c r="AI3488" s="771"/>
      <c r="AJ3488" s="771"/>
      <c r="AK3488" s="771"/>
      <c r="AL3488" s="771"/>
      <c r="AM3488" s="771"/>
      <c r="AN3488" s="771"/>
      <c r="AO3488" s="771"/>
      <c r="AP3488" s="771"/>
      <c r="AQ3488" s="771"/>
      <c r="AR3488" s="771"/>
      <c r="AS3488" s="771"/>
      <c r="AT3488" s="771"/>
      <c r="AU3488" s="771"/>
    </row>
    <row r="3489" spans="1:47" s="15" customFormat="1" outlineLevel="1" x14ac:dyDescent="0.2">
      <c r="A3489" s="8"/>
      <c r="B3489" s="8"/>
      <c r="C3489" s="1989" t="s">
        <v>4244</v>
      </c>
      <c r="D3489" s="1989" t="s">
        <v>4245</v>
      </c>
      <c r="E3489" s="1989">
        <v>0.4</v>
      </c>
      <c r="F3489" s="1546">
        <f t="shared" si="52"/>
        <v>32.528496000000004</v>
      </c>
      <c r="G3489" s="1547"/>
      <c r="H3489" s="8"/>
      <c r="I3489" s="8"/>
      <c r="J3489" s="8"/>
      <c r="K3489" s="8"/>
      <c r="L3489" s="8"/>
      <c r="M3489" s="8"/>
      <c r="N3489" s="8"/>
      <c r="O3489" s="8"/>
      <c r="P3489" s="8"/>
      <c r="Q3489" s="8"/>
      <c r="R3489" s="8"/>
      <c r="S3489" s="8"/>
      <c r="T3489" s="8"/>
      <c r="U3489" s="8"/>
      <c r="V3489" s="8"/>
      <c r="W3489" s="8"/>
      <c r="X3489" s="771"/>
      <c r="Y3489" s="771"/>
      <c r="Z3489" s="771"/>
      <c r="AA3489" s="771"/>
      <c r="AB3489" s="771"/>
      <c r="AC3489" s="771"/>
      <c r="AD3489" s="771"/>
      <c r="AE3489" s="771"/>
      <c r="AF3489" s="771"/>
      <c r="AG3489" s="771"/>
      <c r="AH3489" s="771"/>
      <c r="AI3489" s="771"/>
      <c r="AJ3489" s="771"/>
      <c r="AK3489" s="771"/>
      <c r="AL3489" s="771"/>
      <c r="AM3489" s="771"/>
      <c r="AN3489" s="771"/>
      <c r="AO3489" s="771"/>
      <c r="AP3489" s="771"/>
      <c r="AQ3489" s="771"/>
      <c r="AR3489" s="771"/>
      <c r="AS3489" s="771"/>
      <c r="AT3489" s="771"/>
      <c r="AU3489" s="771"/>
    </row>
    <row r="3490" spans="1:47" s="15" customFormat="1" outlineLevel="1" x14ac:dyDescent="0.2">
      <c r="A3490" s="8"/>
      <c r="B3490" s="8"/>
      <c r="C3490" s="1989" t="s">
        <v>4938</v>
      </c>
      <c r="D3490" s="1989" t="s">
        <v>8470</v>
      </c>
      <c r="E3490" s="1989">
        <v>3.55</v>
      </c>
      <c r="F3490" s="1546">
        <f t="shared" si="52"/>
        <v>288.69040200000001</v>
      </c>
      <c r="G3490" s="1547"/>
      <c r="H3490" s="8"/>
      <c r="I3490" s="8"/>
      <c r="J3490" s="8"/>
      <c r="K3490" s="8"/>
      <c r="L3490" s="8"/>
      <c r="M3490" s="8"/>
      <c r="N3490" s="8"/>
      <c r="O3490" s="8"/>
      <c r="P3490" s="8"/>
      <c r="Q3490" s="8"/>
      <c r="R3490" s="8"/>
      <c r="S3490" s="8"/>
      <c r="T3490" s="8"/>
      <c r="U3490" s="8"/>
      <c r="V3490" s="8"/>
      <c r="W3490" s="8"/>
      <c r="X3490" s="771"/>
      <c r="Y3490" s="771"/>
      <c r="Z3490" s="771"/>
      <c r="AA3490" s="771"/>
      <c r="AB3490" s="771"/>
      <c r="AC3490" s="771"/>
      <c r="AD3490" s="771"/>
      <c r="AE3490" s="771"/>
      <c r="AF3490" s="771"/>
      <c r="AG3490" s="771"/>
      <c r="AH3490" s="771"/>
      <c r="AI3490" s="771"/>
      <c r="AJ3490" s="771"/>
      <c r="AK3490" s="771"/>
      <c r="AL3490" s="771"/>
      <c r="AM3490" s="771"/>
      <c r="AN3490" s="771"/>
      <c r="AO3490" s="771"/>
      <c r="AP3490" s="771"/>
      <c r="AQ3490" s="771"/>
      <c r="AR3490" s="771"/>
      <c r="AS3490" s="771"/>
      <c r="AT3490" s="771"/>
      <c r="AU3490" s="771"/>
    </row>
    <row r="3491" spans="1:47" s="15" customFormat="1" outlineLevel="1" x14ac:dyDescent="0.2">
      <c r="A3491" s="8"/>
      <c r="B3491" s="8"/>
      <c r="C3491" s="1989" t="s">
        <v>6885</v>
      </c>
      <c r="D3491" s="1989" t="s">
        <v>8471</v>
      </c>
      <c r="E3491" s="1989">
        <v>0.54</v>
      </c>
      <c r="F3491" s="1546">
        <f t="shared" si="52"/>
        <v>43.913469600000006</v>
      </c>
      <c r="G3491" s="1547"/>
      <c r="H3491" s="8"/>
      <c r="I3491" s="8"/>
      <c r="J3491" s="8"/>
      <c r="K3491" s="8"/>
      <c r="L3491" s="8"/>
      <c r="M3491" s="8"/>
      <c r="N3491" s="8"/>
      <c r="O3491" s="8"/>
      <c r="P3491" s="8"/>
      <c r="Q3491" s="8"/>
      <c r="R3491" s="8"/>
      <c r="S3491" s="8"/>
      <c r="T3491" s="8"/>
      <c r="U3491" s="8"/>
      <c r="V3491" s="8"/>
      <c r="W3491" s="8"/>
      <c r="X3491" s="771"/>
      <c r="Y3491" s="771"/>
      <c r="Z3491" s="771"/>
      <c r="AA3491" s="771"/>
      <c r="AB3491" s="771"/>
      <c r="AC3491" s="771"/>
      <c r="AD3491" s="771"/>
      <c r="AE3491" s="771"/>
      <c r="AF3491" s="771"/>
      <c r="AG3491" s="771"/>
      <c r="AH3491" s="771"/>
      <c r="AI3491" s="771"/>
      <c r="AJ3491" s="771"/>
      <c r="AK3491" s="771"/>
      <c r="AL3491" s="771"/>
      <c r="AM3491" s="771"/>
      <c r="AN3491" s="771"/>
      <c r="AO3491" s="771"/>
      <c r="AP3491" s="771"/>
      <c r="AQ3491" s="771"/>
      <c r="AR3491" s="771"/>
      <c r="AS3491" s="771"/>
      <c r="AT3491" s="771"/>
      <c r="AU3491" s="771"/>
    </row>
    <row r="3492" spans="1:47" s="15" customFormat="1" outlineLevel="1" x14ac:dyDescent="0.2">
      <c r="A3492" s="8"/>
      <c r="B3492" s="8"/>
      <c r="C3492" s="1989" t="s">
        <v>4939</v>
      </c>
      <c r="D3492" s="1989" t="s">
        <v>6585</v>
      </c>
      <c r="E3492" s="1989">
        <v>38.79</v>
      </c>
      <c r="F3492" s="1546">
        <f t="shared" si="52"/>
        <v>3154.4508996</v>
      </c>
      <c r="G3492" s="1547"/>
      <c r="H3492" s="8"/>
      <c r="I3492" s="8"/>
      <c r="J3492" s="8"/>
      <c r="K3492" s="8"/>
      <c r="L3492" s="8"/>
      <c r="M3492" s="8"/>
      <c r="N3492" s="8"/>
      <c r="O3492" s="8"/>
      <c r="P3492" s="8"/>
      <c r="Q3492" s="8"/>
      <c r="R3492" s="8"/>
      <c r="S3492" s="8"/>
      <c r="T3492" s="8"/>
      <c r="U3492" s="8"/>
      <c r="V3492" s="8"/>
      <c r="W3492" s="8"/>
      <c r="X3492" s="771"/>
      <c r="Y3492" s="771"/>
      <c r="Z3492" s="771"/>
      <c r="AA3492" s="771"/>
      <c r="AB3492" s="771"/>
      <c r="AC3492" s="771"/>
      <c r="AD3492" s="771"/>
      <c r="AE3492" s="771"/>
      <c r="AF3492" s="771"/>
      <c r="AG3492" s="771"/>
      <c r="AH3492" s="771"/>
      <c r="AI3492" s="771"/>
      <c r="AJ3492" s="771"/>
      <c r="AK3492" s="771"/>
      <c r="AL3492" s="771"/>
      <c r="AM3492" s="771"/>
      <c r="AN3492" s="771"/>
      <c r="AO3492" s="771"/>
      <c r="AP3492" s="771"/>
      <c r="AQ3492" s="771"/>
      <c r="AR3492" s="771"/>
      <c r="AS3492" s="771"/>
      <c r="AT3492" s="771"/>
      <c r="AU3492" s="771"/>
    </row>
    <row r="3493" spans="1:47" s="15" customFormat="1" outlineLevel="1" x14ac:dyDescent="0.2">
      <c r="A3493" s="8"/>
      <c r="B3493" s="8"/>
      <c r="C3493" s="1989" t="s">
        <v>4940</v>
      </c>
      <c r="D3493" s="1989" t="s">
        <v>4941</v>
      </c>
      <c r="E3493" s="1989">
        <v>2.0099999999999998</v>
      </c>
      <c r="F3493" s="1546">
        <f t="shared" si="52"/>
        <v>163.45569239999998</v>
      </c>
      <c r="G3493" s="1547"/>
      <c r="H3493" s="8"/>
      <c r="I3493" s="8"/>
      <c r="J3493" s="8"/>
      <c r="K3493" s="8"/>
      <c r="L3493" s="8"/>
      <c r="M3493" s="8"/>
      <c r="N3493" s="8"/>
      <c r="O3493" s="8"/>
      <c r="P3493" s="8"/>
      <c r="Q3493" s="8"/>
      <c r="R3493" s="8"/>
      <c r="S3493" s="8"/>
      <c r="T3493" s="8"/>
      <c r="U3493" s="8"/>
      <c r="V3493" s="8"/>
      <c r="W3493" s="8"/>
      <c r="X3493" s="771"/>
      <c r="Y3493" s="771"/>
      <c r="Z3493" s="771"/>
      <c r="AA3493" s="771"/>
      <c r="AB3493" s="771"/>
      <c r="AC3493" s="771"/>
      <c r="AD3493" s="771"/>
      <c r="AE3493" s="771"/>
      <c r="AF3493" s="771"/>
      <c r="AG3493" s="771"/>
      <c r="AH3493" s="771"/>
      <c r="AI3493" s="771"/>
      <c r="AJ3493" s="771"/>
      <c r="AK3493" s="771"/>
      <c r="AL3493" s="771"/>
      <c r="AM3493" s="771"/>
      <c r="AN3493" s="771"/>
      <c r="AO3493" s="771"/>
      <c r="AP3493" s="771"/>
      <c r="AQ3493" s="771"/>
      <c r="AR3493" s="771"/>
      <c r="AS3493" s="771"/>
      <c r="AT3493" s="771"/>
      <c r="AU3493" s="771"/>
    </row>
    <row r="3494" spans="1:47" s="15" customFormat="1" outlineLevel="1" x14ac:dyDescent="0.2">
      <c r="A3494" s="8"/>
      <c r="B3494" s="8"/>
      <c r="C3494" s="1989" t="s">
        <v>4246</v>
      </c>
      <c r="D3494" s="1989" t="s">
        <v>8472</v>
      </c>
      <c r="E3494" s="1989">
        <v>0.33</v>
      </c>
      <c r="F3494" s="1546">
        <f t="shared" si="52"/>
        <v>26.836009200000003</v>
      </c>
      <c r="G3494" s="1547"/>
      <c r="H3494" s="8"/>
      <c r="I3494" s="8"/>
      <c r="J3494" s="8"/>
      <c r="K3494" s="8"/>
      <c r="L3494" s="8"/>
      <c r="M3494" s="8"/>
      <c r="N3494" s="8"/>
      <c r="O3494" s="8"/>
      <c r="P3494" s="8"/>
      <c r="Q3494" s="8"/>
      <c r="R3494" s="8"/>
      <c r="S3494" s="8"/>
      <c r="T3494" s="8"/>
      <c r="U3494" s="8"/>
      <c r="V3494" s="8"/>
      <c r="W3494" s="8"/>
      <c r="X3494" s="771"/>
      <c r="Y3494" s="771"/>
      <c r="Z3494" s="771"/>
      <c r="AA3494" s="771"/>
      <c r="AB3494" s="771"/>
      <c r="AC3494" s="771"/>
      <c r="AD3494" s="771"/>
      <c r="AE3494" s="771"/>
      <c r="AF3494" s="771"/>
      <c r="AG3494" s="771"/>
      <c r="AH3494" s="771"/>
      <c r="AI3494" s="771"/>
      <c r="AJ3494" s="771"/>
      <c r="AK3494" s="771"/>
      <c r="AL3494" s="771"/>
      <c r="AM3494" s="771"/>
      <c r="AN3494" s="771"/>
      <c r="AO3494" s="771"/>
      <c r="AP3494" s="771"/>
      <c r="AQ3494" s="771"/>
      <c r="AR3494" s="771"/>
      <c r="AS3494" s="771"/>
      <c r="AT3494" s="771"/>
      <c r="AU3494" s="771"/>
    </row>
    <row r="3495" spans="1:47" s="15" customFormat="1" outlineLevel="1" x14ac:dyDescent="0.2">
      <c r="A3495" s="8"/>
      <c r="B3495" s="8"/>
      <c r="C3495" s="1989" t="s">
        <v>4942</v>
      </c>
      <c r="D3495" s="1989" t="s">
        <v>8473</v>
      </c>
      <c r="E3495" s="1989">
        <v>7.0000000000000007E-2</v>
      </c>
      <c r="F3495" s="1546">
        <f t="shared" ref="F3495:F3558" si="53">E3495*$G$4*$J$4</f>
        <v>5.6924868000000011</v>
      </c>
      <c r="G3495" s="1547"/>
      <c r="H3495" s="8"/>
      <c r="I3495" s="8"/>
      <c r="J3495" s="8"/>
      <c r="K3495" s="8"/>
      <c r="L3495" s="8"/>
      <c r="M3495" s="8"/>
      <c r="N3495" s="8"/>
      <c r="O3495" s="8"/>
      <c r="P3495" s="8"/>
      <c r="Q3495" s="8"/>
      <c r="R3495" s="8"/>
      <c r="S3495" s="8"/>
      <c r="T3495" s="8"/>
      <c r="U3495" s="8"/>
      <c r="V3495" s="8"/>
      <c r="W3495" s="8"/>
      <c r="X3495" s="771"/>
      <c r="Y3495" s="771"/>
      <c r="Z3495" s="771"/>
      <c r="AA3495" s="771"/>
      <c r="AB3495" s="771"/>
      <c r="AC3495" s="771"/>
      <c r="AD3495" s="771"/>
      <c r="AE3495" s="771"/>
      <c r="AF3495" s="771"/>
      <c r="AG3495" s="771"/>
      <c r="AH3495" s="771"/>
      <c r="AI3495" s="771"/>
      <c r="AJ3495" s="771"/>
      <c r="AK3495" s="771"/>
      <c r="AL3495" s="771"/>
      <c r="AM3495" s="771"/>
      <c r="AN3495" s="771"/>
      <c r="AO3495" s="771"/>
      <c r="AP3495" s="771"/>
      <c r="AQ3495" s="771"/>
      <c r="AR3495" s="771"/>
      <c r="AS3495" s="771"/>
      <c r="AT3495" s="771"/>
      <c r="AU3495" s="771"/>
    </row>
    <row r="3496" spans="1:47" s="15" customFormat="1" outlineLevel="1" x14ac:dyDescent="0.2">
      <c r="A3496" s="8"/>
      <c r="B3496" s="8"/>
      <c r="C3496" s="1989" t="s">
        <v>4943</v>
      </c>
      <c r="D3496" s="1989" t="s">
        <v>8474</v>
      </c>
      <c r="E3496" s="1989">
        <v>0.09</v>
      </c>
      <c r="F3496" s="1546">
        <f t="shared" si="53"/>
        <v>7.3189116000000007</v>
      </c>
      <c r="G3496" s="1547"/>
      <c r="H3496" s="8"/>
      <c r="I3496" s="8"/>
      <c r="J3496" s="8"/>
      <c r="K3496" s="8"/>
      <c r="L3496" s="8"/>
      <c r="M3496" s="8"/>
      <c r="N3496" s="8"/>
      <c r="O3496" s="8"/>
      <c r="P3496" s="8"/>
      <c r="Q3496" s="8"/>
      <c r="R3496" s="8"/>
      <c r="S3496" s="8"/>
      <c r="T3496" s="8"/>
      <c r="U3496" s="8"/>
      <c r="V3496" s="8"/>
      <c r="W3496" s="8"/>
      <c r="X3496" s="771"/>
      <c r="Y3496" s="771"/>
      <c r="Z3496" s="771"/>
      <c r="AA3496" s="771"/>
      <c r="AB3496" s="771"/>
      <c r="AC3496" s="771"/>
      <c r="AD3496" s="771"/>
      <c r="AE3496" s="771"/>
      <c r="AF3496" s="771"/>
      <c r="AG3496" s="771"/>
      <c r="AH3496" s="771"/>
      <c r="AI3496" s="771"/>
      <c r="AJ3496" s="771"/>
      <c r="AK3496" s="771"/>
      <c r="AL3496" s="771"/>
      <c r="AM3496" s="771"/>
      <c r="AN3496" s="771"/>
      <c r="AO3496" s="771"/>
      <c r="AP3496" s="771"/>
      <c r="AQ3496" s="771"/>
      <c r="AR3496" s="771"/>
      <c r="AS3496" s="771"/>
      <c r="AT3496" s="771"/>
      <c r="AU3496" s="771"/>
    </row>
    <row r="3497" spans="1:47" s="15" customFormat="1" outlineLevel="1" x14ac:dyDescent="0.2">
      <c r="A3497" s="8"/>
      <c r="B3497" s="8"/>
      <c r="C3497" s="1989" t="s">
        <v>4944</v>
      </c>
      <c r="D3497" s="1989" t="s">
        <v>8475</v>
      </c>
      <c r="E3497" s="1989">
        <v>3.99</v>
      </c>
      <c r="F3497" s="1546">
        <f t="shared" si="53"/>
        <v>324.47174760000001</v>
      </c>
      <c r="G3497" s="1547"/>
      <c r="H3497" s="8"/>
      <c r="I3497" s="8"/>
      <c r="J3497" s="8"/>
      <c r="K3497" s="8"/>
      <c r="L3497" s="8"/>
      <c r="M3497" s="8"/>
      <c r="N3497" s="8"/>
      <c r="O3497" s="8"/>
      <c r="P3497" s="8"/>
      <c r="Q3497" s="8"/>
      <c r="R3497" s="8"/>
      <c r="S3497" s="8"/>
      <c r="T3497" s="8"/>
      <c r="U3497" s="8"/>
      <c r="V3497" s="8"/>
      <c r="W3497" s="8"/>
      <c r="X3497" s="771"/>
      <c r="Y3497" s="771"/>
      <c r="Z3497" s="771"/>
      <c r="AA3497" s="771"/>
      <c r="AB3497" s="771"/>
      <c r="AC3497" s="771"/>
      <c r="AD3497" s="771"/>
      <c r="AE3497" s="771"/>
      <c r="AF3497" s="771"/>
      <c r="AG3497" s="771"/>
      <c r="AH3497" s="771"/>
      <c r="AI3497" s="771"/>
      <c r="AJ3497" s="771"/>
      <c r="AK3497" s="771"/>
      <c r="AL3497" s="771"/>
      <c r="AM3497" s="771"/>
      <c r="AN3497" s="771"/>
      <c r="AO3497" s="771"/>
      <c r="AP3497" s="771"/>
      <c r="AQ3497" s="771"/>
      <c r="AR3497" s="771"/>
      <c r="AS3497" s="771"/>
      <c r="AT3497" s="771"/>
      <c r="AU3497" s="771"/>
    </row>
    <row r="3498" spans="1:47" s="15" customFormat="1" outlineLevel="1" x14ac:dyDescent="0.2">
      <c r="A3498" s="8"/>
      <c r="B3498" s="8"/>
      <c r="C3498" s="1989" t="s">
        <v>4247</v>
      </c>
      <c r="D3498" s="1989" t="s">
        <v>4248</v>
      </c>
      <c r="E3498" s="1989">
        <v>0.01</v>
      </c>
      <c r="F3498" s="1546">
        <f t="shared" si="53"/>
        <v>0.81321240000000006</v>
      </c>
      <c r="G3498" s="1547"/>
      <c r="H3498" s="8"/>
      <c r="I3498" s="8"/>
      <c r="J3498" s="8"/>
      <c r="K3498" s="8"/>
      <c r="L3498" s="8"/>
      <c r="M3498" s="8"/>
      <c r="N3498" s="8"/>
      <c r="O3498" s="8"/>
      <c r="P3498" s="8"/>
      <c r="Q3498" s="8"/>
      <c r="R3498" s="8"/>
      <c r="S3498" s="8"/>
      <c r="T3498" s="8"/>
      <c r="U3498" s="8"/>
      <c r="V3498" s="8"/>
      <c r="W3498" s="8"/>
      <c r="X3498" s="771"/>
      <c r="Y3498" s="771"/>
      <c r="Z3498" s="771"/>
      <c r="AA3498" s="771"/>
      <c r="AB3498" s="771"/>
      <c r="AC3498" s="771"/>
      <c r="AD3498" s="771"/>
      <c r="AE3498" s="771"/>
      <c r="AF3498" s="771"/>
      <c r="AG3498" s="771"/>
      <c r="AH3498" s="771"/>
      <c r="AI3498" s="771"/>
      <c r="AJ3498" s="771"/>
      <c r="AK3498" s="771"/>
      <c r="AL3498" s="771"/>
      <c r="AM3498" s="771"/>
      <c r="AN3498" s="771"/>
      <c r="AO3498" s="771"/>
      <c r="AP3498" s="771"/>
      <c r="AQ3498" s="771"/>
      <c r="AR3498" s="771"/>
      <c r="AS3498" s="771"/>
      <c r="AT3498" s="771"/>
      <c r="AU3498" s="771"/>
    </row>
    <row r="3499" spans="1:47" s="15" customFormat="1" outlineLevel="1" x14ac:dyDescent="0.2">
      <c r="A3499" s="8"/>
      <c r="B3499" s="8"/>
      <c r="C3499" s="1989" t="s">
        <v>4945</v>
      </c>
      <c r="D3499" s="1989" t="s">
        <v>4946</v>
      </c>
      <c r="E3499" s="1989">
        <v>2.44</v>
      </c>
      <c r="F3499" s="1546">
        <f t="shared" si="53"/>
        <v>198.42382560000001</v>
      </c>
      <c r="G3499" s="1547"/>
      <c r="H3499" s="8"/>
      <c r="I3499" s="8"/>
      <c r="J3499" s="8"/>
      <c r="K3499" s="8"/>
      <c r="L3499" s="8"/>
      <c r="M3499" s="8"/>
      <c r="N3499" s="8"/>
      <c r="O3499" s="8"/>
      <c r="P3499" s="8"/>
      <c r="Q3499" s="8"/>
      <c r="R3499" s="8"/>
      <c r="S3499" s="8"/>
      <c r="T3499" s="8"/>
      <c r="U3499" s="8"/>
      <c r="V3499" s="8"/>
      <c r="W3499" s="8"/>
      <c r="X3499" s="771"/>
      <c r="Y3499" s="771"/>
      <c r="Z3499" s="771"/>
      <c r="AA3499" s="771"/>
      <c r="AB3499" s="771"/>
      <c r="AC3499" s="771"/>
      <c r="AD3499" s="771"/>
      <c r="AE3499" s="771"/>
      <c r="AF3499" s="771"/>
      <c r="AG3499" s="771"/>
      <c r="AH3499" s="771"/>
      <c r="AI3499" s="771"/>
      <c r="AJ3499" s="771"/>
      <c r="AK3499" s="771"/>
      <c r="AL3499" s="771"/>
      <c r="AM3499" s="771"/>
      <c r="AN3499" s="771"/>
      <c r="AO3499" s="771"/>
      <c r="AP3499" s="771"/>
      <c r="AQ3499" s="771"/>
      <c r="AR3499" s="771"/>
      <c r="AS3499" s="771"/>
      <c r="AT3499" s="771"/>
      <c r="AU3499" s="771"/>
    </row>
    <row r="3500" spans="1:47" s="15" customFormat="1" outlineLevel="1" x14ac:dyDescent="0.2">
      <c r="A3500" s="8"/>
      <c r="B3500" s="8"/>
      <c r="C3500" s="1989" t="s">
        <v>6886</v>
      </c>
      <c r="D3500" s="1989" t="s">
        <v>8476</v>
      </c>
      <c r="E3500" s="1989">
        <v>7.29</v>
      </c>
      <c r="F3500" s="1546">
        <f t="shared" si="53"/>
        <v>592.83183959999997</v>
      </c>
      <c r="G3500" s="1547"/>
      <c r="H3500" s="8"/>
      <c r="I3500" s="8"/>
      <c r="J3500" s="8"/>
      <c r="K3500" s="8"/>
      <c r="L3500" s="8"/>
      <c r="M3500" s="8"/>
      <c r="N3500" s="8"/>
      <c r="O3500" s="8"/>
      <c r="P3500" s="8"/>
      <c r="Q3500" s="8"/>
      <c r="R3500" s="8"/>
      <c r="S3500" s="8"/>
      <c r="T3500" s="8"/>
      <c r="U3500" s="8"/>
      <c r="V3500" s="8"/>
      <c r="W3500" s="8"/>
      <c r="X3500" s="771"/>
      <c r="Y3500" s="771"/>
      <c r="Z3500" s="771"/>
      <c r="AA3500" s="771"/>
      <c r="AB3500" s="771"/>
      <c r="AC3500" s="771"/>
      <c r="AD3500" s="771"/>
      <c r="AE3500" s="771"/>
      <c r="AF3500" s="771"/>
      <c r="AG3500" s="771"/>
      <c r="AH3500" s="771"/>
      <c r="AI3500" s="771"/>
      <c r="AJ3500" s="771"/>
      <c r="AK3500" s="771"/>
      <c r="AL3500" s="771"/>
      <c r="AM3500" s="771"/>
      <c r="AN3500" s="771"/>
      <c r="AO3500" s="771"/>
      <c r="AP3500" s="771"/>
      <c r="AQ3500" s="771"/>
      <c r="AR3500" s="771"/>
      <c r="AS3500" s="771"/>
      <c r="AT3500" s="771"/>
      <c r="AU3500" s="771"/>
    </row>
    <row r="3501" spans="1:47" s="15" customFormat="1" outlineLevel="1" x14ac:dyDescent="0.2">
      <c r="A3501" s="8"/>
      <c r="B3501" s="8"/>
      <c r="C3501" s="1989" t="s">
        <v>6887</v>
      </c>
      <c r="D3501" s="1989" t="s">
        <v>8477</v>
      </c>
      <c r="E3501" s="1989">
        <v>0</v>
      </c>
      <c r="F3501" s="1546">
        <f t="shared" si="53"/>
        <v>0</v>
      </c>
      <c r="G3501" s="1547"/>
      <c r="H3501" s="8"/>
      <c r="I3501" s="8"/>
      <c r="J3501" s="8"/>
      <c r="K3501" s="8"/>
      <c r="L3501" s="8"/>
      <c r="M3501" s="8"/>
      <c r="N3501" s="8"/>
      <c r="O3501" s="8"/>
      <c r="P3501" s="8"/>
      <c r="Q3501" s="8"/>
      <c r="R3501" s="8"/>
      <c r="S3501" s="8"/>
      <c r="T3501" s="8"/>
      <c r="U3501" s="8"/>
      <c r="V3501" s="8"/>
      <c r="W3501" s="8"/>
      <c r="X3501" s="771"/>
      <c r="Y3501" s="771"/>
      <c r="Z3501" s="771"/>
      <c r="AA3501" s="771"/>
      <c r="AB3501" s="771"/>
      <c r="AC3501" s="771"/>
      <c r="AD3501" s="771"/>
      <c r="AE3501" s="771"/>
      <c r="AF3501" s="771"/>
      <c r="AG3501" s="771"/>
      <c r="AH3501" s="771"/>
      <c r="AI3501" s="771"/>
      <c r="AJ3501" s="771"/>
      <c r="AK3501" s="771"/>
      <c r="AL3501" s="771"/>
      <c r="AM3501" s="771"/>
      <c r="AN3501" s="771"/>
      <c r="AO3501" s="771"/>
      <c r="AP3501" s="771"/>
      <c r="AQ3501" s="771"/>
      <c r="AR3501" s="771"/>
      <c r="AS3501" s="771"/>
      <c r="AT3501" s="771"/>
      <c r="AU3501" s="771"/>
    </row>
    <row r="3502" spans="1:47" s="15" customFormat="1" outlineLevel="1" x14ac:dyDescent="0.2">
      <c r="A3502" s="8"/>
      <c r="B3502" s="8"/>
      <c r="C3502" s="1989" t="s">
        <v>6888</v>
      </c>
      <c r="D3502" s="1989" t="s">
        <v>8478</v>
      </c>
      <c r="E3502" s="1989">
        <v>3.25</v>
      </c>
      <c r="F3502" s="1546">
        <f t="shared" si="53"/>
        <v>264.29403000000002</v>
      </c>
      <c r="G3502" s="1547"/>
      <c r="H3502" s="8"/>
      <c r="I3502" s="8"/>
      <c r="J3502" s="8"/>
      <c r="K3502" s="8"/>
      <c r="L3502" s="8"/>
      <c r="M3502" s="8"/>
      <c r="N3502" s="8"/>
      <c r="O3502" s="8"/>
      <c r="P3502" s="8"/>
      <c r="Q3502" s="8"/>
      <c r="R3502" s="8"/>
      <c r="S3502" s="8"/>
      <c r="T3502" s="8"/>
      <c r="U3502" s="8"/>
      <c r="V3502" s="8"/>
      <c r="W3502" s="8"/>
      <c r="X3502" s="771"/>
      <c r="Y3502" s="771"/>
      <c r="Z3502" s="771"/>
      <c r="AA3502" s="771"/>
      <c r="AB3502" s="771"/>
      <c r="AC3502" s="771"/>
      <c r="AD3502" s="771"/>
      <c r="AE3502" s="771"/>
      <c r="AF3502" s="771"/>
      <c r="AG3502" s="771"/>
      <c r="AH3502" s="771"/>
      <c r="AI3502" s="771"/>
      <c r="AJ3502" s="771"/>
      <c r="AK3502" s="771"/>
      <c r="AL3502" s="771"/>
      <c r="AM3502" s="771"/>
      <c r="AN3502" s="771"/>
      <c r="AO3502" s="771"/>
      <c r="AP3502" s="771"/>
      <c r="AQ3502" s="771"/>
      <c r="AR3502" s="771"/>
      <c r="AS3502" s="771"/>
      <c r="AT3502" s="771"/>
      <c r="AU3502" s="771"/>
    </row>
    <row r="3503" spans="1:47" s="15" customFormat="1" outlineLevel="1" x14ac:dyDescent="0.2">
      <c r="A3503" s="8"/>
      <c r="B3503" s="8"/>
      <c r="C3503" s="1989" t="s">
        <v>4249</v>
      </c>
      <c r="D3503" s="1989" t="s">
        <v>4250</v>
      </c>
      <c r="E3503" s="1989">
        <v>0.14000000000000001</v>
      </c>
      <c r="F3503" s="1546">
        <f t="shared" si="53"/>
        <v>11.384973600000002</v>
      </c>
      <c r="G3503" s="1547"/>
      <c r="H3503" s="8"/>
      <c r="I3503" s="8"/>
      <c r="J3503" s="8"/>
      <c r="K3503" s="8"/>
      <c r="L3503" s="8"/>
      <c r="M3503" s="8"/>
      <c r="N3503" s="8"/>
      <c r="O3503" s="8"/>
      <c r="P3503" s="8"/>
      <c r="Q3503" s="8"/>
      <c r="R3503" s="8"/>
      <c r="S3503" s="8"/>
      <c r="T3503" s="8"/>
      <c r="U3503" s="8"/>
      <c r="V3503" s="8"/>
      <c r="W3503" s="8"/>
      <c r="X3503" s="771"/>
      <c r="Y3503" s="771"/>
      <c r="Z3503" s="771"/>
      <c r="AA3503" s="771"/>
      <c r="AB3503" s="771"/>
      <c r="AC3503" s="771"/>
      <c r="AD3503" s="771"/>
      <c r="AE3503" s="771"/>
      <c r="AF3503" s="771"/>
      <c r="AG3503" s="771"/>
      <c r="AH3503" s="771"/>
      <c r="AI3503" s="771"/>
      <c r="AJ3503" s="771"/>
      <c r="AK3503" s="771"/>
      <c r="AL3503" s="771"/>
      <c r="AM3503" s="771"/>
      <c r="AN3503" s="771"/>
      <c r="AO3503" s="771"/>
      <c r="AP3503" s="771"/>
      <c r="AQ3503" s="771"/>
      <c r="AR3503" s="771"/>
      <c r="AS3503" s="771"/>
      <c r="AT3503" s="771"/>
      <c r="AU3503" s="771"/>
    </row>
    <row r="3504" spans="1:47" s="15" customFormat="1" outlineLevel="1" x14ac:dyDescent="0.2">
      <c r="A3504" s="8"/>
      <c r="B3504" s="8"/>
      <c r="C3504" s="1989" t="s">
        <v>4251</v>
      </c>
      <c r="D3504" s="1989" t="s">
        <v>8479</v>
      </c>
      <c r="E3504" s="1989">
        <v>0.15</v>
      </c>
      <c r="F3504" s="1546">
        <f t="shared" si="53"/>
        <v>12.198186</v>
      </c>
      <c r="G3504" s="1547"/>
      <c r="H3504" s="8"/>
      <c r="I3504" s="8"/>
      <c r="J3504" s="8"/>
      <c r="K3504" s="8"/>
      <c r="L3504" s="8"/>
      <c r="M3504" s="8"/>
      <c r="N3504" s="8"/>
      <c r="O3504" s="8"/>
      <c r="P3504" s="8"/>
      <c r="Q3504" s="8"/>
      <c r="R3504" s="8"/>
      <c r="S3504" s="8"/>
      <c r="T3504" s="8"/>
      <c r="U3504" s="8"/>
      <c r="V3504" s="8"/>
      <c r="W3504" s="8"/>
      <c r="X3504" s="771"/>
      <c r="Y3504" s="771"/>
      <c r="Z3504" s="771"/>
      <c r="AA3504" s="771"/>
      <c r="AB3504" s="771"/>
      <c r="AC3504" s="771"/>
      <c r="AD3504" s="771"/>
      <c r="AE3504" s="771"/>
      <c r="AF3504" s="771"/>
      <c r="AG3504" s="771"/>
      <c r="AH3504" s="771"/>
      <c r="AI3504" s="771"/>
      <c r="AJ3504" s="771"/>
      <c r="AK3504" s="771"/>
      <c r="AL3504" s="771"/>
      <c r="AM3504" s="771"/>
      <c r="AN3504" s="771"/>
      <c r="AO3504" s="771"/>
      <c r="AP3504" s="771"/>
      <c r="AQ3504" s="771"/>
      <c r="AR3504" s="771"/>
      <c r="AS3504" s="771"/>
      <c r="AT3504" s="771"/>
      <c r="AU3504" s="771"/>
    </row>
    <row r="3505" spans="1:47" s="15" customFormat="1" outlineLevel="1" x14ac:dyDescent="0.2">
      <c r="A3505" s="8"/>
      <c r="B3505" s="8"/>
      <c r="C3505" s="1989" t="s">
        <v>6889</v>
      </c>
      <c r="D3505" s="1989" t="s">
        <v>6586</v>
      </c>
      <c r="E3505" s="1989">
        <v>0.74</v>
      </c>
      <c r="F3505" s="1546">
        <f t="shared" si="53"/>
        <v>60.177717600000008</v>
      </c>
      <c r="G3505" s="1547"/>
      <c r="H3505" s="8"/>
      <c r="I3505" s="8"/>
      <c r="J3505" s="8"/>
      <c r="K3505" s="8"/>
      <c r="L3505" s="8"/>
      <c r="M3505" s="8"/>
      <c r="N3505" s="8"/>
      <c r="O3505" s="8"/>
      <c r="P3505" s="8"/>
      <c r="Q3505" s="8"/>
      <c r="R3505" s="8"/>
      <c r="S3505" s="8"/>
      <c r="T3505" s="8"/>
      <c r="U3505" s="8"/>
      <c r="V3505" s="8"/>
      <c r="W3505" s="8"/>
      <c r="X3505" s="771"/>
      <c r="Y3505" s="771"/>
      <c r="Z3505" s="771"/>
      <c r="AA3505" s="771"/>
      <c r="AB3505" s="771"/>
      <c r="AC3505" s="771"/>
      <c r="AD3505" s="771"/>
      <c r="AE3505" s="771"/>
      <c r="AF3505" s="771"/>
      <c r="AG3505" s="771"/>
      <c r="AH3505" s="771"/>
      <c r="AI3505" s="771"/>
      <c r="AJ3505" s="771"/>
      <c r="AK3505" s="771"/>
      <c r="AL3505" s="771"/>
      <c r="AM3505" s="771"/>
      <c r="AN3505" s="771"/>
      <c r="AO3505" s="771"/>
      <c r="AP3505" s="771"/>
      <c r="AQ3505" s="771"/>
      <c r="AR3505" s="771"/>
      <c r="AS3505" s="771"/>
      <c r="AT3505" s="771"/>
      <c r="AU3505" s="771"/>
    </row>
    <row r="3506" spans="1:47" s="15" customFormat="1" outlineLevel="1" x14ac:dyDescent="0.2">
      <c r="A3506" s="8"/>
      <c r="B3506" s="8"/>
      <c r="C3506" s="1989" t="s">
        <v>4252</v>
      </c>
      <c r="D3506" s="1989" t="s">
        <v>4947</v>
      </c>
      <c r="E3506" s="1989">
        <v>2.2400000000000002</v>
      </c>
      <c r="F3506" s="1546">
        <f t="shared" si="53"/>
        <v>182.15957760000003</v>
      </c>
      <c r="G3506" s="1547"/>
      <c r="H3506" s="8"/>
      <c r="I3506" s="8"/>
      <c r="J3506" s="8"/>
      <c r="K3506" s="8"/>
      <c r="L3506" s="8"/>
      <c r="M3506" s="8"/>
      <c r="N3506" s="8"/>
      <c r="O3506" s="8"/>
      <c r="P3506" s="8"/>
      <c r="Q3506" s="8"/>
      <c r="R3506" s="8"/>
      <c r="S3506" s="8"/>
      <c r="T3506" s="8"/>
      <c r="U3506" s="8"/>
      <c r="V3506" s="8"/>
      <c r="W3506" s="8"/>
      <c r="X3506" s="771"/>
      <c r="Y3506" s="771"/>
      <c r="Z3506" s="771"/>
      <c r="AA3506" s="771"/>
      <c r="AB3506" s="771"/>
      <c r="AC3506" s="771"/>
      <c r="AD3506" s="771"/>
      <c r="AE3506" s="771"/>
      <c r="AF3506" s="771"/>
      <c r="AG3506" s="771"/>
      <c r="AH3506" s="771"/>
      <c r="AI3506" s="771"/>
      <c r="AJ3506" s="771"/>
      <c r="AK3506" s="771"/>
      <c r="AL3506" s="771"/>
      <c r="AM3506" s="771"/>
      <c r="AN3506" s="771"/>
      <c r="AO3506" s="771"/>
      <c r="AP3506" s="771"/>
      <c r="AQ3506" s="771"/>
      <c r="AR3506" s="771"/>
      <c r="AS3506" s="771"/>
      <c r="AT3506" s="771"/>
      <c r="AU3506" s="771"/>
    </row>
    <row r="3507" spans="1:47" s="15" customFormat="1" outlineLevel="1" x14ac:dyDescent="0.2">
      <c r="A3507" s="8"/>
      <c r="B3507" s="8"/>
      <c r="C3507" s="1989" t="s">
        <v>4253</v>
      </c>
      <c r="D3507" s="1989" t="s">
        <v>8480</v>
      </c>
      <c r="E3507" s="1989">
        <v>0.12</v>
      </c>
      <c r="F3507" s="1546">
        <f t="shared" si="53"/>
        <v>9.7585487999999998</v>
      </c>
      <c r="G3507" s="1547"/>
      <c r="H3507" s="8"/>
      <c r="I3507" s="8"/>
      <c r="J3507" s="8"/>
      <c r="K3507" s="8"/>
      <c r="L3507" s="8"/>
      <c r="M3507" s="8"/>
      <c r="N3507" s="8"/>
      <c r="O3507" s="8"/>
      <c r="P3507" s="8"/>
      <c r="Q3507" s="8"/>
      <c r="R3507" s="8"/>
      <c r="S3507" s="8"/>
      <c r="T3507" s="8"/>
      <c r="U3507" s="8"/>
      <c r="V3507" s="8"/>
      <c r="W3507" s="8"/>
      <c r="X3507" s="771"/>
      <c r="Y3507" s="771"/>
      <c r="Z3507" s="771"/>
      <c r="AA3507" s="771"/>
      <c r="AB3507" s="771"/>
      <c r="AC3507" s="771"/>
      <c r="AD3507" s="771"/>
      <c r="AE3507" s="771"/>
      <c r="AF3507" s="771"/>
      <c r="AG3507" s="771"/>
      <c r="AH3507" s="771"/>
      <c r="AI3507" s="771"/>
      <c r="AJ3507" s="771"/>
      <c r="AK3507" s="771"/>
      <c r="AL3507" s="771"/>
      <c r="AM3507" s="771"/>
      <c r="AN3507" s="771"/>
      <c r="AO3507" s="771"/>
      <c r="AP3507" s="771"/>
      <c r="AQ3507" s="771"/>
      <c r="AR3507" s="771"/>
      <c r="AS3507" s="771"/>
      <c r="AT3507" s="771"/>
      <c r="AU3507" s="771"/>
    </row>
    <row r="3508" spans="1:47" s="15" customFormat="1" outlineLevel="1" x14ac:dyDescent="0.2">
      <c r="A3508" s="8"/>
      <c r="B3508" s="8"/>
      <c r="C3508" s="1989" t="s">
        <v>6890</v>
      </c>
      <c r="D3508" s="1989" t="s">
        <v>8481</v>
      </c>
      <c r="E3508" s="1989">
        <v>41.3</v>
      </c>
      <c r="F3508" s="1546">
        <f t="shared" si="53"/>
        <v>3358.5672119999999</v>
      </c>
      <c r="G3508" s="1547"/>
      <c r="H3508" s="8"/>
      <c r="I3508" s="8"/>
      <c r="J3508" s="8"/>
      <c r="K3508" s="8"/>
      <c r="L3508" s="8"/>
      <c r="M3508" s="8"/>
      <c r="N3508" s="8"/>
      <c r="O3508" s="8"/>
      <c r="P3508" s="8"/>
      <c r="Q3508" s="8"/>
      <c r="R3508" s="8"/>
      <c r="S3508" s="8"/>
      <c r="T3508" s="8"/>
      <c r="U3508" s="8"/>
      <c r="V3508" s="8"/>
      <c r="W3508" s="8"/>
      <c r="X3508" s="771"/>
      <c r="Y3508" s="771"/>
      <c r="Z3508" s="771"/>
      <c r="AA3508" s="771"/>
      <c r="AB3508" s="771"/>
      <c r="AC3508" s="771"/>
      <c r="AD3508" s="771"/>
      <c r="AE3508" s="771"/>
      <c r="AF3508" s="771"/>
      <c r="AG3508" s="771"/>
      <c r="AH3508" s="771"/>
      <c r="AI3508" s="771"/>
      <c r="AJ3508" s="771"/>
      <c r="AK3508" s="771"/>
      <c r="AL3508" s="771"/>
      <c r="AM3508" s="771"/>
      <c r="AN3508" s="771"/>
      <c r="AO3508" s="771"/>
      <c r="AP3508" s="771"/>
      <c r="AQ3508" s="771"/>
      <c r="AR3508" s="771"/>
      <c r="AS3508" s="771"/>
      <c r="AT3508" s="771"/>
      <c r="AU3508" s="771"/>
    </row>
    <row r="3509" spans="1:47" s="15" customFormat="1" outlineLevel="1" x14ac:dyDescent="0.2">
      <c r="A3509" s="8"/>
      <c r="B3509" s="8"/>
      <c r="C3509" s="1989" t="s">
        <v>6891</v>
      </c>
      <c r="D3509" s="1989" t="s">
        <v>6587</v>
      </c>
      <c r="E3509" s="1989">
        <v>25.28</v>
      </c>
      <c r="F3509" s="1546">
        <f t="shared" si="53"/>
        <v>2055.8009471999999</v>
      </c>
      <c r="G3509" s="1547"/>
      <c r="H3509" s="8"/>
      <c r="I3509" s="8"/>
      <c r="J3509" s="8"/>
      <c r="K3509" s="8"/>
      <c r="L3509" s="8"/>
      <c r="M3509" s="8"/>
      <c r="N3509" s="8"/>
      <c r="O3509" s="8"/>
      <c r="P3509" s="8"/>
      <c r="Q3509" s="8"/>
      <c r="R3509" s="8"/>
      <c r="S3509" s="8"/>
      <c r="T3509" s="8"/>
      <c r="U3509" s="8"/>
      <c r="V3509" s="8"/>
      <c r="W3509" s="8"/>
      <c r="X3509" s="771"/>
      <c r="Y3509" s="771"/>
      <c r="Z3509" s="771"/>
      <c r="AA3509" s="771"/>
      <c r="AB3509" s="771"/>
      <c r="AC3509" s="771"/>
      <c r="AD3509" s="771"/>
      <c r="AE3509" s="771"/>
      <c r="AF3509" s="771"/>
      <c r="AG3509" s="771"/>
      <c r="AH3509" s="771"/>
      <c r="AI3509" s="771"/>
      <c r="AJ3509" s="771"/>
      <c r="AK3509" s="771"/>
      <c r="AL3509" s="771"/>
      <c r="AM3509" s="771"/>
      <c r="AN3509" s="771"/>
      <c r="AO3509" s="771"/>
      <c r="AP3509" s="771"/>
      <c r="AQ3509" s="771"/>
      <c r="AR3509" s="771"/>
      <c r="AS3509" s="771"/>
      <c r="AT3509" s="771"/>
      <c r="AU3509" s="771"/>
    </row>
    <row r="3510" spans="1:47" s="15" customFormat="1" outlineLevel="1" x14ac:dyDescent="0.2">
      <c r="A3510" s="8"/>
      <c r="B3510" s="8"/>
      <c r="C3510" s="1989" t="s">
        <v>6892</v>
      </c>
      <c r="D3510" s="1989" t="s">
        <v>8482</v>
      </c>
      <c r="E3510" s="1989">
        <v>0</v>
      </c>
      <c r="F3510" s="1546">
        <f t="shared" si="53"/>
        <v>0</v>
      </c>
      <c r="G3510" s="1547"/>
      <c r="H3510" s="8"/>
      <c r="I3510" s="8"/>
      <c r="J3510" s="8"/>
      <c r="K3510" s="8"/>
      <c r="L3510" s="8"/>
      <c r="M3510" s="8"/>
      <c r="N3510" s="8"/>
      <c r="O3510" s="8"/>
      <c r="P3510" s="8"/>
      <c r="Q3510" s="8"/>
      <c r="R3510" s="8"/>
      <c r="S3510" s="8"/>
      <c r="T3510" s="8"/>
      <c r="U3510" s="8"/>
      <c r="V3510" s="8"/>
      <c r="W3510" s="8"/>
      <c r="X3510" s="771"/>
      <c r="Y3510" s="771"/>
      <c r="Z3510" s="771"/>
      <c r="AA3510" s="771"/>
      <c r="AB3510" s="771"/>
      <c r="AC3510" s="771"/>
      <c r="AD3510" s="771"/>
      <c r="AE3510" s="771"/>
      <c r="AF3510" s="771"/>
      <c r="AG3510" s="771"/>
      <c r="AH3510" s="771"/>
      <c r="AI3510" s="771"/>
      <c r="AJ3510" s="771"/>
      <c r="AK3510" s="771"/>
      <c r="AL3510" s="771"/>
      <c r="AM3510" s="771"/>
      <c r="AN3510" s="771"/>
      <c r="AO3510" s="771"/>
      <c r="AP3510" s="771"/>
      <c r="AQ3510" s="771"/>
      <c r="AR3510" s="771"/>
      <c r="AS3510" s="771"/>
      <c r="AT3510" s="771"/>
      <c r="AU3510" s="771"/>
    </row>
    <row r="3511" spans="1:47" s="15" customFormat="1" outlineLevel="1" x14ac:dyDescent="0.2">
      <c r="A3511" s="8"/>
      <c r="B3511" s="8"/>
      <c r="C3511" s="1989" t="s">
        <v>3139</v>
      </c>
      <c r="D3511" s="1989" t="s">
        <v>6588</v>
      </c>
      <c r="E3511" s="1989">
        <v>0</v>
      </c>
      <c r="F3511" s="1546">
        <f t="shared" si="53"/>
        <v>0</v>
      </c>
      <c r="G3511" s="1547"/>
      <c r="H3511" s="8"/>
      <c r="I3511" s="8"/>
      <c r="J3511" s="8"/>
      <c r="K3511" s="8"/>
      <c r="L3511" s="8"/>
      <c r="M3511" s="8"/>
      <c r="N3511" s="8"/>
      <c r="O3511" s="8"/>
      <c r="P3511" s="8"/>
      <c r="Q3511" s="8"/>
      <c r="R3511" s="8"/>
      <c r="S3511" s="8"/>
      <c r="T3511" s="8"/>
      <c r="U3511" s="8"/>
      <c r="V3511" s="8"/>
      <c r="W3511" s="8"/>
      <c r="X3511" s="771"/>
      <c r="Y3511" s="771"/>
      <c r="Z3511" s="771"/>
      <c r="AA3511" s="771"/>
      <c r="AB3511" s="771"/>
      <c r="AC3511" s="771"/>
      <c r="AD3511" s="771"/>
      <c r="AE3511" s="771"/>
      <c r="AF3511" s="771"/>
      <c r="AG3511" s="771"/>
      <c r="AH3511" s="771"/>
      <c r="AI3511" s="771"/>
      <c r="AJ3511" s="771"/>
      <c r="AK3511" s="771"/>
      <c r="AL3511" s="771"/>
      <c r="AM3511" s="771"/>
      <c r="AN3511" s="771"/>
      <c r="AO3511" s="771"/>
      <c r="AP3511" s="771"/>
      <c r="AQ3511" s="771"/>
      <c r="AR3511" s="771"/>
      <c r="AS3511" s="771"/>
      <c r="AT3511" s="771"/>
      <c r="AU3511" s="771"/>
    </row>
    <row r="3512" spans="1:47" s="15" customFormat="1" outlineLevel="1" x14ac:dyDescent="0.2">
      <c r="A3512" s="8"/>
      <c r="B3512" s="8"/>
      <c r="C3512" s="1989" t="s">
        <v>2677</v>
      </c>
      <c r="D3512" s="1989" t="s">
        <v>8483</v>
      </c>
      <c r="E3512" s="1989">
        <v>0</v>
      </c>
      <c r="F3512" s="1546">
        <f t="shared" si="53"/>
        <v>0</v>
      </c>
      <c r="G3512" s="1547"/>
      <c r="H3512" s="8"/>
      <c r="I3512" s="8"/>
      <c r="J3512" s="8"/>
      <c r="K3512" s="8"/>
      <c r="L3512" s="8"/>
      <c r="M3512" s="8"/>
      <c r="N3512" s="8"/>
      <c r="O3512" s="8"/>
      <c r="P3512" s="8"/>
      <c r="Q3512" s="8"/>
      <c r="R3512" s="8"/>
      <c r="S3512" s="8"/>
      <c r="T3512" s="8"/>
      <c r="U3512" s="8"/>
      <c r="V3512" s="8"/>
      <c r="W3512" s="8"/>
      <c r="X3512" s="771"/>
      <c r="Y3512" s="771"/>
      <c r="Z3512" s="771"/>
      <c r="AA3512" s="771"/>
      <c r="AB3512" s="771"/>
      <c r="AC3512" s="771"/>
      <c r="AD3512" s="771"/>
      <c r="AE3512" s="771"/>
      <c r="AF3512" s="771"/>
      <c r="AG3512" s="771"/>
      <c r="AH3512" s="771"/>
      <c r="AI3512" s="771"/>
      <c r="AJ3512" s="771"/>
      <c r="AK3512" s="771"/>
      <c r="AL3512" s="771"/>
      <c r="AM3512" s="771"/>
      <c r="AN3512" s="771"/>
      <c r="AO3512" s="771"/>
      <c r="AP3512" s="771"/>
      <c r="AQ3512" s="771"/>
      <c r="AR3512" s="771"/>
      <c r="AS3512" s="771"/>
      <c r="AT3512" s="771"/>
      <c r="AU3512" s="771"/>
    </row>
    <row r="3513" spans="1:47" s="15" customFormat="1" outlineLevel="1" x14ac:dyDescent="0.2">
      <c r="A3513" s="8"/>
      <c r="B3513" s="8"/>
      <c r="C3513" s="1989" t="s">
        <v>4254</v>
      </c>
      <c r="D3513" s="1989" t="s">
        <v>8484</v>
      </c>
      <c r="E3513" s="1989">
        <v>0.51</v>
      </c>
      <c r="F3513" s="1546">
        <f t="shared" si="53"/>
        <v>41.473832399999999</v>
      </c>
      <c r="G3513" s="1547"/>
      <c r="H3513" s="8"/>
      <c r="I3513" s="8"/>
      <c r="J3513" s="8"/>
      <c r="K3513" s="8"/>
      <c r="L3513" s="8"/>
      <c r="M3513" s="8"/>
      <c r="N3513" s="8"/>
      <c r="O3513" s="8"/>
      <c r="P3513" s="8"/>
      <c r="Q3513" s="8"/>
      <c r="R3513" s="8"/>
      <c r="S3513" s="8"/>
      <c r="T3513" s="8"/>
      <c r="U3513" s="8"/>
      <c r="V3513" s="8"/>
      <c r="W3513" s="8"/>
      <c r="X3513" s="771"/>
      <c r="Y3513" s="771"/>
      <c r="Z3513" s="771"/>
      <c r="AA3513" s="771"/>
      <c r="AB3513" s="771"/>
      <c r="AC3513" s="771"/>
      <c r="AD3513" s="771"/>
      <c r="AE3513" s="771"/>
      <c r="AF3513" s="771"/>
      <c r="AG3513" s="771"/>
      <c r="AH3513" s="771"/>
      <c r="AI3513" s="771"/>
      <c r="AJ3513" s="771"/>
      <c r="AK3513" s="771"/>
      <c r="AL3513" s="771"/>
      <c r="AM3513" s="771"/>
      <c r="AN3513" s="771"/>
      <c r="AO3513" s="771"/>
      <c r="AP3513" s="771"/>
      <c r="AQ3513" s="771"/>
      <c r="AR3513" s="771"/>
      <c r="AS3513" s="771"/>
      <c r="AT3513" s="771"/>
      <c r="AU3513" s="771"/>
    </row>
    <row r="3514" spans="1:47" s="15" customFormat="1" outlineLevel="1" x14ac:dyDescent="0.2">
      <c r="A3514" s="8"/>
      <c r="B3514" s="8"/>
      <c r="C3514" s="1989" t="s">
        <v>4948</v>
      </c>
      <c r="D3514" s="1989" t="s">
        <v>6589</v>
      </c>
      <c r="E3514" s="1989">
        <v>2.44</v>
      </c>
      <c r="F3514" s="1546">
        <f t="shared" si="53"/>
        <v>198.42382560000001</v>
      </c>
      <c r="G3514" s="1547"/>
      <c r="H3514" s="8"/>
      <c r="I3514" s="8"/>
      <c r="J3514" s="8"/>
      <c r="K3514" s="8"/>
      <c r="L3514" s="8"/>
      <c r="M3514" s="8"/>
      <c r="N3514" s="8"/>
      <c r="O3514" s="8"/>
      <c r="P3514" s="8"/>
      <c r="Q3514" s="8"/>
      <c r="R3514" s="8"/>
      <c r="S3514" s="8"/>
      <c r="T3514" s="8"/>
      <c r="U3514" s="8"/>
      <c r="V3514" s="8"/>
      <c r="W3514" s="8"/>
      <c r="X3514" s="771"/>
      <c r="Y3514" s="771"/>
      <c r="Z3514" s="771"/>
      <c r="AA3514" s="771"/>
      <c r="AB3514" s="771"/>
      <c r="AC3514" s="771"/>
      <c r="AD3514" s="771"/>
      <c r="AE3514" s="771"/>
      <c r="AF3514" s="771"/>
      <c r="AG3514" s="771"/>
      <c r="AH3514" s="771"/>
      <c r="AI3514" s="771"/>
      <c r="AJ3514" s="771"/>
      <c r="AK3514" s="771"/>
      <c r="AL3514" s="771"/>
      <c r="AM3514" s="771"/>
      <c r="AN3514" s="771"/>
      <c r="AO3514" s="771"/>
      <c r="AP3514" s="771"/>
      <c r="AQ3514" s="771"/>
      <c r="AR3514" s="771"/>
      <c r="AS3514" s="771"/>
      <c r="AT3514" s="771"/>
      <c r="AU3514" s="771"/>
    </row>
    <row r="3515" spans="1:47" s="15" customFormat="1" outlineLevel="1" x14ac:dyDescent="0.2">
      <c r="A3515" s="8"/>
      <c r="B3515" s="8"/>
      <c r="C3515" s="1989" t="s">
        <v>4949</v>
      </c>
      <c r="D3515" s="1989" t="s">
        <v>8485</v>
      </c>
      <c r="E3515" s="1989">
        <v>0.32</v>
      </c>
      <c r="F3515" s="1546">
        <f t="shared" si="53"/>
        <v>26.022796800000002</v>
      </c>
      <c r="G3515" s="1547"/>
      <c r="H3515" s="8"/>
      <c r="I3515" s="8"/>
      <c r="J3515" s="8"/>
      <c r="K3515" s="8"/>
      <c r="L3515" s="8"/>
      <c r="M3515" s="8"/>
      <c r="N3515" s="8"/>
      <c r="O3515" s="8"/>
      <c r="P3515" s="8"/>
      <c r="Q3515" s="8"/>
      <c r="R3515" s="8"/>
      <c r="S3515" s="8"/>
      <c r="T3515" s="8"/>
      <c r="U3515" s="8"/>
      <c r="V3515" s="8"/>
      <c r="W3515" s="8"/>
      <c r="X3515" s="771"/>
      <c r="Y3515" s="771"/>
      <c r="Z3515" s="771"/>
      <c r="AA3515" s="771"/>
      <c r="AB3515" s="771"/>
      <c r="AC3515" s="771"/>
      <c r="AD3515" s="771"/>
      <c r="AE3515" s="771"/>
      <c r="AF3515" s="771"/>
      <c r="AG3515" s="771"/>
      <c r="AH3515" s="771"/>
      <c r="AI3515" s="771"/>
      <c r="AJ3515" s="771"/>
      <c r="AK3515" s="771"/>
      <c r="AL3515" s="771"/>
      <c r="AM3515" s="771"/>
      <c r="AN3515" s="771"/>
      <c r="AO3515" s="771"/>
      <c r="AP3515" s="771"/>
      <c r="AQ3515" s="771"/>
      <c r="AR3515" s="771"/>
      <c r="AS3515" s="771"/>
      <c r="AT3515" s="771"/>
      <c r="AU3515" s="771"/>
    </row>
    <row r="3516" spans="1:47" s="15" customFormat="1" outlineLevel="1" x14ac:dyDescent="0.2">
      <c r="A3516" s="8"/>
      <c r="B3516" s="8"/>
      <c r="C3516" s="1989" t="s">
        <v>6893</v>
      </c>
      <c r="D3516" s="1989" t="s">
        <v>8486</v>
      </c>
      <c r="E3516" s="1989">
        <v>0</v>
      </c>
      <c r="F3516" s="1546">
        <f t="shared" si="53"/>
        <v>0</v>
      </c>
      <c r="G3516" s="1547"/>
      <c r="H3516" s="8"/>
      <c r="I3516" s="8"/>
      <c r="J3516" s="8"/>
      <c r="K3516" s="8"/>
      <c r="L3516" s="8"/>
      <c r="M3516" s="8"/>
      <c r="N3516" s="8"/>
      <c r="O3516" s="8"/>
      <c r="P3516" s="8"/>
      <c r="Q3516" s="8"/>
      <c r="R3516" s="8"/>
      <c r="S3516" s="8"/>
      <c r="T3516" s="8"/>
      <c r="U3516" s="8"/>
      <c r="V3516" s="8"/>
      <c r="W3516" s="8"/>
      <c r="X3516" s="771"/>
      <c r="Y3516" s="771"/>
      <c r="Z3516" s="771"/>
      <c r="AA3516" s="771"/>
      <c r="AB3516" s="771"/>
      <c r="AC3516" s="771"/>
      <c r="AD3516" s="771"/>
      <c r="AE3516" s="771"/>
      <c r="AF3516" s="771"/>
      <c r="AG3516" s="771"/>
      <c r="AH3516" s="771"/>
      <c r="AI3516" s="771"/>
      <c r="AJ3516" s="771"/>
      <c r="AK3516" s="771"/>
      <c r="AL3516" s="771"/>
      <c r="AM3516" s="771"/>
      <c r="AN3516" s="771"/>
      <c r="AO3516" s="771"/>
      <c r="AP3516" s="771"/>
      <c r="AQ3516" s="771"/>
      <c r="AR3516" s="771"/>
      <c r="AS3516" s="771"/>
      <c r="AT3516" s="771"/>
      <c r="AU3516" s="771"/>
    </row>
    <row r="3517" spans="1:47" s="15" customFormat="1" outlineLevel="1" x14ac:dyDescent="0.2">
      <c r="A3517" s="8"/>
      <c r="B3517" s="8"/>
      <c r="C3517" s="1989" t="s">
        <v>2683</v>
      </c>
      <c r="D3517" s="1989" t="s">
        <v>8487</v>
      </c>
      <c r="E3517" s="1989">
        <v>0</v>
      </c>
      <c r="F3517" s="1546">
        <f t="shared" si="53"/>
        <v>0</v>
      </c>
      <c r="G3517" s="1547"/>
      <c r="H3517" s="8"/>
      <c r="I3517" s="8"/>
      <c r="J3517" s="8"/>
      <c r="K3517" s="8"/>
      <c r="L3517" s="8"/>
      <c r="M3517" s="8"/>
      <c r="N3517" s="8"/>
      <c r="O3517" s="8"/>
      <c r="P3517" s="8"/>
      <c r="Q3517" s="8"/>
      <c r="R3517" s="8"/>
      <c r="S3517" s="8"/>
      <c r="T3517" s="8"/>
      <c r="U3517" s="8"/>
      <c r="V3517" s="8"/>
      <c r="W3517" s="8"/>
      <c r="X3517" s="771"/>
      <c r="Y3517" s="771"/>
      <c r="Z3517" s="771"/>
      <c r="AA3517" s="771"/>
      <c r="AB3517" s="771"/>
      <c r="AC3517" s="771"/>
      <c r="AD3517" s="771"/>
      <c r="AE3517" s="771"/>
      <c r="AF3517" s="771"/>
      <c r="AG3517" s="771"/>
      <c r="AH3517" s="771"/>
      <c r="AI3517" s="771"/>
      <c r="AJ3517" s="771"/>
      <c r="AK3517" s="771"/>
      <c r="AL3517" s="771"/>
      <c r="AM3517" s="771"/>
      <c r="AN3517" s="771"/>
      <c r="AO3517" s="771"/>
      <c r="AP3517" s="771"/>
      <c r="AQ3517" s="771"/>
      <c r="AR3517" s="771"/>
      <c r="AS3517" s="771"/>
      <c r="AT3517" s="771"/>
      <c r="AU3517" s="771"/>
    </row>
    <row r="3518" spans="1:47" s="15" customFormat="1" outlineLevel="1" x14ac:dyDescent="0.2">
      <c r="A3518" s="8"/>
      <c r="B3518" s="8"/>
      <c r="C3518" s="1989" t="s">
        <v>4255</v>
      </c>
      <c r="D3518" s="1989" t="s">
        <v>8488</v>
      </c>
      <c r="E3518" s="1989">
        <v>0.6</v>
      </c>
      <c r="F3518" s="1546">
        <f t="shared" si="53"/>
        <v>48.792743999999999</v>
      </c>
      <c r="G3518" s="1547"/>
      <c r="H3518" s="8"/>
      <c r="I3518" s="8"/>
      <c r="J3518" s="8"/>
      <c r="K3518" s="8"/>
      <c r="L3518" s="8"/>
      <c r="M3518" s="8"/>
      <c r="N3518" s="8"/>
      <c r="O3518" s="8"/>
      <c r="P3518" s="8"/>
      <c r="Q3518" s="8"/>
      <c r="R3518" s="8"/>
      <c r="S3518" s="8"/>
      <c r="T3518" s="8"/>
      <c r="U3518" s="8"/>
      <c r="V3518" s="8"/>
      <c r="W3518" s="8"/>
      <c r="X3518" s="771"/>
      <c r="Y3518" s="771"/>
      <c r="Z3518" s="771"/>
      <c r="AA3518" s="771"/>
      <c r="AB3518" s="771"/>
      <c r="AC3518" s="771"/>
      <c r="AD3518" s="771"/>
      <c r="AE3518" s="771"/>
      <c r="AF3518" s="771"/>
      <c r="AG3518" s="771"/>
      <c r="AH3518" s="771"/>
      <c r="AI3518" s="771"/>
      <c r="AJ3518" s="771"/>
      <c r="AK3518" s="771"/>
      <c r="AL3518" s="771"/>
      <c r="AM3518" s="771"/>
      <c r="AN3518" s="771"/>
      <c r="AO3518" s="771"/>
      <c r="AP3518" s="771"/>
      <c r="AQ3518" s="771"/>
      <c r="AR3518" s="771"/>
      <c r="AS3518" s="771"/>
      <c r="AT3518" s="771"/>
      <c r="AU3518" s="771"/>
    </row>
    <row r="3519" spans="1:47" s="15" customFormat="1" outlineLevel="1" x14ac:dyDescent="0.2">
      <c r="A3519" s="8"/>
      <c r="B3519" s="8"/>
      <c r="C3519" s="1989" t="s">
        <v>6894</v>
      </c>
      <c r="D3519" s="1989" t="s">
        <v>8489</v>
      </c>
      <c r="E3519" s="1989">
        <v>0</v>
      </c>
      <c r="F3519" s="1546">
        <f t="shared" si="53"/>
        <v>0</v>
      </c>
      <c r="G3519" s="1547"/>
      <c r="H3519" s="8"/>
      <c r="I3519" s="8"/>
      <c r="J3519" s="8"/>
      <c r="K3519" s="8"/>
      <c r="L3519" s="8"/>
      <c r="M3519" s="8"/>
      <c r="N3519" s="8"/>
      <c r="O3519" s="8"/>
      <c r="P3519" s="8"/>
      <c r="Q3519" s="8"/>
      <c r="R3519" s="8"/>
      <c r="S3519" s="8"/>
      <c r="T3519" s="8"/>
      <c r="U3519" s="8"/>
      <c r="V3519" s="8"/>
      <c r="W3519" s="8"/>
      <c r="X3519" s="771"/>
      <c r="Y3519" s="771"/>
      <c r="Z3519" s="771"/>
      <c r="AA3519" s="771"/>
      <c r="AB3519" s="771"/>
      <c r="AC3519" s="771"/>
      <c r="AD3519" s="771"/>
      <c r="AE3519" s="771"/>
      <c r="AF3519" s="771"/>
      <c r="AG3519" s="771"/>
      <c r="AH3519" s="771"/>
      <c r="AI3519" s="771"/>
      <c r="AJ3519" s="771"/>
      <c r="AK3519" s="771"/>
      <c r="AL3519" s="771"/>
      <c r="AM3519" s="771"/>
      <c r="AN3519" s="771"/>
      <c r="AO3519" s="771"/>
      <c r="AP3519" s="771"/>
      <c r="AQ3519" s="771"/>
      <c r="AR3519" s="771"/>
      <c r="AS3519" s="771"/>
      <c r="AT3519" s="771"/>
      <c r="AU3519" s="771"/>
    </row>
    <row r="3520" spans="1:47" s="15" customFormat="1" outlineLevel="1" x14ac:dyDescent="0.2">
      <c r="A3520" s="8"/>
      <c r="B3520" s="8"/>
      <c r="C3520" s="1989" t="s">
        <v>6895</v>
      </c>
      <c r="D3520" s="1989" t="s">
        <v>6590</v>
      </c>
      <c r="E3520" s="1989">
        <v>0.74</v>
      </c>
      <c r="F3520" s="1546">
        <f t="shared" si="53"/>
        <v>60.177717600000008</v>
      </c>
      <c r="G3520" s="1547"/>
      <c r="H3520" s="8"/>
      <c r="I3520" s="8"/>
      <c r="J3520" s="8"/>
      <c r="K3520" s="8"/>
      <c r="L3520" s="8"/>
      <c r="M3520" s="8"/>
      <c r="N3520" s="8"/>
      <c r="O3520" s="8"/>
      <c r="P3520" s="8"/>
      <c r="Q3520" s="8"/>
      <c r="R3520" s="8"/>
      <c r="S3520" s="8"/>
      <c r="T3520" s="8"/>
      <c r="U3520" s="8"/>
      <c r="V3520" s="8"/>
      <c r="W3520" s="8"/>
      <c r="X3520" s="771"/>
      <c r="Y3520" s="771"/>
      <c r="Z3520" s="771"/>
      <c r="AA3520" s="771"/>
      <c r="AB3520" s="771"/>
      <c r="AC3520" s="771"/>
      <c r="AD3520" s="771"/>
      <c r="AE3520" s="771"/>
      <c r="AF3520" s="771"/>
      <c r="AG3520" s="771"/>
      <c r="AH3520" s="771"/>
      <c r="AI3520" s="771"/>
      <c r="AJ3520" s="771"/>
      <c r="AK3520" s="771"/>
      <c r="AL3520" s="771"/>
      <c r="AM3520" s="771"/>
      <c r="AN3520" s="771"/>
      <c r="AO3520" s="771"/>
      <c r="AP3520" s="771"/>
      <c r="AQ3520" s="771"/>
      <c r="AR3520" s="771"/>
      <c r="AS3520" s="771"/>
      <c r="AT3520" s="771"/>
      <c r="AU3520" s="771"/>
    </row>
    <row r="3521" spans="1:47" s="15" customFormat="1" outlineLevel="1" x14ac:dyDescent="0.2">
      <c r="A3521" s="8"/>
      <c r="B3521" s="8"/>
      <c r="C3521" s="1989" t="s">
        <v>6896</v>
      </c>
      <c r="D3521" s="1989" t="s">
        <v>8490</v>
      </c>
      <c r="E3521" s="1989">
        <v>28.63</v>
      </c>
      <c r="F3521" s="1546">
        <f t="shared" si="53"/>
        <v>2328.2271011999997</v>
      </c>
      <c r="G3521" s="1547"/>
      <c r="H3521" s="8"/>
      <c r="I3521" s="8"/>
      <c r="J3521" s="8"/>
      <c r="K3521" s="8"/>
      <c r="L3521" s="8"/>
      <c r="M3521" s="8"/>
      <c r="N3521" s="8"/>
      <c r="O3521" s="8"/>
      <c r="P3521" s="8"/>
      <c r="Q3521" s="8"/>
      <c r="R3521" s="8"/>
      <c r="S3521" s="8"/>
      <c r="T3521" s="8"/>
      <c r="U3521" s="8"/>
      <c r="V3521" s="8"/>
      <c r="W3521" s="8"/>
      <c r="X3521" s="771"/>
      <c r="Y3521" s="771"/>
      <c r="Z3521" s="771"/>
      <c r="AA3521" s="771"/>
      <c r="AB3521" s="771"/>
      <c r="AC3521" s="771"/>
      <c r="AD3521" s="771"/>
      <c r="AE3521" s="771"/>
      <c r="AF3521" s="771"/>
      <c r="AG3521" s="771"/>
      <c r="AH3521" s="771"/>
      <c r="AI3521" s="771"/>
      <c r="AJ3521" s="771"/>
      <c r="AK3521" s="771"/>
      <c r="AL3521" s="771"/>
      <c r="AM3521" s="771"/>
      <c r="AN3521" s="771"/>
      <c r="AO3521" s="771"/>
      <c r="AP3521" s="771"/>
      <c r="AQ3521" s="771"/>
      <c r="AR3521" s="771"/>
      <c r="AS3521" s="771"/>
      <c r="AT3521" s="771"/>
      <c r="AU3521" s="771"/>
    </row>
    <row r="3522" spans="1:47" s="15" customFormat="1" outlineLevel="1" x14ac:dyDescent="0.2">
      <c r="A3522" s="8"/>
      <c r="B3522" s="8"/>
      <c r="C3522" s="1989" t="s">
        <v>4256</v>
      </c>
      <c r="D3522" s="1989" t="s">
        <v>8491</v>
      </c>
      <c r="E3522" s="1989">
        <v>0.51</v>
      </c>
      <c r="F3522" s="1546">
        <f t="shared" si="53"/>
        <v>41.473832399999999</v>
      </c>
      <c r="G3522" s="1547"/>
      <c r="H3522" s="8"/>
      <c r="I3522" s="8"/>
      <c r="J3522" s="8"/>
      <c r="K3522" s="8"/>
      <c r="L3522" s="8"/>
      <c r="M3522" s="8"/>
      <c r="N3522" s="8"/>
      <c r="O3522" s="8"/>
      <c r="P3522" s="8"/>
      <c r="Q3522" s="8"/>
      <c r="R3522" s="8"/>
      <c r="S3522" s="8"/>
      <c r="T3522" s="8"/>
      <c r="U3522" s="8"/>
      <c r="V3522" s="8"/>
      <c r="W3522" s="8"/>
      <c r="X3522" s="771"/>
      <c r="Y3522" s="771"/>
      <c r="Z3522" s="771"/>
      <c r="AA3522" s="771"/>
      <c r="AB3522" s="771"/>
      <c r="AC3522" s="771"/>
      <c r="AD3522" s="771"/>
      <c r="AE3522" s="771"/>
      <c r="AF3522" s="771"/>
      <c r="AG3522" s="771"/>
      <c r="AH3522" s="771"/>
      <c r="AI3522" s="771"/>
      <c r="AJ3522" s="771"/>
      <c r="AK3522" s="771"/>
      <c r="AL3522" s="771"/>
      <c r="AM3522" s="771"/>
      <c r="AN3522" s="771"/>
      <c r="AO3522" s="771"/>
      <c r="AP3522" s="771"/>
      <c r="AQ3522" s="771"/>
      <c r="AR3522" s="771"/>
      <c r="AS3522" s="771"/>
      <c r="AT3522" s="771"/>
      <c r="AU3522" s="771"/>
    </row>
    <row r="3523" spans="1:47" s="15" customFormat="1" outlineLevel="1" x14ac:dyDescent="0.2">
      <c r="A3523" s="8"/>
      <c r="B3523" s="8"/>
      <c r="C3523" s="1989" t="s">
        <v>2688</v>
      </c>
      <c r="D3523" s="1989" t="s">
        <v>8492</v>
      </c>
      <c r="E3523" s="1989">
        <v>0</v>
      </c>
      <c r="F3523" s="1546">
        <f t="shared" si="53"/>
        <v>0</v>
      </c>
      <c r="G3523" s="1547"/>
      <c r="H3523" s="8"/>
      <c r="I3523" s="8"/>
      <c r="J3523" s="8"/>
      <c r="K3523" s="8"/>
      <c r="L3523" s="8"/>
      <c r="M3523" s="8"/>
      <c r="N3523" s="8"/>
      <c r="O3523" s="8"/>
      <c r="P3523" s="8"/>
      <c r="Q3523" s="8"/>
      <c r="R3523" s="8"/>
      <c r="S3523" s="8"/>
      <c r="T3523" s="8"/>
      <c r="U3523" s="8"/>
      <c r="V3523" s="8"/>
      <c r="W3523" s="8"/>
      <c r="X3523" s="771"/>
      <c r="Y3523" s="771"/>
      <c r="Z3523" s="771"/>
      <c r="AA3523" s="771"/>
      <c r="AB3523" s="771"/>
      <c r="AC3523" s="771"/>
      <c r="AD3523" s="771"/>
      <c r="AE3523" s="771"/>
      <c r="AF3523" s="771"/>
      <c r="AG3523" s="771"/>
      <c r="AH3523" s="771"/>
      <c r="AI3523" s="771"/>
      <c r="AJ3523" s="771"/>
      <c r="AK3523" s="771"/>
      <c r="AL3523" s="771"/>
      <c r="AM3523" s="771"/>
      <c r="AN3523" s="771"/>
      <c r="AO3523" s="771"/>
      <c r="AP3523" s="771"/>
      <c r="AQ3523" s="771"/>
      <c r="AR3523" s="771"/>
      <c r="AS3523" s="771"/>
      <c r="AT3523" s="771"/>
      <c r="AU3523" s="771"/>
    </row>
    <row r="3524" spans="1:47" s="15" customFormat="1" outlineLevel="1" x14ac:dyDescent="0.2">
      <c r="A3524" s="8"/>
      <c r="B3524" s="8"/>
      <c r="C3524" s="1989" t="s">
        <v>4257</v>
      </c>
      <c r="D3524" s="1989" t="s">
        <v>8493</v>
      </c>
      <c r="E3524" s="1989">
        <v>0.84</v>
      </c>
      <c r="F3524" s="1546">
        <f t="shared" si="53"/>
        <v>68.309841599999999</v>
      </c>
      <c r="G3524" s="1547"/>
      <c r="H3524" s="8"/>
      <c r="I3524" s="8"/>
      <c r="J3524" s="8"/>
      <c r="K3524" s="8"/>
      <c r="L3524" s="8"/>
      <c r="M3524" s="8"/>
      <c r="N3524" s="8"/>
      <c r="O3524" s="8"/>
      <c r="P3524" s="8"/>
      <c r="Q3524" s="8"/>
      <c r="R3524" s="8"/>
      <c r="S3524" s="8"/>
      <c r="T3524" s="8"/>
      <c r="U3524" s="8"/>
      <c r="V3524" s="8"/>
      <c r="W3524" s="8"/>
      <c r="X3524" s="771"/>
      <c r="Y3524" s="771"/>
      <c r="Z3524" s="771"/>
      <c r="AA3524" s="771"/>
      <c r="AB3524" s="771"/>
      <c r="AC3524" s="771"/>
      <c r="AD3524" s="771"/>
      <c r="AE3524" s="771"/>
      <c r="AF3524" s="771"/>
      <c r="AG3524" s="771"/>
      <c r="AH3524" s="771"/>
      <c r="AI3524" s="771"/>
      <c r="AJ3524" s="771"/>
      <c r="AK3524" s="771"/>
      <c r="AL3524" s="771"/>
      <c r="AM3524" s="771"/>
      <c r="AN3524" s="771"/>
      <c r="AO3524" s="771"/>
      <c r="AP3524" s="771"/>
      <c r="AQ3524" s="771"/>
      <c r="AR3524" s="771"/>
      <c r="AS3524" s="771"/>
      <c r="AT3524" s="771"/>
      <c r="AU3524" s="771"/>
    </row>
    <row r="3525" spans="1:47" s="15" customFormat="1" outlineLevel="1" x14ac:dyDescent="0.2">
      <c r="A3525" s="8"/>
      <c r="B3525" s="8"/>
      <c r="C3525" s="1989" t="s">
        <v>4950</v>
      </c>
      <c r="D3525" s="1989" t="s">
        <v>8494</v>
      </c>
      <c r="E3525" s="1989">
        <v>0.01</v>
      </c>
      <c r="F3525" s="1546">
        <f t="shared" si="53"/>
        <v>0.81321240000000006</v>
      </c>
      <c r="G3525" s="1547"/>
      <c r="H3525" s="8"/>
      <c r="I3525" s="8"/>
      <c r="J3525" s="8"/>
      <c r="K3525" s="8"/>
      <c r="L3525" s="8"/>
      <c r="M3525" s="8"/>
      <c r="N3525" s="8"/>
      <c r="O3525" s="8"/>
      <c r="P3525" s="8"/>
      <c r="Q3525" s="8"/>
      <c r="R3525" s="8"/>
      <c r="S3525" s="8"/>
      <c r="T3525" s="8"/>
      <c r="U3525" s="8"/>
      <c r="V3525" s="8"/>
      <c r="W3525" s="8"/>
      <c r="X3525" s="771"/>
      <c r="Y3525" s="771"/>
      <c r="Z3525" s="771"/>
      <c r="AA3525" s="771"/>
      <c r="AB3525" s="771"/>
      <c r="AC3525" s="771"/>
      <c r="AD3525" s="771"/>
      <c r="AE3525" s="771"/>
      <c r="AF3525" s="771"/>
      <c r="AG3525" s="771"/>
      <c r="AH3525" s="771"/>
      <c r="AI3525" s="771"/>
      <c r="AJ3525" s="771"/>
      <c r="AK3525" s="771"/>
      <c r="AL3525" s="771"/>
      <c r="AM3525" s="771"/>
      <c r="AN3525" s="771"/>
      <c r="AO3525" s="771"/>
      <c r="AP3525" s="771"/>
      <c r="AQ3525" s="771"/>
      <c r="AR3525" s="771"/>
      <c r="AS3525" s="771"/>
      <c r="AT3525" s="771"/>
      <c r="AU3525" s="771"/>
    </row>
    <row r="3526" spans="1:47" s="15" customFormat="1" outlineLevel="1" x14ac:dyDescent="0.2">
      <c r="A3526" s="8"/>
      <c r="B3526" s="8"/>
      <c r="C3526" s="1989" t="s">
        <v>4258</v>
      </c>
      <c r="D3526" s="1989" t="s">
        <v>8495</v>
      </c>
      <c r="E3526" s="1989">
        <v>0</v>
      </c>
      <c r="F3526" s="1546">
        <f t="shared" si="53"/>
        <v>0</v>
      </c>
      <c r="G3526" s="1547"/>
      <c r="H3526" s="8"/>
      <c r="I3526" s="8"/>
      <c r="J3526" s="8"/>
      <c r="K3526" s="8"/>
      <c r="L3526" s="8"/>
      <c r="M3526" s="8"/>
      <c r="N3526" s="8"/>
      <c r="O3526" s="8"/>
      <c r="P3526" s="8"/>
      <c r="Q3526" s="8"/>
      <c r="R3526" s="8"/>
      <c r="S3526" s="8"/>
      <c r="T3526" s="8"/>
      <c r="U3526" s="8"/>
      <c r="V3526" s="8"/>
      <c r="W3526" s="8"/>
      <c r="X3526" s="771"/>
      <c r="Y3526" s="771"/>
      <c r="Z3526" s="771"/>
      <c r="AA3526" s="771"/>
      <c r="AB3526" s="771"/>
      <c r="AC3526" s="771"/>
      <c r="AD3526" s="771"/>
      <c r="AE3526" s="771"/>
      <c r="AF3526" s="771"/>
      <c r="AG3526" s="771"/>
      <c r="AH3526" s="771"/>
      <c r="AI3526" s="771"/>
      <c r="AJ3526" s="771"/>
      <c r="AK3526" s="771"/>
      <c r="AL3526" s="771"/>
      <c r="AM3526" s="771"/>
      <c r="AN3526" s="771"/>
      <c r="AO3526" s="771"/>
      <c r="AP3526" s="771"/>
      <c r="AQ3526" s="771"/>
      <c r="AR3526" s="771"/>
      <c r="AS3526" s="771"/>
      <c r="AT3526" s="771"/>
      <c r="AU3526" s="771"/>
    </row>
    <row r="3527" spans="1:47" s="15" customFormat="1" outlineLevel="1" x14ac:dyDescent="0.2">
      <c r="A3527" s="8"/>
      <c r="B3527" s="8"/>
      <c r="C3527" s="1989" t="s">
        <v>4259</v>
      </c>
      <c r="D3527" s="1989" t="s">
        <v>4260</v>
      </c>
      <c r="E3527" s="1989">
        <v>0.01</v>
      </c>
      <c r="F3527" s="1546">
        <f t="shared" si="53"/>
        <v>0.81321240000000006</v>
      </c>
      <c r="G3527" s="1547"/>
      <c r="H3527" s="8"/>
      <c r="I3527" s="8"/>
      <c r="J3527" s="8"/>
      <c r="K3527" s="8"/>
      <c r="L3527" s="8"/>
      <c r="M3527" s="8"/>
      <c r="N3527" s="8"/>
      <c r="O3527" s="8"/>
      <c r="P3527" s="8"/>
      <c r="Q3527" s="8"/>
      <c r="R3527" s="8"/>
      <c r="S3527" s="8"/>
      <c r="T3527" s="8"/>
      <c r="U3527" s="8"/>
      <c r="V3527" s="8"/>
      <c r="W3527" s="8"/>
      <c r="X3527" s="771"/>
      <c r="Y3527" s="771"/>
      <c r="Z3527" s="771"/>
      <c r="AA3527" s="771"/>
      <c r="AB3527" s="771"/>
      <c r="AC3527" s="771"/>
      <c r="AD3527" s="771"/>
      <c r="AE3527" s="771"/>
      <c r="AF3527" s="771"/>
      <c r="AG3527" s="771"/>
      <c r="AH3527" s="771"/>
      <c r="AI3527" s="771"/>
      <c r="AJ3527" s="771"/>
      <c r="AK3527" s="771"/>
      <c r="AL3527" s="771"/>
      <c r="AM3527" s="771"/>
      <c r="AN3527" s="771"/>
      <c r="AO3527" s="771"/>
      <c r="AP3527" s="771"/>
      <c r="AQ3527" s="771"/>
      <c r="AR3527" s="771"/>
      <c r="AS3527" s="771"/>
      <c r="AT3527" s="771"/>
      <c r="AU3527" s="771"/>
    </row>
    <row r="3528" spans="1:47" s="15" customFormat="1" outlineLevel="1" x14ac:dyDescent="0.2">
      <c r="A3528" s="8"/>
      <c r="B3528" s="8"/>
      <c r="C3528" s="1989" t="s">
        <v>4261</v>
      </c>
      <c r="D3528" s="1989" t="s">
        <v>8496</v>
      </c>
      <c r="E3528" s="1989">
        <v>0.27</v>
      </c>
      <c r="F3528" s="1546">
        <f t="shared" si="53"/>
        <v>21.956734800000003</v>
      </c>
      <c r="G3528" s="1547"/>
      <c r="H3528" s="8"/>
      <c r="I3528" s="8"/>
      <c r="J3528" s="8"/>
      <c r="K3528" s="8"/>
      <c r="L3528" s="8"/>
      <c r="M3528" s="8"/>
      <c r="N3528" s="8"/>
      <c r="O3528" s="8"/>
      <c r="P3528" s="8"/>
      <c r="Q3528" s="8"/>
      <c r="R3528" s="8"/>
      <c r="S3528" s="8"/>
      <c r="T3528" s="8"/>
      <c r="U3528" s="8"/>
      <c r="V3528" s="8"/>
      <c r="W3528" s="8"/>
      <c r="X3528" s="771"/>
      <c r="Y3528" s="771"/>
      <c r="Z3528" s="771"/>
      <c r="AA3528" s="771"/>
      <c r="AB3528" s="771"/>
      <c r="AC3528" s="771"/>
      <c r="AD3528" s="771"/>
      <c r="AE3528" s="771"/>
      <c r="AF3528" s="771"/>
      <c r="AG3528" s="771"/>
      <c r="AH3528" s="771"/>
      <c r="AI3528" s="771"/>
      <c r="AJ3528" s="771"/>
      <c r="AK3528" s="771"/>
      <c r="AL3528" s="771"/>
      <c r="AM3528" s="771"/>
      <c r="AN3528" s="771"/>
      <c r="AO3528" s="771"/>
      <c r="AP3528" s="771"/>
      <c r="AQ3528" s="771"/>
      <c r="AR3528" s="771"/>
      <c r="AS3528" s="771"/>
      <c r="AT3528" s="771"/>
      <c r="AU3528" s="771"/>
    </row>
    <row r="3529" spans="1:47" s="15" customFormat="1" outlineLevel="1" x14ac:dyDescent="0.2">
      <c r="A3529" s="8"/>
      <c r="B3529" s="8"/>
      <c r="C3529" s="1989" t="s">
        <v>4262</v>
      </c>
      <c r="D3529" s="1989" t="s">
        <v>4263</v>
      </c>
      <c r="E3529" s="1989">
        <v>0.01</v>
      </c>
      <c r="F3529" s="1546">
        <f t="shared" si="53"/>
        <v>0.81321240000000006</v>
      </c>
      <c r="G3529" s="1547"/>
      <c r="H3529" s="8"/>
      <c r="I3529" s="8"/>
      <c r="J3529" s="8"/>
      <c r="K3529" s="8"/>
      <c r="L3529" s="8"/>
      <c r="M3529" s="8"/>
      <c r="N3529" s="8"/>
      <c r="O3529" s="8"/>
      <c r="P3529" s="8"/>
      <c r="Q3529" s="8"/>
      <c r="R3529" s="8"/>
      <c r="S3529" s="8"/>
      <c r="T3529" s="8"/>
      <c r="U3529" s="8"/>
      <c r="V3529" s="8"/>
      <c r="W3529" s="8"/>
      <c r="X3529" s="771"/>
      <c r="Y3529" s="771"/>
      <c r="Z3529" s="771"/>
      <c r="AA3529" s="771"/>
      <c r="AB3529" s="771"/>
      <c r="AC3529" s="771"/>
      <c r="AD3529" s="771"/>
      <c r="AE3529" s="771"/>
      <c r="AF3529" s="771"/>
      <c r="AG3529" s="771"/>
      <c r="AH3529" s="771"/>
      <c r="AI3529" s="771"/>
      <c r="AJ3529" s="771"/>
      <c r="AK3529" s="771"/>
      <c r="AL3529" s="771"/>
      <c r="AM3529" s="771"/>
      <c r="AN3529" s="771"/>
      <c r="AO3529" s="771"/>
      <c r="AP3529" s="771"/>
      <c r="AQ3529" s="771"/>
      <c r="AR3529" s="771"/>
      <c r="AS3529" s="771"/>
      <c r="AT3529" s="771"/>
      <c r="AU3529" s="771"/>
    </row>
    <row r="3530" spans="1:47" s="15" customFormat="1" outlineLevel="1" x14ac:dyDescent="0.2">
      <c r="A3530" s="8"/>
      <c r="B3530" s="8"/>
      <c r="C3530" s="1989" t="s">
        <v>4264</v>
      </c>
      <c r="D3530" s="1989" t="s">
        <v>8497</v>
      </c>
      <c r="E3530" s="1989">
        <v>0.7</v>
      </c>
      <c r="F3530" s="1546">
        <f t="shared" si="53"/>
        <v>56.924868000000004</v>
      </c>
      <c r="G3530" s="1547"/>
      <c r="H3530" s="8"/>
      <c r="I3530" s="8"/>
      <c r="J3530" s="8"/>
      <c r="K3530" s="8"/>
      <c r="L3530" s="8"/>
      <c r="M3530" s="8"/>
      <c r="N3530" s="8"/>
      <c r="O3530" s="8"/>
      <c r="P3530" s="8"/>
      <c r="Q3530" s="8"/>
      <c r="R3530" s="8"/>
      <c r="S3530" s="8"/>
      <c r="T3530" s="8"/>
      <c r="U3530" s="8"/>
      <c r="V3530" s="8"/>
      <c r="W3530" s="8"/>
      <c r="X3530" s="771"/>
      <c r="Y3530" s="771"/>
      <c r="Z3530" s="771"/>
      <c r="AA3530" s="771"/>
      <c r="AB3530" s="771"/>
      <c r="AC3530" s="771"/>
      <c r="AD3530" s="771"/>
      <c r="AE3530" s="771"/>
      <c r="AF3530" s="771"/>
      <c r="AG3530" s="771"/>
      <c r="AH3530" s="771"/>
      <c r="AI3530" s="771"/>
      <c r="AJ3530" s="771"/>
      <c r="AK3530" s="771"/>
      <c r="AL3530" s="771"/>
      <c r="AM3530" s="771"/>
      <c r="AN3530" s="771"/>
      <c r="AO3530" s="771"/>
      <c r="AP3530" s="771"/>
      <c r="AQ3530" s="771"/>
      <c r="AR3530" s="771"/>
      <c r="AS3530" s="771"/>
      <c r="AT3530" s="771"/>
      <c r="AU3530" s="771"/>
    </row>
    <row r="3531" spans="1:47" s="15" customFormat="1" outlineLevel="1" x14ac:dyDescent="0.2">
      <c r="A3531" s="8"/>
      <c r="B3531" s="8"/>
      <c r="C3531" s="1989" t="s">
        <v>2693</v>
      </c>
      <c r="D3531" s="1989" t="s">
        <v>8498</v>
      </c>
      <c r="E3531" s="1989">
        <v>0</v>
      </c>
      <c r="F3531" s="1546">
        <f t="shared" si="53"/>
        <v>0</v>
      </c>
      <c r="G3531" s="1547"/>
      <c r="H3531" s="8"/>
      <c r="I3531" s="8"/>
      <c r="J3531" s="8"/>
      <c r="K3531" s="8"/>
      <c r="L3531" s="8"/>
      <c r="M3531" s="8"/>
      <c r="N3531" s="8"/>
      <c r="O3531" s="8"/>
      <c r="P3531" s="8"/>
      <c r="Q3531" s="8"/>
      <c r="R3531" s="8"/>
      <c r="S3531" s="8"/>
      <c r="T3531" s="8"/>
      <c r="U3531" s="8"/>
      <c r="V3531" s="8"/>
      <c r="W3531" s="8"/>
      <c r="X3531" s="771"/>
      <c r="Y3531" s="771"/>
      <c r="Z3531" s="771"/>
      <c r="AA3531" s="771"/>
      <c r="AB3531" s="771"/>
      <c r="AC3531" s="771"/>
      <c r="AD3531" s="771"/>
      <c r="AE3531" s="771"/>
      <c r="AF3531" s="771"/>
      <c r="AG3531" s="771"/>
      <c r="AH3531" s="771"/>
      <c r="AI3531" s="771"/>
      <c r="AJ3531" s="771"/>
      <c r="AK3531" s="771"/>
      <c r="AL3531" s="771"/>
      <c r="AM3531" s="771"/>
      <c r="AN3531" s="771"/>
      <c r="AO3531" s="771"/>
      <c r="AP3531" s="771"/>
      <c r="AQ3531" s="771"/>
      <c r="AR3531" s="771"/>
      <c r="AS3531" s="771"/>
      <c r="AT3531" s="771"/>
      <c r="AU3531" s="771"/>
    </row>
    <row r="3532" spans="1:47" s="15" customFormat="1" outlineLevel="1" x14ac:dyDescent="0.2">
      <c r="A3532" s="8"/>
      <c r="B3532" s="8"/>
      <c r="C3532" s="1989" t="s">
        <v>2694</v>
      </c>
      <c r="D3532" s="1989" t="s">
        <v>8499</v>
      </c>
      <c r="E3532" s="1989">
        <v>0</v>
      </c>
      <c r="F3532" s="1546">
        <f t="shared" si="53"/>
        <v>0</v>
      </c>
      <c r="G3532" s="1547"/>
      <c r="H3532" s="8"/>
      <c r="I3532" s="8"/>
      <c r="J3532" s="8"/>
      <c r="K3532" s="8"/>
      <c r="L3532" s="8"/>
      <c r="M3532" s="8"/>
      <c r="N3532" s="8"/>
      <c r="O3532" s="8"/>
      <c r="P3532" s="8"/>
      <c r="Q3532" s="8"/>
      <c r="R3532" s="8"/>
      <c r="S3532" s="8"/>
      <c r="T3532" s="8"/>
      <c r="U3532" s="8"/>
      <c r="V3532" s="8"/>
      <c r="W3532" s="8"/>
      <c r="X3532" s="771"/>
      <c r="Y3532" s="771"/>
      <c r="Z3532" s="771"/>
      <c r="AA3532" s="771"/>
      <c r="AB3532" s="771"/>
      <c r="AC3532" s="771"/>
      <c r="AD3532" s="771"/>
      <c r="AE3532" s="771"/>
      <c r="AF3532" s="771"/>
      <c r="AG3532" s="771"/>
      <c r="AH3532" s="771"/>
      <c r="AI3532" s="771"/>
      <c r="AJ3532" s="771"/>
      <c r="AK3532" s="771"/>
      <c r="AL3532" s="771"/>
      <c r="AM3532" s="771"/>
      <c r="AN3532" s="771"/>
      <c r="AO3532" s="771"/>
      <c r="AP3532" s="771"/>
      <c r="AQ3532" s="771"/>
      <c r="AR3532" s="771"/>
      <c r="AS3532" s="771"/>
      <c r="AT3532" s="771"/>
      <c r="AU3532" s="771"/>
    </row>
    <row r="3533" spans="1:47" s="15" customFormat="1" outlineLevel="1" x14ac:dyDescent="0.2">
      <c r="A3533" s="8"/>
      <c r="B3533" s="8"/>
      <c r="C3533" s="1989" t="s">
        <v>4951</v>
      </c>
      <c r="D3533" s="1989" t="s">
        <v>8500</v>
      </c>
      <c r="E3533" s="1989">
        <v>0.44</v>
      </c>
      <c r="F3533" s="1546">
        <f t="shared" si="53"/>
        <v>35.781345600000002</v>
      </c>
      <c r="G3533" s="1547"/>
      <c r="H3533" s="8"/>
      <c r="I3533" s="8"/>
      <c r="J3533" s="8"/>
      <c r="K3533" s="8"/>
      <c r="L3533" s="8"/>
      <c r="M3533" s="8"/>
      <c r="N3533" s="8"/>
      <c r="O3533" s="8"/>
      <c r="P3533" s="8"/>
      <c r="Q3533" s="8"/>
      <c r="R3533" s="8"/>
      <c r="S3533" s="8"/>
      <c r="T3533" s="8"/>
      <c r="U3533" s="8"/>
      <c r="V3533" s="8"/>
      <c r="W3533" s="8"/>
      <c r="X3533" s="771"/>
      <c r="Y3533" s="771"/>
      <c r="Z3533" s="771"/>
      <c r="AA3533" s="771"/>
      <c r="AB3533" s="771"/>
      <c r="AC3533" s="771"/>
      <c r="AD3533" s="771"/>
      <c r="AE3533" s="771"/>
      <c r="AF3533" s="771"/>
      <c r="AG3533" s="771"/>
      <c r="AH3533" s="771"/>
      <c r="AI3533" s="771"/>
      <c r="AJ3533" s="771"/>
      <c r="AK3533" s="771"/>
      <c r="AL3533" s="771"/>
      <c r="AM3533" s="771"/>
      <c r="AN3533" s="771"/>
      <c r="AO3533" s="771"/>
      <c r="AP3533" s="771"/>
      <c r="AQ3533" s="771"/>
      <c r="AR3533" s="771"/>
      <c r="AS3533" s="771"/>
      <c r="AT3533" s="771"/>
      <c r="AU3533" s="771"/>
    </row>
    <row r="3534" spans="1:47" s="15" customFormat="1" outlineLevel="1" x14ac:dyDescent="0.2">
      <c r="A3534" s="8"/>
      <c r="B3534" s="8"/>
      <c r="C3534" s="1989" t="s">
        <v>4952</v>
      </c>
      <c r="D3534" s="1989" t="s">
        <v>8501</v>
      </c>
      <c r="E3534" s="1989">
        <v>91.87</v>
      </c>
      <c r="F3534" s="1546">
        <f t="shared" si="53"/>
        <v>7470.9823188000009</v>
      </c>
      <c r="G3534" s="1547"/>
      <c r="H3534" s="8"/>
      <c r="I3534" s="8"/>
      <c r="J3534" s="8"/>
      <c r="K3534" s="8"/>
      <c r="L3534" s="8"/>
      <c r="M3534" s="8"/>
      <c r="N3534" s="8"/>
      <c r="O3534" s="8"/>
      <c r="P3534" s="8"/>
      <c r="Q3534" s="8"/>
      <c r="R3534" s="8"/>
      <c r="S3534" s="8"/>
      <c r="T3534" s="8"/>
      <c r="U3534" s="8"/>
      <c r="V3534" s="8"/>
      <c r="W3534" s="8"/>
      <c r="X3534" s="771"/>
      <c r="Y3534" s="771"/>
      <c r="Z3534" s="771"/>
      <c r="AA3534" s="771"/>
      <c r="AB3534" s="771"/>
      <c r="AC3534" s="771"/>
      <c r="AD3534" s="771"/>
      <c r="AE3534" s="771"/>
      <c r="AF3534" s="771"/>
      <c r="AG3534" s="771"/>
      <c r="AH3534" s="771"/>
      <c r="AI3534" s="771"/>
      <c r="AJ3534" s="771"/>
      <c r="AK3534" s="771"/>
      <c r="AL3534" s="771"/>
      <c r="AM3534" s="771"/>
      <c r="AN3534" s="771"/>
      <c r="AO3534" s="771"/>
      <c r="AP3534" s="771"/>
      <c r="AQ3534" s="771"/>
      <c r="AR3534" s="771"/>
      <c r="AS3534" s="771"/>
      <c r="AT3534" s="771"/>
      <c r="AU3534" s="771"/>
    </row>
    <row r="3535" spans="1:47" s="15" customFormat="1" outlineLevel="1" x14ac:dyDescent="0.2">
      <c r="A3535" s="8"/>
      <c r="B3535" s="8"/>
      <c r="C3535" s="1989" t="s">
        <v>6897</v>
      </c>
      <c r="D3535" s="1989" t="s">
        <v>8502</v>
      </c>
      <c r="E3535" s="1989">
        <v>0</v>
      </c>
      <c r="F3535" s="1546">
        <f t="shared" si="53"/>
        <v>0</v>
      </c>
      <c r="G3535" s="1547"/>
      <c r="H3535" s="8"/>
      <c r="I3535" s="8"/>
      <c r="J3535" s="8"/>
      <c r="K3535" s="8"/>
      <c r="L3535" s="8"/>
      <c r="M3535" s="8"/>
      <c r="N3535" s="8"/>
      <c r="O3535" s="8"/>
      <c r="P3535" s="8"/>
      <c r="Q3535" s="8"/>
      <c r="R3535" s="8"/>
      <c r="S3535" s="8"/>
      <c r="T3535" s="8"/>
      <c r="U3535" s="8"/>
      <c r="V3535" s="8"/>
      <c r="W3535" s="8"/>
      <c r="X3535" s="771"/>
      <c r="Y3535" s="771"/>
      <c r="Z3535" s="771"/>
      <c r="AA3535" s="771"/>
      <c r="AB3535" s="771"/>
      <c r="AC3535" s="771"/>
      <c r="AD3535" s="771"/>
      <c r="AE3535" s="771"/>
      <c r="AF3535" s="771"/>
      <c r="AG3535" s="771"/>
      <c r="AH3535" s="771"/>
      <c r="AI3535" s="771"/>
      <c r="AJ3535" s="771"/>
      <c r="AK3535" s="771"/>
      <c r="AL3535" s="771"/>
      <c r="AM3535" s="771"/>
      <c r="AN3535" s="771"/>
      <c r="AO3535" s="771"/>
      <c r="AP3535" s="771"/>
      <c r="AQ3535" s="771"/>
      <c r="AR3535" s="771"/>
      <c r="AS3535" s="771"/>
      <c r="AT3535" s="771"/>
      <c r="AU3535" s="771"/>
    </row>
    <row r="3536" spans="1:47" s="15" customFormat="1" outlineLevel="1" x14ac:dyDescent="0.2">
      <c r="A3536" s="8"/>
      <c r="B3536" s="8"/>
      <c r="C3536" s="1989" t="s">
        <v>4265</v>
      </c>
      <c r="D3536" s="1989" t="s">
        <v>4266</v>
      </c>
      <c r="E3536" s="1989">
        <v>0.41</v>
      </c>
      <c r="F3536" s="1546">
        <f t="shared" si="53"/>
        <v>33.341708400000002</v>
      </c>
      <c r="G3536" s="1547"/>
      <c r="H3536" s="8"/>
      <c r="I3536" s="8"/>
      <c r="J3536" s="8"/>
      <c r="K3536" s="8"/>
      <c r="L3536" s="8"/>
      <c r="M3536" s="8"/>
      <c r="N3536" s="8"/>
      <c r="O3536" s="8"/>
      <c r="P3536" s="8"/>
      <c r="Q3536" s="8"/>
      <c r="R3536" s="8"/>
      <c r="S3536" s="8"/>
      <c r="T3536" s="8"/>
      <c r="U3536" s="8"/>
      <c r="V3536" s="8"/>
      <c r="W3536" s="8"/>
      <c r="X3536" s="771"/>
      <c r="Y3536" s="771"/>
      <c r="Z3536" s="771"/>
      <c r="AA3536" s="771"/>
      <c r="AB3536" s="771"/>
      <c r="AC3536" s="771"/>
      <c r="AD3536" s="771"/>
      <c r="AE3536" s="771"/>
      <c r="AF3536" s="771"/>
      <c r="AG3536" s="771"/>
      <c r="AH3536" s="771"/>
      <c r="AI3536" s="771"/>
      <c r="AJ3536" s="771"/>
      <c r="AK3536" s="771"/>
      <c r="AL3536" s="771"/>
      <c r="AM3536" s="771"/>
      <c r="AN3536" s="771"/>
      <c r="AO3536" s="771"/>
      <c r="AP3536" s="771"/>
      <c r="AQ3536" s="771"/>
      <c r="AR3536" s="771"/>
      <c r="AS3536" s="771"/>
      <c r="AT3536" s="771"/>
      <c r="AU3536" s="771"/>
    </row>
    <row r="3537" spans="1:47" s="15" customFormat="1" outlineLevel="1" x14ac:dyDescent="0.2">
      <c r="A3537" s="8"/>
      <c r="B3537" s="8"/>
      <c r="C3537" s="1989" t="s">
        <v>6898</v>
      </c>
      <c r="D3537" s="1989" t="s">
        <v>8503</v>
      </c>
      <c r="E3537" s="1989">
        <v>0</v>
      </c>
      <c r="F3537" s="1546">
        <f t="shared" si="53"/>
        <v>0</v>
      </c>
      <c r="G3537" s="1547"/>
      <c r="H3537" s="8"/>
      <c r="I3537" s="8"/>
      <c r="J3537" s="8"/>
      <c r="K3537" s="8"/>
      <c r="L3537" s="8"/>
      <c r="M3537" s="8"/>
      <c r="N3537" s="8"/>
      <c r="O3537" s="8"/>
      <c r="P3537" s="8"/>
      <c r="Q3537" s="8"/>
      <c r="R3537" s="8"/>
      <c r="S3537" s="8"/>
      <c r="T3537" s="8"/>
      <c r="U3537" s="8"/>
      <c r="V3537" s="8"/>
      <c r="W3537" s="8"/>
      <c r="X3537" s="771"/>
      <c r="Y3537" s="771"/>
      <c r="Z3537" s="771"/>
      <c r="AA3537" s="771"/>
      <c r="AB3537" s="771"/>
      <c r="AC3537" s="771"/>
      <c r="AD3537" s="771"/>
      <c r="AE3537" s="771"/>
      <c r="AF3537" s="771"/>
      <c r="AG3537" s="771"/>
      <c r="AH3537" s="771"/>
      <c r="AI3537" s="771"/>
      <c r="AJ3537" s="771"/>
      <c r="AK3537" s="771"/>
      <c r="AL3537" s="771"/>
      <c r="AM3537" s="771"/>
      <c r="AN3537" s="771"/>
      <c r="AO3537" s="771"/>
      <c r="AP3537" s="771"/>
      <c r="AQ3537" s="771"/>
      <c r="AR3537" s="771"/>
      <c r="AS3537" s="771"/>
      <c r="AT3537" s="771"/>
      <c r="AU3537" s="771"/>
    </row>
    <row r="3538" spans="1:47" s="15" customFormat="1" outlineLevel="1" x14ac:dyDescent="0.2">
      <c r="A3538" s="8"/>
      <c r="B3538" s="8"/>
      <c r="C3538" s="1989" t="s">
        <v>4267</v>
      </c>
      <c r="D3538" s="1989" t="s">
        <v>8504</v>
      </c>
      <c r="E3538" s="1989">
        <v>0</v>
      </c>
      <c r="F3538" s="1546">
        <f t="shared" si="53"/>
        <v>0</v>
      </c>
      <c r="G3538" s="1547"/>
      <c r="H3538" s="8"/>
      <c r="I3538" s="8"/>
      <c r="J3538" s="8"/>
      <c r="K3538" s="8"/>
      <c r="L3538" s="8"/>
      <c r="M3538" s="8"/>
      <c r="N3538" s="8"/>
      <c r="O3538" s="8"/>
      <c r="P3538" s="8"/>
      <c r="Q3538" s="8"/>
      <c r="R3538" s="8"/>
      <c r="S3538" s="8"/>
      <c r="T3538" s="8"/>
      <c r="U3538" s="8"/>
      <c r="V3538" s="8"/>
      <c r="W3538" s="8"/>
      <c r="X3538" s="771"/>
      <c r="Y3538" s="771"/>
      <c r="Z3538" s="771"/>
      <c r="AA3538" s="771"/>
      <c r="AB3538" s="771"/>
      <c r="AC3538" s="771"/>
      <c r="AD3538" s="771"/>
      <c r="AE3538" s="771"/>
      <c r="AF3538" s="771"/>
      <c r="AG3538" s="771"/>
      <c r="AH3538" s="771"/>
      <c r="AI3538" s="771"/>
      <c r="AJ3538" s="771"/>
      <c r="AK3538" s="771"/>
      <c r="AL3538" s="771"/>
      <c r="AM3538" s="771"/>
      <c r="AN3538" s="771"/>
      <c r="AO3538" s="771"/>
      <c r="AP3538" s="771"/>
      <c r="AQ3538" s="771"/>
      <c r="AR3538" s="771"/>
      <c r="AS3538" s="771"/>
      <c r="AT3538" s="771"/>
      <c r="AU3538" s="771"/>
    </row>
    <row r="3539" spans="1:47" s="15" customFormat="1" outlineLevel="1" x14ac:dyDescent="0.2">
      <c r="A3539" s="8"/>
      <c r="B3539" s="8"/>
      <c r="C3539" s="1989" t="s">
        <v>3415</v>
      </c>
      <c r="D3539" s="1989" t="s">
        <v>8505</v>
      </c>
      <c r="E3539" s="1989">
        <v>0</v>
      </c>
      <c r="F3539" s="1546">
        <f t="shared" si="53"/>
        <v>0</v>
      </c>
      <c r="G3539" s="1547"/>
      <c r="H3539" s="8"/>
      <c r="I3539" s="8"/>
      <c r="J3539" s="8"/>
      <c r="K3539" s="8"/>
      <c r="L3539" s="8"/>
      <c r="M3539" s="8"/>
      <c r="N3539" s="8"/>
      <c r="O3539" s="8"/>
      <c r="P3539" s="8"/>
      <c r="Q3539" s="8"/>
      <c r="R3539" s="8"/>
      <c r="S3539" s="8"/>
      <c r="T3539" s="8"/>
      <c r="U3539" s="8"/>
      <c r="V3539" s="8"/>
      <c r="W3539" s="8"/>
      <c r="X3539" s="771"/>
      <c r="Y3539" s="771"/>
      <c r="Z3539" s="771"/>
      <c r="AA3539" s="771"/>
      <c r="AB3539" s="771"/>
      <c r="AC3539" s="771"/>
      <c r="AD3539" s="771"/>
      <c r="AE3539" s="771"/>
      <c r="AF3539" s="771"/>
      <c r="AG3539" s="771"/>
      <c r="AH3539" s="771"/>
      <c r="AI3539" s="771"/>
      <c r="AJ3539" s="771"/>
      <c r="AK3539" s="771"/>
      <c r="AL3539" s="771"/>
      <c r="AM3539" s="771"/>
      <c r="AN3539" s="771"/>
      <c r="AO3539" s="771"/>
      <c r="AP3539" s="771"/>
      <c r="AQ3539" s="771"/>
      <c r="AR3539" s="771"/>
      <c r="AS3539" s="771"/>
      <c r="AT3539" s="771"/>
      <c r="AU3539" s="771"/>
    </row>
    <row r="3540" spans="1:47" s="15" customFormat="1" outlineLevel="1" x14ac:dyDescent="0.2">
      <c r="A3540" s="8"/>
      <c r="B3540" s="8"/>
      <c r="C3540" s="1989" t="s">
        <v>4268</v>
      </c>
      <c r="D3540" s="1989" t="s">
        <v>6591</v>
      </c>
      <c r="E3540" s="1989">
        <v>0</v>
      </c>
      <c r="F3540" s="1546">
        <f t="shared" si="53"/>
        <v>0</v>
      </c>
      <c r="G3540" s="1547"/>
      <c r="H3540" s="8"/>
      <c r="I3540" s="8"/>
      <c r="J3540" s="8"/>
      <c r="K3540" s="8"/>
      <c r="L3540" s="8"/>
      <c r="M3540" s="8"/>
      <c r="N3540" s="8"/>
      <c r="O3540" s="8"/>
      <c r="P3540" s="8"/>
      <c r="Q3540" s="8"/>
      <c r="R3540" s="8"/>
      <c r="S3540" s="8"/>
      <c r="T3540" s="8"/>
      <c r="U3540" s="8"/>
      <c r="V3540" s="8"/>
      <c r="W3540" s="8"/>
      <c r="X3540" s="771"/>
      <c r="Y3540" s="771"/>
      <c r="Z3540" s="771"/>
      <c r="AA3540" s="771"/>
      <c r="AB3540" s="771"/>
      <c r="AC3540" s="771"/>
      <c r="AD3540" s="771"/>
      <c r="AE3540" s="771"/>
      <c r="AF3540" s="771"/>
      <c r="AG3540" s="771"/>
      <c r="AH3540" s="771"/>
      <c r="AI3540" s="771"/>
      <c r="AJ3540" s="771"/>
      <c r="AK3540" s="771"/>
      <c r="AL3540" s="771"/>
      <c r="AM3540" s="771"/>
      <c r="AN3540" s="771"/>
      <c r="AO3540" s="771"/>
      <c r="AP3540" s="771"/>
      <c r="AQ3540" s="771"/>
      <c r="AR3540" s="771"/>
      <c r="AS3540" s="771"/>
      <c r="AT3540" s="771"/>
      <c r="AU3540" s="771"/>
    </row>
    <row r="3541" spans="1:47" s="15" customFormat="1" outlineLevel="1" x14ac:dyDescent="0.2">
      <c r="A3541" s="8"/>
      <c r="B3541" s="8"/>
      <c r="C3541" s="1989" t="s">
        <v>4269</v>
      </c>
      <c r="D3541" s="1989" t="s">
        <v>8506</v>
      </c>
      <c r="E3541" s="1989">
        <v>0</v>
      </c>
      <c r="F3541" s="1546">
        <f t="shared" si="53"/>
        <v>0</v>
      </c>
      <c r="G3541" s="1547"/>
      <c r="H3541" s="8"/>
      <c r="I3541" s="8"/>
      <c r="J3541" s="8"/>
      <c r="K3541" s="8"/>
      <c r="L3541" s="8"/>
      <c r="M3541" s="8"/>
      <c r="N3541" s="8"/>
      <c r="O3541" s="8"/>
      <c r="P3541" s="8"/>
      <c r="Q3541" s="8"/>
      <c r="R3541" s="8"/>
      <c r="S3541" s="8"/>
      <c r="T3541" s="8"/>
      <c r="U3541" s="8"/>
      <c r="V3541" s="8"/>
      <c r="W3541" s="8"/>
      <c r="X3541" s="771"/>
      <c r="Y3541" s="771"/>
      <c r="Z3541" s="771"/>
      <c r="AA3541" s="771"/>
      <c r="AB3541" s="771"/>
      <c r="AC3541" s="771"/>
      <c r="AD3541" s="771"/>
      <c r="AE3541" s="771"/>
      <c r="AF3541" s="771"/>
      <c r="AG3541" s="771"/>
      <c r="AH3541" s="771"/>
      <c r="AI3541" s="771"/>
      <c r="AJ3541" s="771"/>
      <c r="AK3541" s="771"/>
      <c r="AL3541" s="771"/>
      <c r="AM3541" s="771"/>
      <c r="AN3541" s="771"/>
      <c r="AO3541" s="771"/>
      <c r="AP3541" s="771"/>
      <c r="AQ3541" s="771"/>
      <c r="AR3541" s="771"/>
      <c r="AS3541" s="771"/>
      <c r="AT3541" s="771"/>
      <c r="AU3541" s="771"/>
    </row>
    <row r="3542" spans="1:47" s="15" customFormat="1" outlineLevel="1" x14ac:dyDescent="0.2">
      <c r="A3542" s="8"/>
      <c r="B3542" s="8"/>
      <c r="C3542" s="1989" t="s">
        <v>6899</v>
      </c>
      <c r="D3542" s="1989" t="s">
        <v>8507</v>
      </c>
      <c r="E3542" s="1989">
        <v>0</v>
      </c>
      <c r="F3542" s="1546">
        <f t="shared" si="53"/>
        <v>0</v>
      </c>
      <c r="G3542" s="1547"/>
      <c r="H3542" s="8"/>
      <c r="I3542" s="8"/>
      <c r="J3542" s="8"/>
      <c r="K3542" s="8"/>
      <c r="L3542" s="8"/>
      <c r="M3542" s="8"/>
      <c r="N3542" s="8"/>
      <c r="O3542" s="8"/>
      <c r="P3542" s="8"/>
      <c r="Q3542" s="8"/>
      <c r="R3542" s="8"/>
      <c r="S3542" s="8"/>
      <c r="T3542" s="8"/>
      <c r="U3542" s="8"/>
      <c r="V3542" s="8"/>
      <c r="W3542" s="8"/>
      <c r="X3542" s="771"/>
      <c r="Y3542" s="771"/>
      <c r="Z3542" s="771"/>
      <c r="AA3542" s="771"/>
      <c r="AB3542" s="771"/>
      <c r="AC3542" s="771"/>
      <c r="AD3542" s="771"/>
      <c r="AE3542" s="771"/>
      <c r="AF3542" s="771"/>
      <c r="AG3542" s="771"/>
      <c r="AH3542" s="771"/>
      <c r="AI3542" s="771"/>
      <c r="AJ3542" s="771"/>
      <c r="AK3542" s="771"/>
      <c r="AL3542" s="771"/>
      <c r="AM3542" s="771"/>
      <c r="AN3542" s="771"/>
      <c r="AO3542" s="771"/>
      <c r="AP3542" s="771"/>
      <c r="AQ3542" s="771"/>
      <c r="AR3542" s="771"/>
      <c r="AS3542" s="771"/>
      <c r="AT3542" s="771"/>
      <c r="AU3542" s="771"/>
    </row>
    <row r="3543" spans="1:47" s="15" customFormat="1" outlineLevel="1" x14ac:dyDescent="0.2">
      <c r="A3543" s="8"/>
      <c r="B3543" s="8"/>
      <c r="C3543" s="1989" t="s">
        <v>4270</v>
      </c>
      <c r="D3543" s="1989" t="s">
        <v>8508</v>
      </c>
      <c r="E3543" s="1989">
        <v>0</v>
      </c>
      <c r="F3543" s="1546">
        <f t="shared" si="53"/>
        <v>0</v>
      </c>
      <c r="G3543" s="1547"/>
      <c r="H3543" s="8"/>
      <c r="I3543" s="8"/>
      <c r="J3543" s="8"/>
      <c r="K3543" s="8"/>
      <c r="L3543" s="8"/>
      <c r="M3543" s="8"/>
      <c r="N3543" s="8"/>
      <c r="O3543" s="8"/>
      <c r="P3543" s="8"/>
      <c r="Q3543" s="8"/>
      <c r="R3543" s="8"/>
      <c r="S3543" s="8"/>
      <c r="T3543" s="8"/>
      <c r="U3543" s="8"/>
      <c r="V3543" s="8"/>
      <c r="W3543" s="8"/>
      <c r="X3543" s="771"/>
      <c r="Y3543" s="771"/>
      <c r="Z3543" s="771"/>
      <c r="AA3543" s="771"/>
      <c r="AB3543" s="771"/>
      <c r="AC3543" s="771"/>
      <c r="AD3543" s="771"/>
      <c r="AE3543" s="771"/>
      <c r="AF3543" s="771"/>
      <c r="AG3543" s="771"/>
      <c r="AH3543" s="771"/>
      <c r="AI3543" s="771"/>
      <c r="AJ3543" s="771"/>
      <c r="AK3543" s="771"/>
      <c r="AL3543" s="771"/>
      <c r="AM3543" s="771"/>
      <c r="AN3543" s="771"/>
      <c r="AO3543" s="771"/>
      <c r="AP3543" s="771"/>
      <c r="AQ3543" s="771"/>
      <c r="AR3543" s="771"/>
      <c r="AS3543" s="771"/>
      <c r="AT3543" s="771"/>
      <c r="AU3543" s="771"/>
    </row>
    <row r="3544" spans="1:47" s="15" customFormat="1" outlineLevel="1" x14ac:dyDescent="0.2">
      <c r="A3544" s="8"/>
      <c r="B3544" s="8"/>
      <c r="C3544" s="1989" t="s">
        <v>4953</v>
      </c>
      <c r="D3544" s="1989" t="s">
        <v>8509</v>
      </c>
      <c r="E3544" s="1989">
        <v>1.45</v>
      </c>
      <c r="F3544" s="1546">
        <f t="shared" si="53"/>
        <v>117.91579800000001</v>
      </c>
      <c r="G3544" s="1547"/>
      <c r="H3544" s="8"/>
      <c r="I3544" s="8"/>
      <c r="J3544" s="8"/>
      <c r="K3544" s="8"/>
      <c r="L3544" s="8"/>
      <c r="M3544" s="8"/>
      <c r="N3544" s="8"/>
      <c r="O3544" s="8"/>
      <c r="P3544" s="8"/>
      <c r="Q3544" s="8"/>
      <c r="R3544" s="8"/>
      <c r="S3544" s="8"/>
      <c r="T3544" s="8"/>
      <c r="U3544" s="8"/>
      <c r="V3544" s="8"/>
      <c r="W3544" s="8"/>
      <c r="X3544" s="771"/>
      <c r="Y3544" s="771"/>
      <c r="Z3544" s="771"/>
      <c r="AA3544" s="771"/>
      <c r="AB3544" s="771"/>
      <c r="AC3544" s="771"/>
      <c r="AD3544" s="771"/>
      <c r="AE3544" s="771"/>
      <c r="AF3544" s="771"/>
      <c r="AG3544" s="771"/>
      <c r="AH3544" s="771"/>
      <c r="AI3544" s="771"/>
      <c r="AJ3544" s="771"/>
      <c r="AK3544" s="771"/>
      <c r="AL3544" s="771"/>
      <c r="AM3544" s="771"/>
      <c r="AN3544" s="771"/>
      <c r="AO3544" s="771"/>
      <c r="AP3544" s="771"/>
      <c r="AQ3544" s="771"/>
      <c r="AR3544" s="771"/>
      <c r="AS3544" s="771"/>
      <c r="AT3544" s="771"/>
      <c r="AU3544" s="771"/>
    </row>
    <row r="3545" spans="1:47" s="15" customFormat="1" outlineLevel="1" x14ac:dyDescent="0.2">
      <c r="A3545" s="8"/>
      <c r="B3545" s="8"/>
      <c r="C3545" s="1989" t="s">
        <v>4271</v>
      </c>
      <c r="D3545" s="1989" t="s">
        <v>8510</v>
      </c>
      <c r="E3545" s="1989">
        <v>0.08</v>
      </c>
      <c r="F3545" s="1546">
        <f t="shared" si="53"/>
        <v>6.5056992000000005</v>
      </c>
      <c r="G3545" s="1547"/>
      <c r="H3545" s="8"/>
      <c r="I3545" s="8"/>
      <c r="J3545" s="8"/>
      <c r="K3545" s="8"/>
      <c r="L3545" s="8"/>
      <c r="M3545" s="8"/>
      <c r="N3545" s="8"/>
      <c r="O3545" s="8"/>
      <c r="P3545" s="8"/>
      <c r="Q3545" s="8"/>
      <c r="R3545" s="8"/>
      <c r="S3545" s="8"/>
      <c r="T3545" s="8"/>
      <c r="U3545" s="8"/>
      <c r="V3545" s="8"/>
      <c r="W3545" s="8"/>
      <c r="X3545" s="771"/>
      <c r="Y3545" s="771"/>
      <c r="Z3545" s="771"/>
      <c r="AA3545" s="771"/>
      <c r="AB3545" s="771"/>
      <c r="AC3545" s="771"/>
      <c r="AD3545" s="771"/>
      <c r="AE3545" s="771"/>
      <c r="AF3545" s="771"/>
      <c r="AG3545" s="771"/>
      <c r="AH3545" s="771"/>
      <c r="AI3545" s="771"/>
      <c r="AJ3545" s="771"/>
      <c r="AK3545" s="771"/>
      <c r="AL3545" s="771"/>
      <c r="AM3545" s="771"/>
      <c r="AN3545" s="771"/>
      <c r="AO3545" s="771"/>
      <c r="AP3545" s="771"/>
      <c r="AQ3545" s="771"/>
      <c r="AR3545" s="771"/>
      <c r="AS3545" s="771"/>
      <c r="AT3545" s="771"/>
      <c r="AU3545" s="771"/>
    </row>
    <row r="3546" spans="1:47" s="15" customFormat="1" outlineLevel="1" x14ac:dyDescent="0.2">
      <c r="A3546" s="8"/>
      <c r="B3546" s="8"/>
      <c r="C3546" s="1989" t="s">
        <v>6900</v>
      </c>
      <c r="D3546" s="1989" t="s">
        <v>6592</v>
      </c>
      <c r="E3546" s="1989">
        <v>0.81</v>
      </c>
      <c r="F3546" s="1546">
        <f t="shared" si="53"/>
        <v>65.870204400000006</v>
      </c>
      <c r="G3546" s="1547"/>
      <c r="H3546" s="8"/>
      <c r="I3546" s="8"/>
      <c r="J3546" s="8"/>
      <c r="K3546" s="8"/>
      <c r="L3546" s="8"/>
      <c r="M3546" s="8"/>
      <c r="N3546" s="8"/>
      <c r="O3546" s="8"/>
      <c r="P3546" s="8"/>
      <c r="Q3546" s="8"/>
      <c r="R3546" s="8"/>
      <c r="S3546" s="8"/>
      <c r="T3546" s="8"/>
      <c r="U3546" s="8"/>
      <c r="V3546" s="8"/>
      <c r="W3546" s="8"/>
      <c r="X3546" s="771"/>
      <c r="Y3546" s="771"/>
      <c r="Z3546" s="771"/>
      <c r="AA3546" s="771"/>
      <c r="AB3546" s="771"/>
      <c r="AC3546" s="771"/>
      <c r="AD3546" s="771"/>
      <c r="AE3546" s="771"/>
      <c r="AF3546" s="771"/>
      <c r="AG3546" s="771"/>
      <c r="AH3546" s="771"/>
      <c r="AI3546" s="771"/>
      <c r="AJ3546" s="771"/>
      <c r="AK3546" s="771"/>
      <c r="AL3546" s="771"/>
      <c r="AM3546" s="771"/>
      <c r="AN3546" s="771"/>
      <c r="AO3546" s="771"/>
      <c r="AP3546" s="771"/>
      <c r="AQ3546" s="771"/>
      <c r="AR3546" s="771"/>
      <c r="AS3546" s="771"/>
      <c r="AT3546" s="771"/>
      <c r="AU3546" s="771"/>
    </row>
    <row r="3547" spans="1:47" s="15" customFormat="1" outlineLevel="1" x14ac:dyDescent="0.2">
      <c r="A3547" s="8"/>
      <c r="B3547" s="8"/>
      <c r="C3547" s="1989" t="s">
        <v>4954</v>
      </c>
      <c r="D3547" s="1989" t="s">
        <v>8511</v>
      </c>
      <c r="E3547" s="1989">
        <v>4.21</v>
      </c>
      <c r="F3547" s="1546">
        <f t="shared" si="53"/>
        <v>342.36242040000002</v>
      </c>
      <c r="G3547" s="1547"/>
      <c r="H3547" s="8"/>
      <c r="I3547" s="8"/>
      <c r="J3547" s="8"/>
      <c r="K3547" s="8"/>
      <c r="L3547" s="8"/>
      <c r="M3547" s="8"/>
      <c r="N3547" s="8"/>
      <c r="O3547" s="8"/>
      <c r="P3547" s="8"/>
      <c r="Q3547" s="8"/>
      <c r="R3547" s="8"/>
      <c r="S3547" s="8"/>
      <c r="T3547" s="8"/>
      <c r="U3547" s="8"/>
      <c r="V3547" s="8"/>
      <c r="W3547" s="8"/>
      <c r="X3547" s="771"/>
      <c r="Y3547" s="771"/>
      <c r="Z3547" s="771"/>
      <c r="AA3547" s="771"/>
      <c r="AB3547" s="771"/>
      <c r="AC3547" s="771"/>
      <c r="AD3547" s="771"/>
      <c r="AE3547" s="771"/>
      <c r="AF3547" s="771"/>
      <c r="AG3547" s="771"/>
      <c r="AH3547" s="771"/>
      <c r="AI3547" s="771"/>
      <c r="AJ3547" s="771"/>
      <c r="AK3547" s="771"/>
      <c r="AL3547" s="771"/>
      <c r="AM3547" s="771"/>
      <c r="AN3547" s="771"/>
      <c r="AO3547" s="771"/>
      <c r="AP3547" s="771"/>
      <c r="AQ3547" s="771"/>
      <c r="AR3547" s="771"/>
      <c r="AS3547" s="771"/>
      <c r="AT3547" s="771"/>
      <c r="AU3547" s="771"/>
    </row>
    <row r="3548" spans="1:47" s="15" customFormat="1" outlineLevel="1" x14ac:dyDescent="0.2">
      <c r="A3548" s="8"/>
      <c r="B3548" s="8"/>
      <c r="C3548" s="1989" t="s">
        <v>4955</v>
      </c>
      <c r="D3548" s="1989" t="s">
        <v>8512</v>
      </c>
      <c r="E3548" s="1989">
        <v>0.44</v>
      </c>
      <c r="F3548" s="1546">
        <f t="shared" si="53"/>
        <v>35.781345600000002</v>
      </c>
      <c r="G3548" s="1547"/>
      <c r="H3548" s="8"/>
      <c r="I3548" s="8"/>
      <c r="J3548" s="8"/>
      <c r="K3548" s="8"/>
      <c r="L3548" s="8"/>
      <c r="M3548" s="8"/>
      <c r="N3548" s="8"/>
      <c r="O3548" s="8"/>
      <c r="P3548" s="8"/>
      <c r="Q3548" s="8"/>
      <c r="R3548" s="8"/>
      <c r="S3548" s="8"/>
      <c r="T3548" s="8"/>
      <c r="U3548" s="8"/>
      <c r="V3548" s="8"/>
      <c r="W3548" s="8"/>
      <c r="X3548" s="771"/>
      <c r="Y3548" s="771"/>
      <c r="Z3548" s="771"/>
      <c r="AA3548" s="771"/>
      <c r="AB3548" s="771"/>
      <c r="AC3548" s="771"/>
      <c r="AD3548" s="771"/>
      <c r="AE3548" s="771"/>
      <c r="AF3548" s="771"/>
      <c r="AG3548" s="771"/>
      <c r="AH3548" s="771"/>
      <c r="AI3548" s="771"/>
      <c r="AJ3548" s="771"/>
      <c r="AK3548" s="771"/>
      <c r="AL3548" s="771"/>
      <c r="AM3548" s="771"/>
      <c r="AN3548" s="771"/>
      <c r="AO3548" s="771"/>
      <c r="AP3548" s="771"/>
      <c r="AQ3548" s="771"/>
      <c r="AR3548" s="771"/>
      <c r="AS3548" s="771"/>
      <c r="AT3548" s="771"/>
      <c r="AU3548" s="771"/>
    </row>
    <row r="3549" spans="1:47" s="15" customFormat="1" outlineLevel="1" x14ac:dyDescent="0.2">
      <c r="A3549" s="8"/>
      <c r="B3549" s="8"/>
      <c r="C3549" s="1989" t="s">
        <v>6901</v>
      </c>
      <c r="D3549" s="1989" t="s">
        <v>8513</v>
      </c>
      <c r="E3549" s="1989">
        <v>0</v>
      </c>
      <c r="F3549" s="1546">
        <f t="shared" si="53"/>
        <v>0</v>
      </c>
      <c r="G3549" s="1547"/>
      <c r="H3549" s="8"/>
      <c r="I3549" s="8"/>
      <c r="J3549" s="8"/>
      <c r="K3549" s="8"/>
      <c r="L3549" s="8"/>
      <c r="M3549" s="8"/>
      <c r="N3549" s="8"/>
      <c r="O3549" s="8"/>
      <c r="P3549" s="8"/>
      <c r="Q3549" s="8"/>
      <c r="R3549" s="8"/>
      <c r="S3549" s="8"/>
      <c r="T3549" s="8"/>
      <c r="U3549" s="8"/>
      <c r="V3549" s="8"/>
      <c r="W3549" s="8"/>
      <c r="X3549" s="771"/>
      <c r="Y3549" s="771"/>
      <c r="Z3549" s="771"/>
      <c r="AA3549" s="771"/>
      <c r="AB3549" s="771"/>
      <c r="AC3549" s="771"/>
      <c r="AD3549" s="771"/>
      <c r="AE3549" s="771"/>
      <c r="AF3549" s="771"/>
      <c r="AG3549" s="771"/>
      <c r="AH3549" s="771"/>
      <c r="AI3549" s="771"/>
      <c r="AJ3549" s="771"/>
      <c r="AK3549" s="771"/>
      <c r="AL3549" s="771"/>
      <c r="AM3549" s="771"/>
      <c r="AN3549" s="771"/>
      <c r="AO3549" s="771"/>
      <c r="AP3549" s="771"/>
      <c r="AQ3549" s="771"/>
      <c r="AR3549" s="771"/>
      <c r="AS3549" s="771"/>
      <c r="AT3549" s="771"/>
      <c r="AU3549" s="771"/>
    </row>
    <row r="3550" spans="1:47" s="15" customFormat="1" outlineLevel="1" x14ac:dyDescent="0.2">
      <c r="A3550" s="8"/>
      <c r="B3550" s="8"/>
      <c r="C3550" s="1989" t="s">
        <v>4272</v>
      </c>
      <c r="D3550" s="1989" t="s">
        <v>4273</v>
      </c>
      <c r="E3550" s="1989">
        <v>0.34</v>
      </c>
      <c r="F3550" s="1546">
        <f t="shared" si="53"/>
        <v>27.649221600000004</v>
      </c>
      <c r="G3550" s="1547"/>
      <c r="H3550" s="8"/>
      <c r="I3550" s="8"/>
      <c r="J3550" s="8"/>
      <c r="K3550" s="8"/>
      <c r="L3550" s="8"/>
      <c r="M3550" s="8"/>
      <c r="N3550" s="8"/>
      <c r="O3550" s="8"/>
      <c r="P3550" s="8"/>
      <c r="Q3550" s="8"/>
      <c r="R3550" s="8"/>
      <c r="S3550" s="8"/>
      <c r="T3550" s="8"/>
      <c r="U3550" s="8"/>
      <c r="V3550" s="8"/>
      <c r="W3550" s="8"/>
      <c r="X3550" s="771"/>
      <c r="Y3550" s="771"/>
      <c r="Z3550" s="771"/>
      <c r="AA3550" s="771"/>
      <c r="AB3550" s="771"/>
      <c r="AC3550" s="771"/>
      <c r="AD3550" s="771"/>
      <c r="AE3550" s="771"/>
      <c r="AF3550" s="771"/>
      <c r="AG3550" s="771"/>
      <c r="AH3550" s="771"/>
      <c r="AI3550" s="771"/>
      <c r="AJ3550" s="771"/>
      <c r="AK3550" s="771"/>
      <c r="AL3550" s="771"/>
      <c r="AM3550" s="771"/>
      <c r="AN3550" s="771"/>
      <c r="AO3550" s="771"/>
      <c r="AP3550" s="771"/>
      <c r="AQ3550" s="771"/>
      <c r="AR3550" s="771"/>
      <c r="AS3550" s="771"/>
      <c r="AT3550" s="771"/>
      <c r="AU3550" s="771"/>
    </row>
    <row r="3551" spans="1:47" s="15" customFormat="1" outlineLevel="1" x14ac:dyDescent="0.2">
      <c r="A3551" s="8"/>
      <c r="B3551" s="8"/>
      <c r="C3551" s="1989" t="s">
        <v>6902</v>
      </c>
      <c r="D3551" s="1989" t="s">
        <v>8514</v>
      </c>
      <c r="E3551" s="1989">
        <v>7.56</v>
      </c>
      <c r="F3551" s="1546">
        <f t="shared" si="53"/>
        <v>614.78857440000002</v>
      </c>
      <c r="G3551" s="1547"/>
      <c r="H3551" s="8"/>
      <c r="I3551" s="8"/>
      <c r="J3551" s="8"/>
      <c r="K3551" s="8"/>
      <c r="L3551" s="8"/>
      <c r="M3551" s="8"/>
      <c r="N3551" s="8"/>
      <c r="O3551" s="8"/>
      <c r="P3551" s="8"/>
      <c r="Q3551" s="8"/>
      <c r="R3551" s="8"/>
      <c r="S3551" s="8"/>
      <c r="T3551" s="8"/>
      <c r="U3551" s="8"/>
      <c r="V3551" s="8"/>
      <c r="W3551" s="8"/>
      <c r="X3551" s="771"/>
      <c r="Y3551" s="771"/>
      <c r="Z3551" s="771"/>
      <c r="AA3551" s="771"/>
      <c r="AB3551" s="771"/>
      <c r="AC3551" s="771"/>
      <c r="AD3551" s="771"/>
      <c r="AE3551" s="771"/>
      <c r="AF3551" s="771"/>
      <c r="AG3551" s="771"/>
      <c r="AH3551" s="771"/>
      <c r="AI3551" s="771"/>
      <c r="AJ3551" s="771"/>
      <c r="AK3551" s="771"/>
      <c r="AL3551" s="771"/>
      <c r="AM3551" s="771"/>
      <c r="AN3551" s="771"/>
      <c r="AO3551" s="771"/>
      <c r="AP3551" s="771"/>
      <c r="AQ3551" s="771"/>
      <c r="AR3551" s="771"/>
      <c r="AS3551" s="771"/>
      <c r="AT3551" s="771"/>
      <c r="AU3551" s="771"/>
    </row>
    <row r="3552" spans="1:47" s="15" customFormat="1" outlineLevel="1" x14ac:dyDescent="0.2">
      <c r="A3552" s="8"/>
      <c r="B3552" s="8"/>
      <c r="C3552" s="1989" t="s">
        <v>6903</v>
      </c>
      <c r="D3552" s="1989" t="s">
        <v>8515</v>
      </c>
      <c r="E3552" s="1989">
        <v>0.01</v>
      </c>
      <c r="F3552" s="1546">
        <f t="shared" si="53"/>
        <v>0.81321240000000006</v>
      </c>
      <c r="G3552" s="1547"/>
      <c r="H3552" s="8"/>
      <c r="I3552" s="8"/>
      <c r="J3552" s="8"/>
      <c r="K3552" s="8"/>
      <c r="L3552" s="8"/>
      <c r="M3552" s="8"/>
      <c r="N3552" s="8"/>
      <c r="O3552" s="8"/>
      <c r="P3552" s="8"/>
      <c r="Q3552" s="8"/>
      <c r="R3552" s="8"/>
      <c r="S3552" s="8"/>
      <c r="T3552" s="8"/>
      <c r="U3552" s="8"/>
      <c r="V3552" s="8"/>
      <c r="W3552" s="8"/>
      <c r="X3552" s="771"/>
      <c r="Y3552" s="771"/>
      <c r="Z3552" s="771"/>
      <c r="AA3552" s="771"/>
      <c r="AB3552" s="771"/>
      <c r="AC3552" s="771"/>
      <c r="AD3552" s="771"/>
      <c r="AE3552" s="771"/>
      <c r="AF3552" s="771"/>
      <c r="AG3552" s="771"/>
      <c r="AH3552" s="771"/>
      <c r="AI3552" s="771"/>
      <c r="AJ3552" s="771"/>
      <c r="AK3552" s="771"/>
      <c r="AL3552" s="771"/>
      <c r="AM3552" s="771"/>
      <c r="AN3552" s="771"/>
      <c r="AO3552" s="771"/>
      <c r="AP3552" s="771"/>
      <c r="AQ3552" s="771"/>
      <c r="AR3552" s="771"/>
      <c r="AS3552" s="771"/>
      <c r="AT3552" s="771"/>
      <c r="AU3552" s="771"/>
    </row>
    <row r="3553" spans="1:47" s="15" customFormat="1" outlineLevel="1" x14ac:dyDescent="0.2">
      <c r="A3553" s="8"/>
      <c r="B3553" s="8"/>
      <c r="C3553" s="1989" t="s">
        <v>4956</v>
      </c>
      <c r="D3553" s="1989" t="s">
        <v>8516</v>
      </c>
      <c r="E3553" s="1989">
        <v>0.08</v>
      </c>
      <c r="F3553" s="1546">
        <f t="shared" si="53"/>
        <v>6.5056992000000005</v>
      </c>
      <c r="G3553" s="1547"/>
      <c r="H3553" s="8"/>
      <c r="I3553" s="8"/>
      <c r="J3553" s="8"/>
      <c r="K3553" s="8"/>
      <c r="L3553" s="8"/>
      <c r="M3553" s="8"/>
      <c r="N3553" s="8"/>
      <c r="O3553" s="8"/>
      <c r="P3553" s="8"/>
      <c r="Q3553" s="8"/>
      <c r="R3553" s="8"/>
      <c r="S3553" s="8"/>
      <c r="T3553" s="8"/>
      <c r="U3553" s="8"/>
      <c r="V3553" s="8"/>
      <c r="W3553" s="8"/>
      <c r="X3553" s="771"/>
      <c r="Y3553" s="771"/>
      <c r="Z3553" s="771"/>
      <c r="AA3553" s="771"/>
      <c r="AB3553" s="771"/>
      <c r="AC3553" s="771"/>
      <c r="AD3553" s="771"/>
      <c r="AE3553" s="771"/>
      <c r="AF3553" s="771"/>
      <c r="AG3553" s="771"/>
      <c r="AH3553" s="771"/>
      <c r="AI3553" s="771"/>
      <c r="AJ3553" s="771"/>
      <c r="AK3553" s="771"/>
      <c r="AL3553" s="771"/>
      <c r="AM3553" s="771"/>
      <c r="AN3553" s="771"/>
      <c r="AO3553" s="771"/>
      <c r="AP3553" s="771"/>
      <c r="AQ3553" s="771"/>
      <c r="AR3553" s="771"/>
      <c r="AS3553" s="771"/>
      <c r="AT3553" s="771"/>
      <c r="AU3553" s="771"/>
    </row>
    <row r="3554" spans="1:47" s="15" customFormat="1" outlineLevel="1" x14ac:dyDescent="0.2">
      <c r="A3554" s="8"/>
      <c r="B3554" s="8"/>
      <c r="C3554" s="1989" t="s">
        <v>6904</v>
      </c>
      <c r="D3554" s="1989" t="s">
        <v>8517</v>
      </c>
      <c r="E3554" s="1989">
        <v>0</v>
      </c>
      <c r="F3554" s="1546">
        <f t="shared" si="53"/>
        <v>0</v>
      </c>
      <c r="G3554" s="1547"/>
      <c r="H3554" s="8"/>
      <c r="I3554" s="8"/>
      <c r="J3554" s="8"/>
      <c r="K3554" s="8"/>
      <c r="L3554" s="8"/>
      <c r="M3554" s="8"/>
      <c r="N3554" s="8"/>
      <c r="O3554" s="8"/>
      <c r="P3554" s="8"/>
      <c r="Q3554" s="8"/>
      <c r="R3554" s="8"/>
      <c r="S3554" s="8"/>
      <c r="T3554" s="8"/>
      <c r="U3554" s="8"/>
      <c r="V3554" s="8"/>
      <c r="W3554" s="8"/>
      <c r="X3554" s="771"/>
      <c r="Y3554" s="771"/>
      <c r="Z3554" s="771"/>
      <c r="AA3554" s="771"/>
      <c r="AB3554" s="771"/>
      <c r="AC3554" s="771"/>
      <c r="AD3554" s="771"/>
      <c r="AE3554" s="771"/>
      <c r="AF3554" s="771"/>
      <c r="AG3554" s="771"/>
      <c r="AH3554" s="771"/>
      <c r="AI3554" s="771"/>
      <c r="AJ3554" s="771"/>
      <c r="AK3554" s="771"/>
      <c r="AL3554" s="771"/>
      <c r="AM3554" s="771"/>
      <c r="AN3554" s="771"/>
      <c r="AO3554" s="771"/>
      <c r="AP3554" s="771"/>
      <c r="AQ3554" s="771"/>
      <c r="AR3554" s="771"/>
      <c r="AS3554" s="771"/>
      <c r="AT3554" s="771"/>
      <c r="AU3554" s="771"/>
    </row>
    <row r="3555" spans="1:47" s="15" customFormat="1" outlineLevel="1" x14ac:dyDescent="0.2">
      <c r="A3555" s="8"/>
      <c r="B3555" s="8"/>
      <c r="C3555" s="1989" t="s">
        <v>4274</v>
      </c>
      <c r="D3555" s="1989" t="s">
        <v>8518</v>
      </c>
      <c r="E3555" s="1989">
        <v>0.2</v>
      </c>
      <c r="F3555" s="1546">
        <f t="shared" si="53"/>
        <v>16.264248000000002</v>
      </c>
      <c r="G3555" s="1547"/>
      <c r="H3555" s="8"/>
      <c r="I3555" s="8"/>
      <c r="J3555" s="8"/>
      <c r="K3555" s="8"/>
      <c r="L3555" s="8"/>
      <c r="M3555" s="8"/>
      <c r="N3555" s="8"/>
      <c r="O3555" s="8"/>
      <c r="P3555" s="8"/>
      <c r="Q3555" s="8"/>
      <c r="R3555" s="8"/>
      <c r="S3555" s="8"/>
      <c r="T3555" s="8"/>
      <c r="U3555" s="8"/>
      <c r="V3555" s="8"/>
      <c r="W3555" s="8"/>
      <c r="X3555" s="771"/>
      <c r="Y3555" s="771"/>
      <c r="Z3555" s="771"/>
      <c r="AA3555" s="771"/>
      <c r="AB3555" s="771"/>
      <c r="AC3555" s="771"/>
      <c r="AD3555" s="771"/>
      <c r="AE3555" s="771"/>
      <c r="AF3555" s="771"/>
      <c r="AG3555" s="771"/>
      <c r="AH3555" s="771"/>
      <c r="AI3555" s="771"/>
      <c r="AJ3555" s="771"/>
      <c r="AK3555" s="771"/>
      <c r="AL3555" s="771"/>
      <c r="AM3555" s="771"/>
      <c r="AN3555" s="771"/>
      <c r="AO3555" s="771"/>
      <c r="AP3555" s="771"/>
      <c r="AQ3555" s="771"/>
      <c r="AR3555" s="771"/>
      <c r="AS3555" s="771"/>
      <c r="AT3555" s="771"/>
      <c r="AU3555" s="771"/>
    </row>
    <row r="3556" spans="1:47" s="15" customFormat="1" outlineLevel="1" x14ac:dyDescent="0.2">
      <c r="A3556" s="8"/>
      <c r="B3556" s="8"/>
      <c r="C3556" s="1989" t="s">
        <v>4275</v>
      </c>
      <c r="D3556" s="1989" t="s">
        <v>4276</v>
      </c>
      <c r="E3556" s="1989">
        <v>0.34</v>
      </c>
      <c r="F3556" s="1546">
        <f t="shared" si="53"/>
        <v>27.649221600000004</v>
      </c>
      <c r="G3556" s="1547"/>
      <c r="H3556" s="8"/>
      <c r="I3556" s="8"/>
      <c r="J3556" s="8"/>
      <c r="K3556" s="8"/>
      <c r="L3556" s="8"/>
      <c r="M3556" s="8"/>
      <c r="N3556" s="8"/>
      <c r="O3556" s="8"/>
      <c r="P3556" s="8"/>
      <c r="Q3556" s="8"/>
      <c r="R3556" s="8"/>
      <c r="S3556" s="8"/>
      <c r="T3556" s="8"/>
      <c r="U3556" s="8"/>
      <c r="V3556" s="8"/>
      <c r="W3556" s="8"/>
      <c r="X3556" s="771"/>
      <c r="Y3556" s="771"/>
      <c r="Z3556" s="771"/>
      <c r="AA3556" s="771"/>
      <c r="AB3556" s="771"/>
      <c r="AC3556" s="771"/>
      <c r="AD3556" s="771"/>
      <c r="AE3556" s="771"/>
      <c r="AF3556" s="771"/>
      <c r="AG3556" s="771"/>
      <c r="AH3556" s="771"/>
      <c r="AI3556" s="771"/>
      <c r="AJ3556" s="771"/>
      <c r="AK3556" s="771"/>
      <c r="AL3556" s="771"/>
      <c r="AM3556" s="771"/>
      <c r="AN3556" s="771"/>
      <c r="AO3556" s="771"/>
      <c r="AP3556" s="771"/>
      <c r="AQ3556" s="771"/>
      <c r="AR3556" s="771"/>
      <c r="AS3556" s="771"/>
      <c r="AT3556" s="771"/>
      <c r="AU3556" s="771"/>
    </row>
    <row r="3557" spans="1:47" s="15" customFormat="1" outlineLevel="1" x14ac:dyDescent="0.2">
      <c r="A3557" s="8"/>
      <c r="B3557" s="8"/>
      <c r="C3557" s="1989" t="s">
        <v>4957</v>
      </c>
      <c r="D3557" s="1989" t="s">
        <v>8519</v>
      </c>
      <c r="E3557" s="1989">
        <v>0.04</v>
      </c>
      <c r="F3557" s="1546">
        <f t="shared" si="53"/>
        <v>3.2528496000000002</v>
      </c>
      <c r="G3557" s="1547"/>
      <c r="H3557" s="8"/>
      <c r="I3557" s="8"/>
      <c r="J3557" s="8"/>
      <c r="K3557" s="8"/>
      <c r="L3557" s="8"/>
      <c r="M3557" s="8"/>
      <c r="N3557" s="8"/>
      <c r="O3557" s="8"/>
      <c r="P3557" s="8"/>
      <c r="Q3557" s="8"/>
      <c r="R3557" s="8"/>
      <c r="S3557" s="8"/>
      <c r="T3557" s="8"/>
      <c r="U3557" s="8"/>
      <c r="V3557" s="8"/>
      <c r="W3557" s="8"/>
      <c r="X3557" s="771"/>
      <c r="Y3557" s="771"/>
      <c r="Z3557" s="771"/>
      <c r="AA3557" s="771"/>
      <c r="AB3557" s="771"/>
      <c r="AC3557" s="771"/>
      <c r="AD3557" s="771"/>
      <c r="AE3557" s="771"/>
      <c r="AF3557" s="771"/>
      <c r="AG3557" s="771"/>
      <c r="AH3557" s="771"/>
      <c r="AI3557" s="771"/>
      <c r="AJ3557" s="771"/>
      <c r="AK3557" s="771"/>
      <c r="AL3557" s="771"/>
      <c r="AM3557" s="771"/>
      <c r="AN3557" s="771"/>
      <c r="AO3557" s="771"/>
      <c r="AP3557" s="771"/>
      <c r="AQ3557" s="771"/>
      <c r="AR3557" s="771"/>
      <c r="AS3557" s="771"/>
      <c r="AT3557" s="771"/>
      <c r="AU3557" s="771"/>
    </row>
    <row r="3558" spans="1:47" s="15" customFormat="1" outlineLevel="1" x14ac:dyDescent="0.2">
      <c r="A3558" s="8"/>
      <c r="B3558" s="8"/>
      <c r="C3558" s="1989" t="s">
        <v>4958</v>
      </c>
      <c r="D3558" s="1989" t="s">
        <v>8520</v>
      </c>
      <c r="E3558" s="1989">
        <v>1.37</v>
      </c>
      <c r="F3558" s="1546">
        <f t="shared" si="53"/>
        <v>111.41009880000001</v>
      </c>
      <c r="G3558" s="1547"/>
      <c r="H3558" s="8"/>
      <c r="I3558" s="8"/>
      <c r="J3558" s="8"/>
      <c r="K3558" s="8"/>
      <c r="L3558" s="8"/>
      <c r="M3558" s="8"/>
      <c r="N3558" s="8"/>
      <c r="O3558" s="8"/>
      <c r="P3558" s="8"/>
      <c r="Q3558" s="8"/>
      <c r="R3558" s="8"/>
      <c r="S3558" s="8"/>
      <c r="T3558" s="8"/>
      <c r="U3558" s="8"/>
      <c r="V3558" s="8"/>
      <c r="W3558" s="8"/>
      <c r="X3558" s="771"/>
      <c r="Y3558" s="771"/>
      <c r="Z3558" s="771"/>
      <c r="AA3558" s="771"/>
      <c r="AB3558" s="771"/>
      <c r="AC3558" s="771"/>
      <c r="AD3558" s="771"/>
      <c r="AE3558" s="771"/>
      <c r="AF3558" s="771"/>
      <c r="AG3558" s="771"/>
      <c r="AH3558" s="771"/>
      <c r="AI3558" s="771"/>
      <c r="AJ3558" s="771"/>
      <c r="AK3558" s="771"/>
      <c r="AL3558" s="771"/>
      <c r="AM3558" s="771"/>
      <c r="AN3558" s="771"/>
      <c r="AO3558" s="771"/>
      <c r="AP3558" s="771"/>
      <c r="AQ3558" s="771"/>
      <c r="AR3558" s="771"/>
      <c r="AS3558" s="771"/>
      <c r="AT3558" s="771"/>
      <c r="AU3558" s="771"/>
    </row>
    <row r="3559" spans="1:47" s="15" customFormat="1" outlineLevel="1" x14ac:dyDescent="0.2">
      <c r="A3559" s="8"/>
      <c r="B3559" s="8"/>
      <c r="C3559" s="1989" t="s">
        <v>4277</v>
      </c>
      <c r="D3559" s="1989" t="s">
        <v>4278</v>
      </c>
      <c r="E3559" s="1989">
        <v>0</v>
      </c>
      <c r="F3559" s="1546">
        <f t="shared" ref="F3559:F3622" si="54">E3559*$G$4*$J$4</f>
        <v>0</v>
      </c>
      <c r="G3559" s="1547"/>
      <c r="H3559" s="8"/>
      <c r="I3559" s="8"/>
      <c r="J3559" s="8"/>
      <c r="K3559" s="8"/>
      <c r="L3559" s="8"/>
      <c r="M3559" s="8"/>
      <c r="N3559" s="8"/>
      <c r="O3559" s="8"/>
      <c r="P3559" s="8"/>
      <c r="Q3559" s="8"/>
      <c r="R3559" s="8"/>
      <c r="S3559" s="8"/>
      <c r="T3559" s="8"/>
      <c r="U3559" s="8"/>
      <c r="V3559" s="8"/>
      <c r="W3559" s="8"/>
      <c r="X3559" s="771"/>
      <c r="Y3559" s="771"/>
      <c r="Z3559" s="771"/>
      <c r="AA3559" s="771"/>
      <c r="AB3559" s="771"/>
      <c r="AC3559" s="771"/>
      <c r="AD3559" s="771"/>
      <c r="AE3559" s="771"/>
      <c r="AF3559" s="771"/>
      <c r="AG3559" s="771"/>
      <c r="AH3559" s="771"/>
      <c r="AI3559" s="771"/>
      <c r="AJ3559" s="771"/>
      <c r="AK3559" s="771"/>
      <c r="AL3559" s="771"/>
      <c r="AM3559" s="771"/>
      <c r="AN3559" s="771"/>
      <c r="AO3559" s="771"/>
      <c r="AP3559" s="771"/>
      <c r="AQ3559" s="771"/>
      <c r="AR3559" s="771"/>
      <c r="AS3559" s="771"/>
      <c r="AT3559" s="771"/>
      <c r="AU3559" s="771"/>
    </row>
    <row r="3560" spans="1:47" s="15" customFormat="1" outlineLevel="1" x14ac:dyDescent="0.2">
      <c r="A3560" s="8"/>
      <c r="B3560" s="8"/>
      <c r="C3560" s="1989" t="s">
        <v>4959</v>
      </c>
      <c r="D3560" s="1989" t="s">
        <v>8521</v>
      </c>
      <c r="E3560" s="1989">
        <v>0.02</v>
      </c>
      <c r="F3560" s="1546">
        <f t="shared" si="54"/>
        <v>1.6264248000000001</v>
      </c>
      <c r="G3560" s="1547"/>
      <c r="H3560" s="8"/>
      <c r="I3560" s="8"/>
      <c r="J3560" s="8"/>
      <c r="K3560" s="8"/>
      <c r="L3560" s="8"/>
      <c r="M3560" s="8"/>
      <c r="N3560" s="8"/>
      <c r="O3560" s="8"/>
      <c r="P3560" s="8"/>
      <c r="Q3560" s="8"/>
      <c r="R3560" s="8"/>
      <c r="S3560" s="8"/>
      <c r="T3560" s="8"/>
      <c r="U3560" s="8"/>
      <c r="V3560" s="8"/>
      <c r="W3560" s="8"/>
      <c r="X3560" s="771"/>
      <c r="Y3560" s="771"/>
      <c r="Z3560" s="771"/>
      <c r="AA3560" s="771"/>
      <c r="AB3560" s="771"/>
      <c r="AC3560" s="771"/>
      <c r="AD3560" s="771"/>
      <c r="AE3560" s="771"/>
      <c r="AF3560" s="771"/>
      <c r="AG3560" s="771"/>
      <c r="AH3560" s="771"/>
      <c r="AI3560" s="771"/>
      <c r="AJ3560" s="771"/>
      <c r="AK3560" s="771"/>
      <c r="AL3560" s="771"/>
      <c r="AM3560" s="771"/>
      <c r="AN3560" s="771"/>
      <c r="AO3560" s="771"/>
      <c r="AP3560" s="771"/>
      <c r="AQ3560" s="771"/>
      <c r="AR3560" s="771"/>
      <c r="AS3560" s="771"/>
      <c r="AT3560" s="771"/>
      <c r="AU3560" s="771"/>
    </row>
    <row r="3561" spans="1:47" s="15" customFormat="1" outlineLevel="1" x14ac:dyDescent="0.2">
      <c r="A3561" s="8"/>
      <c r="B3561" s="8"/>
      <c r="C3561" s="1989" t="s">
        <v>6905</v>
      </c>
      <c r="D3561" s="1989" t="s">
        <v>8522</v>
      </c>
      <c r="E3561" s="1989">
        <v>0</v>
      </c>
      <c r="F3561" s="1546">
        <f t="shared" si="54"/>
        <v>0</v>
      </c>
      <c r="G3561" s="1547"/>
      <c r="H3561" s="8"/>
      <c r="I3561" s="8"/>
      <c r="J3561" s="8"/>
      <c r="K3561" s="8"/>
      <c r="L3561" s="8"/>
      <c r="M3561" s="8"/>
      <c r="N3561" s="8"/>
      <c r="O3561" s="8"/>
      <c r="P3561" s="8"/>
      <c r="Q3561" s="8"/>
      <c r="R3561" s="8"/>
      <c r="S3561" s="8"/>
      <c r="T3561" s="8"/>
      <c r="U3561" s="8"/>
      <c r="V3561" s="8"/>
      <c r="W3561" s="8"/>
      <c r="X3561" s="771"/>
      <c r="Y3561" s="771"/>
      <c r="Z3561" s="771"/>
      <c r="AA3561" s="771"/>
      <c r="AB3561" s="771"/>
      <c r="AC3561" s="771"/>
      <c r="AD3561" s="771"/>
      <c r="AE3561" s="771"/>
      <c r="AF3561" s="771"/>
      <c r="AG3561" s="771"/>
      <c r="AH3561" s="771"/>
      <c r="AI3561" s="771"/>
      <c r="AJ3561" s="771"/>
      <c r="AK3561" s="771"/>
      <c r="AL3561" s="771"/>
      <c r="AM3561" s="771"/>
      <c r="AN3561" s="771"/>
      <c r="AO3561" s="771"/>
      <c r="AP3561" s="771"/>
      <c r="AQ3561" s="771"/>
      <c r="AR3561" s="771"/>
      <c r="AS3561" s="771"/>
      <c r="AT3561" s="771"/>
      <c r="AU3561" s="771"/>
    </row>
    <row r="3562" spans="1:47" s="15" customFormat="1" outlineLevel="1" x14ac:dyDescent="0.2">
      <c r="A3562" s="8"/>
      <c r="B3562" s="8"/>
      <c r="C3562" s="1989" t="s">
        <v>4960</v>
      </c>
      <c r="D3562" s="1989" t="s">
        <v>8523</v>
      </c>
      <c r="E3562" s="1989">
        <v>0.11</v>
      </c>
      <c r="F3562" s="1546">
        <f t="shared" si="54"/>
        <v>8.9453364000000004</v>
      </c>
      <c r="G3562" s="1547"/>
      <c r="H3562" s="8"/>
      <c r="I3562" s="8"/>
      <c r="J3562" s="8"/>
      <c r="K3562" s="8"/>
      <c r="L3562" s="8"/>
      <c r="M3562" s="8"/>
      <c r="N3562" s="8"/>
      <c r="O3562" s="8"/>
      <c r="P3562" s="8"/>
      <c r="Q3562" s="8"/>
      <c r="R3562" s="8"/>
      <c r="S3562" s="8"/>
      <c r="T3562" s="8"/>
      <c r="U3562" s="8"/>
      <c r="V3562" s="8"/>
      <c r="W3562" s="8"/>
      <c r="X3562" s="771"/>
      <c r="Y3562" s="771"/>
      <c r="Z3562" s="771"/>
      <c r="AA3562" s="771"/>
      <c r="AB3562" s="771"/>
      <c r="AC3562" s="771"/>
      <c r="AD3562" s="771"/>
      <c r="AE3562" s="771"/>
      <c r="AF3562" s="771"/>
      <c r="AG3562" s="771"/>
      <c r="AH3562" s="771"/>
      <c r="AI3562" s="771"/>
      <c r="AJ3562" s="771"/>
      <c r="AK3562" s="771"/>
      <c r="AL3562" s="771"/>
      <c r="AM3562" s="771"/>
      <c r="AN3562" s="771"/>
      <c r="AO3562" s="771"/>
      <c r="AP3562" s="771"/>
      <c r="AQ3562" s="771"/>
      <c r="AR3562" s="771"/>
      <c r="AS3562" s="771"/>
      <c r="AT3562" s="771"/>
      <c r="AU3562" s="771"/>
    </row>
    <row r="3563" spans="1:47" s="15" customFormat="1" outlineLevel="1" x14ac:dyDescent="0.2">
      <c r="A3563" s="8"/>
      <c r="B3563" s="8"/>
      <c r="C3563" s="1989" t="s">
        <v>2702</v>
      </c>
      <c r="D3563" s="1989" t="s">
        <v>8524</v>
      </c>
      <c r="E3563" s="1989">
        <v>0</v>
      </c>
      <c r="F3563" s="1546">
        <f t="shared" si="54"/>
        <v>0</v>
      </c>
      <c r="G3563" s="1547"/>
      <c r="H3563" s="8"/>
      <c r="I3563" s="8"/>
      <c r="J3563" s="8"/>
      <c r="K3563" s="8"/>
      <c r="L3563" s="8"/>
      <c r="M3563" s="8"/>
      <c r="N3563" s="8"/>
      <c r="O3563" s="8"/>
      <c r="P3563" s="8"/>
      <c r="Q3563" s="8"/>
      <c r="R3563" s="8"/>
      <c r="S3563" s="8"/>
      <c r="T3563" s="8"/>
      <c r="U3563" s="8"/>
      <c r="V3563" s="8"/>
      <c r="W3563" s="8"/>
      <c r="X3563" s="771"/>
      <c r="Y3563" s="771"/>
      <c r="Z3563" s="771"/>
      <c r="AA3563" s="771"/>
      <c r="AB3563" s="771"/>
      <c r="AC3563" s="771"/>
      <c r="AD3563" s="771"/>
      <c r="AE3563" s="771"/>
      <c r="AF3563" s="771"/>
      <c r="AG3563" s="771"/>
      <c r="AH3563" s="771"/>
      <c r="AI3563" s="771"/>
      <c r="AJ3563" s="771"/>
      <c r="AK3563" s="771"/>
      <c r="AL3563" s="771"/>
      <c r="AM3563" s="771"/>
      <c r="AN3563" s="771"/>
      <c r="AO3563" s="771"/>
      <c r="AP3563" s="771"/>
      <c r="AQ3563" s="771"/>
      <c r="AR3563" s="771"/>
      <c r="AS3563" s="771"/>
      <c r="AT3563" s="771"/>
      <c r="AU3563" s="771"/>
    </row>
    <row r="3564" spans="1:47" s="15" customFormat="1" outlineLevel="1" x14ac:dyDescent="0.2">
      <c r="A3564" s="8"/>
      <c r="B3564" s="8"/>
      <c r="C3564" s="1989" t="s">
        <v>6906</v>
      </c>
      <c r="D3564" s="1989" t="s">
        <v>8525</v>
      </c>
      <c r="E3564" s="1989">
        <v>0</v>
      </c>
      <c r="F3564" s="1546">
        <f t="shared" si="54"/>
        <v>0</v>
      </c>
      <c r="G3564" s="1547"/>
      <c r="H3564" s="8"/>
      <c r="I3564" s="8"/>
      <c r="J3564" s="8"/>
      <c r="K3564" s="8"/>
      <c r="L3564" s="8"/>
      <c r="M3564" s="8"/>
      <c r="N3564" s="8"/>
      <c r="O3564" s="8"/>
      <c r="P3564" s="8"/>
      <c r="Q3564" s="8"/>
      <c r="R3564" s="8"/>
      <c r="S3564" s="8"/>
      <c r="T3564" s="8"/>
      <c r="U3564" s="8"/>
      <c r="V3564" s="8"/>
      <c r="W3564" s="8"/>
      <c r="X3564" s="771"/>
      <c r="Y3564" s="771"/>
      <c r="Z3564" s="771"/>
      <c r="AA3564" s="771"/>
      <c r="AB3564" s="771"/>
      <c r="AC3564" s="771"/>
      <c r="AD3564" s="771"/>
      <c r="AE3564" s="771"/>
      <c r="AF3564" s="771"/>
      <c r="AG3564" s="771"/>
      <c r="AH3564" s="771"/>
      <c r="AI3564" s="771"/>
      <c r="AJ3564" s="771"/>
      <c r="AK3564" s="771"/>
      <c r="AL3564" s="771"/>
      <c r="AM3564" s="771"/>
      <c r="AN3564" s="771"/>
      <c r="AO3564" s="771"/>
      <c r="AP3564" s="771"/>
      <c r="AQ3564" s="771"/>
      <c r="AR3564" s="771"/>
      <c r="AS3564" s="771"/>
      <c r="AT3564" s="771"/>
      <c r="AU3564" s="771"/>
    </row>
    <row r="3565" spans="1:47" s="15" customFormat="1" outlineLevel="1" x14ac:dyDescent="0.2">
      <c r="A3565" s="8"/>
      <c r="B3565" s="8"/>
      <c r="C3565" s="1989" t="s">
        <v>4279</v>
      </c>
      <c r="D3565" s="1989" t="s">
        <v>4280</v>
      </c>
      <c r="E3565" s="1989">
        <v>0.51</v>
      </c>
      <c r="F3565" s="1546">
        <f t="shared" si="54"/>
        <v>41.473832399999999</v>
      </c>
      <c r="G3565" s="1547"/>
      <c r="H3565" s="8"/>
      <c r="I3565" s="8"/>
      <c r="J3565" s="8"/>
      <c r="K3565" s="8"/>
      <c r="L3565" s="8"/>
      <c r="M3565" s="8"/>
      <c r="N3565" s="8"/>
      <c r="O3565" s="8"/>
      <c r="P3565" s="8"/>
      <c r="Q3565" s="8"/>
      <c r="R3565" s="8"/>
      <c r="S3565" s="8"/>
      <c r="T3565" s="8"/>
      <c r="U3565" s="8"/>
      <c r="V3565" s="8"/>
      <c r="W3565" s="8"/>
      <c r="X3565" s="771"/>
      <c r="Y3565" s="771"/>
      <c r="Z3565" s="771"/>
      <c r="AA3565" s="771"/>
      <c r="AB3565" s="771"/>
      <c r="AC3565" s="771"/>
      <c r="AD3565" s="771"/>
      <c r="AE3565" s="771"/>
      <c r="AF3565" s="771"/>
      <c r="AG3565" s="771"/>
      <c r="AH3565" s="771"/>
      <c r="AI3565" s="771"/>
      <c r="AJ3565" s="771"/>
      <c r="AK3565" s="771"/>
      <c r="AL3565" s="771"/>
      <c r="AM3565" s="771"/>
      <c r="AN3565" s="771"/>
      <c r="AO3565" s="771"/>
      <c r="AP3565" s="771"/>
      <c r="AQ3565" s="771"/>
      <c r="AR3565" s="771"/>
      <c r="AS3565" s="771"/>
      <c r="AT3565" s="771"/>
      <c r="AU3565" s="771"/>
    </row>
    <row r="3566" spans="1:47" s="15" customFormat="1" outlineLevel="1" x14ac:dyDescent="0.2">
      <c r="A3566" s="8"/>
      <c r="B3566" s="8"/>
      <c r="C3566" s="1989" t="s">
        <v>2706</v>
      </c>
      <c r="D3566" s="1989" t="s">
        <v>8526</v>
      </c>
      <c r="E3566" s="1989">
        <v>0</v>
      </c>
      <c r="F3566" s="1546">
        <f t="shared" si="54"/>
        <v>0</v>
      </c>
      <c r="G3566" s="1547"/>
      <c r="H3566" s="8"/>
      <c r="I3566" s="8"/>
      <c r="J3566" s="8"/>
      <c r="K3566" s="8"/>
      <c r="L3566" s="8"/>
      <c r="M3566" s="8"/>
      <c r="N3566" s="8"/>
      <c r="O3566" s="8"/>
      <c r="P3566" s="8"/>
      <c r="Q3566" s="8"/>
      <c r="R3566" s="8"/>
      <c r="S3566" s="8"/>
      <c r="T3566" s="8"/>
      <c r="U3566" s="8"/>
      <c r="V3566" s="8"/>
      <c r="W3566" s="8"/>
      <c r="X3566" s="771"/>
      <c r="Y3566" s="771"/>
      <c r="Z3566" s="771"/>
      <c r="AA3566" s="771"/>
      <c r="AB3566" s="771"/>
      <c r="AC3566" s="771"/>
      <c r="AD3566" s="771"/>
      <c r="AE3566" s="771"/>
      <c r="AF3566" s="771"/>
      <c r="AG3566" s="771"/>
      <c r="AH3566" s="771"/>
      <c r="AI3566" s="771"/>
      <c r="AJ3566" s="771"/>
      <c r="AK3566" s="771"/>
      <c r="AL3566" s="771"/>
      <c r="AM3566" s="771"/>
      <c r="AN3566" s="771"/>
      <c r="AO3566" s="771"/>
      <c r="AP3566" s="771"/>
      <c r="AQ3566" s="771"/>
      <c r="AR3566" s="771"/>
      <c r="AS3566" s="771"/>
      <c r="AT3566" s="771"/>
      <c r="AU3566" s="771"/>
    </row>
    <row r="3567" spans="1:47" s="15" customFormat="1" outlineLevel="1" x14ac:dyDescent="0.2">
      <c r="A3567" s="8"/>
      <c r="B3567" s="8"/>
      <c r="C3567" s="1989" t="s">
        <v>2708</v>
      </c>
      <c r="D3567" s="1989" t="s">
        <v>8527</v>
      </c>
      <c r="E3567" s="1989">
        <v>0</v>
      </c>
      <c r="F3567" s="1546">
        <f t="shared" si="54"/>
        <v>0</v>
      </c>
      <c r="G3567" s="1547"/>
      <c r="H3567" s="8"/>
      <c r="I3567" s="8"/>
      <c r="J3567" s="8"/>
      <c r="K3567" s="8"/>
      <c r="L3567" s="8"/>
      <c r="M3567" s="8"/>
      <c r="N3567" s="8"/>
      <c r="O3567" s="8"/>
      <c r="P3567" s="8"/>
      <c r="Q3567" s="8"/>
      <c r="R3567" s="8"/>
      <c r="S3567" s="8"/>
      <c r="T3567" s="8"/>
      <c r="U3567" s="8"/>
      <c r="V3567" s="8"/>
      <c r="W3567" s="8"/>
      <c r="X3567" s="771"/>
      <c r="Y3567" s="771"/>
      <c r="Z3567" s="771"/>
      <c r="AA3567" s="771"/>
      <c r="AB3567" s="771"/>
      <c r="AC3567" s="771"/>
      <c r="AD3567" s="771"/>
      <c r="AE3567" s="771"/>
      <c r="AF3567" s="771"/>
      <c r="AG3567" s="771"/>
      <c r="AH3567" s="771"/>
      <c r="AI3567" s="771"/>
      <c r="AJ3567" s="771"/>
      <c r="AK3567" s="771"/>
      <c r="AL3567" s="771"/>
      <c r="AM3567" s="771"/>
      <c r="AN3567" s="771"/>
      <c r="AO3567" s="771"/>
      <c r="AP3567" s="771"/>
      <c r="AQ3567" s="771"/>
      <c r="AR3567" s="771"/>
      <c r="AS3567" s="771"/>
      <c r="AT3567" s="771"/>
      <c r="AU3567" s="771"/>
    </row>
    <row r="3568" spans="1:47" s="15" customFormat="1" outlineLevel="1" x14ac:dyDescent="0.2">
      <c r="A3568" s="8"/>
      <c r="B3568" s="8"/>
      <c r="C3568" s="1989" t="s">
        <v>4961</v>
      </c>
      <c r="D3568" s="1989" t="s">
        <v>8528</v>
      </c>
      <c r="E3568" s="1989">
        <v>3.02</v>
      </c>
      <c r="F3568" s="1546">
        <f t="shared" si="54"/>
        <v>245.59014479999999</v>
      </c>
      <c r="G3568" s="1547"/>
      <c r="H3568" s="8"/>
      <c r="I3568" s="8"/>
      <c r="J3568" s="8"/>
      <c r="K3568" s="8"/>
      <c r="L3568" s="8"/>
      <c r="M3568" s="8"/>
      <c r="N3568" s="8"/>
      <c r="O3568" s="8"/>
      <c r="P3568" s="8"/>
      <c r="Q3568" s="8"/>
      <c r="R3568" s="8"/>
      <c r="S3568" s="8"/>
      <c r="T3568" s="8"/>
      <c r="U3568" s="8"/>
      <c r="V3568" s="8"/>
      <c r="W3568" s="8"/>
      <c r="X3568" s="771"/>
      <c r="Y3568" s="771"/>
      <c r="Z3568" s="771"/>
      <c r="AA3568" s="771"/>
      <c r="AB3568" s="771"/>
      <c r="AC3568" s="771"/>
      <c r="AD3568" s="771"/>
      <c r="AE3568" s="771"/>
      <c r="AF3568" s="771"/>
      <c r="AG3568" s="771"/>
      <c r="AH3568" s="771"/>
      <c r="AI3568" s="771"/>
      <c r="AJ3568" s="771"/>
      <c r="AK3568" s="771"/>
      <c r="AL3568" s="771"/>
      <c r="AM3568" s="771"/>
      <c r="AN3568" s="771"/>
      <c r="AO3568" s="771"/>
      <c r="AP3568" s="771"/>
      <c r="AQ3568" s="771"/>
      <c r="AR3568" s="771"/>
      <c r="AS3568" s="771"/>
      <c r="AT3568" s="771"/>
      <c r="AU3568" s="771"/>
    </row>
    <row r="3569" spans="1:47" s="15" customFormat="1" outlineLevel="1" x14ac:dyDescent="0.2">
      <c r="A3569" s="8"/>
      <c r="B3569" s="8"/>
      <c r="C3569" s="1989" t="s">
        <v>4281</v>
      </c>
      <c r="D3569" s="1989" t="s">
        <v>8529</v>
      </c>
      <c r="E3569" s="1989">
        <v>0.18</v>
      </c>
      <c r="F3569" s="1546">
        <f t="shared" si="54"/>
        <v>14.637823200000001</v>
      </c>
      <c r="G3569" s="1547"/>
      <c r="H3569" s="8"/>
      <c r="I3569" s="8"/>
      <c r="J3569" s="8"/>
      <c r="K3569" s="8"/>
      <c r="L3569" s="8"/>
      <c r="M3569" s="8"/>
      <c r="N3569" s="8"/>
      <c r="O3569" s="8"/>
      <c r="P3569" s="8"/>
      <c r="Q3569" s="8"/>
      <c r="R3569" s="8"/>
      <c r="S3569" s="8"/>
      <c r="T3569" s="8"/>
      <c r="U3569" s="8"/>
      <c r="V3569" s="8"/>
      <c r="W3569" s="8"/>
      <c r="X3569" s="771"/>
      <c r="Y3569" s="771"/>
      <c r="Z3569" s="771"/>
      <c r="AA3569" s="771"/>
      <c r="AB3569" s="771"/>
      <c r="AC3569" s="771"/>
      <c r="AD3569" s="771"/>
      <c r="AE3569" s="771"/>
      <c r="AF3569" s="771"/>
      <c r="AG3569" s="771"/>
      <c r="AH3569" s="771"/>
      <c r="AI3569" s="771"/>
      <c r="AJ3569" s="771"/>
      <c r="AK3569" s="771"/>
      <c r="AL3569" s="771"/>
      <c r="AM3569" s="771"/>
      <c r="AN3569" s="771"/>
      <c r="AO3569" s="771"/>
      <c r="AP3569" s="771"/>
      <c r="AQ3569" s="771"/>
      <c r="AR3569" s="771"/>
      <c r="AS3569" s="771"/>
      <c r="AT3569" s="771"/>
      <c r="AU3569" s="771"/>
    </row>
    <row r="3570" spans="1:47" s="15" customFormat="1" outlineLevel="1" x14ac:dyDescent="0.2">
      <c r="A3570" s="8"/>
      <c r="B3570" s="8"/>
      <c r="C3570" s="1989" t="s">
        <v>6907</v>
      </c>
      <c r="D3570" s="1989" t="s">
        <v>8530</v>
      </c>
      <c r="E3570" s="1989">
        <v>0.14000000000000001</v>
      </c>
      <c r="F3570" s="1546">
        <f t="shared" si="54"/>
        <v>11.384973600000002</v>
      </c>
      <c r="G3570" s="1547"/>
      <c r="H3570" s="8"/>
      <c r="I3570" s="8"/>
      <c r="J3570" s="8"/>
      <c r="K3570" s="8"/>
      <c r="L3570" s="8"/>
      <c r="M3570" s="8"/>
      <c r="N3570" s="8"/>
      <c r="O3570" s="8"/>
      <c r="P3570" s="8"/>
      <c r="Q3570" s="8"/>
      <c r="R3570" s="8"/>
      <c r="S3570" s="8"/>
      <c r="T3570" s="8"/>
      <c r="U3570" s="8"/>
      <c r="V3570" s="8"/>
      <c r="W3570" s="8"/>
      <c r="X3570" s="771"/>
      <c r="Y3570" s="771"/>
      <c r="Z3570" s="771"/>
      <c r="AA3570" s="771"/>
      <c r="AB3570" s="771"/>
      <c r="AC3570" s="771"/>
      <c r="AD3570" s="771"/>
      <c r="AE3570" s="771"/>
      <c r="AF3570" s="771"/>
      <c r="AG3570" s="771"/>
      <c r="AH3570" s="771"/>
      <c r="AI3570" s="771"/>
      <c r="AJ3570" s="771"/>
      <c r="AK3570" s="771"/>
      <c r="AL3570" s="771"/>
      <c r="AM3570" s="771"/>
      <c r="AN3570" s="771"/>
      <c r="AO3570" s="771"/>
      <c r="AP3570" s="771"/>
      <c r="AQ3570" s="771"/>
      <c r="AR3570" s="771"/>
      <c r="AS3570" s="771"/>
      <c r="AT3570" s="771"/>
      <c r="AU3570" s="771"/>
    </row>
    <row r="3571" spans="1:47" s="15" customFormat="1" outlineLevel="1" x14ac:dyDescent="0.2">
      <c r="A3571" s="8"/>
      <c r="B3571" s="8"/>
      <c r="C3571" s="1989" t="s">
        <v>6908</v>
      </c>
      <c r="D3571" s="1989" t="s">
        <v>6593</v>
      </c>
      <c r="E3571" s="1989">
        <v>8.9600000000000009</v>
      </c>
      <c r="F3571" s="1546">
        <f t="shared" si="54"/>
        <v>728.63831040000014</v>
      </c>
      <c r="G3571" s="1547"/>
      <c r="H3571" s="8"/>
      <c r="I3571" s="8"/>
      <c r="J3571" s="8"/>
      <c r="K3571" s="8"/>
      <c r="L3571" s="8"/>
      <c r="M3571" s="8"/>
      <c r="N3571" s="8"/>
      <c r="O3571" s="8"/>
      <c r="P3571" s="8"/>
      <c r="Q3571" s="8"/>
      <c r="R3571" s="8"/>
      <c r="S3571" s="8"/>
      <c r="T3571" s="8"/>
      <c r="U3571" s="8"/>
      <c r="V3571" s="8"/>
      <c r="W3571" s="8"/>
      <c r="X3571" s="771"/>
      <c r="Y3571" s="771"/>
      <c r="Z3571" s="771"/>
      <c r="AA3571" s="771"/>
      <c r="AB3571" s="771"/>
      <c r="AC3571" s="771"/>
      <c r="AD3571" s="771"/>
      <c r="AE3571" s="771"/>
      <c r="AF3571" s="771"/>
      <c r="AG3571" s="771"/>
      <c r="AH3571" s="771"/>
      <c r="AI3571" s="771"/>
      <c r="AJ3571" s="771"/>
      <c r="AK3571" s="771"/>
      <c r="AL3571" s="771"/>
      <c r="AM3571" s="771"/>
      <c r="AN3571" s="771"/>
      <c r="AO3571" s="771"/>
      <c r="AP3571" s="771"/>
      <c r="AQ3571" s="771"/>
      <c r="AR3571" s="771"/>
      <c r="AS3571" s="771"/>
      <c r="AT3571" s="771"/>
      <c r="AU3571" s="771"/>
    </row>
    <row r="3572" spans="1:47" s="15" customFormat="1" outlineLevel="1" x14ac:dyDescent="0.2">
      <c r="A3572" s="8"/>
      <c r="B3572" s="8"/>
      <c r="C3572" s="1989" t="s">
        <v>2716</v>
      </c>
      <c r="D3572" s="1989" t="s">
        <v>8531</v>
      </c>
      <c r="E3572" s="1989">
        <v>0</v>
      </c>
      <c r="F3572" s="1546">
        <f t="shared" si="54"/>
        <v>0</v>
      </c>
      <c r="G3572" s="1547"/>
      <c r="H3572" s="8"/>
      <c r="I3572" s="8"/>
      <c r="J3572" s="8"/>
      <c r="K3572" s="8"/>
      <c r="L3572" s="8"/>
      <c r="M3572" s="8"/>
      <c r="N3572" s="8"/>
      <c r="O3572" s="8"/>
      <c r="P3572" s="8"/>
      <c r="Q3572" s="8"/>
      <c r="R3572" s="8"/>
      <c r="S3572" s="8"/>
      <c r="T3572" s="8"/>
      <c r="U3572" s="8"/>
      <c r="V3572" s="8"/>
      <c r="W3572" s="8"/>
      <c r="X3572" s="771"/>
      <c r="Y3572" s="771"/>
      <c r="Z3572" s="771"/>
      <c r="AA3572" s="771"/>
      <c r="AB3572" s="771"/>
      <c r="AC3572" s="771"/>
      <c r="AD3572" s="771"/>
      <c r="AE3572" s="771"/>
      <c r="AF3572" s="771"/>
      <c r="AG3572" s="771"/>
      <c r="AH3572" s="771"/>
      <c r="AI3572" s="771"/>
      <c r="AJ3572" s="771"/>
      <c r="AK3572" s="771"/>
      <c r="AL3572" s="771"/>
      <c r="AM3572" s="771"/>
      <c r="AN3572" s="771"/>
      <c r="AO3572" s="771"/>
      <c r="AP3572" s="771"/>
      <c r="AQ3572" s="771"/>
      <c r="AR3572" s="771"/>
      <c r="AS3572" s="771"/>
      <c r="AT3572" s="771"/>
      <c r="AU3572" s="771"/>
    </row>
    <row r="3573" spans="1:47" s="15" customFormat="1" outlineLevel="1" x14ac:dyDescent="0.2">
      <c r="A3573" s="8"/>
      <c r="B3573" s="8"/>
      <c r="C3573" s="1989" t="s">
        <v>2717</v>
      </c>
      <c r="D3573" s="1989" t="s">
        <v>8502</v>
      </c>
      <c r="E3573" s="1989">
        <v>0</v>
      </c>
      <c r="F3573" s="1546">
        <f t="shared" si="54"/>
        <v>0</v>
      </c>
      <c r="G3573" s="1547"/>
      <c r="H3573" s="8"/>
      <c r="I3573" s="8"/>
      <c r="J3573" s="8"/>
      <c r="K3573" s="8"/>
      <c r="L3573" s="8"/>
      <c r="M3573" s="8"/>
      <c r="N3573" s="8"/>
      <c r="O3573" s="8"/>
      <c r="P3573" s="8"/>
      <c r="Q3573" s="8"/>
      <c r="R3573" s="8"/>
      <c r="S3573" s="8"/>
      <c r="T3573" s="8"/>
      <c r="U3573" s="8"/>
      <c r="V3573" s="8"/>
      <c r="W3573" s="8"/>
      <c r="X3573" s="771"/>
      <c r="Y3573" s="771"/>
      <c r="Z3573" s="771"/>
      <c r="AA3573" s="771"/>
      <c r="AB3573" s="771"/>
      <c r="AC3573" s="771"/>
      <c r="AD3573" s="771"/>
      <c r="AE3573" s="771"/>
      <c r="AF3573" s="771"/>
      <c r="AG3573" s="771"/>
      <c r="AH3573" s="771"/>
      <c r="AI3573" s="771"/>
      <c r="AJ3573" s="771"/>
      <c r="AK3573" s="771"/>
      <c r="AL3573" s="771"/>
      <c r="AM3573" s="771"/>
      <c r="AN3573" s="771"/>
      <c r="AO3573" s="771"/>
      <c r="AP3573" s="771"/>
      <c r="AQ3573" s="771"/>
      <c r="AR3573" s="771"/>
      <c r="AS3573" s="771"/>
      <c r="AT3573" s="771"/>
      <c r="AU3573" s="771"/>
    </row>
    <row r="3574" spans="1:47" s="15" customFormat="1" outlineLevel="1" x14ac:dyDescent="0.2">
      <c r="A3574" s="8"/>
      <c r="B3574" s="8"/>
      <c r="C3574" s="1989" t="s">
        <v>2718</v>
      </c>
      <c r="D3574" s="1989" t="s">
        <v>8532</v>
      </c>
      <c r="E3574" s="1989">
        <v>0</v>
      </c>
      <c r="F3574" s="1546">
        <f t="shared" si="54"/>
        <v>0</v>
      </c>
      <c r="G3574" s="1547"/>
      <c r="H3574" s="8"/>
      <c r="I3574" s="8"/>
      <c r="J3574" s="8"/>
      <c r="K3574" s="8"/>
      <c r="L3574" s="8"/>
      <c r="M3574" s="8"/>
      <c r="N3574" s="8"/>
      <c r="O3574" s="8"/>
      <c r="P3574" s="8"/>
      <c r="Q3574" s="8"/>
      <c r="R3574" s="8"/>
      <c r="S3574" s="8"/>
      <c r="T3574" s="8"/>
      <c r="U3574" s="8"/>
      <c r="V3574" s="8"/>
      <c r="W3574" s="8"/>
      <c r="X3574" s="771"/>
      <c r="Y3574" s="771"/>
      <c r="Z3574" s="771"/>
      <c r="AA3574" s="771"/>
      <c r="AB3574" s="771"/>
      <c r="AC3574" s="771"/>
      <c r="AD3574" s="771"/>
      <c r="AE3574" s="771"/>
      <c r="AF3574" s="771"/>
      <c r="AG3574" s="771"/>
      <c r="AH3574" s="771"/>
      <c r="AI3574" s="771"/>
      <c r="AJ3574" s="771"/>
      <c r="AK3574" s="771"/>
      <c r="AL3574" s="771"/>
      <c r="AM3574" s="771"/>
      <c r="AN3574" s="771"/>
      <c r="AO3574" s="771"/>
      <c r="AP3574" s="771"/>
      <c r="AQ3574" s="771"/>
      <c r="AR3574" s="771"/>
      <c r="AS3574" s="771"/>
      <c r="AT3574" s="771"/>
      <c r="AU3574" s="771"/>
    </row>
    <row r="3575" spans="1:47" s="15" customFormat="1" outlineLevel="1" x14ac:dyDescent="0.2">
      <c r="A3575" s="8"/>
      <c r="B3575" s="8"/>
      <c r="C3575" s="1989" t="s">
        <v>2719</v>
      </c>
      <c r="D3575" s="1989" t="s">
        <v>8533</v>
      </c>
      <c r="E3575" s="1989">
        <v>0</v>
      </c>
      <c r="F3575" s="1546">
        <f t="shared" si="54"/>
        <v>0</v>
      </c>
      <c r="G3575" s="1547"/>
      <c r="H3575" s="8"/>
      <c r="I3575" s="8"/>
      <c r="J3575" s="8"/>
      <c r="K3575" s="8"/>
      <c r="L3575" s="8"/>
      <c r="M3575" s="8"/>
      <c r="N3575" s="8"/>
      <c r="O3575" s="8"/>
      <c r="P3575" s="8"/>
      <c r="Q3575" s="8"/>
      <c r="R3575" s="8"/>
      <c r="S3575" s="8"/>
      <c r="T3575" s="8"/>
      <c r="U3575" s="8"/>
      <c r="V3575" s="8"/>
      <c r="W3575" s="8"/>
      <c r="X3575" s="771"/>
      <c r="Y3575" s="771"/>
      <c r="Z3575" s="771"/>
      <c r="AA3575" s="771"/>
      <c r="AB3575" s="771"/>
      <c r="AC3575" s="771"/>
      <c r="AD3575" s="771"/>
      <c r="AE3575" s="771"/>
      <c r="AF3575" s="771"/>
      <c r="AG3575" s="771"/>
      <c r="AH3575" s="771"/>
      <c r="AI3575" s="771"/>
      <c r="AJ3575" s="771"/>
      <c r="AK3575" s="771"/>
      <c r="AL3575" s="771"/>
      <c r="AM3575" s="771"/>
      <c r="AN3575" s="771"/>
      <c r="AO3575" s="771"/>
      <c r="AP3575" s="771"/>
      <c r="AQ3575" s="771"/>
      <c r="AR3575" s="771"/>
      <c r="AS3575" s="771"/>
      <c r="AT3575" s="771"/>
      <c r="AU3575" s="771"/>
    </row>
    <row r="3576" spans="1:47" s="15" customFormat="1" outlineLevel="1" x14ac:dyDescent="0.2">
      <c r="A3576" s="8"/>
      <c r="B3576" s="8"/>
      <c r="C3576" s="1989" t="s">
        <v>2720</v>
      </c>
      <c r="D3576" s="1989" t="s">
        <v>8533</v>
      </c>
      <c r="E3576" s="1989">
        <v>0.04</v>
      </c>
      <c r="F3576" s="1546">
        <f t="shared" si="54"/>
        <v>3.2528496000000002</v>
      </c>
      <c r="G3576" s="1547"/>
      <c r="H3576" s="8"/>
      <c r="I3576" s="8"/>
      <c r="J3576" s="8"/>
      <c r="K3576" s="8"/>
      <c r="L3576" s="8"/>
      <c r="M3576" s="8"/>
      <c r="N3576" s="8"/>
      <c r="O3576" s="8"/>
      <c r="P3576" s="8"/>
      <c r="Q3576" s="8"/>
      <c r="R3576" s="8"/>
      <c r="S3576" s="8"/>
      <c r="T3576" s="8"/>
      <c r="U3576" s="8"/>
      <c r="V3576" s="8"/>
      <c r="W3576" s="8"/>
      <c r="X3576" s="771"/>
      <c r="Y3576" s="771"/>
      <c r="Z3576" s="771"/>
      <c r="AA3576" s="771"/>
      <c r="AB3576" s="771"/>
      <c r="AC3576" s="771"/>
      <c r="AD3576" s="771"/>
      <c r="AE3576" s="771"/>
      <c r="AF3576" s="771"/>
      <c r="AG3576" s="771"/>
      <c r="AH3576" s="771"/>
      <c r="AI3576" s="771"/>
      <c r="AJ3576" s="771"/>
      <c r="AK3576" s="771"/>
      <c r="AL3576" s="771"/>
      <c r="AM3576" s="771"/>
      <c r="AN3576" s="771"/>
      <c r="AO3576" s="771"/>
      <c r="AP3576" s="771"/>
      <c r="AQ3576" s="771"/>
      <c r="AR3576" s="771"/>
      <c r="AS3576" s="771"/>
      <c r="AT3576" s="771"/>
      <c r="AU3576" s="771"/>
    </row>
    <row r="3577" spans="1:47" s="15" customFormat="1" outlineLevel="1" x14ac:dyDescent="0.2">
      <c r="A3577" s="8"/>
      <c r="B3577" s="8"/>
      <c r="C3577" s="1989" t="s">
        <v>4282</v>
      </c>
      <c r="D3577" s="1989" t="s">
        <v>8534</v>
      </c>
      <c r="E3577" s="1989">
        <v>0.05</v>
      </c>
      <c r="F3577" s="1546">
        <f t="shared" si="54"/>
        <v>4.0660620000000005</v>
      </c>
      <c r="G3577" s="1547"/>
      <c r="H3577" s="8"/>
      <c r="I3577" s="8"/>
      <c r="J3577" s="8"/>
      <c r="K3577" s="8"/>
      <c r="L3577" s="8"/>
      <c r="M3577" s="8"/>
      <c r="N3577" s="8"/>
      <c r="O3577" s="8"/>
      <c r="P3577" s="8"/>
      <c r="Q3577" s="8"/>
      <c r="R3577" s="8"/>
      <c r="S3577" s="8"/>
      <c r="T3577" s="8"/>
      <c r="U3577" s="8"/>
      <c r="V3577" s="8"/>
      <c r="W3577" s="8"/>
      <c r="X3577" s="771"/>
      <c r="Y3577" s="771"/>
      <c r="Z3577" s="771"/>
      <c r="AA3577" s="771"/>
      <c r="AB3577" s="771"/>
      <c r="AC3577" s="771"/>
      <c r="AD3577" s="771"/>
      <c r="AE3577" s="771"/>
      <c r="AF3577" s="771"/>
      <c r="AG3577" s="771"/>
      <c r="AH3577" s="771"/>
      <c r="AI3577" s="771"/>
      <c r="AJ3577" s="771"/>
      <c r="AK3577" s="771"/>
      <c r="AL3577" s="771"/>
      <c r="AM3577" s="771"/>
      <c r="AN3577" s="771"/>
      <c r="AO3577" s="771"/>
      <c r="AP3577" s="771"/>
      <c r="AQ3577" s="771"/>
      <c r="AR3577" s="771"/>
      <c r="AS3577" s="771"/>
      <c r="AT3577" s="771"/>
      <c r="AU3577" s="771"/>
    </row>
    <row r="3578" spans="1:47" s="15" customFormat="1" outlineLevel="1" x14ac:dyDescent="0.2">
      <c r="A3578" s="8"/>
      <c r="B3578" s="8"/>
      <c r="C3578" s="1989" t="s">
        <v>2721</v>
      </c>
      <c r="D3578" s="1989" t="s">
        <v>8535</v>
      </c>
      <c r="E3578" s="1989">
        <v>0.09</v>
      </c>
      <c r="F3578" s="1546">
        <f t="shared" si="54"/>
        <v>7.3189116000000007</v>
      </c>
      <c r="G3578" s="1547"/>
      <c r="H3578" s="8"/>
      <c r="I3578" s="8"/>
      <c r="J3578" s="8"/>
      <c r="K3578" s="8"/>
      <c r="L3578" s="8"/>
      <c r="M3578" s="8"/>
      <c r="N3578" s="8"/>
      <c r="O3578" s="8"/>
      <c r="P3578" s="8"/>
      <c r="Q3578" s="8"/>
      <c r="R3578" s="8"/>
      <c r="S3578" s="8"/>
      <c r="T3578" s="8"/>
      <c r="U3578" s="8"/>
      <c r="V3578" s="8"/>
      <c r="W3578" s="8"/>
      <c r="X3578" s="771"/>
      <c r="Y3578" s="771"/>
      <c r="Z3578" s="771"/>
      <c r="AA3578" s="771"/>
      <c r="AB3578" s="771"/>
      <c r="AC3578" s="771"/>
      <c r="AD3578" s="771"/>
      <c r="AE3578" s="771"/>
      <c r="AF3578" s="771"/>
      <c r="AG3578" s="771"/>
      <c r="AH3578" s="771"/>
      <c r="AI3578" s="771"/>
      <c r="AJ3578" s="771"/>
      <c r="AK3578" s="771"/>
      <c r="AL3578" s="771"/>
      <c r="AM3578" s="771"/>
      <c r="AN3578" s="771"/>
      <c r="AO3578" s="771"/>
      <c r="AP3578" s="771"/>
      <c r="AQ3578" s="771"/>
      <c r="AR3578" s="771"/>
      <c r="AS3578" s="771"/>
      <c r="AT3578" s="771"/>
      <c r="AU3578" s="771"/>
    </row>
    <row r="3579" spans="1:47" s="15" customFormat="1" outlineLevel="1" x14ac:dyDescent="0.2">
      <c r="A3579" s="8"/>
      <c r="B3579" s="8"/>
      <c r="C3579" s="1989" t="s">
        <v>4962</v>
      </c>
      <c r="D3579" s="1989" t="s">
        <v>8536</v>
      </c>
      <c r="E3579" s="1989">
        <v>1.9</v>
      </c>
      <c r="F3579" s="1546">
        <f t="shared" si="54"/>
        <v>154.510356</v>
      </c>
      <c r="G3579" s="1547"/>
      <c r="H3579" s="8"/>
      <c r="I3579" s="8"/>
      <c r="J3579" s="8"/>
      <c r="K3579" s="8"/>
      <c r="L3579" s="8"/>
      <c r="M3579" s="8"/>
      <c r="N3579" s="8"/>
      <c r="O3579" s="8"/>
      <c r="P3579" s="8"/>
      <c r="Q3579" s="8"/>
      <c r="R3579" s="8"/>
      <c r="S3579" s="8"/>
      <c r="T3579" s="8"/>
      <c r="U3579" s="8"/>
      <c r="V3579" s="8"/>
      <c r="W3579" s="8"/>
      <c r="X3579" s="771"/>
      <c r="Y3579" s="771"/>
      <c r="Z3579" s="771"/>
      <c r="AA3579" s="771"/>
      <c r="AB3579" s="771"/>
      <c r="AC3579" s="771"/>
      <c r="AD3579" s="771"/>
      <c r="AE3579" s="771"/>
      <c r="AF3579" s="771"/>
      <c r="AG3579" s="771"/>
      <c r="AH3579" s="771"/>
      <c r="AI3579" s="771"/>
      <c r="AJ3579" s="771"/>
      <c r="AK3579" s="771"/>
      <c r="AL3579" s="771"/>
      <c r="AM3579" s="771"/>
      <c r="AN3579" s="771"/>
      <c r="AO3579" s="771"/>
      <c r="AP3579" s="771"/>
      <c r="AQ3579" s="771"/>
      <c r="AR3579" s="771"/>
      <c r="AS3579" s="771"/>
      <c r="AT3579" s="771"/>
      <c r="AU3579" s="771"/>
    </row>
    <row r="3580" spans="1:47" s="15" customFormat="1" outlineLevel="1" x14ac:dyDescent="0.2">
      <c r="A3580" s="8"/>
      <c r="B3580" s="8"/>
      <c r="C3580" s="1989" t="s">
        <v>6909</v>
      </c>
      <c r="D3580" s="1989" t="s">
        <v>8537</v>
      </c>
      <c r="E3580" s="1989">
        <v>0</v>
      </c>
      <c r="F3580" s="1546">
        <f t="shared" si="54"/>
        <v>0</v>
      </c>
      <c r="G3580" s="1547"/>
      <c r="H3580" s="8"/>
      <c r="I3580" s="8"/>
      <c r="J3580" s="8"/>
      <c r="K3580" s="8"/>
      <c r="L3580" s="8"/>
      <c r="M3580" s="8"/>
      <c r="N3580" s="8"/>
      <c r="O3580" s="8"/>
      <c r="P3580" s="8"/>
      <c r="Q3580" s="8"/>
      <c r="R3580" s="8"/>
      <c r="S3580" s="8"/>
      <c r="T3580" s="8"/>
      <c r="U3580" s="8"/>
      <c r="V3580" s="8"/>
      <c r="W3580" s="8"/>
      <c r="X3580" s="771"/>
      <c r="Y3580" s="771"/>
      <c r="Z3580" s="771"/>
      <c r="AA3580" s="771"/>
      <c r="AB3580" s="771"/>
      <c r="AC3580" s="771"/>
      <c r="AD3580" s="771"/>
      <c r="AE3580" s="771"/>
      <c r="AF3580" s="771"/>
      <c r="AG3580" s="771"/>
      <c r="AH3580" s="771"/>
      <c r="AI3580" s="771"/>
      <c r="AJ3580" s="771"/>
      <c r="AK3580" s="771"/>
      <c r="AL3580" s="771"/>
      <c r="AM3580" s="771"/>
      <c r="AN3580" s="771"/>
      <c r="AO3580" s="771"/>
      <c r="AP3580" s="771"/>
      <c r="AQ3580" s="771"/>
      <c r="AR3580" s="771"/>
      <c r="AS3580" s="771"/>
      <c r="AT3580" s="771"/>
      <c r="AU3580" s="771"/>
    </row>
    <row r="3581" spans="1:47" s="15" customFormat="1" outlineLevel="1" x14ac:dyDescent="0.2">
      <c r="A3581" s="8"/>
      <c r="B3581" s="8"/>
      <c r="C3581" s="1989" t="s">
        <v>3416</v>
      </c>
      <c r="D3581" s="1989" t="s">
        <v>8538</v>
      </c>
      <c r="E3581" s="1989">
        <v>0</v>
      </c>
      <c r="F3581" s="1546">
        <f t="shared" si="54"/>
        <v>0</v>
      </c>
      <c r="G3581" s="1547"/>
      <c r="H3581" s="8"/>
      <c r="I3581" s="8"/>
      <c r="J3581" s="8"/>
      <c r="K3581" s="8"/>
      <c r="L3581" s="8"/>
      <c r="M3581" s="8"/>
      <c r="N3581" s="8"/>
      <c r="O3581" s="8"/>
      <c r="P3581" s="8"/>
      <c r="Q3581" s="8"/>
      <c r="R3581" s="8"/>
      <c r="S3581" s="8"/>
      <c r="T3581" s="8"/>
      <c r="U3581" s="8"/>
      <c r="V3581" s="8"/>
      <c r="W3581" s="8"/>
      <c r="X3581" s="771"/>
      <c r="Y3581" s="771"/>
      <c r="Z3581" s="771"/>
      <c r="AA3581" s="771"/>
      <c r="AB3581" s="771"/>
      <c r="AC3581" s="771"/>
      <c r="AD3581" s="771"/>
      <c r="AE3581" s="771"/>
      <c r="AF3581" s="771"/>
      <c r="AG3581" s="771"/>
      <c r="AH3581" s="771"/>
      <c r="AI3581" s="771"/>
      <c r="AJ3581" s="771"/>
      <c r="AK3581" s="771"/>
      <c r="AL3581" s="771"/>
      <c r="AM3581" s="771"/>
      <c r="AN3581" s="771"/>
      <c r="AO3581" s="771"/>
      <c r="AP3581" s="771"/>
      <c r="AQ3581" s="771"/>
      <c r="AR3581" s="771"/>
      <c r="AS3581" s="771"/>
      <c r="AT3581" s="771"/>
      <c r="AU3581" s="771"/>
    </row>
    <row r="3582" spans="1:47" s="15" customFormat="1" outlineLevel="1" x14ac:dyDescent="0.2">
      <c r="A3582" s="8"/>
      <c r="B3582" s="8"/>
      <c r="C3582" s="1989" t="s">
        <v>4963</v>
      </c>
      <c r="D3582" s="1989" t="s">
        <v>6594</v>
      </c>
      <c r="E3582" s="1989">
        <v>1.88</v>
      </c>
      <c r="F3582" s="1546">
        <f t="shared" si="54"/>
        <v>152.88393120000001</v>
      </c>
      <c r="G3582" s="1547"/>
      <c r="H3582" s="8"/>
      <c r="I3582" s="8"/>
      <c r="J3582" s="8"/>
      <c r="K3582" s="8"/>
      <c r="L3582" s="8"/>
      <c r="M3582" s="8"/>
      <c r="N3582" s="8"/>
      <c r="O3582" s="8"/>
      <c r="P3582" s="8"/>
      <c r="Q3582" s="8"/>
      <c r="R3582" s="8"/>
      <c r="S3582" s="8"/>
      <c r="T3582" s="8"/>
      <c r="U3582" s="8"/>
      <c r="V3582" s="8"/>
      <c r="W3582" s="8"/>
      <c r="X3582" s="771"/>
      <c r="Y3582" s="771"/>
      <c r="Z3582" s="771"/>
      <c r="AA3582" s="771"/>
      <c r="AB3582" s="771"/>
      <c r="AC3582" s="771"/>
      <c r="AD3582" s="771"/>
      <c r="AE3582" s="771"/>
      <c r="AF3582" s="771"/>
      <c r="AG3582" s="771"/>
      <c r="AH3582" s="771"/>
      <c r="AI3582" s="771"/>
      <c r="AJ3582" s="771"/>
      <c r="AK3582" s="771"/>
      <c r="AL3582" s="771"/>
      <c r="AM3582" s="771"/>
      <c r="AN3582" s="771"/>
      <c r="AO3582" s="771"/>
      <c r="AP3582" s="771"/>
      <c r="AQ3582" s="771"/>
      <c r="AR3582" s="771"/>
      <c r="AS3582" s="771"/>
      <c r="AT3582" s="771"/>
      <c r="AU3582" s="771"/>
    </row>
    <row r="3583" spans="1:47" s="15" customFormat="1" outlineLevel="1" x14ac:dyDescent="0.2">
      <c r="A3583" s="8"/>
      <c r="B3583" s="8"/>
      <c r="C3583" s="1989" t="s">
        <v>3417</v>
      </c>
      <c r="D3583" s="1989" t="s">
        <v>8539</v>
      </c>
      <c r="E3583" s="1989">
        <v>0</v>
      </c>
      <c r="F3583" s="1546">
        <f t="shared" si="54"/>
        <v>0</v>
      </c>
      <c r="G3583" s="1547"/>
      <c r="H3583" s="8"/>
      <c r="I3583" s="8"/>
      <c r="J3583" s="8"/>
      <c r="K3583" s="8"/>
      <c r="L3583" s="8"/>
      <c r="M3583" s="8"/>
      <c r="N3583" s="8"/>
      <c r="O3583" s="8"/>
      <c r="P3583" s="8"/>
      <c r="Q3583" s="8"/>
      <c r="R3583" s="8"/>
      <c r="S3583" s="8"/>
      <c r="T3583" s="8"/>
      <c r="U3583" s="8"/>
      <c r="V3583" s="8"/>
      <c r="W3583" s="8"/>
      <c r="X3583" s="771"/>
      <c r="Y3583" s="771"/>
      <c r="Z3583" s="771"/>
      <c r="AA3583" s="771"/>
      <c r="AB3583" s="771"/>
      <c r="AC3583" s="771"/>
      <c r="AD3583" s="771"/>
      <c r="AE3583" s="771"/>
      <c r="AF3583" s="771"/>
      <c r="AG3583" s="771"/>
      <c r="AH3583" s="771"/>
      <c r="AI3583" s="771"/>
      <c r="AJ3583" s="771"/>
      <c r="AK3583" s="771"/>
      <c r="AL3583" s="771"/>
      <c r="AM3583" s="771"/>
      <c r="AN3583" s="771"/>
      <c r="AO3583" s="771"/>
      <c r="AP3583" s="771"/>
      <c r="AQ3583" s="771"/>
      <c r="AR3583" s="771"/>
      <c r="AS3583" s="771"/>
      <c r="AT3583" s="771"/>
      <c r="AU3583" s="771"/>
    </row>
    <row r="3584" spans="1:47" s="15" customFormat="1" outlineLevel="1" x14ac:dyDescent="0.2">
      <c r="A3584" s="8"/>
      <c r="B3584" s="8"/>
      <c r="C3584" s="1989" t="s">
        <v>4283</v>
      </c>
      <c r="D3584" s="1989" t="s">
        <v>8540</v>
      </c>
      <c r="E3584" s="1989">
        <v>16.39</v>
      </c>
      <c r="F3584" s="1546">
        <f t="shared" si="54"/>
        <v>1332.8551236000001</v>
      </c>
      <c r="G3584" s="1547"/>
      <c r="H3584" s="8"/>
      <c r="I3584" s="8"/>
      <c r="J3584" s="8"/>
      <c r="K3584" s="8"/>
      <c r="L3584" s="8"/>
      <c r="M3584" s="8"/>
      <c r="N3584" s="8"/>
      <c r="O3584" s="8"/>
      <c r="P3584" s="8"/>
      <c r="Q3584" s="8"/>
      <c r="R3584" s="8"/>
      <c r="S3584" s="8"/>
      <c r="T3584" s="8"/>
      <c r="U3584" s="8"/>
      <c r="V3584" s="8"/>
      <c r="W3584" s="8"/>
      <c r="X3584" s="771"/>
      <c r="Y3584" s="771"/>
      <c r="Z3584" s="771"/>
      <c r="AA3584" s="771"/>
      <c r="AB3584" s="771"/>
      <c r="AC3584" s="771"/>
      <c r="AD3584" s="771"/>
      <c r="AE3584" s="771"/>
      <c r="AF3584" s="771"/>
      <c r="AG3584" s="771"/>
      <c r="AH3584" s="771"/>
      <c r="AI3584" s="771"/>
      <c r="AJ3584" s="771"/>
      <c r="AK3584" s="771"/>
      <c r="AL3584" s="771"/>
      <c r="AM3584" s="771"/>
      <c r="AN3584" s="771"/>
      <c r="AO3584" s="771"/>
      <c r="AP3584" s="771"/>
      <c r="AQ3584" s="771"/>
      <c r="AR3584" s="771"/>
      <c r="AS3584" s="771"/>
      <c r="AT3584" s="771"/>
      <c r="AU3584" s="771"/>
    </row>
    <row r="3585" spans="1:47" s="15" customFormat="1" outlineLevel="1" x14ac:dyDescent="0.2">
      <c r="A3585" s="8"/>
      <c r="B3585" s="8"/>
      <c r="C3585" s="1989" t="s">
        <v>4964</v>
      </c>
      <c r="D3585" s="1989" t="s">
        <v>8541</v>
      </c>
      <c r="E3585" s="1989">
        <v>0.01</v>
      </c>
      <c r="F3585" s="1546">
        <f t="shared" si="54"/>
        <v>0.81321240000000006</v>
      </c>
      <c r="G3585" s="1547"/>
      <c r="H3585" s="8"/>
      <c r="I3585" s="8"/>
      <c r="J3585" s="8"/>
      <c r="K3585" s="8"/>
      <c r="L3585" s="8"/>
      <c r="M3585" s="8"/>
      <c r="N3585" s="8"/>
      <c r="O3585" s="8"/>
      <c r="P3585" s="8"/>
      <c r="Q3585" s="8"/>
      <c r="R3585" s="8"/>
      <c r="S3585" s="8"/>
      <c r="T3585" s="8"/>
      <c r="U3585" s="8"/>
      <c r="V3585" s="8"/>
      <c r="W3585" s="8"/>
      <c r="X3585" s="771"/>
      <c r="Y3585" s="771"/>
      <c r="Z3585" s="771"/>
      <c r="AA3585" s="771"/>
      <c r="AB3585" s="771"/>
      <c r="AC3585" s="771"/>
      <c r="AD3585" s="771"/>
      <c r="AE3585" s="771"/>
      <c r="AF3585" s="771"/>
      <c r="AG3585" s="771"/>
      <c r="AH3585" s="771"/>
      <c r="AI3585" s="771"/>
      <c r="AJ3585" s="771"/>
      <c r="AK3585" s="771"/>
      <c r="AL3585" s="771"/>
      <c r="AM3585" s="771"/>
      <c r="AN3585" s="771"/>
      <c r="AO3585" s="771"/>
      <c r="AP3585" s="771"/>
      <c r="AQ3585" s="771"/>
      <c r="AR3585" s="771"/>
      <c r="AS3585" s="771"/>
      <c r="AT3585" s="771"/>
      <c r="AU3585" s="771"/>
    </row>
    <row r="3586" spans="1:47" s="15" customFormat="1" outlineLevel="1" x14ac:dyDescent="0.2">
      <c r="A3586" s="8"/>
      <c r="B3586" s="8"/>
      <c r="C3586" s="1989" t="s">
        <v>4965</v>
      </c>
      <c r="D3586" s="1989" t="s">
        <v>8542</v>
      </c>
      <c r="E3586" s="1989">
        <v>262.55</v>
      </c>
      <c r="F3586" s="1546">
        <f t="shared" si="54"/>
        <v>21350.891562000001</v>
      </c>
      <c r="G3586" s="1547"/>
      <c r="H3586" s="8"/>
      <c r="I3586" s="8"/>
      <c r="J3586" s="8"/>
      <c r="K3586" s="8"/>
      <c r="L3586" s="8"/>
      <c r="M3586" s="8"/>
      <c r="N3586" s="8"/>
      <c r="O3586" s="8"/>
      <c r="P3586" s="8"/>
      <c r="Q3586" s="8"/>
      <c r="R3586" s="8"/>
      <c r="S3586" s="8"/>
      <c r="T3586" s="8"/>
      <c r="U3586" s="8"/>
      <c r="V3586" s="8"/>
      <c r="W3586" s="8"/>
      <c r="X3586" s="771"/>
      <c r="Y3586" s="771"/>
      <c r="Z3586" s="771"/>
      <c r="AA3586" s="771"/>
      <c r="AB3586" s="771"/>
      <c r="AC3586" s="771"/>
      <c r="AD3586" s="771"/>
      <c r="AE3586" s="771"/>
      <c r="AF3586" s="771"/>
      <c r="AG3586" s="771"/>
      <c r="AH3586" s="771"/>
      <c r="AI3586" s="771"/>
      <c r="AJ3586" s="771"/>
      <c r="AK3586" s="771"/>
      <c r="AL3586" s="771"/>
      <c r="AM3586" s="771"/>
      <c r="AN3586" s="771"/>
      <c r="AO3586" s="771"/>
      <c r="AP3586" s="771"/>
      <c r="AQ3586" s="771"/>
      <c r="AR3586" s="771"/>
      <c r="AS3586" s="771"/>
      <c r="AT3586" s="771"/>
      <c r="AU3586" s="771"/>
    </row>
    <row r="3587" spans="1:47" s="15" customFormat="1" outlineLevel="1" x14ac:dyDescent="0.2">
      <c r="A3587" s="8"/>
      <c r="B3587" s="8"/>
      <c r="C3587" s="1989" t="s">
        <v>4284</v>
      </c>
      <c r="D3587" s="1989" t="s">
        <v>6595</v>
      </c>
      <c r="E3587" s="1989">
        <v>0</v>
      </c>
      <c r="F3587" s="1546">
        <f t="shared" si="54"/>
        <v>0</v>
      </c>
      <c r="G3587" s="1547"/>
      <c r="H3587" s="8"/>
      <c r="I3587" s="8"/>
      <c r="J3587" s="8"/>
      <c r="K3587" s="8"/>
      <c r="L3587" s="8"/>
      <c r="M3587" s="8"/>
      <c r="N3587" s="8"/>
      <c r="O3587" s="8"/>
      <c r="P3587" s="8"/>
      <c r="Q3587" s="8"/>
      <c r="R3587" s="8"/>
      <c r="S3587" s="8"/>
      <c r="T3587" s="8"/>
      <c r="U3587" s="8"/>
      <c r="V3587" s="8"/>
      <c r="W3587" s="8"/>
      <c r="X3587" s="771"/>
      <c r="Y3587" s="771"/>
      <c r="Z3587" s="771"/>
      <c r="AA3587" s="771"/>
      <c r="AB3587" s="771"/>
      <c r="AC3587" s="771"/>
      <c r="AD3587" s="771"/>
      <c r="AE3587" s="771"/>
      <c r="AF3587" s="771"/>
      <c r="AG3587" s="771"/>
      <c r="AH3587" s="771"/>
      <c r="AI3587" s="771"/>
      <c r="AJ3587" s="771"/>
      <c r="AK3587" s="771"/>
      <c r="AL3587" s="771"/>
      <c r="AM3587" s="771"/>
      <c r="AN3587" s="771"/>
      <c r="AO3587" s="771"/>
      <c r="AP3587" s="771"/>
      <c r="AQ3587" s="771"/>
      <c r="AR3587" s="771"/>
      <c r="AS3587" s="771"/>
      <c r="AT3587" s="771"/>
      <c r="AU3587" s="771"/>
    </row>
    <row r="3588" spans="1:47" s="15" customFormat="1" outlineLevel="1" x14ac:dyDescent="0.2">
      <c r="A3588" s="8"/>
      <c r="B3588" s="8"/>
      <c r="C3588" s="1989" t="s">
        <v>6910</v>
      </c>
      <c r="D3588" s="1989" t="s">
        <v>6596</v>
      </c>
      <c r="E3588" s="1989">
        <v>0</v>
      </c>
      <c r="F3588" s="1546">
        <f t="shared" si="54"/>
        <v>0</v>
      </c>
      <c r="G3588" s="1547"/>
      <c r="H3588" s="8"/>
      <c r="I3588" s="8"/>
      <c r="J3588" s="8"/>
      <c r="K3588" s="8"/>
      <c r="L3588" s="8"/>
      <c r="M3588" s="8"/>
      <c r="N3588" s="8"/>
      <c r="O3588" s="8"/>
      <c r="P3588" s="8"/>
      <c r="Q3588" s="8"/>
      <c r="R3588" s="8"/>
      <c r="S3588" s="8"/>
      <c r="T3588" s="8"/>
      <c r="U3588" s="8"/>
      <c r="V3588" s="8"/>
      <c r="W3588" s="8"/>
      <c r="X3588" s="771"/>
      <c r="Y3588" s="771"/>
      <c r="Z3588" s="771"/>
      <c r="AA3588" s="771"/>
      <c r="AB3588" s="771"/>
      <c r="AC3588" s="771"/>
      <c r="AD3588" s="771"/>
      <c r="AE3588" s="771"/>
      <c r="AF3588" s="771"/>
      <c r="AG3588" s="771"/>
      <c r="AH3588" s="771"/>
      <c r="AI3588" s="771"/>
      <c r="AJ3588" s="771"/>
      <c r="AK3588" s="771"/>
      <c r="AL3588" s="771"/>
      <c r="AM3588" s="771"/>
      <c r="AN3588" s="771"/>
      <c r="AO3588" s="771"/>
      <c r="AP3588" s="771"/>
      <c r="AQ3588" s="771"/>
      <c r="AR3588" s="771"/>
      <c r="AS3588" s="771"/>
      <c r="AT3588" s="771"/>
      <c r="AU3588" s="771"/>
    </row>
    <row r="3589" spans="1:47" s="15" customFormat="1" outlineLevel="1" x14ac:dyDescent="0.2">
      <c r="A3589" s="8"/>
      <c r="B3589" s="8"/>
      <c r="C3589" s="1989" t="s">
        <v>2731</v>
      </c>
      <c r="D3589" s="1989" t="s">
        <v>8543</v>
      </c>
      <c r="E3589" s="1989">
        <v>0</v>
      </c>
      <c r="F3589" s="1546">
        <f t="shared" si="54"/>
        <v>0</v>
      </c>
      <c r="G3589" s="1547"/>
      <c r="H3589" s="8"/>
      <c r="I3589" s="8"/>
      <c r="J3589" s="8"/>
      <c r="K3589" s="8"/>
      <c r="L3589" s="8"/>
      <c r="M3589" s="8"/>
      <c r="N3589" s="8"/>
      <c r="O3589" s="8"/>
      <c r="P3589" s="8"/>
      <c r="Q3589" s="8"/>
      <c r="R3589" s="8"/>
      <c r="S3589" s="8"/>
      <c r="T3589" s="8"/>
      <c r="U3589" s="8"/>
      <c r="V3589" s="8"/>
      <c r="W3589" s="8"/>
      <c r="X3589" s="771"/>
      <c r="Y3589" s="771"/>
      <c r="Z3589" s="771"/>
      <c r="AA3589" s="771"/>
      <c r="AB3589" s="771"/>
      <c r="AC3589" s="771"/>
      <c r="AD3589" s="771"/>
      <c r="AE3589" s="771"/>
      <c r="AF3589" s="771"/>
      <c r="AG3589" s="771"/>
      <c r="AH3589" s="771"/>
      <c r="AI3589" s="771"/>
      <c r="AJ3589" s="771"/>
      <c r="AK3589" s="771"/>
      <c r="AL3589" s="771"/>
      <c r="AM3589" s="771"/>
      <c r="AN3589" s="771"/>
      <c r="AO3589" s="771"/>
      <c r="AP3589" s="771"/>
      <c r="AQ3589" s="771"/>
      <c r="AR3589" s="771"/>
      <c r="AS3589" s="771"/>
      <c r="AT3589" s="771"/>
      <c r="AU3589" s="771"/>
    </row>
    <row r="3590" spans="1:47" s="15" customFormat="1" outlineLevel="1" x14ac:dyDescent="0.2">
      <c r="A3590" s="8"/>
      <c r="B3590" s="8"/>
      <c r="C3590" s="1989" t="s">
        <v>4285</v>
      </c>
      <c r="D3590" s="1989" t="s">
        <v>4286</v>
      </c>
      <c r="E3590" s="1989">
        <v>0.51</v>
      </c>
      <c r="F3590" s="1546">
        <f t="shared" si="54"/>
        <v>41.473832399999999</v>
      </c>
      <c r="G3590" s="1547"/>
      <c r="H3590" s="8"/>
      <c r="I3590" s="8"/>
      <c r="J3590" s="8"/>
      <c r="K3590" s="8"/>
      <c r="L3590" s="8"/>
      <c r="M3590" s="8"/>
      <c r="N3590" s="8"/>
      <c r="O3590" s="8"/>
      <c r="P3590" s="8"/>
      <c r="Q3590" s="8"/>
      <c r="R3590" s="8"/>
      <c r="S3590" s="8"/>
      <c r="T3590" s="8"/>
      <c r="U3590" s="8"/>
      <c r="V3590" s="8"/>
      <c r="W3590" s="8"/>
      <c r="X3590" s="771"/>
      <c r="Y3590" s="771"/>
      <c r="Z3590" s="771"/>
      <c r="AA3590" s="771"/>
      <c r="AB3590" s="771"/>
      <c r="AC3590" s="771"/>
      <c r="AD3590" s="771"/>
      <c r="AE3590" s="771"/>
      <c r="AF3590" s="771"/>
      <c r="AG3590" s="771"/>
      <c r="AH3590" s="771"/>
      <c r="AI3590" s="771"/>
      <c r="AJ3590" s="771"/>
      <c r="AK3590" s="771"/>
      <c r="AL3590" s="771"/>
      <c r="AM3590" s="771"/>
      <c r="AN3590" s="771"/>
      <c r="AO3590" s="771"/>
      <c r="AP3590" s="771"/>
      <c r="AQ3590" s="771"/>
      <c r="AR3590" s="771"/>
      <c r="AS3590" s="771"/>
      <c r="AT3590" s="771"/>
      <c r="AU3590" s="771"/>
    </row>
    <row r="3591" spans="1:47" s="15" customFormat="1" outlineLevel="1" x14ac:dyDescent="0.2">
      <c r="A3591" s="8"/>
      <c r="B3591" s="8"/>
      <c r="C3591" s="1989" t="s">
        <v>4287</v>
      </c>
      <c r="D3591" s="1989" t="s">
        <v>8544</v>
      </c>
      <c r="E3591" s="1989">
        <v>0</v>
      </c>
      <c r="F3591" s="1546">
        <f t="shared" si="54"/>
        <v>0</v>
      </c>
      <c r="G3591" s="1547"/>
      <c r="H3591" s="8"/>
      <c r="I3591" s="8"/>
      <c r="J3591" s="8"/>
      <c r="K3591" s="8"/>
      <c r="L3591" s="8"/>
      <c r="M3591" s="8"/>
      <c r="N3591" s="8"/>
      <c r="O3591" s="8"/>
      <c r="P3591" s="8"/>
      <c r="Q3591" s="8"/>
      <c r="R3591" s="8"/>
      <c r="S3591" s="8"/>
      <c r="T3591" s="8"/>
      <c r="U3591" s="8"/>
      <c r="V3591" s="8"/>
      <c r="W3591" s="8"/>
      <c r="X3591" s="771"/>
      <c r="Y3591" s="771"/>
      <c r="Z3591" s="771"/>
      <c r="AA3591" s="771"/>
      <c r="AB3591" s="771"/>
      <c r="AC3591" s="771"/>
      <c r="AD3591" s="771"/>
      <c r="AE3591" s="771"/>
      <c r="AF3591" s="771"/>
      <c r="AG3591" s="771"/>
      <c r="AH3591" s="771"/>
      <c r="AI3591" s="771"/>
      <c r="AJ3591" s="771"/>
      <c r="AK3591" s="771"/>
      <c r="AL3591" s="771"/>
      <c r="AM3591" s="771"/>
      <c r="AN3591" s="771"/>
      <c r="AO3591" s="771"/>
      <c r="AP3591" s="771"/>
      <c r="AQ3591" s="771"/>
      <c r="AR3591" s="771"/>
      <c r="AS3591" s="771"/>
      <c r="AT3591" s="771"/>
      <c r="AU3591" s="771"/>
    </row>
    <row r="3592" spans="1:47" s="15" customFormat="1" outlineLevel="1" x14ac:dyDescent="0.2">
      <c r="A3592" s="8"/>
      <c r="B3592" s="8"/>
      <c r="C3592" s="1989" t="s">
        <v>4288</v>
      </c>
      <c r="D3592" s="1989" t="s">
        <v>8545</v>
      </c>
      <c r="E3592" s="1989">
        <v>2.4700000000000002</v>
      </c>
      <c r="F3592" s="1546">
        <f t="shared" si="54"/>
        <v>200.86346280000001</v>
      </c>
      <c r="G3592" s="1547"/>
      <c r="H3592" s="8"/>
      <c r="I3592" s="8"/>
      <c r="J3592" s="8"/>
      <c r="K3592" s="8"/>
      <c r="L3592" s="8"/>
      <c r="M3592" s="8"/>
      <c r="N3592" s="8"/>
      <c r="O3592" s="8"/>
      <c r="P3592" s="8"/>
      <c r="Q3592" s="8"/>
      <c r="R3592" s="8"/>
      <c r="S3592" s="8"/>
      <c r="T3592" s="8"/>
      <c r="U3592" s="8"/>
      <c r="V3592" s="8"/>
      <c r="W3592" s="8"/>
      <c r="X3592" s="771"/>
      <c r="Y3592" s="771"/>
      <c r="Z3592" s="771"/>
      <c r="AA3592" s="771"/>
      <c r="AB3592" s="771"/>
      <c r="AC3592" s="771"/>
      <c r="AD3592" s="771"/>
      <c r="AE3592" s="771"/>
      <c r="AF3592" s="771"/>
      <c r="AG3592" s="771"/>
      <c r="AH3592" s="771"/>
      <c r="AI3592" s="771"/>
      <c r="AJ3592" s="771"/>
      <c r="AK3592" s="771"/>
      <c r="AL3592" s="771"/>
      <c r="AM3592" s="771"/>
      <c r="AN3592" s="771"/>
      <c r="AO3592" s="771"/>
      <c r="AP3592" s="771"/>
      <c r="AQ3592" s="771"/>
      <c r="AR3592" s="771"/>
      <c r="AS3592" s="771"/>
      <c r="AT3592" s="771"/>
      <c r="AU3592" s="771"/>
    </row>
    <row r="3593" spans="1:47" s="15" customFormat="1" outlineLevel="1" x14ac:dyDescent="0.2">
      <c r="A3593" s="8"/>
      <c r="B3593" s="8"/>
      <c r="C3593" s="1989" t="s">
        <v>4289</v>
      </c>
      <c r="D3593" s="1989" t="s">
        <v>6597</v>
      </c>
      <c r="E3593" s="1989">
        <v>0.08</v>
      </c>
      <c r="F3593" s="1546">
        <f t="shared" si="54"/>
        <v>6.5056992000000005</v>
      </c>
      <c r="G3593" s="1547"/>
      <c r="H3593" s="8"/>
      <c r="I3593" s="8"/>
      <c r="J3593" s="8"/>
      <c r="K3593" s="8"/>
      <c r="L3593" s="8"/>
      <c r="M3593" s="8"/>
      <c r="N3593" s="8"/>
      <c r="O3593" s="8"/>
      <c r="P3593" s="8"/>
      <c r="Q3593" s="8"/>
      <c r="R3593" s="8"/>
      <c r="S3593" s="8"/>
      <c r="T3593" s="8"/>
      <c r="U3593" s="8"/>
      <c r="V3593" s="8"/>
      <c r="W3593" s="8"/>
      <c r="X3593" s="771"/>
      <c r="Y3593" s="771"/>
      <c r="Z3593" s="771"/>
      <c r="AA3593" s="771"/>
      <c r="AB3593" s="771"/>
      <c r="AC3593" s="771"/>
      <c r="AD3593" s="771"/>
      <c r="AE3593" s="771"/>
      <c r="AF3593" s="771"/>
      <c r="AG3593" s="771"/>
      <c r="AH3593" s="771"/>
      <c r="AI3593" s="771"/>
      <c r="AJ3593" s="771"/>
      <c r="AK3593" s="771"/>
      <c r="AL3593" s="771"/>
      <c r="AM3593" s="771"/>
      <c r="AN3593" s="771"/>
      <c r="AO3593" s="771"/>
      <c r="AP3593" s="771"/>
      <c r="AQ3593" s="771"/>
      <c r="AR3593" s="771"/>
      <c r="AS3593" s="771"/>
      <c r="AT3593" s="771"/>
      <c r="AU3593" s="771"/>
    </row>
    <row r="3594" spans="1:47" s="15" customFormat="1" outlineLevel="1" x14ac:dyDescent="0.2">
      <c r="A3594" s="8"/>
      <c r="B3594" s="8"/>
      <c r="C3594" s="1989" t="s">
        <v>4966</v>
      </c>
      <c r="D3594" s="1989" t="s">
        <v>6598</v>
      </c>
      <c r="E3594" s="1989">
        <v>0.15</v>
      </c>
      <c r="F3594" s="1546">
        <f t="shared" si="54"/>
        <v>12.198186</v>
      </c>
      <c r="G3594" s="1547"/>
      <c r="H3594" s="8"/>
      <c r="I3594" s="8"/>
      <c r="J3594" s="8"/>
      <c r="K3594" s="8"/>
      <c r="L3594" s="8"/>
      <c r="M3594" s="8"/>
      <c r="N3594" s="8"/>
      <c r="O3594" s="8"/>
      <c r="P3594" s="8"/>
      <c r="Q3594" s="8"/>
      <c r="R3594" s="8"/>
      <c r="S3594" s="8"/>
      <c r="T3594" s="8"/>
      <c r="U3594" s="8"/>
      <c r="V3594" s="8"/>
      <c r="W3594" s="8"/>
      <c r="X3594" s="771"/>
      <c r="Y3594" s="771"/>
      <c r="Z3594" s="771"/>
      <c r="AA3594" s="771"/>
      <c r="AB3594" s="771"/>
      <c r="AC3594" s="771"/>
      <c r="AD3594" s="771"/>
      <c r="AE3594" s="771"/>
      <c r="AF3594" s="771"/>
      <c r="AG3594" s="771"/>
      <c r="AH3594" s="771"/>
      <c r="AI3594" s="771"/>
      <c r="AJ3594" s="771"/>
      <c r="AK3594" s="771"/>
      <c r="AL3594" s="771"/>
      <c r="AM3594" s="771"/>
      <c r="AN3594" s="771"/>
      <c r="AO3594" s="771"/>
      <c r="AP3594" s="771"/>
      <c r="AQ3594" s="771"/>
      <c r="AR3594" s="771"/>
      <c r="AS3594" s="771"/>
      <c r="AT3594" s="771"/>
      <c r="AU3594" s="771"/>
    </row>
    <row r="3595" spans="1:47" s="15" customFormat="1" outlineLevel="1" x14ac:dyDescent="0.2">
      <c r="A3595" s="8"/>
      <c r="B3595" s="8"/>
      <c r="C3595" s="1989" t="s">
        <v>4967</v>
      </c>
      <c r="D3595" s="1989" t="s">
        <v>8546</v>
      </c>
      <c r="E3595" s="1989">
        <v>0.01</v>
      </c>
      <c r="F3595" s="1546">
        <f t="shared" si="54"/>
        <v>0.81321240000000006</v>
      </c>
      <c r="G3595" s="1547"/>
      <c r="H3595" s="8"/>
      <c r="I3595" s="8"/>
      <c r="J3595" s="8"/>
      <c r="K3595" s="8"/>
      <c r="L3595" s="8"/>
      <c r="M3595" s="8"/>
      <c r="N3595" s="8"/>
      <c r="O3595" s="8"/>
      <c r="P3595" s="8"/>
      <c r="Q3595" s="8"/>
      <c r="R3595" s="8"/>
      <c r="S3595" s="8"/>
      <c r="T3595" s="8"/>
      <c r="U3595" s="8"/>
      <c r="V3595" s="8"/>
      <c r="W3595" s="8"/>
      <c r="X3595" s="771"/>
      <c r="Y3595" s="771"/>
      <c r="Z3595" s="771"/>
      <c r="AA3595" s="771"/>
      <c r="AB3595" s="771"/>
      <c r="AC3595" s="771"/>
      <c r="AD3595" s="771"/>
      <c r="AE3595" s="771"/>
      <c r="AF3595" s="771"/>
      <c r="AG3595" s="771"/>
      <c r="AH3595" s="771"/>
      <c r="AI3595" s="771"/>
      <c r="AJ3595" s="771"/>
      <c r="AK3595" s="771"/>
      <c r="AL3595" s="771"/>
      <c r="AM3595" s="771"/>
      <c r="AN3595" s="771"/>
      <c r="AO3595" s="771"/>
      <c r="AP3595" s="771"/>
      <c r="AQ3595" s="771"/>
      <c r="AR3595" s="771"/>
      <c r="AS3595" s="771"/>
      <c r="AT3595" s="771"/>
      <c r="AU3595" s="771"/>
    </row>
    <row r="3596" spans="1:47" s="15" customFormat="1" outlineLevel="1" x14ac:dyDescent="0.2">
      <c r="A3596" s="8"/>
      <c r="B3596" s="8"/>
      <c r="C3596" s="1989" t="s">
        <v>4968</v>
      </c>
      <c r="D3596" s="1989" t="s">
        <v>8547</v>
      </c>
      <c r="E3596" s="1989">
        <v>7.0000000000000007E-2</v>
      </c>
      <c r="F3596" s="1546">
        <f t="shared" si="54"/>
        <v>5.6924868000000011</v>
      </c>
      <c r="G3596" s="1547"/>
      <c r="H3596" s="8"/>
      <c r="I3596" s="8"/>
      <c r="J3596" s="8"/>
      <c r="K3596" s="8"/>
      <c r="L3596" s="8"/>
      <c r="M3596" s="8"/>
      <c r="N3596" s="8"/>
      <c r="O3596" s="8"/>
      <c r="P3596" s="8"/>
      <c r="Q3596" s="8"/>
      <c r="R3596" s="8"/>
      <c r="S3596" s="8"/>
      <c r="T3596" s="8"/>
      <c r="U3596" s="8"/>
      <c r="V3596" s="8"/>
      <c r="W3596" s="8"/>
      <c r="X3596" s="771"/>
      <c r="Y3596" s="771"/>
      <c r="Z3596" s="771"/>
      <c r="AA3596" s="771"/>
      <c r="AB3596" s="771"/>
      <c r="AC3596" s="771"/>
      <c r="AD3596" s="771"/>
      <c r="AE3596" s="771"/>
      <c r="AF3596" s="771"/>
      <c r="AG3596" s="771"/>
      <c r="AH3596" s="771"/>
      <c r="AI3596" s="771"/>
      <c r="AJ3596" s="771"/>
      <c r="AK3596" s="771"/>
      <c r="AL3596" s="771"/>
      <c r="AM3596" s="771"/>
      <c r="AN3596" s="771"/>
      <c r="AO3596" s="771"/>
      <c r="AP3596" s="771"/>
      <c r="AQ3596" s="771"/>
      <c r="AR3596" s="771"/>
      <c r="AS3596" s="771"/>
      <c r="AT3596" s="771"/>
      <c r="AU3596" s="771"/>
    </row>
    <row r="3597" spans="1:47" s="15" customFormat="1" outlineLevel="1" x14ac:dyDescent="0.2">
      <c r="A3597" s="8"/>
      <c r="B3597" s="8"/>
      <c r="C3597" s="1989" t="s">
        <v>4969</v>
      </c>
      <c r="D3597" s="1989" t="s">
        <v>8548</v>
      </c>
      <c r="E3597" s="1989">
        <v>1.88</v>
      </c>
      <c r="F3597" s="1546">
        <f t="shared" si="54"/>
        <v>152.88393120000001</v>
      </c>
      <c r="G3597" s="1547"/>
      <c r="H3597" s="8"/>
      <c r="I3597" s="8"/>
      <c r="J3597" s="8"/>
      <c r="K3597" s="8"/>
      <c r="L3597" s="8"/>
      <c r="M3597" s="8"/>
      <c r="N3597" s="8"/>
      <c r="O3597" s="8"/>
      <c r="P3597" s="8"/>
      <c r="Q3597" s="8"/>
      <c r="R3597" s="8"/>
      <c r="S3597" s="8"/>
      <c r="T3597" s="8"/>
      <c r="U3597" s="8"/>
      <c r="V3597" s="8"/>
      <c r="W3597" s="8"/>
      <c r="X3597" s="771"/>
      <c r="Y3597" s="771"/>
      <c r="Z3597" s="771"/>
      <c r="AA3597" s="771"/>
      <c r="AB3597" s="771"/>
      <c r="AC3597" s="771"/>
      <c r="AD3597" s="771"/>
      <c r="AE3597" s="771"/>
      <c r="AF3597" s="771"/>
      <c r="AG3597" s="771"/>
      <c r="AH3597" s="771"/>
      <c r="AI3597" s="771"/>
      <c r="AJ3597" s="771"/>
      <c r="AK3597" s="771"/>
      <c r="AL3597" s="771"/>
      <c r="AM3597" s="771"/>
      <c r="AN3597" s="771"/>
      <c r="AO3597" s="771"/>
      <c r="AP3597" s="771"/>
      <c r="AQ3597" s="771"/>
      <c r="AR3597" s="771"/>
      <c r="AS3597" s="771"/>
      <c r="AT3597" s="771"/>
      <c r="AU3597" s="771"/>
    </row>
    <row r="3598" spans="1:47" s="15" customFormat="1" outlineLevel="1" x14ac:dyDescent="0.2">
      <c r="A3598" s="8"/>
      <c r="B3598" s="8"/>
      <c r="C3598" s="1989" t="s">
        <v>6911</v>
      </c>
      <c r="D3598" s="1989" t="s">
        <v>8549</v>
      </c>
      <c r="E3598" s="1989">
        <v>0</v>
      </c>
      <c r="F3598" s="1546">
        <f t="shared" si="54"/>
        <v>0</v>
      </c>
      <c r="G3598" s="1547"/>
      <c r="H3598" s="8"/>
      <c r="I3598" s="8"/>
      <c r="J3598" s="8"/>
      <c r="K3598" s="8"/>
      <c r="L3598" s="8"/>
      <c r="M3598" s="8"/>
      <c r="N3598" s="8"/>
      <c r="O3598" s="8"/>
      <c r="P3598" s="8"/>
      <c r="Q3598" s="8"/>
      <c r="R3598" s="8"/>
      <c r="S3598" s="8"/>
      <c r="T3598" s="8"/>
      <c r="U3598" s="8"/>
      <c r="V3598" s="8"/>
      <c r="W3598" s="8"/>
      <c r="X3598" s="771"/>
      <c r="Y3598" s="771"/>
      <c r="Z3598" s="771"/>
      <c r="AA3598" s="771"/>
      <c r="AB3598" s="771"/>
      <c r="AC3598" s="771"/>
      <c r="AD3598" s="771"/>
      <c r="AE3598" s="771"/>
      <c r="AF3598" s="771"/>
      <c r="AG3598" s="771"/>
      <c r="AH3598" s="771"/>
      <c r="AI3598" s="771"/>
      <c r="AJ3598" s="771"/>
      <c r="AK3598" s="771"/>
      <c r="AL3598" s="771"/>
      <c r="AM3598" s="771"/>
      <c r="AN3598" s="771"/>
      <c r="AO3598" s="771"/>
      <c r="AP3598" s="771"/>
      <c r="AQ3598" s="771"/>
      <c r="AR3598" s="771"/>
      <c r="AS3598" s="771"/>
      <c r="AT3598" s="771"/>
      <c r="AU3598" s="771"/>
    </row>
    <row r="3599" spans="1:47" s="15" customFormat="1" outlineLevel="1" x14ac:dyDescent="0.2">
      <c r="A3599" s="8"/>
      <c r="B3599" s="8"/>
      <c r="C3599" s="1989" t="s">
        <v>4290</v>
      </c>
      <c r="D3599" s="1989" t="s">
        <v>4970</v>
      </c>
      <c r="E3599" s="1989">
        <v>4.13</v>
      </c>
      <c r="F3599" s="1546">
        <f t="shared" si="54"/>
        <v>335.85672119999998</v>
      </c>
      <c r="G3599" s="1547"/>
      <c r="H3599" s="8"/>
      <c r="I3599" s="8"/>
      <c r="J3599" s="8"/>
      <c r="K3599" s="8"/>
      <c r="L3599" s="8"/>
      <c r="M3599" s="8"/>
      <c r="N3599" s="8"/>
      <c r="O3599" s="8"/>
      <c r="P3599" s="8"/>
      <c r="Q3599" s="8"/>
      <c r="R3599" s="8"/>
      <c r="S3599" s="8"/>
      <c r="T3599" s="8"/>
      <c r="U3599" s="8"/>
      <c r="V3599" s="8"/>
      <c r="W3599" s="8"/>
      <c r="X3599" s="771"/>
      <c r="Y3599" s="771"/>
      <c r="Z3599" s="771"/>
      <c r="AA3599" s="771"/>
      <c r="AB3599" s="771"/>
      <c r="AC3599" s="771"/>
      <c r="AD3599" s="771"/>
      <c r="AE3599" s="771"/>
      <c r="AF3599" s="771"/>
      <c r="AG3599" s="771"/>
      <c r="AH3599" s="771"/>
      <c r="AI3599" s="771"/>
      <c r="AJ3599" s="771"/>
      <c r="AK3599" s="771"/>
      <c r="AL3599" s="771"/>
      <c r="AM3599" s="771"/>
      <c r="AN3599" s="771"/>
      <c r="AO3599" s="771"/>
      <c r="AP3599" s="771"/>
      <c r="AQ3599" s="771"/>
      <c r="AR3599" s="771"/>
      <c r="AS3599" s="771"/>
      <c r="AT3599" s="771"/>
      <c r="AU3599" s="771"/>
    </row>
    <row r="3600" spans="1:47" s="15" customFormat="1" outlineLevel="1" x14ac:dyDescent="0.2">
      <c r="A3600" s="8"/>
      <c r="B3600" s="8"/>
      <c r="C3600" s="1989" t="s">
        <v>6912</v>
      </c>
      <c r="D3600" s="1989" t="s">
        <v>8550</v>
      </c>
      <c r="E3600" s="1989">
        <v>2.2400000000000002</v>
      </c>
      <c r="F3600" s="1546">
        <f t="shared" si="54"/>
        <v>182.15957760000003</v>
      </c>
      <c r="G3600" s="1547"/>
      <c r="H3600" s="8"/>
      <c r="I3600" s="8"/>
      <c r="J3600" s="8"/>
      <c r="K3600" s="8"/>
      <c r="L3600" s="8"/>
      <c r="M3600" s="8"/>
      <c r="N3600" s="8"/>
      <c r="O3600" s="8"/>
      <c r="P3600" s="8"/>
      <c r="Q3600" s="8"/>
      <c r="R3600" s="8"/>
      <c r="S3600" s="8"/>
      <c r="T3600" s="8"/>
      <c r="U3600" s="8"/>
      <c r="V3600" s="8"/>
      <c r="W3600" s="8"/>
      <c r="X3600" s="771"/>
      <c r="Y3600" s="771"/>
      <c r="Z3600" s="771"/>
      <c r="AA3600" s="771"/>
      <c r="AB3600" s="771"/>
      <c r="AC3600" s="771"/>
      <c r="AD3600" s="771"/>
      <c r="AE3600" s="771"/>
      <c r="AF3600" s="771"/>
      <c r="AG3600" s="771"/>
      <c r="AH3600" s="771"/>
      <c r="AI3600" s="771"/>
      <c r="AJ3600" s="771"/>
      <c r="AK3600" s="771"/>
      <c r="AL3600" s="771"/>
      <c r="AM3600" s="771"/>
      <c r="AN3600" s="771"/>
      <c r="AO3600" s="771"/>
      <c r="AP3600" s="771"/>
      <c r="AQ3600" s="771"/>
      <c r="AR3600" s="771"/>
      <c r="AS3600" s="771"/>
      <c r="AT3600" s="771"/>
      <c r="AU3600" s="771"/>
    </row>
    <row r="3601" spans="1:47" s="15" customFormat="1" outlineLevel="1" x14ac:dyDescent="0.2">
      <c r="A3601" s="8"/>
      <c r="B3601" s="8"/>
      <c r="C3601" s="1989" t="s">
        <v>4971</v>
      </c>
      <c r="D3601" s="1989" t="s">
        <v>8551</v>
      </c>
      <c r="E3601" s="1989">
        <v>2.2400000000000002</v>
      </c>
      <c r="F3601" s="1546">
        <f t="shared" si="54"/>
        <v>182.15957760000003</v>
      </c>
      <c r="G3601" s="1547"/>
      <c r="H3601" s="8"/>
      <c r="I3601" s="8"/>
      <c r="J3601" s="8"/>
      <c r="K3601" s="8"/>
      <c r="L3601" s="8"/>
      <c r="M3601" s="8"/>
      <c r="N3601" s="8"/>
      <c r="O3601" s="8"/>
      <c r="P3601" s="8"/>
      <c r="Q3601" s="8"/>
      <c r="R3601" s="8"/>
      <c r="S3601" s="8"/>
      <c r="T3601" s="8"/>
      <c r="U3601" s="8"/>
      <c r="V3601" s="8"/>
      <c r="W3601" s="8"/>
      <c r="X3601" s="771"/>
      <c r="Y3601" s="771"/>
      <c r="Z3601" s="771"/>
      <c r="AA3601" s="771"/>
      <c r="AB3601" s="771"/>
      <c r="AC3601" s="771"/>
      <c r="AD3601" s="771"/>
      <c r="AE3601" s="771"/>
      <c r="AF3601" s="771"/>
      <c r="AG3601" s="771"/>
      <c r="AH3601" s="771"/>
      <c r="AI3601" s="771"/>
      <c r="AJ3601" s="771"/>
      <c r="AK3601" s="771"/>
      <c r="AL3601" s="771"/>
      <c r="AM3601" s="771"/>
      <c r="AN3601" s="771"/>
      <c r="AO3601" s="771"/>
      <c r="AP3601" s="771"/>
      <c r="AQ3601" s="771"/>
      <c r="AR3601" s="771"/>
      <c r="AS3601" s="771"/>
      <c r="AT3601" s="771"/>
      <c r="AU3601" s="771"/>
    </row>
    <row r="3602" spans="1:47" s="15" customFormat="1" outlineLevel="1" x14ac:dyDescent="0.2">
      <c r="A3602" s="8"/>
      <c r="B3602" s="8"/>
      <c r="C3602" s="1989" t="s">
        <v>4972</v>
      </c>
      <c r="D3602" s="1989" t="s">
        <v>8552</v>
      </c>
      <c r="E3602" s="1989">
        <v>2.66</v>
      </c>
      <c r="F3602" s="1546">
        <f t="shared" si="54"/>
        <v>216.31449840000002</v>
      </c>
      <c r="G3602" s="1547"/>
      <c r="H3602" s="8"/>
      <c r="I3602" s="8"/>
      <c r="J3602" s="8"/>
      <c r="K3602" s="8"/>
      <c r="L3602" s="8"/>
      <c r="M3602" s="8"/>
      <c r="N3602" s="8"/>
      <c r="O3602" s="8"/>
      <c r="P3602" s="8"/>
      <c r="Q3602" s="8"/>
      <c r="R3602" s="8"/>
      <c r="S3602" s="8"/>
      <c r="T3602" s="8"/>
      <c r="U3602" s="8"/>
      <c r="V3602" s="8"/>
      <c r="W3602" s="8"/>
      <c r="X3602" s="771"/>
      <c r="Y3602" s="771"/>
      <c r="Z3602" s="771"/>
      <c r="AA3602" s="771"/>
      <c r="AB3602" s="771"/>
      <c r="AC3602" s="771"/>
      <c r="AD3602" s="771"/>
      <c r="AE3602" s="771"/>
      <c r="AF3602" s="771"/>
      <c r="AG3602" s="771"/>
      <c r="AH3602" s="771"/>
      <c r="AI3602" s="771"/>
      <c r="AJ3602" s="771"/>
      <c r="AK3602" s="771"/>
      <c r="AL3602" s="771"/>
      <c r="AM3602" s="771"/>
      <c r="AN3602" s="771"/>
      <c r="AO3602" s="771"/>
      <c r="AP3602" s="771"/>
      <c r="AQ3602" s="771"/>
      <c r="AR3602" s="771"/>
      <c r="AS3602" s="771"/>
      <c r="AT3602" s="771"/>
      <c r="AU3602" s="771"/>
    </row>
    <row r="3603" spans="1:47" s="15" customFormat="1" outlineLevel="1" x14ac:dyDescent="0.2">
      <c r="A3603" s="8"/>
      <c r="B3603" s="8"/>
      <c r="C3603" s="1989" t="s">
        <v>2739</v>
      </c>
      <c r="D3603" s="1989" t="s">
        <v>8553</v>
      </c>
      <c r="E3603" s="1989">
        <v>0</v>
      </c>
      <c r="F3603" s="1546">
        <f t="shared" si="54"/>
        <v>0</v>
      </c>
      <c r="G3603" s="1547"/>
      <c r="H3603" s="8"/>
      <c r="I3603" s="8"/>
      <c r="J3603" s="8"/>
      <c r="K3603" s="8"/>
      <c r="L3603" s="8"/>
      <c r="M3603" s="8"/>
      <c r="N3603" s="8"/>
      <c r="O3603" s="8"/>
      <c r="P3603" s="8"/>
      <c r="Q3603" s="8"/>
      <c r="R3603" s="8"/>
      <c r="S3603" s="8"/>
      <c r="T3603" s="8"/>
      <c r="U3603" s="8"/>
      <c r="V3603" s="8"/>
      <c r="W3603" s="8"/>
      <c r="X3603" s="771"/>
      <c r="Y3603" s="771"/>
      <c r="Z3603" s="771"/>
      <c r="AA3603" s="771"/>
      <c r="AB3603" s="771"/>
      <c r="AC3603" s="771"/>
      <c r="AD3603" s="771"/>
      <c r="AE3603" s="771"/>
      <c r="AF3603" s="771"/>
      <c r="AG3603" s="771"/>
      <c r="AH3603" s="771"/>
      <c r="AI3603" s="771"/>
      <c r="AJ3603" s="771"/>
      <c r="AK3603" s="771"/>
      <c r="AL3603" s="771"/>
      <c r="AM3603" s="771"/>
      <c r="AN3603" s="771"/>
      <c r="AO3603" s="771"/>
      <c r="AP3603" s="771"/>
      <c r="AQ3603" s="771"/>
      <c r="AR3603" s="771"/>
      <c r="AS3603" s="771"/>
      <c r="AT3603" s="771"/>
      <c r="AU3603" s="771"/>
    </row>
    <row r="3604" spans="1:47" s="15" customFormat="1" outlineLevel="1" x14ac:dyDescent="0.2">
      <c r="A3604" s="8"/>
      <c r="B3604" s="8"/>
      <c r="C3604" s="1989" t="s">
        <v>6913</v>
      </c>
      <c r="D3604" s="1989" t="s">
        <v>8554</v>
      </c>
      <c r="E3604" s="1989">
        <v>0.34</v>
      </c>
      <c r="F3604" s="1546">
        <f t="shared" si="54"/>
        <v>27.649221600000004</v>
      </c>
      <c r="G3604" s="1547"/>
      <c r="H3604" s="8"/>
      <c r="I3604" s="8"/>
      <c r="J3604" s="8"/>
      <c r="K3604" s="8"/>
      <c r="L3604" s="8"/>
      <c r="M3604" s="8"/>
      <c r="N3604" s="8"/>
      <c r="O3604" s="8"/>
      <c r="P3604" s="8"/>
      <c r="Q3604" s="8"/>
      <c r="R3604" s="8"/>
      <c r="S3604" s="8"/>
      <c r="T3604" s="8"/>
      <c r="U3604" s="8"/>
      <c r="V3604" s="8"/>
      <c r="W3604" s="8"/>
      <c r="X3604" s="771"/>
      <c r="Y3604" s="771"/>
      <c r="Z3604" s="771"/>
      <c r="AA3604" s="771"/>
      <c r="AB3604" s="771"/>
      <c r="AC3604" s="771"/>
      <c r="AD3604" s="771"/>
      <c r="AE3604" s="771"/>
      <c r="AF3604" s="771"/>
      <c r="AG3604" s="771"/>
      <c r="AH3604" s="771"/>
      <c r="AI3604" s="771"/>
      <c r="AJ3604" s="771"/>
      <c r="AK3604" s="771"/>
      <c r="AL3604" s="771"/>
      <c r="AM3604" s="771"/>
      <c r="AN3604" s="771"/>
      <c r="AO3604" s="771"/>
      <c r="AP3604" s="771"/>
      <c r="AQ3604" s="771"/>
      <c r="AR3604" s="771"/>
      <c r="AS3604" s="771"/>
      <c r="AT3604" s="771"/>
      <c r="AU3604" s="771"/>
    </row>
    <row r="3605" spans="1:47" s="15" customFormat="1" outlineLevel="1" x14ac:dyDescent="0.2">
      <c r="A3605" s="8"/>
      <c r="B3605" s="8"/>
      <c r="C3605" s="1989" t="s">
        <v>6914</v>
      </c>
      <c r="D3605" s="1989" t="s">
        <v>8555</v>
      </c>
      <c r="E3605" s="1989">
        <v>0</v>
      </c>
      <c r="F3605" s="1546">
        <f t="shared" si="54"/>
        <v>0</v>
      </c>
      <c r="G3605" s="1547"/>
      <c r="H3605" s="8"/>
      <c r="I3605" s="8"/>
      <c r="J3605" s="8"/>
      <c r="K3605" s="8"/>
      <c r="L3605" s="8"/>
      <c r="M3605" s="8"/>
      <c r="N3605" s="8"/>
      <c r="O3605" s="8"/>
      <c r="P3605" s="8"/>
      <c r="Q3605" s="8"/>
      <c r="R3605" s="8"/>
      <c r="S3605" s="8"/>
      <c r="T3605" s="8"/>
      <c r="U3605" s="8"/>
      <c r="V3605" s="8"/>
      <c r="W3605" s="8"/>
      <c r="X3605" s="771"/>
      <c r="Y3605" s="771"/>
      <c r="Z3605" s="771"/>
      <c r="AA3605" s="771"/>
      <c r="AB3605" s="771"/>
      <c r="AC3605" s="771"/>
      <c r="AD3605" s="771"/>
      <c r="AE3605" s="771"/>
      <c r="AF3605" s="771"/>
      <c r="AG3605" s="771"/>
      <c r="AH3605" s="771"/>
      <c r="AI3605" s="771"/>
      <c r="AJ3605" s="771"/>
      <c r="AK3605" s="771"/>
      <c r="AL3605" s="771"/>
      <c r="AM3605" s="771"/>
      <c r="AN3605" s="771"/>
      <c r="AO3605" s="771"/>
      <c r="AP3605" s="771"/>
      <c r="AQ3605" s="771"/>
      <c r="AR3605" s="771"/>
      <c r="AS3605" s="771"/>
      <c r="AT3605" s="771"/>
      <c r="AU3605" s="771"/>
    </row>
    <row r="3606" spans="1:47" s="15" customFormat="1" outlineLevel="1" x14ac:dyDescent="0.2">
      <c r="A3606" s="8"/>
      <c r="B3606" s="8"/>
      <c r="C3606" s="1989" t="s">
        <v>3418</v>
      </c>
      <c r="D3606" s="1989" t="s">
        <v>8556</v>
      </c>
      <c r="E3606" s="1989">
        <v>0</v>
      </c>
      <c r="F3606" s="1546">
        <f t="shared" si="54"/>
        <v>0</v>
      </c>
      <c r="G3606" s="1547"/>
      <c r="H3606" s="8"/>
      <c r="I3606" s="8"/>
      <c r="J3606" s="8"/>
      <c r="K3606" s="8"/>
      <c r="L3606" s="8"/>
      <c r="M3606" s="8"/>
      <c r="N3606" s="8"/>
      <c r="O3606" s="8"/>
      <c r="P3606" s="8"/>
      <c r="Q3606" s="8"/>
      <c r="R3606" s="8"/>
      <c r="S3606" s="8"/>
      <c r="T3606" s="8"/>
      <c r="U3606" s="8"/>
      <c r="V3606" s="8"/>
      <c r="W3606" s="8"/>
      <c r="X3606" s="771"/>
      <c r="Y3606" s="771"/>
      <c r="Z3606" s="771"/>
      <c r="AA3606" s="771"/>
      <c r="AB3606" s="771"/>
      <c r="AC3606" s="771"/>
      <c r="AD3606" s="771"/>
      <c r="AE3606" s="771"/>
      <c r="AF3606" s="771"/>
      <c r="AG3606" s="771"/>
      <c r="AH3606" s="771"/>
      <c r="AI3606" s="771"/>
      <c r="AJ3606" s="771"/>
      <c r="AK3606" s="771"/>
      <c r="AL3606" s="771"/>
      <c r="AM3606" s="771"/>
      <c r="AN3606" s="771"/>
      <c r="AO3606" s="771"/>
      <c r="AP3606" s="771"/>
      <c r="AQ3606" s="771"/>
      <c r="AR3606" s="771"/>
      <c r="AS3606" s="771"/>
      <c r="AT3606" s="771"/>
      <c r="AU3606" s="771"/>
    </row>
    <row r="3607" spans="1:47" s="15" customFormat="1" outlineLevel="1" x14ac:dyDescent="0.2">
      <c r="A3607" s="8"/>
      <c r="B3607" s="8"/>
      <c r="C3607" s="1989" t="s">
        <v>6915</v>
      </c>
      <c r="D3607" s="1989" t="s">
        <v>8557</v>
      </c>
      <c r="E3607" s="1989">
        <v>0.5</v>
      </c>
      <c r="F3607" s="1546">
        <f t="shared" si="54"/>
        <v>40.660620000000002</v>
      </c>
      <c r="G3607" s="1547"/>
      <c r="H3607" s="8"/>
      <c r="I3607" s="8"/>
      <c r="J3607" s="8"/>
      <c r="K3607" s="8"/>
      <c r="L3607" s="8"/>
      <c r="M3607" s="8"/>
      <c r="N3607" s="8"/>
      <c r="O3607" s="8"/>
      <c r="P3607" s="8"/>
      <c r="Q3607" s="8"/>
      <c r="R3607" s="8"/>
      <c r="S3607" s="8"/>
      <c r="T3607" s="8"/>
      <c r="U3607" s="8"/>
      <c r="V3607" s="8"/>
      <c r="W3607" s="8"/>
      <c r="X3607" s="771"/>
      <c r="Y3607" s="771"/>
      <c r="Z3607" s="771"/>
      <c r="AA3607" s="771"/>
      <c r="AB3607" s="771"/>
      <c r="AC3607" s="771"/>
      <c r="AD3607" s="771"/>
      <c r="AE3607" s="771"/>
      <c r="AF3607" s="771"/>
      <c r="AG3607" s="771"/>
      <c r="AH3607" s="771"/>
      <c r="AI3607" s="771"/>
      <c r="AJ3607" s="771"/>
      <c r="AK3607" s="771"/>
      <c r="AL3607" s="771"/>
      <c r="AM3607" s="771"/>
      <c r="AN3607" s="771"/>
      <c r="AO3607" s="771"/>
      <c r="AP3607" s="771"/>
      <c r="AQ3607" s="771"/>
      <c r="AR3607" s="771"/>
      <c r="AS3607" s="771"/>
      <c r="AT3607" s="771"/>
      <c r="AU3607" s="771"/>
    </row>
    <row r="3608" spans="1:47" s="15" customFormat="1" outlineLevel="1" x14ac:dyDescent="0.2">
      <c r="A3608" s="8"/>
      <c r="B3608" s="8"/>
      <c r="C3608" s="1989" t="s">
        <v>4973</v>
      </c>
      <c r="D3608" s="1989" t="s">
        <v>6599</v>
      </c>
      <c r="E3608" s="1989">
        <v>0.04</v>
      </c>
      <c r="F3608" s="1546">
        <f t="shared" si="54"/>
        <v>3.2528496000000002</v>
      </c>
      <c r="G3608" s="1547"/>
      <c r="H3608" s="8"/>
      <c r="I3608" s="8"/>
      <c r="J3608" s="8"/>
      <c r="K3608" s="8"/>
      <c r="L3608" s="8"/>
      <c r="M3608" s="8"/>
      <c r="N3608" s="8"/>
      <c r="O3608" s="8"/>
      <c r="P3608" s="8"/>
      <c r="Q3608" s="8"/>
      <c r="R3608" s="8"/>
      <c r="S3608" s="8"/>
      <c r="T3608" s="8"/>
      <c r="U3608" s="8"/>
      <c r="V3608" s="8"/>
      <c r="W3608" s="8"/>
      <c r="X3608" s="771"/>
      <c r="Y3608" s="771"/>
      <c r="Z3608" s="771"/>
      <c r="AA3608" s="771"/>
      <c r="AB3608" s="771"/>
      <c r="AC3608" s="771"/>
      <c r="AD3608" s="771"/>
      <c r="AE3608" s="771"/>
      <c r="AF3608" s="771"/>
      <c r="AG3608" s="771"/>
      <c r="AH3608" s="771"/>
      <c r="AI3608" s="771"/>
      <c r="AJ3608" s="771"/>
      <c r="AK3608" s="771"/>
      <c r="AL3608" s="771"/>
      <c r="AM3608" s="771"/>
      <c r="AN3608" s="771"/>
      <c r="AO3608" s="771"/>
      <c r="AP3608" s="771"/>
      <c r="AQ3608" s="771"/>
      <c r="AR3608" s="771"/>
      <c r="AS3608" s="771"/>
      <c r="AT3608" s="771"/>
      <c r="AU3608" s="771"/>
    </row>
    <row r="3609" spans="1:47" s="15" customFormat="1" outlineLevel="1" x14ac:dyDescent="0.2">
      <c r="A3609" s="8"/>
      <c r="B3609" s="8"/>
      <c r="C3609" s="1989" t="s">
        <v>6916</v>
      </c>
      <c r="D3609" s="1989" t="s">
        <v>8558</v>
      </c>
      <c r="E3609" s="1989">
        <v>70.8</v>
      </c>
      <c r="F3609" s="1546">
        <f t="shared" si="54"/>
        <v>5757.5437920000004</v>
      </c>
      <c r="G3609" s="1547"/>
      <c r="H3609" s="8"/>
      <c r="I3609" s="8"/>
      <c r="J3609" s="8"/>
      <c r="K3609" s="8"/>
      <c r="L3609" s="8"/>
      <c r="M3609" s="8"/>
      <c r="N3609" s="8"/>
      <c r="O3609" s="8"/>
      <c r="P3609" s="8"/>
      <c r="Q3609" s="8"/>
      <c r="R3609" s="8"/>
      <c r="S3609" s="8"/>
      <c r="T3609" s="8"/>
      <c r="U3609" s="8"/>
      <c r="V3609" s="8"/>
      <c r="W3609" s="8"/>
      <c r="X3609" s="771"/>
      <c r="Y3609" s="771"/>
      <c r="Z3609" s="771"/>
      <c r="AA3609" s="771"/>
      <c r="AB3609" s="771"/>
      <c r="AC3609" s="771"/>
      <c r="AD3609" s="771"/>
      <c r="AE3609" s="771"/>
      <c r="AF3609" s="771"/>
      <c r="AG3609" s="771"/>
      <c r="AH3609" s="771"/>
      <c r="AI3609" s="771"/>
      <c r="AJ3609" s="771"/>
      <c r="AK3609" s="771"/>
      <c r="AL3609" s="771"/>
      <c r="AM3609" s="771"/>
      <c r="AN3609" s="771"/>
      <c r="AO3609" s="771"/>
      <c r="AP3609" s="771"/>
      <c r="AQ3609" s="771"/>
      <c r="AR3609" s="771"/>
      <c r="AS3609" s="771"/>
      <c r="AT3609" s="771"/>
      <c r="AU3609" s="771"/>
    </row>
    <row r="3610" spans="1:47" s="15" customFormat="1" outlineLevel="1" x14ac:dyDescent="0.2">
      <c r="A3610" s="8"/>
      <c r="B3610" s="8"/>
      <c r="C3610" s="1989" t="s">
        <v>6917</v>
      </c>
      <c r="D3610" s="1989" t="s">
        <v>6600</v>
      </c>
      <c r="E3610" s="1989">
        <v>4.53</v>
      </c>
      <c r="F3610" s="1546">
        <f t="shared" si="54"/>
        <v>368.3852172</v>
      </c>
      <c r="G3610" s="1547"/>
      <c r="H3610" s="8"/>
      <c r="I3610" s="8"/>
      <c r="J3610" s="8"/>
      <c r="K3610" s="8"/>
      <c r="L3610" s="8"/>
      <c r="M3610" s="8"/>
      <c r="N3610" s="8"/>
      <c r="O3610" s="8"/>
      <c r="P3610" s="8"/>
      <c r="Q3610" s="8"/>
      <c r="R3610" s="8"/>
      <c r="S3610" s="8"/>
      <c r="T3610" s="8"/>
      <c r="U3610" s="8"/>
      <c r="V3610" s="8"/>
      <c r="W3610" s="8"/>
      <c r="X3610" s="771"/>
      <c r="Y3610" s="771"/>
      <c r="Z3610" s="771"/>
      <c r="AA3610" s="771"/>
      <c r="AB3610" s="771"/>
      <c r="AC3610" s="771"/>
      <c r="AD3610" s="771"/>
      <c r="AE3610" s="771"/>
      <c r="AF3610" s="771"/>
      <c r="AG3610" s="771"/>
      <c r="AH3610" s="771"/>
      <c r="AI3610" s="771"/>
      <c r="AJ3610" s="771"/>
      <c r="AK3610" s="771"/>
      <c r="AL3610" s="771"/>
      <c r="AM3610" s="771"/>
      <c r="AN3610" s="771"/>
      <c r="AO3610" s="771"/>
      <c r="AP3610" s="771"/>
      <c r="AQ3610" s="771"/>
      <c r="AR3610" s="771"/>
      <c r="AS3610" s="771"/>
      <c r="AT3610" s="771"/>
      <c r="AU3610" s="771"/>
    </row>
    <row r="3611" spans="1:47" s="15" customFormat="1" outlineLevel="1" x14ac:dyDescent="0.2">
      <c r="A3611" s="8"/>
      <c r="B3611" s="8"/>
      <c r="C3611" s="1989" t="s">
        <v>4291</v>
      </c>
      <c r="D3611" s="1989" t="s">
        <v>8559</v>
      </c>
      <c r="E3611" s="1989">
        <v>0.2</v>
      </c>
      <c r="F3611" s="1546">
        <f t="shared" si="54"/>
        <v>16.264248000000002</v>
      </c>
      <c r="G3611" s="1547"/>
      <c r="H3611" s="8"/>
      <c r="I3611" s="8"/>
      <c r="J3611" s="8"/>
      <c r="K3611" s="8"/>
      <c r="L3611" s="8"/>
      <c r="M3611" s="8"/>
      <c r="N3611" s="8"/>
      <c r="O3611" s="8"/>
      <c r="P3611" s="8"/>
      <c r="Q3611" s="8"/>
      <c r="R3611" s="8"/>
      <c r="S3611" s="8"/>
      <c r="T3611" s="8"/>
      <c r="U3611" s="8"/>
      <c r="V3611" s="8"/>
      <c r="W3611" s="8"/>
      <c r="X3611" s="771"/>
      <c r="Y3611" s="771"/>
      <c r="Z3611" s="771"/>
      <c r="AA3611" s="771"/>
      <c r="AB3611" s="771"/>
      <c r="AC3611" s="771"/>
      <c r="AD3611" s="771"/>
      <c r="AE3611" s="771"/>
      <c r="AF3611" s="771"/>
      <c r="AG3611" s="771"/>
      <c r="AH3611" s="771"/>
      <c r="AI3611" s="771"/>
      <c r="AJ3611" s="771"/>
      <c r="AK3611" s="771"/>
      <c r="AL3611" s="771"/>
      <c r="AM3611" s="771"/>
      <c r="AN3611" s="771"/>
      <c r="AO3611" s="771"/>
      <c r="AP3611" s="771"/>
      <c r="AQ3611" s="771"/>
      <c r="AR3611" s="771"/>
      <c r="AS3611" s="771"/>
      <c r="AT3611" s="771"/>
      <c r="AU3611" s="771"/>
    </row>
    <row r="3612" spans="1:47" s="15" customFormat="1" outlineLevel="1" x14ac:dyDescent="0.2">
      <c r="A3612" s="8"/>
      <c r="B3612" s="8"/>
      <c r="C3612" s="1989" t="s">
        <v>4974</v>
      </c>
      <c r="D3612" s="1989" t="s">
        <v>8560</v>
      </c>
      <c r="E3612" s="1989">
        <v>1.65</v>
      </c>
      <c r="F3612" s="1546">
        <f t="shared" si="54"/>
        <v>134.180046</v>
      </c>
      <c r="G3612" s="1547"/>
      <c r="H3612" s="8"/>
      <c r="I3612" s="8"/>
      <c r="J3612" s="8"/>
      <c r="K3612" s="8"/>
      <c r="L3612" s="8"/>
      <c r="M3612" s="8"/>
      <c r="N3612" s="8"/>
      <c r="O3612" s="8"/>
      <c r="P3612" s="8"/>
      <c r="Q3612" s="8"/>
      <c r="R3612" s="8"/>
      <c r="S3612" s="8"/>
      <c r="T3612" s="8"/>
      <c r="U3612" s="8"/>
      <c r="V3612" s="8"/>
      <c r="W3612" s="8"/>
      <c r="X3612" s="771"/>
      <c r="Y3612" s="771"/>
      <c r="Z3612" s="771"/>
      <c r="AA3612" s="771"/>
      <c r="AB3612" s="771"/>
      <c r="AC3612" s="771"/>
      <c r="AD3612" s="771"/>
      <c r="AE3612" s="771"/>
      <c r="AF3612" s="771"/>
      <c r="AG3612" s="771"/>
      <c r="AH3612" s="771"/>
      <c r="AI3612" s="771"/>
      <c r="AJ3612" s="771"/>
      <c r="AK3612" s="771"/>
      <c r="AL3612" s="771"/>
      <c r="AM3612" s="771"/>
      <c r="AN3612" s="771"/>
      <c r="AO3612" s="771"/>
      <c r="AP3612" s="771"/>
      <c r="AQ3612" s="771"/>
      <c r="AR3612" s="771"/>
      <c r="AS3612" s="771"/>
      <c r="AT3612" s="771"/>
      <c r="AU3612" s="771"/>
    </row>
    <row r="3613" spans="1:47" s="15" customFormat="1" outlineLevel="1" x14ac:dyDescent="0.2">
      <c r="A3613" s="8"/>
      <c r="B3613" s="8"/>
      <c r="C3613" s="1989" t="s">
        <v>6918</v>
      </c>
      <c r="D3613" s="1989" t="s">
        <v>8561</v>
      </c>
      <c r="E3613" s="1989">
        <v>17.7</v>
      </c>
      <c r="F3613" s="1546">
        <f t="shared" si="54"/>
        <v>1439.3859480000001</v>
      </c>
      <c r="G3613" s="1547"/>
      <c r="H3613" s="8"/>
      <c r="I3613" s="8"/>
      <c r="J3613" s="8"/>
      <c r="K3613" s="8"/>
      <c r="L3613" s="8"/>
      <c r="M3613" s="8"/>
      <c r="N3613" s="8"/>
      <c r="O3613" s="8"/>
      <c r="P3613" s="8"/>
      <c r="Q3613" s="8"/>
      <c r="R3613" s="8"/>
      <c r="S3613" s="8"/>
      <c r="T3613" s="8"/>
      <c r="U3613" s="8"/>
      <c r="V3613" s="8"/>
      <c r="W3613" s="8"/>
      <c r="X3613" s="771"/>
      <c r="Y3613" s="771"/>
      <c r="Z3613" s="771"/>
      <c r="AA3613" s="771"/>
      <c r="AB3613" s="771"/>
      <c r="AC3613" s="771"/>
      <c r="AD3613" s="771"/>
      <c r="AE3613" s="771"/>
      <c r="AF3613" s="771"/>
      <c r="AG3613" s="771"/>
      <c r="AH3613" s="771"/>
      <c r="AI3613" s="771"/>
      <c r="AJ3613" s="771"/>
      <c r="AK3613" s="771"/>
      <c r="AL3613" s="771"/>
      <c r="AM3613" s="771"/>
      <c r="AN3613" s="771"/>
      <c r="AO3613" s="771"/>
      <c r="AP3613" s="771"/>
      <c r="AQ3613" s="771"/>
      <c r="AR3613" s="771"/>
      <c r="AS3613" s="771"/>
      <c r="AT3613" s="771"/>
      <c r="AU3613" s="771"/>
    </row>
    <row r="3614" spans="1:47" s="15" customFormat="1" outlineLevel="1" x14ac:dyDescent="0.2">
      <c r="A3614" s="8"/>
      <c r="B3614" s="8"/>
      <c r="C3614" s="1989" t="s">
        <v>904</v>
      </c>
      <c r="D3614" s="1989" t="s">
        <v>8562</v>
      </c>
      <c r="E3614" s="6">
        <v>2321.59</v>
      </c>
      <c r="F3614" s="1546">
        <f t="shared" si="54"/>
        <v>188794.57757160001</v>
      </c>
      <c r="G3614" s="1547"/>
      <c r="H3614" s="8"/>
      <c r="I3614" s="8"/>
      <c r="J3614" s="8"/>
      <c r="K3614" s="8"/>
      <c r="L3614" s="8"/>
      <c r="M3614" s="8"/>
      <c r="N3614" s="8"/>
      <c r="O3614" s="8"/>
      <c r="P3614" s="8"/>
      <c r="Q3614" s="8"/>
      <c r="R3614" s="8"/>
      <c r="S3614" s="8"/>
      <c r="T3614" s="8"/>
      <c r="U3614" s="8"/>
      <c r="V3614" s="8"/>
      <c r="W3614" s="8"/>
      <c r="X3614" s="771"/>
      <c r="Y3614" s="771"/>
      <c r="Z3614" s="771"/>
      <c r="AA3614" s="771"/>
      <c r="AB3614" s="771"/>
      <c r="AC3614" s="771"/>
      <c r="AD3614" s="771"/>
      <c r="AE3614" s="771"/>
      <c r="AF3614" s="771"/>
      <c r="AG3614" s="771"/>
      <c r="AH3614" s="771"/>
      <c r="AI3614" s="771"/>
      <c r="AJ3614" s="771"/>
      <c r="AK3614" s="771"/>
      <c r="AL3614" s="771"/>
      <c r="AM3614" s="771"/>
      <c r="AN3614" s="771"/>
      <c r="AO3614" s="771"/>
      <c r="AP3614" s="771"/>
      <c r="AQ3614" s="771"/>
      <c r="AR3614" s="771"/>
      <c r="AS3614" s="771"/>
      <c r="AT3614" s="771"/>
      <c r="AU3614" s="771"/>
    </row>
    <row r="3615" spans="1:47" s="15" customFormat="1" outlineLevel="1" x14ac:dyDescent="0.2">
      <c r="A3615" s="8"/>
      <c r="B3615" s="8"/>
      <c r="C3615" s="1989" t="s">
        <v>6919</v>
      </c>
      <c r="D3615" s="1989" t="s">
        <v>8563</v>
      </c>
      <c r="E3615" s="1989">
        <v>0.42</v>
      </c>
      <c r="F3615" s="1546">
        <f t="shared" si="54"/>
        <v>34.154920799999999</v>
      </c>
      <c r="G3615" s="1547"/>
      <c r="H3615" s="8"/>
      <c r="I3615" s="8"/>
      <c r="J3615" s="8"/>
      <c r="K3615" s="8"/>
      <c r="L3615" s="8"/>
      <c r="M3615" s="8"/>
      <c r="N3615" s="8"/>
      <c r="O3615" s="8"/>
      <c r="P3615" s="8"/>
      <c r="Q3615" s="8"/>
      <c r="R3615" s="8"/>
      <c r="S3615" s="8"/>
      <c r="T3615" s="8"/>
      <c r="U3615" s="8"/>
      <c r="V3615" s="8"/>
      <c r="W3615" s="8"/>
      <c r="X3615" s="771"/>
      <c r="Y3615" s="771"/>
      <c r="Z3615" s="771"/>
      <c r="AA3615" s="771"/>
      <c r="AB3615" s="771"/>
      <c r="AC3615" s="771"/>
      <c r="AD3615" s="771"/>
      <c r="AE3615" s="771"/>
      <c r="AF3615" s="771"/>
      <c r="AG3615" s="771"/>
      <c r="AH3615" s="771"/>
      <c r="AI3615" s="771"/>
      <c r="AJ3615" s="771"/>
      <c r="AK3615" s="771"/>
      <c r="AL3615" s="771"/>
      <c r="AM3615" s="771"/>
      <c r="AN3615" s="771"/>
      <c r="AO3615" s="771"/>
      <c r="AP3615" s="771"/>
      <c r="AQ3615" s="771"/>
      <c r="AR3615" s="771"/>
      <c r="AS3615" s="771"/>
      <c r="AT3615" s="771"/>
      <c r="AU3615" s="771"/>
    </row>
    <row r="3616" spans="1:47" s="15" customFormat="1" outlineLevel="1" x14ac:dyDescent="0.2">
      <c r="A3616" s="8"/>
      <c r="B3616" s="8"/>
      <c r="C3616" s="1989" t="s">
        <v>4292</v>
      </c>
      <c r="D3616" s="1989" t="s">
        <v>8564</v>
      </c>
      <c r="E3616" s="1989">
        <v>0.05</v>
      </c>
      <c r="F3616" s="1546">
        <f t="shared" si="54"/>
        <v>4.0660620000000005</v>
      </c>
      <c r="G3616" s="1547"/>
      <c r="H3616" s="8"/>
      <c r="I3616" s="8"/>
      <c r="J3616" s="8"/>
      <c r="K3616" s="8"/>
      <c r="L3616" s="8"/>
      <c r="M3616" s="8"/>
      <c r="N3616" s="8"/>
      <c r="O3616" s="8"/>
      <c r="P3616" s="8"/>
      <c r="Q3616" s="8"/>
      <c r="R3616" s="8"/>
      <c r="S3616" s="8"/>
      <c r="T3616" s="8"/>
      <c r="U3616" s="8"/>
      <c r="V3616" s="8"/>
      <c r="W3616" s="8"/>
      <c r="X3616" s="771"/>
      <c r="Y3616" s="771"/>
      <c r="Z3616" s="771"/>
      <c r="AA3616" s="771"/>
      <c r="AB3616" s="771"/>
      <c r="AC3616" s="771"/>
      <c r="AD3616" s="771"/>
      <c r="AE3616" s="771"/>
      <c r="AF3616" s="771"/>
      <c r="AG3616" s="771"/>
      <c r="AH3616" s="771"/>
      <c r="AI3616" s="771"/>
      <c r="AJ3616" s="771"/>
      <c r="AK3616" s="771"/>
      <c r="AL3616" s="771"/>
      <c r="AM3616" s="771"/>
      <c r="AN3616" s="771"/>
      <c r="AO3616" s="771"/>
      <c r="AP3616" s="771"/>
      <c r="AQ3616" s="771"/>
      <c r="AR3616" s="771"/>
      <c r="AS3616" s="771"/>
      <c r="AT3616" s="771"/>
      <c r="AU3616" s="771"/>
    </row>
    <row r="3617" spans="1:47" s="15" customFormat="1" outlineLevel="1" x14ac:dyDescent="0.2">
      <c r="A3617" s="8"/>
      <c r="B3617" s="8"/>
      <c r="C3617" s="1989" t="s">
        <v>6920</v>
      </c>
      <c r="D3617" s="1989" t="s">
        <v>8565</v>
      </c>
      <c r="E3617" s="1989">
        <v>14.64</v>
      </c>
      <c r="F3617" s="1546">
        <f t="shared" si="54"/>
        <v>1190.5429536000001</v>
      </c>
      <c r="G3617" s="1547"/>
      <c r="H3617" s="8"/>
      <c r="I3617" s="8"/>
      <c r="J3617" s="8"/>
      <c r="K3617" s="8"/>
      <c r="L3617" s="8"/>
      <c r="M3617" s="8"/>
      <c r="N3617" s="8"/>
      <c r="O3617" s="8"/>
      <c r="P3617" s="8"/>
      <c r="Q3617" s="8"/>
      <c r="R3617" s="8"/>
      <c r="S3617" s="8"/>
      <c r="T3617" s="8"/>
      <c r="U3617" s="8"/>
      <c r="V3617" s="8"/>
      <c r="W3617" s="8"/>
      <c r="X3617" s="771"/>
      <c r="Y3617" s="771"/>
      <c r="Z3617" s="771"/>
      <c r="AA3617" s="771"/>
      <c r="AB3617" s="771"/>
      <c r="AC3617" s="771"/>
      <c r="AD3617" s="771"/>
      <c r="AE3617" s="771"/>
      <c r="AF3617" s="771"/>
      <c r="AG3617" s="771"/>
      <c r="AH3617" s="771"/>
      <c r="AI3617" s="771"/>
      <c r="AJ3617" s="771"/>
      <c r="AK3617" s="771"/>
      <c r="AL3617" s="771"/>
      <c r="AM3617" s="771"/>
      <c r="AN3617" s="771"/>
      <c r="AO3617" s="771"/>
      <c r="AP3617" s="771"/>
      <c r="AQ3617" s="771"/>
      <c r="AR3617" s="771"/>
      <c r="AS3617" s="771"/>
      <c r="AT3617" s="771"/>
      <c r="AU3617" s="771"/>
    </row>
    <row r="3618" spans="1:47" s="15" customFormat="1" outlineLevel="1" x14ac:dyDescent="0.2">
      <c r="A3618" s="8"/>
      <c r="B3618" s="8"/>
      <c r="C3618" s="1989" t="s">
        <v>4293</v>
      </c>
      <c r="D3618" s="1989" t="s">
        <v>8566</v>
      </c>
      <c r="E3618" s="1989">
        <v>0.45</v>
      </c>
      <c r="F3618" s="1546">
        <f t="shared" si="54"/>
        <v>36.594558000000006</v>
      </c>
      <c r="G3618" s="1547"/>
      <c r="H3618" s="8"/>
      <c r="I3618" s="8"/>
      <c r="J3618" s="8"/>
      <c r="K3618" s="8"/>
      <c r="L3618" s="8"/>
      <c r="M3618" s="8"/>
      <c r="N3618" s="8"/>
      <c r="O3618" s="8"/>
      <c r="P3618" s="8"/>
      <c r="Q3618" s="8"/>
      <c r="R3618" s="8"/>
      <c r="S3618" s="8"/>
      <c r="T3618" s="8"/>
      <c r="U3618" s="8"/>
      <c r="V3618" s="8"/>
      <c r="W3618" s="8"/>
      <c r="X3618" s="771"/>
      <c r="Y3618" s="771"/>
      <c r="Z3618" s="771"/>
      <c r="AA3618" s="771"/>
      <c r="AB3618" s="771"/>
      <c r="AC3618" s="771"/>
      <c r="AD3618" s="771"/>
      <c r="AE3618" s="771"/>
      <c r="AF3618" s="771"/>
      <c r="AG3618" s="771"/>
      <c r="AH3618" s="771"/>
      <c r="AI3618" s="771"/>
      <c r="AJ3618" s="771"/>
      <c r="AK3618" s="771"/>
      <c r="AL3618" s="771"/>
      <c r="AM3618" s="771"/>
      <c r="AN3618" s="771"/>
      <c r="AO3618" s="771"/>
      <c r="AP3618" s="771"/>
      <c r="AQ3618" s="771"/>
      <c r="AR3618" s="771"/>
      <c r="AS3618" s="771"/>
      <c r="AT3618" s="771"/>
      <c r="AU3618" s="771"/>
    </row>
    <row r="3619" spans="1:47" s="15" customFormat="1" outlineLevel="1" x14ac:dyDescent="0.2">
      <c r="A3619" s="8"/>
      <c r="B3619" s="8"/>
      <c r="C3619" s="1989" t="s">
        <v>909</v>
      </c>
      <c r="D3619" s="1989" t="s">
        <v>8567</v>
      </c>
      <c r="E3619" s="1989">
        <v>90</v>
      </c>
      <c r="F3619" s="1546">
        <f t="shared" si="54"/>
        <v>7318.9116000000004</v>
      </c>
      <c r="G3619" s="1547"/>
      <c r="H3619" s="8"/>
      <c r="I3619" s="8"/>
      <c r="J3619" s="8"/>
      <c r="K3619" s="8"/>
      <c r="L3619" s="8"/>
      <c r="M3619" s="8"/>
      <c r="N3619" s="8"/>
      <c r="O3619" s="8"/>
      <c r="P3619" s="8"/>
      <c r="Q3619" s="8"/>
      <c r="R3619" s="8"/>
      <c r="S3619" s="8"/>
      <c r="T3619" s="8"/>
      <c r="U3619" s="8"/>
      <c r="V3619" s="8"/>
      <c r="W3619" s="8"/>
      <c r="X3619" s="771"/>
      <c r="Y3619" s="771"/>
      <c r="Z3619" s="771"/>
      <c r="AA3619" s="771"/>
      <c r="AB3619" s="771"/>
      <c r="AC3619" s="771"/>
      <c r="AD3619" s="771"/>
      <c r="AE3619" s="771"/>
      <c r="AF3619" s="771"/>
      <c r="AG3619" s="771"/>
      <c r="AH3619" s="771"/>
      <c r="AI3619" s="771"/>
      <c r="AJ3619" s="771"/>
      <c r="AK3619" s="771"/>
      <c r="AL3619" s="771"/>
      <c r="AM3619" s="771"/>
      <c r="AN3619" s="771"/>
      <c r="AO3619" s="771"/>
      <c r="AP3619" s="771"/>
      <c r="AQ3619" s="771"/>
      <c r="AR3619" s="771"/>
      <c r="AS3619" s="771"/>
      <c r="AT3619" s="771"/>
      <c r="AU3619" s="771"/>
    </row>
    <row r="3620" spans="1:47" s="15" customFormat="1" outlineLevel="1" x14ac:dyDescent="0.2">
      <c r="A3620" s="8"/>
      <c r="B3620" s="8"/>
      <c r="C3620" s="1989" t="s">
        <v>4975</v>
      </c>
      <c r="D3620" s="1989" t="s">
        <v>4976</v>
      </c>
      <c r="E3620" s="1989">
        <v>2.44</v>
      </c>
      <c r="F3620" s="1546">
        <f t="shared" si="54"/>
        <v>198.42382560000001</v>
      </c>
      <c r="G3620" s="1547"/>
      <c r="H3620" s="8"/>
      <c r="I3620" s="8"/>
      <c r="J3620" s="8"/>
      <c r="K3620" s="8"/>
      <c r="L3620" s="8"/>
      <c r="M3620" s="8"/>
      <c r="N3620" s="8"/>
      <c r="O3620" s="8"/>
      <c r="P3620" s="8"/>
      <c r="Q3620" s="8"/>
      <c r="R3620" s="8"/>
      <c r="S3620" s="8"/>
      <c r="T3620" s="8"/>
      <c r="U3620" s="8"/>
      <c r="V3620" s="8"/>
      <c r="W3620" s="8"/>
      <c r="X3620" s="771"/>
      <c r="Y3620" s="771"/>
      <c r="Z3620" s="771"/>
      <c r="AA3620" s="771"/>
      <c r="AB3620" s="771"/>
      <c r="AC3620" s="771"/>
      <c r="AD3620" s="771"/>
      <c r="AE3620" s="771"/>
      <c r="AF3620" s="771"/>
      <c r="AG3620" s="771"/>
      <c r="AH3620" s="771"/>
      <c r="AI3620" s="771"/>
      <c r="AJ3620" s="771"/>
      <c r="AK3620" s="771"/>
      <c r="AL3620" s="771"/>
      <c r="AM3620" s="771"/>
      <c r="AN3620" s="771"/>
      <c r="AO3620" s="771"/>
      <c r="AP3620" s="771"/>
      <c r="AQ3620" s="771"/>
      <c r="AR3620" s="771"/>
      <c r="AS3620" s="771"/>
      <c r="AT3620" s="771"/>
      <c r="AU3620" s="771"/>
    </row>
    <row r="3621" spans="1:47" s="15" customFormat="1" outlineLevel="1" x14ac:dyDescent="0.2">
      <c r="A3621" s="8"/>
      <c r="B3621" s="8"/>
      <c r="C3621" s="1989" t="s">
        <v>6921</v>
      </c>
      <c r="D3621" s="1989" t="s">
        <v>8568</v>
      </c>
      <c r="E3621" s="1989">
        <v>24.17</v>
      </c>
      <c r="F3621" s="1546">
        <f t="shared" si="54"/>
        <v>1965.5343708000003</v>
      </c>
      <c r="G3621" s="1547"/>
      <c r="H3621" s="8"/>
      <c r="I3621" s="8"/>
      <c r="J3621" s="8"/>
      <c r="K3621" s="8"/>
      <c r="L3621" s="8"/>
      <c r="M3621" s="8"/>
      <c r="N3621" s="8"/>
      <c r="O3621" s="8"/>
      <c r="P3621" s="8"/>
      <c r="Q3621" s="8"/>
      <c r="R3621" s="8"/>
      <c r="S3621" s="8"/>
      <c r="T3621" s="8"/>
      <c r="U3621" s="8"/>
      <c r="V3621" s="8"/>
      <c r="W3621" s="8"/>
      <c r="X3621" s="771"/>
      <c r="Y3621" s="771"/>
      <c r="Z3621" s="771"/>
      <c r="AA3621" s="771"/>
      <c r="AB3621" s="771"/>
      <c r="AC3621" s="771"/>
      <c r="AD3621" s="771"/>
      <c r="AE3621" s="771"/>
      <c r="AF3621" s="771"/>
      <c r="AG3621" s="771"/>
      <c r="AH3621" s="771"/>
      <c r="AI3621" s="771"/>
      <c r="AJ3621" s="771"/>
      <c r="AK3621" s="771"/>
      <c r="AL3621" s="771"/>
      <c r="AM3621" s="771"/>
      <c r="AN3621" s="771"/>
      <c r="AO3621" s="771"/>
      <c r="AP3621" s="771"/>
      <c r="AQ3621" s="771"/>
      <c r="AR3621" s="771"/>
      <c r="AS3621" s="771"/>
      <c r="AT3621" s="771"/>
      <c r="AU3621" s="771"/>
    </row>
    <row r="3622" spans="1:47" s="15" customFormat="1" outlineLevel="1" x14ac:dyDescent="0.2">
      <c r="A3622" s="8"/>
      <c r="B3622" s="8"/>
      <c r="C3622" s="1989" t="s">
        <v>6922</v>
      </c>
      <c r="D3622" s="1989" t="s">
        <v>8569</v>
      </c>
      <c r="E3622" s="1989">
        <v>0</v>
      </c>
      <c r="F3622" s="1546">
        <f t="shared" si="54"/>
        <v>0</v>
      </c>
      <c r="G3622" s="1547"/>
      <c r="H3622" s="8"/>
      <c r="I3622" s="8"/>
      <c r="J3622" s="8"/>
      <c r="K3622" s="8"/>
      <c r="L3622" s="8"/>
      <c r="M3622" s="8"/>
      <c r="N3622" s="8"/>
      <c r="O3622" s="8"/>
      <c r="P3622" s="8"/>
      <c r="Q3622" s="8"/>
      <c r="R3622" s="8"/>
      <c r="S3622" s="8"/>
      <c r="T3622" s="8"/>
      <c r="U3622" s="8"/>
      <c r="V3622" s="8"/>
      <c r="W3622" s="8"/>
      <c r="X3622" s="771"/>
      <c r="Y3622" s="771"/>
      <c r="Z3622" s="771"/>
      <c r="AA3622" s="771"/>
      <c r="AB3622" s="771"/>
      <c r="AC3622" s="771"/>
      <c r="AD3622" s="771"/>
      <c r="AE3622" s="771"/>
      <c r="AF3622" s="771"/>
      <c r="AG3622" s="771"/>
      <c r="AH3622" s="771"/>
      <c r="AI3622" s="771"/>
      <c r="AJ3622" s="771"/>
      <c r="AK3622" s="771"/>
      <c r="AL3622" s="771"/>
      <c r="AM3622" s="771"/>
      <c r="AN3622" s="771"/>
      <c r="AO3622" s="771"/>
      <c r="AP3622" s="771"/>
      <c r="AQ3622" s="771"/>
      <c r="AR3622" s="771"/>
      <c r="AS3622" s="771"/>
      <c r="AT3622" s="771"/>
      <c r="AU3622" s="771"/>
    </row>
    <row r="3623" spans="1:47" s="15" customFormat="1" outlineLevel="1" x14ac:dyDescent="0.2">
      <c r="A3623" s="8"/>
      <c r="B3623" s="8"/>
      <c r="C3623" s="1989" t="s">
        <v>4294</v>
      </c>
      <c r="D3623" s="1989" t="s">
        <v>4295</v>
      </c>
      <c r="E3623" s="1989">
        <v>0</v>
      </c>
      <c r="F3623" s="1546">
        <f t="shared" ref="F3623:F3686" si="55">E3623*$G$4*$J$4</f>
        <v>0</v>
      </c>
      <c r="G3623" s="1547"/>
      <c r="H3623" s="8"/>
      <c r="I3623" s="8"/>
      <c r="J3623" s="8"/>
      <c r="K3623" s="8"/>
      <c r="L3623" s="8"/>
      <c r="M3623" s="8"/>
      <c r="N3623" s="8"/>
      <c r="O3623" s="8"/>
      <c r="P3623" s="8"/>
      <c r="Q3623" s="8"/>
      <c r="R3623" s="8"/>
      <c r="S3623" s="8"/>
      <c r="T3623" s="8"/>
      <c r="U3623" s="8"/>
      <c r="V3623" s="8"/>
      <c r="W3623" s="8"/>
      <c r="X3623" s="771"/>
      <c r="Y3623" s="771"/>
      <c r="Z3623" s="771"/>
      <c r="AA3623" s="771"/>
      <c r="AB3623" s="771"/>
      <c r="AC3623" s="771"/>
      <c r="AD3623" s="771"/>
      <c r="AE3623" s="771"/>
      <c r="AF3623" s="771"/>
      <c r="AG3623" s="771"/>
      <c r="AH3623" s="771"/>
      <c r="AI3623" s="771"/>
      <c r="AJ3623" s="771"/>
      <c r="AK3623" s="771"/>
      <c r="AL3623" s="771"/>
      <c r="AM3623" s="771"/>
      <c r="AN3623" s="771"/>
      <c r="AO3623" s="771"/>
      <c r="AP3623" s="771"/>
      <c r="AQ3623" s="771"/>
      <c r="AR3623" s="771"/>
      <c r="AS3623" s="771"/>
      <c r="AT3623" s="771"/>
      <c r="AU3623" s="771"/>
    </row>
    <row r="3624" spans="1:47" s="15" customFormat="1" outlineLevel="1" x14ac:dyDescent="0.2">
      <c r="A3624" s="8"/>
      <c r="B3624" s="8"/>
      <c r="C3624" s="1989" t="s">
        <v>4296</v>
      </c>
      <c r="D3624" s="1989" t="s">
        <v>6601</v>
      </c>
      <c r="E3624" s="1989">
        <v>3.04</v>
      </c>
      <c r="F3624" s="1546">
        <f t="shared" si="55"/>
        <v>247.21656959999999</v>
      </c>
      <c r="G3624" s="1547"/>
      <c r="H3624" s="8"/>
      <c r="I3624" s="8"/>
      <c r="J3624" s="8"/>
      <c r="K3624" s="8"/>
      <c r="L3624" s="8"/>
      <c r="M3624" s="8"/>
      <c r="N3624" s="8"/>
      <c r="O3624" s="8"/>
      <c r="P3624" s="8"/>
      <c r="Q3624" s="8"/>
      <c r="R3624" s="8"/>
      <c r="S3624" s="8"/>
      <c r="T3624" s="8"/>
      <c r="U3624" s="8"/>
      <c r="V3624" s="8"/>
      <c r="W3624" s="8"/>
      <c r="X3624" s="771"/>
      <c r="Y3624" s="771"/>
      <c r="Z3624" s="771"/>
      <c r="AA3624" s="771"/>
      <c r="AB3624" s="771"/>
      <c r="AC3624" s="771"/>
      <c r="AD3624" s="771"/>
      <c r="AE3624" s="771"/>
      <c r="AF3624" s="771"/>
      <c r="AG3624" s="771"/>
      <c r="AH3624" s="771"/>
      <c r="AI3624" s="771"/>
      <c r="AJ3624" s="771"/>
      <c r="AK3624" s="771"/>
      <c r="AL3624" s="771"/>
      <c r="AM3624" s="771"/>
      <c r="AN3624" s="771"/>
      <c r="AO3624" s="771"/>
      <c r="AP3624" s="771"/>
      <c r="AQ3624" s="771"/>
      <c r="AR3624" s="771"/>
      <c r="AS3624" s="771"/>
      <c r="AT3624" s="771"/>
      <c r="AU3624" s="771"/>
    </row>
    <row r="3625" spans="1:47" s="15" customFormat="1" outlineLevel="1" x14ac:dyDescent="0.2">
      <c r="A3625" s="8"/>
      <c r="B3625" s="8"/>
      <c r="C3625" s="1989" t="s">
        <v>4297</v>
      </c>
      <c r="D3625" s="1989" t="s">
        <v>8570</v>
      </c>
      <c r="E3625" s="1989">
        <v>0</v>
      </c>
      <c r="F3625" s="1546">
        <f t="shared" si="55"/>
        <v>0</v>
      </c>
      <c r="G3625" s="1547"/>
      <c r="H3625" s="8"/>
      <c r="I3625" s="8"/>
      <c r="J3625" s="8"/>
      <c r="K3625" s="8"/>
      <c r="L3625" s="8"/>
      <c r="M3625" s="8"/>
      <c r="N3625" s="8"/>
      <c r="O3625" s="8"/>
      <c r="P3625" s="8"/>
      <c r="Q3625" s="8"/>
      <c r="R3625" s="8"/>
      <c r="S3625" s="8"/>
      <c r="T3625" s="8"/>
      <c r="U3625" s="8"/>
      <c r="V3625" s="8"/>
      <c r="W3625" s="8"/>
      <c r="X3625" s="771"/>
      <c r="Y3625" s="771"/>
      <c r="Z3625" s="771"/>
      <c r="AA3625" s="771"/>
      <c r="AB3625" s="771"/>
      <c r="AC3625" s="771"/>
      <c r="AD3625" s="771"/>
      <c r="AE3625" s="771"/>
      <c r="AF3625" s="771"/>
      <c r="AG3625" s="771"/>
      <c r="AH3625" s="771"/>
      <c r="AI3625" s="771"/>
      <c r="AJ3625" s="771"/>
      <c r="AK3625" s="771"/>
      <c r="AL3625" s="771"/>
      <c r="AM3625" s="771"/>
      <c r="AN3625" s="771"/>
      <c r="AO3625" s="771"/>
      <c r="AP3625" s="771"/>
      <c r="AQ3625" s="771"/>
      <c r="AR3625" s="771"/>
      <c r="AS3625" s="771"/>
      <c r="AT3625" s="771"/>
      <c r="AU3625" s="771"/>
    </row>
    <row r="3626" spans="1:47" s="15" customFormat="1" outlineLevel="1" x14ac:dyDescent="0.2">
      <c r="A3626" s="8"/>
      <c r="B3626" s="8"/>
      <c r="C3626" s="1989" t="s">
        <v>4298</v>
      </c>
      <c r="D3626" s="1989" t="s">
        <v>4299</v>
      </c>
      <c r="E3626" s="1989">
        <v>0</v>
      </c>
      <c r="F3626" s="1546">
        <f t="shared" si="55"/>
        <v>0</v>
      </c>
      <c r="G3626" s="1547"/>
      <c r="H3626" s="8"/>
      <c r="I3626" s="8"/>
      <c r="J3626" s="8"/>
      <c r="K3626" s="8"/>
      <c r="L3626" s="8"/>
      <c r="M3626" s="8"/>
      <c r="N3626" s="8"/>
      <c r="O3626" s="8"/>
      <c r="P3626" s="8"/>
      <c r="Q3626" s="8"/>
      <c r="R3626" s="8"/>
      <c r="S3626" s="8"/>
      <c r="T3626" s="8"/>
      <c r="U3626" s="8"/>
      <c r="V3626" s="8"/>
      <c r="W3626" s="8"/>
      <c r="X3626" s="771"/>
      <c r="Y3626" s="771"/>
      <c r="Z3626" s="771"/>
      <c r="AA3626" s="771"/>
      <c r="AB3626" s="771"/>
      <c r="AC3626" s="771"/>
      <c r="AD3626" s="771"/>
      <c r="AE3626" s="771"/>
      <c r="AF3626" s="771"/>
      <c r="AG3626" s="771"/>
      <c r="AH3626" s="771"/>
      <c r="AI3626" s="771"/>
      <c r="AJ3626" s="771"/>
      <c r="AK3626" s="771"/>
      <c r="AL3626" s="771"/>
      <c r="AM3626" s="771"/>
      <c r="AN3626" s="771"/>
      <c r="AO3626" s="771"/>
      <c r="AP3626" s="771"/>
      <c r="AQ3626" s="771"/>
      <c r="AR3626" s="771"/>
      <c r="AS3626" s="771"/>
      <c r="AT3626" s="771"/>
      <c r="AU3626" s="771"/>
    </row>
    <row r="3627" spans="1:47" s="15" customFormat="1" outlineLevel="1" x14ac:dyDescent="0.2">
      <c r="A3627" s="8"/>
      <c r="B3627" s="8"/>
      <c r="C3627" s="1989" t="s">
        <v>4300</v>
      </c>
      <c r="D3627" s="1989" t="s">
        <v>4301</v>
      </c>
      <c r="E3627" s="1989">
        <v>0.34</v>
      </c>
      <c r="F3627" s="1546">
        <f t="shared" si="55"/>
        <v>27.649221600000004</v>
      </c>
      <c r="G3627" s="1547"/>
      <c r="H3627" s="8"/>
      <c r="I3627" s="8"/>
      <c r="J3627" s="8"/>
      <c r="K3627" s="8"/>
      <c r="L3627" s="8"/>
      <c r="M3627" s="8"/>
      <c r="N3627" s="8"/>
      <c r="O3627" s="8"/>
      <c r="P3627" s="8"/>
      <c r="Q3627" s="8"/>
      <c r="R3627" s="8"/>
      <c r="S3627" s="8"/>
      <c r="T3627" s="8"/>
      <c r="U3627" s="8"/>
      <c r="V3627" s="8"/>
      <c r="W3627" s="8"/>
      <c r="X3627" s="771"/>
      <c r="Y3627" s="771"/>
      <c r="Z3627" s="771"/>
      <c r="AA3627" s="771"/>
      <c r="AB3627" s="771"/>
      <c r="AC3627" s="771"/>
      <c r="AD3627" s="771"/>
      <c r="AE3627" s="771"/>
      <c r="AF3627" s="771"/>
      <c r="AG3627" s="771"/>
      <c r="AH3627" s="771"/>
      <c r="AI3627" s="771"/>
      <c r="AJ3627" s="771"/>
      <c r="AK3627" s="771"/>
      <c r="AL3627" s="771"/>
      <c r="AM3627" s="771"/>
      <c r="AN3627" s="771"/>
      <c r="AO3627" s="771"/>
      <c r="AP3627" s="771"/>
      <c r="AQ3627" s="771"/>
      <c r="AR3627" s="771"/>
      <c r="AS3627" s="771"/>
      <c r="AT3627" s="771"/>
      <c r="AU3627" s="771"/>
    </row>
    <row r="3628" spans="1:47" s="15" customFormat="1" outlineLevel="1" x14ac:dyDescent="0.2">
      <c r="A3628" s="8"/>
      <c r="B3628" s="8"/>
      <c r="C3628" s="1989" t="s">
        <v>4977</v>
      </c>
      <c r="D3628" s="1989" t="s">
        <v>8571</v>
      </c>
      <c r="E3628" s="1989">
        <v>0.67</v>
      </c>
      <c r="F3628" s="1546">
        <f t="shared" si="55"/>
        <v>54.485230800000011</v>
      </c>
      <c r="G3628" s="1547"/>
      <c r="H3628" s="8"/>
      <c r="I3628" s="8"/>
      <c r="J3628" s="8"/>
      <c r="K3628" s="8"/>
      <c r="L3628" s="8"/>
      <c r="M3628" s="8"/>
      <c r="N3628" s="8"/>
      <c r="O3628" s="8"/>
      <c r="P3628" s="8"/>
      <c r="Q3628" s="8"/>
      <c r="R3628" s="8"/>
      <c r="S3628" s="8"/>
      <c r="T3628" s="8"/>
      <c r="U3628" s="8"/>
      <c r="V3628" s="8"/>
      <c r="W3628" s="8"/>
      <c r="X3628" s="771"/>
      <c r="Y3628" s="771"/>
      <c r="Z3628" s="771"/>
      <c r="AA3628" s="771"/>
      <c r="AB3628" s="771"/>
      <c r="AC3628" s="771"/>
      <c r="AD3628" s="771"/>
      <c r="AE3628" s="771"/>
      <c r="AF3628" s="771"/>
      <c r="AG3628" s="771"/>
      <c r="AH3628" s="771"/>
      <c r="AI3628" s="771"/>
      <c r="AJ3628" s="771"/>
      <c r="AK3628" s="771"/>
      <c r="AL3628" s="771"/>
      <c r="AM3628" s="771"/>
      <c r="AN3628" s="771"/>
      <c r="AO3628" s="771"/>
      <c r="AP3628" s="771"/>
      <c r="AQ3628" s="771"/>
      <c r="AR3628" s="771"/>
      <c r="AS3628" s="771"/>
      <c r="AT3628" s="771"/>
      <c r="AU3628" s="771"/>
    </row>
    <row r="3629" spans="1:47" s="15" customFormat="1" outlineLevel="1" x14ac:dyDescent="0.2">
      <c r="A3629" s="8"/>
      <c r="B3629" s="8"/>
      <c r="C3629" s="1989" t="s">
        <v>6923</v>
      </c>
      <c r="D3629" s="1989" t="s">
        <v>8572</v>
      </c>
      <c r="E3629" s="1989">
        <v>0.77</v>
      </c>
      <c r="F3629" s="1546">
        <f t="shared" si="55"/>
        <v>62.617354800000001</v>
      </c>
      <c r="G3629" s="1547"/>
      <c r="H3629" s="8"/>
      <c r="I3629" s="8"/>
      <c r="J3629" s="8"/>
      <c r="K3629" s="8"/>
      <c r="L3629" s="8"/>
      <c r="M3629" s="8"/>
      <c r="N3629" s="8"/>
      <c r="O3629" s="8"/>
      <c r="P3629" s="8"/>
      <c r="Q3629" s="8"/>
      <c r="R3629" s="8"/>
      <c r="S3629" s="8"/>
      <c r="T3629" s="8"/>
      <c r="U3629" s="8"/>
      <c r="V3629" s="8"/>
      <c r="W3629" s="8"/>
      <c r="X3629" s="771"/>
      <c r="Y3629" s="771"/>
      <c r="Z3629" s="771"/>
      <c r="AA3629" s="771"/>
      <c r="AB3629" s="771"/>
      <c r="AC3629" s="771"/>
      <c r="AD3629" s="771"/>
      <c r="AE3629" s="771"/>
      <c r="AF3629" s="771"/>
      <c r="AG3629" s="771"/>
      <c r="AH3629" s="771"/>
      <c r="AI3629" s="771"/>
      <c r="AJ3629" s="771"/>
      <c r="AK3629" s="771"/>
      <c r="AL3629" s="771"/>
      <c r="AM3629" s="771"/>
      <c r="AN3629" s="771"/>
      <c r="AO3629" s="771"/>
      <c r="AP3629" s="771"/>
      <c r="AQ3629" s="771"/>
      <c r="AR3629" s="771"/>
      <c r="AS3629" s="771"/>
      <c r="AT3629" s="771"/>
      <c r="AU3629" s="771"/>
    </row>
    <row r="3630" spans="1:47" s="15" customFormat="1" outlineLevel="1" x14ac:dyDescent="0.2">
      <c r="A3630" s="8"/>
      <c r="B3630" s="8"/>
      <c r="C3630" s="1989" t="s">
        <v>4302</v>
      </c>
      <c r="D3630" s="1989" t="s">
        <v>4303</v>
      </c>
      <c r="E3630" s="1989">
        <v>0.34</v>
      </c>
      <c r="F3630" s="1546">
        <f t="shared" si="55"/>
        <v>27.649221600000004</v>
      </c>
      <c r="G3630" s="1547"/>
      <c r="H3630" s="8"/>
      <c r="I3630" s="8"/>
      <c r="J3630" s="8"/>
      <c r="K3630" s="8"/>
      <c r="L3630" s="8"/>
      <c r="M3630" s="8"/>
      <c r="N3630" s="8"/>
      <c r="O3630" s="8"/>
      <c r="P3630" s="8"/>
      <c r="Q3630" s="8"/>
      <c r="R3630" s="8"/>
      <c r="S3630" s="8"/>
      <c r="T3630" s="8"/>
      <c r="U3630" s="8"/>
      <c r="V3630" s="8"/>
      <c r="W3630" s="8"/>
      <c r="X3630" s="771"/>
      <c r="Y3630" s="771"/>
      <c r="Z3630" s="771"/>
      <c r="AA3630" s="771"/>
      <c r="AB3630" s="771"/>
      <c r="AC3630" s="771"/>
      <c r="AD3630" s="771"/>
      <c r="AE3630" s="771"/>
      <c r="AF3630" s="771"/>
      <c r="AG3630" s="771"/>
      <c r="AH3630" s="771"/>
      <c r="AI3630" s="771"/>
      <c r="AJ3630" s="771"/>
      <c r="AK3630" s="771"/>
      <c r="AL3630" s="771"/>
      <c r="AM3630" s="771"/>
      <c r="AN3630" s="771"/>
      <c r="AO3630" s="771"/>
      <c r="AP3630" s="771"/>
      <c r="AQ3630" s="771"/>
      <c r="AR3630" s="771"/>
      <c r="AS3630" s="771"/>
      <c r="AT3630" s="771"/>
      <c r="AU3630" s="771"/>
    </row>
    <row r="3631" spans="1:47" s="15" customFormat="1" outlineLevel="1" x14ac:dyDescent="0.2">
      <c r="A3631" s="8"/>
      <c r="B3631" s="8"/>
      <c r="C3631" s="1989" t="s">
        <v>4304</v>
      </c>
      <c r="D3631" s="1989" t="s">
        <v>8573</v>
      </c>
      <c r="E3631" s="1989">
        <v>1.55</v>
      </c>
      <c r="F3631" s="1546">
        <f t="shared" si="55"/>
        <v>126.047922</v>
      </c>
      <c r="G3631" s="1547"/>
      <c r="H3631" s="8"/>
      <c r="I3631" s="8"/>
      <c r="J3631" s="8"/>
      <c r="K3631" s="8"/>
      <c r="L3631" s="8"/>
      <c r="M3631" s="8"/>
      <c r="N3631" s="8"/>
      <c r="O3631" s="8"/>
      <c r="P3631" s="8"/>
      <c r="Q3631" s="8"/>
      <c r="R3631" s="8"/>
      <c r="S3631" s="8"/>
      <c r="T3631" s="8"/>
      <c r="U3631" s="8"/>
      <c r="V3631" s="8"/>
      <c r="W3631" s="8"/>
      <c r="X3631" s="771"/>
      <c r="Y3631" s="771"/>
      <c r="Z3631" s="771"/>
      <c r="AA3631" s="771"/>
      <c r="AB3631" s="771"/>
      <c r="AC3631" s="771"/>
      <c r="AD3631" s="771"/>
      <c r="AE3631" s="771"/>
      <c r="AF3631" s="771"/>
      <c r="AG3631" s="771"/>
      <c r="AH3631" s="771"/>
      <c r="AI3631" s="771"/>
      <c r="AJ3631" s="771"/>
      <c r="AK3631" s="771"/>
      <c r="AL3631" s="771"/>
      <c r="AM3631" s="771"/>
      <c r="AN3631" s="771"/>
      <c r="AO3631" s="771"/>
      <c r="AP3631" s="771"/>
      <c r="AQ3631" s="771"/>
      <c r="AR3631" s="771"/>
      <c r="AS3631" s="771"/>
      <c r="AT3631" s="771"/>
      <c r="AU3631" s="771"/>
    </row>
    <row r="3632" spans="1:47" s="15" customFormat="1" outlineLevel="1" x14ac:dyDescent="0.2">
      <c r="A3632" s="8"/>
      <c r="B3632" s="8"/>
      <c r="C3632" s="1989" t="s">
        <v>4305</v>
      </c>
      <c r="D3632" s="1989" t="s">
        <v>8574</v>
      </c>
      <c r="E3632" s="1989">
        <v>0.51</v>
      </c>
      <c r="F3632" s="1546">
        <f t="shared" si="55"/>
        <v>41.473832399999999</v>
      </c>
      <c r="G3632" s="1547"/>
      <c r="H3632" s="8"/>
      <c r="I3632" s="8"/>
      <c r="J3632" s="8"/>
      <c r="K3632" s="8"/>
      <c r="L3632" s="8"/>
      <c r="M3632" s="8"/>
      <c r="N3632" s="8"/>
      <c r="O3632" s="8"/>
      <c r="P3632" s="8"/>
      <c r="Q3632" s="8"/>
      <c r="R3632" s="8"/>
      <c r="S3632" s="8"/>
      <c r="T3632" s="8"/>
      <c r="U3632" s="8"/>
      <c r="V3632" s="8"/>
      <c r="W3632" s="8"/>
      <c r="X3632" s="771"/>
      <c r="Y3632" s="771"/>
      <c r="Z3632" s="771"/>
      <c r="AA3632" s="771"/>
      <c r="AB3632" s="771"/>
      <c r="AC3632" s="771"/>
      <c r="AD3632" s="771"/>
      <c r="AE3632" s="771"/>
      <c r="AF3632" s="771"/>
      <c r="AG3632" s="771"/>
      <c r="AH3632" s="771"/>
      <c r="AI3632" s="771"/>
      <c r="AJ3632" s="771"/>
      <c r="AK3632" s="771"/>
      <c r="AL3632" s="771"/>
      <c r="AM3632" s="771"/>
      <c r="AN3632" s="771"/>
      <c r="AO3632" s="771"/>
      <c r="AP3632" s="771"/>
      <c r="AQ3632" s="771"/>
      <c r="AR3632" s="771"/>
      <c r="AS3632" s="771"/>
      <c r="AT3632" s="771"/>
      <c r="AU3632" s="771"/>
    </row>
    <row r="3633" spans="1:47" s="15" customFormat="1" outlineLevel="1" x14ac:dyDescent="0.2">
      <c r="A3633" s="8"/>
      <c r="B3633" s="8"/>
      <c r="C3633" s="1989" t="s">
        <v>4978</v>
      </c>
      <c r="D3633" s="1989" t="s">
        <v>8575</v>
      </c>
      <c r="E3633" s="1989">
        <v>0.15</v>
      </c>
      <c r="F3633" s="1546">
        <f t="shared" si="55"/>
        <v>12.198186</v>
      </c>
      <c r="G3633" s="1547"/>
      <c r="H3633" s="8"/>
      <c r="I3633" s="8"/>
      <c r="J3633" s="8"/>
      <c r="K3633" s="8"/>
      <c r="L3633" s="8"/>
      <c r="M3633" s="8"/>
      <c r="N3633" s="8"/>
      <c r="O3633" s="8"/>
      <c r="P3633" s="8"/>
      <c r="Q3633" s="8"/>
      <c r="R3633" s="8"/>
      <c r="S3633" s="8"/>
      <c r="T3633" s="8"/>
      <c r="U3633" s="8"/>
      <c r="V3633" s="8"/>
      <c r="W3633" s="8"/>
      <c r="X3633" s="771"/>
      <c r="Y3633" s="771"/>
      <c r="Z3633" s="771"/>
      <c r="AA3633" s="771"/>
      <c r="AB3633" s="771"/>
      <c r="AC3633" s="771"/>
      <c r="AD3633" s="771"/>
      <c r="AE3633" s="771"/>
      <c r="AF3633" s="771"/>
      <c r="AG3633" s="771"/>
      <c r="AH3633" s="771"/>
      <c r="AI3633" s="771"/>
      <c r="AJ3633" s="771"/>
      <c r="AK3633" s="771"/>
      <c r="AL3633" s="771"/>
      <c r="AM3633" s="771"/>
      <c r="AN3633" s="771"/>
      <c r="AO3633" s="771"/>
      <c r="AP3633" s="771"/>
      <c r="AQ3633" s="771"/>
      <c r="AR3633" s="771"/>
      <c r="AS3633" s="771"/>
      <c r="AT3633" s="771"/>
      <c r="AU3633" s="771"/>
    </row>
    <row r="3634" spans="1:47" s="15" customFormat="1" outlineLevel="1" x14ac:dyDescent="0.2">
      <c r="A3634" s="8"/>
      <c r="B3634" s="8"/>
      <c r="C3634" s="1989" t="s">
        <v>4979</v>
      </c>
      <c r="D3634" s="1989" t="s">
        <v>8576</v>
      </c>
      <c r="E3634" s="1989">
        <v>0.01</v>
      </c>
      <c r="F3634" s="1546">
        <f t="shared" si="55"/>
        <v>0.81321240000000006</v>
      </c>
      <c r="G3634" s="1547"/>
      <c r="H3634" s="8"/>
      <c r="I3634" s="8"/>
      <c r="J3634" s="8"/>
      <c r="K3634" s="8"/>
      <c r="L3634" s="8"/>
      <c r="M3634" s="8"/>
      <c r="N3634" s="8"/>
      <c r="O3634" s="8"/>
      <c r="P3634" s="8"/>
      <c r="Q3634" s="8"/>
      <c r="R3634" s="8"/>
      <c r="S3634" s="8"/>
      <c r="T3634" s="8"/>
      <c r="U3634" s="8"/>
      <c r="V3634" s="8"/>
      <c r="W3634" s="8"/>
      <c r="X3634" s="771"/>
      <c r="Y3634" s="771"/>
      <c r="Z3634" s="771"/>
      <c r="AA3634" s="771"/>
      <c r="AB3634" s="771"/>
      <c r="AC3634" s="771"/>
      <c r="AD3634" s="771"/>
      <c r="AE3634" s="771"/>
      <c r="AF3634" s="771"/>
      <c r="AG3634" s="771"/>
      <c r="AH3634" s="771"/>
      <c r="AI3634" s="771"/>
      <c r="AJ3634" s="771"/>
      <c r="AK3634" s="771"/>
      <c r="AL3634" s="771"/>
      <c r="AM3634" s="771"/>
      <c r="AN3634" s="771"/>
      <c r="AO3634" s="771"/>
      <c r="AP3634" s="771"/>
      <c r="AQ3634" s="771"/>
      <c r="AR3634" s="771"/>
      <c r="AS3634" s="771"/>
      <c r="AT3634" s="771"/>
      <c r="AU3634" s="771"/>
    </row>
    <row r="3635" spans="1:47" s="15" customFormat="1" outlineLevel="1" x14ac:dyDescent="0.2">
      <c r="A3635" s="8"/>
      <c r="B3635" s="8"/>
      <c r="C3635" s="1989" t="s">
        <v>2767</v>
      </c>
      <c r="D3635" s="1989" t="s">
        <v>8577</v>
      </c>
      <c r="E3635" s="1989">
        <v>0</v>
      </c>
      <c r="F3635" s="1546">
        <f t="shared" si="55"/>
        <v>0</v>
      </c>
      <c r="G3635" s="1547"/>
      <c r="H3635" s="8"/>
      <c r="I3635" s="8"/>
      <c r="J3635" s="8"/>
      <c r="K3635" s="8"/>
      <c r="L3635" s="8"/>
      <c r="M3635" s="8"/>
      <c r="N3635" s="8"/>
      <c r="O3635" s="8"/>
      <c r="P3635" s="8"/>
      <c r="Q3635" s="8"/>
      <c r="R3635" s="8"/>
      <c r="S3635" s="8"/>
      <c r="T3635" s="8"/>
      <c r="U3635" s="8"/>
      <c r="V3635" s="8"/>
      <c r="W3635" s="8"/>
      <c r="X3635" s="771"/>
      <c r="Y3635" s="771"/>
      <c r="Z3635" s="771"/>
      <c r="AA3635" s="771"/>
      <c r="AB3635" s="771"/>
      <c r="AC3635" s="771"/>
      <c r="AD3635" s="771"/>
      <c r="AE3635" s="771"/>
      <c r="AF3635" s="771"/>
      <c r="AG3635" s="771"/>
      <c r="AH3635" s="771"/>
      <c r="AI3635" s="771"/>
      <c r="AJ3635" s="771"/>
      <c r="AK3635" s="771"/>
      <c r="AL3635" s="771"/>
      <c r="AM3635" s="771"/>
      <c r="AN3635" s="771"/>
      <c r="AO3635" s="771"/>
      <c r="AP3635" s="771"/>
      <c r="AQ3635" s="771"/>
      <c r="AR3635" s="771"/>
      <c r="AS3635" s="771"/>
      <c r="AT3635" s="771"/>
      <c r="AU3635" s="771"/>
    </row>
    <row r="3636" spans="1:47" s="15" customFormat="1" outlineLevel="1" x14ac:dyDescent="0.2">
      <c r="A3636" s="8"/>
      <c r="B3636" s="8"/>
      <c r="C3636" s="1989" t="s">
        <v>6924</v>
      </c>
      <c r="D3636" s="1989" t="s">
        <v>8578</v>
      </c>
      <c r="E3636" s="1989">
        <v>0.13</v>
      </c>
      <c r="F3636" s="1546">
        <f t="shared" si="55"/>
        <v>10.571761200000001</v>
      </c>
      <c r="G3636" s="1547"/>
      <c r="H3636" s="8"/>
      <c r="I3636" s="8"/>
      <c r="J3636" s="8"/>
      <c r="K3636" s="8"/>
      <c r="L3636" s="8"/>
      <c r="M3636" s="8"/>
      <c r="N3636" s="8"/>
      <c r="O3636" s="8"/>
      <c r="P3636" s="8"/>
      <c r="Q3636" s="8"/>
      <c r="R3636" s="8"/>
      <c r="S3636" s="8"/>
      <c r="T3636" s="8"/>
      <c r="U3636" s="8"/>
      <c r="V3636" s="8"/>
      <c r="W3636" s="8"/>
      <c r="X3636" s="771"/>
      <c r="Y3636" s="771"/>
      <c r="Z3636" s="771"/>
      <c r="AA3636" s="771"/>
      <c r="AB3636" s="771"/>
      <c r="AC3636" s="771"/>
      <c r="AD3636" s="771"/>
      <c r="AE3636" s="771"/>
      <c r="AF3636" s="771"/>
      <c r="AG3636" s="771"/>
      <c r="AH3636" s="771"/>
      <c r="AI3636" s="771"/>
      <c r="AJ3636" s="771"/>
      <c r="AK3636" s="771"/>
      <c r="AL3636" s="771"/>
      <c r="AM3636" s="771"/>
      <c r="AN3636" s="771"/>
      <c r="AO3636" s="771"/>
      <c r="AP3636" s="771"/>
      <c r="AQ3636" s="771"/>
      <c r="AR3636" s="771"/>
      <c r="AS3636" s="771"/>
      <c r="AT3636" s="771"/>
      <c r="AU3636" s="771"/>
    </row>
    <row r="3637" spans="1:47" s="15" customFormat="1" outlineLevel="1" x14ac:dyDescent="0.2">
      <c r="A3637" s="8"/>
      <c r="B3637" s="8"/>
      <c r="C3637" s="1989" t="s">
        <v>6925</v>
      </c>
      <c r="D3637" s="1989" t="s">
        <v>6602</v>
      </c>
      <c r="E3637" s="1989">
        <v>2.0099999999999998</v>
      </c>
      <c r="F3637" s="1546">
        <f t="shared" si="55"/>
        <v>163.45569239999998</v>
      </c>
      <c r="G3637" s="1547"/>
      <c r="H3637" s="8"/>
      <c r="I3637" s="8"/>
      <c r="J3637" s="8"/>
      <c r="K3637" s="8"/>
      <c r="L3637" s="8"/>
      <c r="M3637" s="8"/>
      <c r="N3637" s="8"/>
      <c r="O3637" s="8"/>
      <c r="P3637" s="8"/>
      <c r="Q3637" s="8"/>
      <c r="R3637" s="8"/>
      <c r="S3637" s="8"/>
      <c r="T3637" s="8"/>
      <c r="U3637" s="8"/>
      <c r="V3637" s="8"/>
      <c r="W3637" s="8"/>
      <c r="X3637" s="771"/>
      <c r="Y3637" s="771"/>
      <c r="Z3637" s="771"/>
      <c r="AA3637" s="771"/>
      <c r="AB3637" s="771"/>
      <c r="AC3637" s="771"/>
      <c r="AD3637" s="771"/>
      <c r="AE3637" s="771"/>
      <c r="AF3637" s="771"/>
      <c r="AG3637" s="771"/>
      <c r="AH3637" s="771"/>
      <c r="AI3637" s="771"/>
      <c r="AJ3637" s="771"/>
      <c r="AK3637" s="771"/>
      <c r="AL3637" s="771"/>
      <c r="AM3637" s="771"/>
      <c r="AN3637" s="771"/>
      <c r="AO3637" s="771"/>
      <c r="AP3637" s="771"/>
      <c r="AQ3637" s="771"/>
      <c r="AR3637" s="771"/>
      <c r="AS3637" s="771"/>
      <c r="AT3637" s="771"/>
      <c r="AU3637" s="771"/>
    </row>
    <row r="3638" spans="1:47" s="15" customFormat="1" outlineLevel="1" x14ac:dyDescent="0.2">
      <c r="A3638" s="8"/>
      <c r="B3638" s="8"/>
      <c r="C3638" s="1989" t="s">
        <v>4980</v>
      </c>
      <c r="D3638" s="1989" t="s">
        <v>8579</v>
      </c>
      <c r="E3638" s="1989">
        <v>2.44</v>
      </c>
      <c r="F3638" s="1546">
        <f t="shared" si="55"/>
        <v>198.42382560000001</v>
      </c>
      <c r="G3638" s="1547"/>
      <c r="H3638" s="8"/>
      <c r="I3638" s="8"/>
      <c r="J3638" s="8"/>
      <c r="K3638" s="8"/>
      <c r="L3638" s="8"/>
      <c r="M3638" s="8"/>
      <c r="N3638" s="8"/>
      <c r="O3638" s="8"/>
      <c r="P3638" s="8"/>
      <c r="Q3638" s="8"/>
      <c r="R3638" s="8"/>
      <c r="S3638" s="8"/>
      <c r="T3638" s="8"/>
      <c r="U3638" s="8"/>
      <c r="V3638" s="8"/>
      <c r="W3638" s="8"/>
      <c r="X3638" s="771"/>
      <c r="Y3638" s="771"/>
      <c r="Z3638" s="771"/>
      <c r="AA3638" s="771"/>
      <c r="AB3638" s="771"/>
      <c r="AC3638" s="771"/>
      <c r="AD3638" s="771"/>
      <c r="AE3638" s="771"/>
      <c r="AF3638" s="771"/>
      <c r="AG3638" s="771"/>
      <c r="AH3638" s="771"/>
      <c r="AI3638" s="771"/>
      <c r="AJ3638" s="771"/>
      <c r="AK3638" s="771"/>
      <c r="AL3638" s="771"/>
      <c r="AM3638" s="771"/>
      <c r="AN3638" s="771"/>
      <c r="AO3638" s="771"/>
      <c r="AP3638" s="771"/>
      <c r="AQ3638" s="771"/>
      <c r="AR3638" s="771"/>
      <c r="AS3638" s="771"/>
      <c r="AT3638" s="771"/>
      <c r="AU3638" s="771"/>
    </row>
    <row r="3639" spans="1:47" s="15" customFormat="1" outlineLevel="1" x14ac:dyDescent="0.2">
      <c r="A3639" s="8"/>
      <c r="B3639" s="8"/>
      <c r="C3639" s="1989" t="s">
        <v>1588</v>
      </c>
      <c r="D3639" s="1989" t="s">
        <v>8580</v>
      </c>
      <c r="E3639" s="1989">
        <v>0</v>
      </c>
      <c r="F3639" s="1546">
        <f t="shared" si="55"/>
        <v>0</v>
      </c>
      <c r="G3639" s="1547"/>
      <c r="H3639" s="8"/>
      <c r="I3639" s="8"/>
      <c r="J3639" s="8"/>
      <c r="K3639" s="8"/>
      <c r="L3639" s="8"/>
      <c r="M3639" s="8"/>
      <c r="N3639" s="8"/>
      <c r="O3639" s="8"/>
      <c r="P3639" s="8"/>
      <c r="Q3639" s="8"/>
      <c r="R3639" s="8"/>
      <c r="S3639" s="8"/>
      <c r="T3639" s="8"/>
      <c r="U3639" s="8"/>
      <c r="V3639" s="8"/>
      <c r="W3639" s="8"/>
      <c r="X3639" s="771"/>
      <c r="Y3639" s="771"/>
      <c r="Z3639" s="771"/>
      <c r="AA3639" s="771"/>
      <c r="AB3639" s="771"/>
      <c r="AC3639" s="771"/>
      <c r="AD3639" s="771"/>
      <c r="AE3639" s="771"/>
      <c r="AF3639" s="771"/>
      <c r="AG3639" s="771"/>
      <c r="AH3639" s="771"/>
      <c r="AI3639" s="771"/>
      <c r="AJ3639" s="771"/>
      <c r="AK3639" s="771"/>
      <c r="AL3639" s="771"/>
      <c r="AM3639" s="771"/>
      <c r="AN3639" s="771"/>
      <c r="AO3639" s="771"/>
      <c r="AP3639" s="771"/>
      <c r="AQ3639" s="771"/>
      <c r="AR3639" s="771"/>
      <c r="AS3639" s="771"/>
      <c r="AT3639" s="771"/>
      <c r="AU3639" s="771"/>
    </row>
    <row r="3640" spans="1:47" s="15" customFormat="1" outlineLevel="1" x14ac:dyDescent="0.2">
      <c r="A3640" s="8"/>
      <c r="B3640" s="8"/>
      <c r="C3640" s="1989" t="s">
        <v>2069</v>
      </c>
      <c r="D3640" s="1989" t="s">
        <v>8581</v>
      </c>
      <c r="E3640" s="1989">
        <v>0</v>
      </c>
      <c r="F3640" s="1546">
        <f t="shared" si="55"/>
        <v>0</v>
      </c>
      <c r="G3640" s="1547"/>
      <c r="H3640" s="8"/>
      <c r="I3640" s="8"/>
      <c r="J3640" s="8"/>
      <c r="K3640" s="8"/>
      <c r="L3640" s="8"/>
      <c r="M3640" s="8"/>
      <c r="N3640" s="8"/>
      <c r="O3640" s="8"/>
      <c r="P3640" s="8"/>
      <c r="Q3640" s="8"/>
      <c r="R3640" s="8"/>
      <c r="S3640" s="8"/>
      <c r="T3640" s="8"/>
      <c r="U3640" s="8"/>
      <c r="V3640" s="8"/>
      <c r="W3640" s="8"/>
      <c r="X3640" s="771"/>
      <c r="Y3640" s="771"/>
      <c r="Z3640" s="771"/>
      <c r="AA3640" s="771"/>
      <c r="AB3640" s="771"/>
      <c r="AC3640" s="771"/>
      <c r="AD3640" s="771"/>
      <c r="AE3640" s="771"/>
      <c r="AF3640" s="771"/>
      <c r="AG3640" s="771"/>
      <c r="AH3640" s="771"/>
      <c r="AI3640" s="771"/>
      <c r="AJ3640" s="771"/>
      <c r="AK3640" s="771"/>
      <c r="AL3640" s="771"/>
      <c r="AM3640" s="771"/>
      <c r="AN3640" s="771"/>
      <c r="AO3640" s="771"/>
      <c r="AP3640" s="771"/>
      <c r="AQ3640" s="771"/>
      <c r="AR3640" s="771"/>
      <c r="AS3640" s="771"/>
      <c r="AT3640" s="771"/>
      <c r="AU3640" s="771"/>
    </row>
    <row r="3641" spans="1:47" s="15" customFormat="1" outlineLevel="1" x14ac:dyDescent="0.2">
      <c r="A3641" s="8"/>
      <c r="B3641" s="8"/>
      <c r="C3641" s="1989" t="s">
        <v>6926</v>
      </c>
      <c r="D3641" s="1989" t="s">
        <v>8582</v>
      </c>
      <c r="E3641" s="1989">
        <v>0</v>
      </c>
      <c r="F3641" s="1546">
        <f t="shared" si="55"/>
        <v>0</v>
      </c>
      <c r="G3641" s="1547"/>
      <c r="H3641" s="8"/>
      <c r="I3641" s="8"/>
      <c r="J3641" s="8"/>
      <c r="K3641" s="8"/>
      <c r="L3641" s="8"/>
      <c r="M3641" s="8"/>
      <c r="N3641" s="8"/>
      <c r="O3641" s="8"/>
      <c r="P3641" s="8"/>
      <c r="Q3641" s="8"/>
      <c r="R3641" s="8"/>
      <c r="S3641" s="8"/>
      <c r="T3641" s="8"/>
      <c r="U3641" s="8"/>
      <c r="V3641" s="8"/>
      <c r="W3641" s="8"/>
      <c r="X3641" s="771"/>
      <c r="Y3641" s="771"/>
      <c r="Z3641" s="771"/>
      <c r="AA3641" s="771"/>
      <c r="AB3641" s="771"/>
      <c r="AC3641" s="771"/>
      <c r="AD3641" s="771"/>
      <c r="AE3641" s="771"/>
      <c r="AF3641" s="771"/>
      <c r="AG3641" s="771"/>
      <c r="AH3641" s="771"/>
      <c r="AI3641" s="771"/>
      <c r="AJ3641" s="771"/>
      <c r="AK3641" s="771"/>
      <c r="AL3641" s="771"/>
      <c r="AM3641" s="771"/>
      <c r="AN3641" s="771"/>
      <c r="AO3641" s="771"/>
      <c r="AP3641" s="771"/>
      <c r="AQ3641" s="771"/>
      <c r="AR3641" s="771"/>
      <c r="AS3641" s="771"/>
      <c r="AT3641" s="771"/>
      <c r="AU3641" s="771"/>
    </row>
    <row r="3642" spans="1:47" s="15" customFormat="1" outlineLevel="1" x14ac:dyDescent="0.2">
      <c r="A3642" s="8"/>
      <c r="B3642" s="8"/>
      <c r="C3642" s="1989" t="s">
        <v>6927</v>
      </c>
      <c r="D3642" s="1989" t="s">
        <v>8583</v>
      </c>
      <c r="E3642" s="1989">
        <v>0</v>
      </c>
      <c r="F3642" s="1546">
        <f t="shared" si="55"/>
        <v>0</v>
      </c>
      <c r="G3642" s="1547"/>
      <c r="H3642" s="8"/>
      <c r="I3642" s="8"/>
      <c r="J3642" s="8"/>
      <c r="K3642" s="8"/>
      <c r="L3642" s="8"/>
      <c r="M3642" s="8"/>
      <c r="N3642" s="8"/>
      <c r="O3642" s="8"/>
      <c r="P3642" s="8"/>
      <c r="Q3642" s="8"/>
      <c r="R3642" s="8"/>
      <c r="S3642" s="8"/>
      <c r="T3642" s="8"/>
      <c r="U3642" s="8"/>
      <c r="V3642" s="8"/>
      <c r="W3642" s="8"/>
      <c r="X3642" s="771"/>
      <c r="Y3642" s="771"/>
      <c r="Z3642" s="771"/>
      <c r="AA3642" s="771"/>
      <c r="AB3642" s="771"/>
      <c r="AC3642" s="771"/>
      <c r="AD3642" s="771"/>
      <c r="AE3642" s="771"/>
      <c r="AF3642" s="771"/>
      <c r="AG3642" s="771"/>
      <c r="AH3642" s="771"/>
      <c r="AI3642" s="771"/>
      <c r="AJ3642" s="771"/>
      <c r="AK3642" s="771"/>
      <c r="AL3642" s="771"/>
      <c r="AM3642" s="771"/>
      <c r="AN3642" s="771"/>
      <c r="AO3642" s="771"/>
      <c r="AP3642" s="771"/>
      <c r="AQ3642" s="771"/>
      <c r="AR3642" s="771"/>
      <c r="AS3642" s="771"/>
      <c r="AT3642" s="771"/>
      <c r="AU3642" s="771"/>
    </row>
    <row r="3643" spans="1:47" s="15" customFormat="1" outlineLevel="1" x14ac:dyDescent="0.2">
      <c r="A3643" s="8"/>
      <c r="B3643" s="8"/>
      <c r="C3643" s="1989" t="s">
        <v>6928</v>
      </c>
      <c r="D3643" s="1989" t="s">
        <v>6603</v>
      </c>
      <c r="E3643" s="1989">
        <v>2.2400000000000002</v>
      </c>
      <c r="F3643" s="1546">
        <f t="shared" si="55"/>
        <v>182.15957760000003</v>
      </c>
      <c r="G3643" s="1547"/>
      <c r="H3643" s="8"/>
      <c r="I3643" s="8"/>
      <c r="J3643" s="8"/>
      <c r="K3643" s="8"/>
      <c r="L3643" s="8"/>
      <c r="M3643" s="8"/>
      <c r="N3643" s="8"/>
      <c r="O3643" s="8"/>
      <c r="P3643" s="8"/>
      <c r="Q3643" s="8"/>
      <c r="R3643" s="8"/>
      <c r="S3643" s="8"/>
      <c r="T3643" s="8"/>
      <c r="U3643" s="8"/>
      <c r="V3643" s="8"/>
      <c r="W3643" s="8"/>
      <c r="X3643" s="771"/>
      <c r="Y3643" s="771"/>
      <c r="Z3643" s="771"/>
      <c r="AA3643" s="771"/>
      <c r="AB3643" s="771"/>
      <c r="AC3643" s="771"/>
      <c r="AD3643" s="771"/>
      <c r="AE3643" s="771"/>
      <c r="AF3643" s="771"/>
      <c r="AG3643" s="771"/>
      <c r="AH3643" s="771"/>
      <c r="AI3643" s="771"/>
      <c r="AJ3643" s="771"/>
      <c r="AK3643" s="771"/>
      <c r="AL3643" s="771"/>
      <c r="AM3643" s="771"/>
      <c r="AN3643" s="771"/>
      <c r="AO3643" s="771"/>
      <c r="AP3643" s="771"/>
      <c r="AQ3643" s="771"/>
      <c r="AR3643" s="771"/>
      <c r="AS3643" s="771"/>
      <c r="AT3643" s="771"/>
      <c r="AU3643" s="771"/>
    </row>
    <row r="3644" spans="1:47" s="15" customFormat="1" outlineLevel="1" x14ac:dyDescent="0.2">
      <c r="A3644" s="8"/>
      <c r="B3644" s="8"/>
      <c r="C3644" s="1989" t="s">
        <v>4981</v>
      </c>
      <c r="D3644" s="1989" t="s">
        <v>6604</v>
      </c>
      <c r="E3644" s="1989">
        <v>0.21</v>
      </c>
      <c r="F3644" s="1546">
        <f t="shared" si="55"/>
        <v>17.0774604</v>
      </c>
      <c r="G3644" s="1547"/>
      <c r="H3644" s="8"/>
      <c r="I3644" s="8"/>
      <c r="J3644" s="8"/>
      <c r="K3644" s="8"/>
      <c r="L3644" s="8"/>
      <c r="M3644" s="8"/>
      <c r="N3644" s="8"/>
      <c r="O3644" s="8"/>
      <c r="P3644" s="8"/>
      <c r="Q3644" s="8"/>
      <c r="R3644" s="8"/>
      <c r="S3644" s="8"/>
      <c r="T3644" s="8"/>
      <c r="U3644" s="8"/>
      <c r="V3644" s="8"/>
      <c r="W3644" s="8"/>
      <c r="X3644" s="771"/>
      <c r="Y3644" s="771"/>
      <c r="Z3644" s="771"/>
      <c r="AA3644" s="771"/>
      <c r="AB3644" s="771"/>
      <c r="AC3644" s="771"/>
      <c r="AD3644" s="771"/>
      <c r="AE3644" s="771"/>
      <c r="AF3644" s="771"/>
      <c r="AG3644" s="771"/>
      <c r="AH3644" s="771"/>
      <c r="AI3644" s="771"/>
      <c r="AJ3644" s="771"/>
      <c r="AK3644" s="771"/>
      <c r="AL3644" s="771"/>
      <c r="AM3644" s="771"/>
      <c r="AN3644" s="771"/>
      <c r="AO3644" s="771"/>
      <c r="AP3644" s="771"/>
      <c r="AQ3644" s="771"/>
      <c r="AR3644" s="771"/>
      <c r="AS3644" s="771"/>
      <c r="AT3644" s="771"/>
      <c r="AU3644" s="771"/>
    </row>
    <row r="3645" spans="1:47" s="15" customFormat="1" outlineLevel="1" x14ac:dyDescent="0.2">
      <c r="A3645" s="8"/>
      <c r="B3645" s="8"/>
      <c r="C3645" s="1989" t="s">
        <v>4982</v>
      </c>
      <c r="D3645" s="1989" t="s">
        <v>8584</v>
      </c>
      <c r="E3645" s="1989">
        <v>0.28000000000000003</v>
      </c>
      <c r="F3645" s="1546">
        <f t="shared" si="55"/>
        <v>22.769947200000004</v>
      </c>
      <c r="G3645" s="1547"/>
      <c r="H3645" s="8"/>
      <c r="I3645" s="8"/>
      <c r="J3645" s="8"/>
      <c r="K3645" s="8"/>
      <c r="L3645" s="8"/>
      <c r="M3645" s="8"/>
      <c r="N3645" s="8"/>
      <c r="O3645" s="8"/>
      <c r="P3645" s="8"/>
      <c r="Q3645" s="8"/>
      <c r="R3645" s="8"/>
      <c r="S3645" s="8"/>
      <c r="T3645" s="8"/>
      <c r="U3645" s="8"/>
      <c r="V3645" s="8"/>
      <c r="W3645" s="8"/>
      <c r="X3645" s="771"/>
      <c r="Y3645" s="771"/>
      <c r="Z3645" s="771"/>
      <c r="AA3645" s="771"/>
      <c r="AB3645" s="771"/>
      <c r="AC3645" s="771"/>
      <c r="AD3645" s="771"/>
      <c r="AE3645" s="771"/>
      <c r="AF3645" s="771"/>
      <c r="AG3645" s="771"/>
      <c r="AH3645" s="771"/>
      <c r="AI3645" s="771"/>
      <c r="AJ3645" s="771"/>
      <c r="AK3645" s="771"/>
      <c r="AL3645" s="771"/>
      <c r="AM3645" s="771"/>
      <c r="AN3645" s="771"/>
      <c r="AO3645" s="771"/>
      <c r="AP3645" s="771"/>
      <c r="AQ3645" s="771"/>
      <c r="AR3645" s="771"/>
      <c r="AS3645" s="771"/>
      <c r="AT3645" s="771"/>
      <c r="AU3645" s="771"/>
    </row>
    <row r="3646" spans="1:47" s="15" customFormat="1" outlineLevel="1" x14ac:dyDescent="0.2">
      <c r="A3646" s="8"/>
      <c r="B3646" s="8"/>
      <c r="C3646" s="1989" t="s">
        <v>6929</v>
      </c>
      <c r="D3646" s="1989" t="s">
        <v>8585</v>
      </c>
      <c r="E3646" s="1989">
        <v>48.97</v>
      </c>
      <c r="F3646" s="1546">
        <f t="shared" si="55"/>
        <v>3982.3011228</v>
      </c>
      <c r="G3646" s="1547"/>
      <c r="H3646" s="8"/>
      <c r="I3646" s="8"/>
      <c r="J3646" s="8"/>
      <c r="K3646" s="8"/>
      <c r="L3646" s="8"/>
      <c r="M3646" s="8"/>
      <c r="N3646" s="8"/>
      <c r="O3646" s="8"/>
      <c r="P3646" s="8"/>
      <c r="Q3646" s="8"/>
      <c r="R3646" s="8"/>
      <c r="S3646" s="8"/>
      <c r="T3646" s="8"/>
      <c r="U3646" s="8"/>
      <c r="V3646" s="8"/>
      <c r="W3646" s="8"/>
      <c r="X3646" s="771"/>
      <c r="Y3646" s="771"/>
      <c r="Z3646" s="771"/>
      <c r="AA3646" s="771"/>
      <c r="AB3646" s="771"/>
      <c r="AC3646" s="771"/>
      <c r="AD3646" s="771"/>
      <c r="AE3646" s="771"/>
      <c r="AF3646" s="771"/>
      <c r="AG3646" s="771"/>
      <c r="AH3646" s="771"/>
      <c r="AI3646" s="771"/>
      <c r="AJ3646" s="771"/>
      <c r="AK3646" s="771"/>
      <c r="AL3646" s="771"/>
      <c r="AM3646" s="771"/>
      <c r="AN3646" s="771"/>
      <c r="AO3646" s="771"/>
      <c r="AP3646" s="771"/>
      <c r="AQ3646" s="771"/>
      <c r="AR3646" s="771"/>
      <c r="AS3646" s="771"/>
      <c r="AT3646" s="771"/>
      <c r="AU3646" s="771"/>
    </row>
    <row r="3647" spans="1:47" s="15" customFormat="1" outlineLevel="1" x14ac:dyDescent="0.2">
      <c r="A3647" s="8"/>
      <c r="B3647" s="8"/>
      <c r="C3647" s="1989" t="s">
        <v>6930</v>
      </c>
      <c r="D3647" s="1989" t="s">
        <v>8586</v>
      </c>
      <c r="E3647" s="1989">
        <v>0.71</v>
      </c>
      <c r="F3647" s="1546">
        <f t="shared" si="55"/>
        <v>57.738080400000001</v>
      </c>
      <c r="G3647" s="1547"/>
      <c r="H3647" s="8"/>
      <c r="I3647" s="8"/>
      <c r="J3647" s="8"/>
      <c r="K3647" s="8"/>
      <c r="L3647" s="8"/>
      <c r="M3647" s="8"/>
      <c r="N3647" s="8"/>
      <c r="O3647" s="8"/>
      <c r="P3647" s="8"/>
      <c r="Q3647" s="8"/>
      <c r="R3647" s="8"/>
      <c r="S3647" s="8"/>
      <c r="T3647" s="8"/>
      <c r="U3647" s="8"/>
      <c r="V3647" s="8"/>
      <c r="W3647" s="8"/>
      <c r="X3647" s="771"/>
      <c r="Y3647" s="771"/>
      <c r="Z3647" s="771"/>
      <c r="AA3647" s="771"/>
      <c r="AB3647" s="771"/>
      <c r="AC3647" s="771"/>
      <c r="AD3647" s="771"/>
      <c r="AE3647" s="771"/>
      <c r="AF3647" s="771"/>
      <c r="AG3647" s="771"/>
      <c r="AH3647" s="771"/>
      <c r="AI3647" s="771"/>
      <c r="AJ3647" s="771"/>
      <c r="AK3647" s="771"/>
      <c r="AL3647" s="771"/>
      <c r="AM3647" s="771"/>
      <c r="AN3647" s="771"/>
      <c r="AO3647" s="771"/>
      <c r="AP3647" s="771"/>
      <c r="AQ3647" s="771"/>
      <c r="AR3647" s="771"/>
      <c r="AS3647" s="771"/>
      <c r="AT3647" s="771"/>
      <c r="AU3647" s="771"/>
    </row>
    <row r="3648" spans="1:47" s="15" customFormat="1" outlineLevel="1" x14ac:dyDescent="0.2">
      <c r="A3648" s="8"/>
      <c r="B3648" s="8"/>
      <c r="C3648" s="1989" t="s">
        <v>4306</v>
      </c>
      <c r="D3648" s="1989" t="s">
        <v>8587</v>
      </c>
      <c r="E3648" s="1989">
        <v>0.09</v>
      </c>
      <c r="F3648" s="1546">
        <f t="shared" si="55"/>
        <v>7.3189116000000007</v>
      </c>
      <c r="G3648" s="1547"/>
      <c r="H3648" s="8"/>
      <c r="I3648" s="8"/>
      <c r="J3648" s="8"/>
      <c r="K3648" s="8"/>
      <c r="L3648" s="8"/>
      <c r="M3648" s="8"/>
      <c r="N3648" s="8"/>
      <c r="O3648" s="8"/>
      <c r="P3648" s="8"/>
      <c r="Q3648" s="8"/>
      <c r="R3648" s="8"/>
      <c r="S3648" s="8"/>
      <c r="T3648" s="8"/>
      <c r="U3648" s="8"/>
      <c r="V3648" s="8"/>
      <c r="W3648" s="8"/>
      <c r="X3648" s="771"/>
      <c r="Y3648" s="771"/>
      <c r="Z3648" s="771"/>
      <c r="AA3648" s="771"/>
      <c r="AB3648" s="771"/>
      <c r="AC3648" s="771"/>
      <c r="AD3648" s="771"/>
      <c r="AE3648" s="771"/>
      <c r="AF3648" s="771"/>
      <c r="AG3648" s="771"/>
      <c r="AH3648" s="771"/>
      <c r="AI3648" s="771"/>
      <c r="AJ3648" s="771"/>
      <c r="AK3648" s="771"/>
      <c r="AL3648" s="771"/>
      <c r="AM3648" s="771"/>
      <c r="AN3648" s="771"/>
      <c r="AO3648" s="771"/>
      <c r="AP3648" s="771"/>
      <c r="AQ3648" s="771"/>
      <c r="AR3648" s="771"/>
      <c r="AS3648" s="771"/>
      <c r="AT3648" s="771"/>
      <c r="AU3648" s="771"/>
    </row>
    <row r="3649" spans="1:47" s="15" customFormat="1" outlineLevel="1" x14ac:dyDescent="0.2">
      <c r="A3649" s="8"/>
      <c r="B3649" s="8"/>
      <c r="C3649" s="1989" t="s">
        <v>6931</v>
      </c>
      <c r="D3649" s="1989" t="s">
        <v>8502</v>
      </c>
      <c r="E3649" s="1989">
        <v>0</v>
      </c>
      <c r="F3649" s="1546">
        <f t="shared" si="55"/>
        <v>0</v>
      </c>
      <c r="G3649" s="1547"/>
      <c r="H3649" s="8"/>
      <c r="I3649" s="8"/>
      <c r="J3649" s="8"/>
      <c r="K3649" s="8"/>
      <c r="L3649" s="8"/>
      <c r="M3649" s="8"/>
      <c r="N3649" s="8"/>
      <c r="O3649" s="8"/>
      <c r="P3649" s="8"/>
      <c r="Q3649" s="8"/>
      <c r="R3649" s="8"/>
      <c r="S3649" s="8"/>
      <c r="T3649" s="8"/>
      <c r="U3649" s="8"/>
      <c r="V3649" s="8"/>
      <c r="W3649" s="8"/>
      <c r="X3649" s="771"/>
      <c r="Y3649" s="771"/>
      <c r="Z3649" s="771"/>
      <c r="AA3649" s="771"/>
      <c r="AB3649" s="771"/>
      <c r="AC3649" s="771"/>
      <c r="AD3649" s="771"/>
      <c r="AE3649" s="771"/>
      <c r="AF3649" s="771"/>
      <c r="AG3649" s="771"/>
      <c r="AH3649" s="771"/>
      <c r="AI3649" s="771"/>
      <c r="AJ3649" s="771"/>
      <c r="AK3649" s="771"/>
      <c r="AL3649" s="771"/>
      <c r="AM3649" s="771"/>
      <c r="AN3649" s="771"/>
      <c r="AO3649" s="771"/>
      <c r="AP3649" s="771"/>
      <c r="AQ3649" s="771"/>
      <c r="AR3649" s="771"/>
      <c r="AS3649" s="771"/>
      <c r="AT3649" s="771"/>
      <c r="AU3649" s="771"/>
    </row>
    <row r="3650" spans="1:47" s="15" customFormat="1" outlineLevel="1" x14ac:dyDescent="0.2">
      <c r="A3650" s="8"/>
      <c r="B3650" s="8"/>
      <c r="C3650" s="1989" t="s">
        <v>4307</v>
      </c>
      <c r="D3650" s="1989" t="s">
        <v>8588</v>
      </c>
      <c r="E3650" s="1989">
        <v>0.01</v>
      </c>
      <c r="F3650" s="1546">
        <f t="shared" si="55"/>
        <v>0.81321240000000006</v>
      </c>
      <c r="G3650" s="1547"/>
      <c r="H3650" s="8"/>
      <c r="I3650" s="8"/>
      <c r="J3650" s="8"/>
      <c r="K3650" s="8"/>
      <c r="L3650" s="8"/>
      <c r="M3650" s="8"/>
      <c r="N3650" s="8"/>
      <c r="O3650" s="8"/>
      <c r="P3650" s="8"/>
      <c r="Q3650" s="8"/>
      <c r="R3650" s="8"/>
      <c r="S3650" s="8"/>
      <c r="T3650" s="8"/>
      <c r="U3650" s="8"/>
      <c r="V3650" s="8"/>
      <c r="W3650" s="8"/>
      <c r="X3650" s="771"/>
      <c r="Y3650" s="771"/>
      <c r="Z3650" s="771"/>
      <c r="AA3650" s="771"/>
      <c r="AB3650" s="771"/>
      <c r="AC3650" s="771"/>
      <c r="AD3650" s="771"/>
      <c r="AE3650" s="771"/>
      <c r="AF3650" s="771"/>
      <c r="AG3650" s="771"/>
      <c r="AH3650" s="771"/>
      <c r="AI3650" s="771"/>
      <c r="AJ3650" s="771"/>
      <c r="AK3650" s="771"/>
      <c r="AL3650" s="771"/>
      <c r="AM3650" s="771"/>
      <c r="AN3650" s="771"/>
      <c r="AO3650" s="771"/>
      <c r="AP3650" s="771"/>
      <c r="AQ3650" s="771"/>
      <c r="AR3650" s="771"/>
      <c r="AS3650" s="771"/>
      <c r="AT3650" s="771"/>
      <c r="AU3650" s="771"/>
    </row>
    <row r="3651" spans="1:47" s="15" customFormat="1" outlineLevel="1" x14ac:dyDescent="0.2">
      <c r="A3651" s="8"/>
      <c r="B3651" s="8"/>
      <c r="C3651" s="1989" t="s">
        <v>4308</v>
      </c>
      <c r="D3651" s="1989" t="s">
        <v>4309</v>
      </c>
      <c r="E3651" s="1989">
        <v>0.11</v>
      </c>
      <c r="F3651" s="1546">
        <f t="shared" si="55"/>
        <v>8.9453364000000004</v>
      </c>
      <c r="G3651" s="1547"/>
      <c r="H3651" s="8"/>
      <c r="I3651" s="8"/>
      <c r="J3651" s="8"/>
      <c r="K3651" s="8"/>
      <c r="L3651" s="8"/>
      <c r="M3651" s="8"/>
      <c r="N3651" s="8"/>
      <c r="O3651" s="8"/>
      <c r="P3651" s="8"/>
      <c r="Q3651" s="8"/>
      <c r="R3651" s="8"/>
      <c r="S3651" s="8"/>
      <c r="T3651" s="8"/>
      <c r="U3651" s="8"/>
      <c r="V3651" s="8"/>
      <c r="W3651" s="8"/>
      <c r="X3651" s="771"/>
      <c r="Y3651" s="771"/>
      <c r="Z3651" s="771"/>
      <c r="AA3651" s="771"/>
      <c r="AB3651" s="771"/>
      <c r="AC3651" s="771"/>
      <c r="AD3651" s="771"/>
      <c r="AE3651" s="771"/>
      <c r="AF3651" s="771"/>
      <c r="AG3651" s="771"/>
      <c r="AH3651" s="771"/>
      <c r="AI3651" s="771"/>
      <c r="AJ3651" s="771"/>
      <c r="AK3651" s="771"/>
      <c r="AL3651" s="771"/>
      <c r="AM3651" s="771"/>
      <c r="AN3651" s="771"/>
      <c r="AO3651" s="771"/>
      <c r="AP3651" s="771"/>
      <c r="AQ3651" s="771"/>
      <c r="AR3651" s="771"/>
      <c r="AS3651" s="771"/>
      <c r="AT3651" s="771"/>
      <c r="AU3651" s="771"/>
    </row>
    <row r="3652" spans="1:47" s="15" customFormat="1" outlineLevel="1" x14ac:dyDescent="0.2">
      <c r="A3652" s="8"/>
      <c r="B3652" s="8"/>
      <c r="C3652" s="1989" t="s">
        <v>4310</v>
      </c>
      <c r="D3652" s="1989" t="s">
        <v>8589</v>
      </c>
      <c r="E3652" s="1989">
        <v>0.51</v>
      </c>
      <c r="F3652" s="1546">
        <f t="shared" si="55"/>
        <v>41.473832399999999</v>
      </c>
      <c r="G3652" s="1547"/>
      <c r="H3652" s="8"/>
      <c r="I3652" s="8"/>
      <c r="J3652" s="8"/>
      <c r="K3652" s="8"/>
      <c r="L3652" s="8"/>
      <c r="M3652" s="8"/>
      <c r="N3652" s="8"/>
      <c r="O3652" s="8"/>
      <c r="P3652" s="8"/>
      <c r="Q3652" s="8"/>
      <c r="R3652" s="8"/>
      <c r="S3652" s="8"/>
      <c r="T3652" s="8"/>
      <c r="U3652" s="8"/>
      <c r="V3652" s="8"/>
      <c r="W3652" s="8"/>
      <c r="X3652" s="771"/>
      <c r="Y3652" s="771"/>
      <c r="Z3652" s="771"/>
      <c r="AA3652" s="771"/>
      <c r="AB3652" s="771"/>
      <c r="AC3652" s="771"/>
      <c r="AD3652" s="771"/>
      <c r="AE3652" s="771"/>
      <c r="AF3652" s="771"/>
      <c r="AG3652" s="771"/>
      <c r="AH3652" s="771"/>
      <c r="AI3652" s="771"/>
      <c r="AJ3652" s="771"/>
      <c r="AK3652" s="771"/>
      <c r="AL3652" s="771"/>
      <c r="AM3652" s="771"/>
      <c r="AN3652" s="771"/>
      <c r="AO3652" s="771"/>
      <c r="AP3652" s="771"/>
      <c r="AQ3652" s="771"/>
      <c r="AR3652" s="771"/>
      <c r="AS3652" s="771"/>
      <c r="AT3652" s="771"/>
      <c r="AU3652" s="771"/>
    </row>
    <row r="3653" spans="1:47" s="15" customFormat="1" outlineLevel="1" x14ac:dyDescent="0.2">
      <c r="A3653" s="8"/>
      <c r="B3653" s="8"/>
      <c r="C3653" s="1989" t="s">
        <v>4311</v>
      </c>
      <c r="D3653" s="1989" t="s">
        <v>8590</v>
      </c>
      <c r="E3653" s="1989">
        <v>0</v>
      </c>
      <c r="F3653" s="1546">
        <f t="shared" si="55"/>
        <v>0</v>
      </c>
      <c r="G3653" s="1547"/>
      <c r="H3653" s="8"/>
      <c r="I3653" s="8"/>
      <c r="J3653" s="8"/>
      <c r="K3653" s="8"/>
      <c r="L3653" s="8"/>
      <c r="M3653" s="8"/>
      <c r="N3653" s="8"/>
      <c r="O3653" s="8"/>
      <c r="P3653" s="8"/>
      <c r="Q3653" s="8"/>
      <c r="R3653" s="8"/>
      <c r="S3653" s="8"/>
      <c r="T3653" s="8"/>
      <c r="U3653" s="8"/>
      <c r="V3653" s="8"/>
      <c r="W3653" s="8"/>
      <c r="X3653" s="771"/>
      <c r="Y3653" s="771"/>
      <c r="Z3653" s="771"/>
      <c r="AA3653" s="771"/>
      <c r="AB3653" s="771"/>
      <c r="AC3653" s="771"/>
      <c r="AD3653" s="771"/>
      <c r="AE3653" s="771"/>
      <c r="AF3653" s="771"/>
      <c r="AG3653" s="771"/>
      <c r="AH3653" s="771"/>
      <c r="AI3653" s="771"/>
      <c r="AJ3653" s="771"/>
      <c r="AK3653" s="771"/>
      <c r="AL3653" s="771"/>
      <c r="AM3653" s="771"/>
      <c r="AN3653" s="771"/>
      <c r="AO3653" s="771"/>
      <c r="AP3653" s="771"/>
      <c r="AQ3653" s="771"/>
      <c r="AR3653" s="771"/>
      <c r="AS3653" s="771"/>
      <c r="AT3653" s="771"/>
      <c r="AU3653" s="771"/>
    </row>
    <row r="3654" spans="1:47" s="15" customFormat="1" outlineLevel="1" x14ac:dyDescent="0.2">
      <c r="A3654" s="8"/>
      <c r="B3654" s="8"/>
      <c r="C3654" s="1989" t="s">
        <v>4312</v>
      </c>
      <c r="D3654" s="1989" t="s">
        <v>8591</v>
      </c>
      <c r="E3654" s="1989">
        <v>0</v>
      </c>
      <c r="F3654" s="1546">
        <f t="shared" si="55"/>
        <v>0</v>
      </c>
      <c r="G3654" s="1547"/>
      <c r="H3654" s="8"/>
      <c r="I3654" s="8"/>
      <c r="J3654" s="8"/>
      <c r="K3654" s="8"/>
      <c r="L3654" s="8"/>
      <c r="M3654" s="8"/>
      <c r="N3654" s="8"/>
      <c r="O3654" s="8"/>
      <c r="P3654" s="8"/>
      <c r="Q3654" s="8"/>
      <c r="R3654" s="8"/>
      <c r="S3654" s="8"/>
      <c r="T3654" s="8"/>
      <c r="U3654" s="8"/>
      <c r="V3654" s="8"/>
      <c r="W3654" s="8"/>
      <c r="X3654" s="771"/>
      <c r="Y3654" s="771"/>
      <c r="Z3654" s="771"/>
      <c r="AA3654" s="771"/>
      <c r="AB3654" s="771"/>
      <c r="AC3654" s="771"/>
      <c r="AD3654" s="771"/>
      <c r="AE3654" s="771"/>
      <c r="AF3654" s="771"/>
      <c r="AG3654" s="771"/>
      <c r="AH3654" s="771"/>
      <c r="AI3654" s="771"/>
      <c r="AJ3654" s="771"/>
      <c r="AK3654" s="771"/>
      <c r="AL3654" s="771"/>
      <c r="AM3654" s="771"/>
      <c r="AN3654" s="771"/>
      <c r="AO3654" s="771"/>
      <c r="AP3654" s="771"/>
      <c r="AQ3654" s="771"/>
      <c r="AR3654" s="771"/>
      <c r="AS3654" s="771"/>
      <c r="AT3654" s="771"/>
      <c r="AU3654" s="771"/>
    </row>
    <row r="3655" spans="1:47" s="15" customFormat="1" outlineLevel="1" x14ac:dyDescent="0.2">
      <c r="A3655" s="8"/>
      <c r="B3655" s="8"/>
      <c r="C3655" s="1989" t="s">
        <v>4313</v>
      </c>
      <c r="D3655" s="1989" t="s">
        <v>8592</v>
      </c>
      <c r="E3655" s="1989">
        <v>0</v>
      </c>
      <c r="F3655" s="1546">
        <f t="shared" si="55"/>
        <v>0</v>
      </c>
      <c r="G3655" s="1547"/>
      <c r="H3655" s="8"/>
      <c r="I3655" s="8"/>
      <c r="J3655" s="8"/>
      <c r="K3655" s="8"/>
      <c r="L3655" s="8"/>
      <c r="M3655" s="8"/>
      <c r="N3655" s="8"/>
      <c r="O3655" s="8"/>
      <c r="P3655" s="8"/>
      <c r="Q3655" s="8"/>
      <c r="R3655" s="8"/>
      <c r="S3655" s="8"/>
      <c r="T3655" s="8"/>
      <c r="U3655" s="8"/>
      <c r="V3655" s="8"/>
      <c r="W3655" s="8"/>
      <c r="X3655" s="771"/>
      <c r="Y3655" s="771"/>
      <c r="Z3655" s="771"/>
      <c r="AA3655" s="771"/>
      <c r="AB3655" s="771"/>
      <c r="AC3655" s="771"/>
      <c r="AD3655" s="771"/>
      <c r="AE3655" s="771"/>
      <c r="AF3655" s="771"/>
      <c r="AG3655" s="771"/>
      <c r="AH3655" s="771"/>
      <c r="AI3655" s="771"/>
      <c r="AJ3655" s="771"/>
      <c r="AK3655" s="771"/>
      <c r="AL3655" s="771"/>
      <c r="AM3655" s="771"/>
      <c r="AN3655" s="771"/>
      <c r="AO3655" s="771"/>
      <c r="AP3655" s="771"/>
      <c r="AQ3655" s="771"/>
      <c r="AR3655" s="771"/>
      <c r="AS3655" s="771"/>
      <c r="AT3655" s="771"/>
      <c r="AU3655" s="771"/>
    </row>
    <row r="3656" spans="1:47" s="15" customFormat="1" outlineLevel="1" x14ac:dyDescent="0.2">
      <c r="A3656" s="8"/>
      <c r="B3656" s="8"/>
      <c r="C3656" s="1989" t="s">
        <v>4314</v>
      </c>
      <c r="D3656" s="1989" t="s">
        <v>8593</v>
      </c>
      <c r="E3656" s="1989">
        <v>0</v>
      </c>
      <c r="F3656" s="1546">
        <f t="shared" si="55"/>
        <v>0</v>
      </c>
      <c r="G3656" s="1547"/>
      <c r="H3656" s="8"/>
      <c r="I3656" s="8"/>
      <c r="J3656" s="8"/>
      <c r="K3656" s="8"/>
      <c r="L3656" s="8"/>
      <c r="M3656" s="8"/>
      <c r="N3656" s="8"/>
      <c r="O3656" s="8"/>
      <c r="P3656" s="8"/>
      <c r="Q3656" s="8"/>
      <c r="R3656" s="8"/>
      <c r="S3656" s="8"/>
      <c r="T3656" s="8"/>
      <c r="U3656" s="8"/>
      <c r="V3656" s="8"/>
      <c r="W3656" s="8"/>
      <c r="X3656" s="771"/>
      <c r="Y3656" s="771"/>
      <c r="Z3656" s="771"/>
      <c r="AA3656" s="771"/>
      <c r="AB3656" s="771"/>
      <c r="AC3656" s="771"/>
      <c r="AD3656" s="771"/>
      <c r="AE3656" s="771"/>
      <c r="AF3656" s="771"/>
      <c r="AG3656" s="771"/>
      <c r="AH3656" s="771"/>
      <c r="AI3656" s="771"/>
      <c r="AJ3656" s="771"/>
      <c r="AK3656" s="771"/>
      <c r="AL3656" s="771"/>
      <c r="AM3656" s="771"/>
      <c r="AN3656" s="771"/>
      <c r="AO3656" s="771"/>
      <c r="AP3656" s="771"/>
      <c r="AQ3656" s="771"/>
      <c r="AR3656" s="771"/>
      <c r="AS3656" s="771"/>
      <c r="AT3656" s="771"/>
      <c r="AU3656" s="771"/>
    </row>
    <row r="3657" spans="1:47" s="15" customFormat="1" outlineLevel="1" x14ac:dyDescent="0.2">
      <c r="A3657" s="8"/>
      <c r="B3657" s="8"/>
      <c r="C3657" s="1989" t="s">
        <v>4315</v>
      </c>
      <c r="D3657" s="1989" t="s">
        <v>8594</v>
      </c>
      <c r="E3657" s="1989">
        <v>44.25</v>
      </c>
      <c r="F3657" s="1546">
        <f t="shared" si="55"/>
        <v>3598.4648700000002</v>
      </c>
      <c r="G3657" s="1547"/>
      <c r="H3657" s="8"/>
      <c r="I3657" s="8"/>
      <c r="J3657" s="8"/>
      <c r="K3657" s="8"/>
      <c r="L3657" s="8"/>
      <c r="M3657" s="8"/>
      <c r="N3657" s="8"/>
      <c r="O3657" s="8"/>
      <c r="P3657" s="8"/>
      <c r="Q3657" s="8"/>
      <c r="R3657" s="8"/>
      <c r="S3657" s="8"/>
      <c r="T3657" s="8"/>
      <c r="U3657" s="8"/>
      <c r="V3657" s="8"/>
      <c r="W3657" s="8"/>
      <c r="X3657" s="771"/>
      <c r="Y3657" s="771"/>
      <c r="Z3657" s="771"/>
      <c r="AA3657" s="771"/>
      <c r="AB3657" s="771"/>
      <c r="AC3657" s="771"/>
      <c r="AD3657" s="771"/>
      <c r="AE3657" s="771"/>
      <c r="AF3657" s="771"/>
      <c r="AG3657" s="771"/>
      <c r="AH3657" s="771"/>
      <c r="AI3657" s="771"/>
      <c r="AJ3657" s="771"/>
      <c r="AK3657" s="771"/>
      <c r="AL3657" s="771"/>
      <c r="AM3657" s="771"/>
      <c r="AN3657" s="771"/>
      <c r="AO3657" s="771"/>
      <c r="AP3657" s="771"/>
      <c r="AQ3657" s="771"/>
      <c r="AR3657" s="771"/>
      <c r="AS3657" s="771"/>
      <c r="AT3657" s="771"/>
      <c r="AU3657" s="771"/>
    </row>
    <row r="3658" spans="1:47" s="15" customFormat="1" outlineLevel="1" x14ac:dyDescent="0.2">
      <c r="A3658" s="8"/>
      <c r="B3658" s="8"/>
      <c r="C3658" s="1989" t="s">
        <v>4983</v>
      </c>
      <c r="D3658" s="1989" t="s">
        <v>8482</v>
      </c>
      <c r="E3658" s="1989">
        <v>0</v>
      </c>
      <c r="F3658" s="1546">
        <f t="shared" si="55"/>
        <v>0</v>
      </c>
      <c r="G3658" s="1547"/>
      <c r="H3658" s="8"/>
      <c r="I3658" s="8"/>
      <c r="J3658" s="8"/>
      <c r="K3658" s="8"/>
      <c r="L3658" s="8"/>
      <c r="M3658" s="8"/>
      <c r="N3658" s="8"/>
      <c r="O3658" s="8"/>
      <c r="P3658" s="8"/>
      <c r="Q3658" s="8"/>
      <c r="R3658" s="8"/>
      <c r="S3658" s="8"/>
      <c r="T3658" s="8"/>
      <c r="U3658" s="8"/>
      <c r="V3658" s="8"/>
      <c r="W3658" s="8"/>
      <c r="X3658" s="771"/>
      <c r="Y3658" s="771"/>
      <c r="Z3658" s="771"/>
      <c r="AA3658" s="771"/>
      <c r="AB3658" s="771"/>
      <c r="AC3658" s="771"/>
      <c r="AD3658" s="771"/>
      <c r="AE3658" s="771"/>
      <c r="AF3658" s="771"/>
      <c r="AG3658" s="771"/>
      <c r="AH3658" s="771"/>
      <c r="AI3658" s="771"/>
      <c r="AJ3658" s="771"/>
      <c r="AK3658" s="771"/>
      <c r="AL3658" s="771"/>
      <c r="AM3658" s="771"/>
      <c r="AN3658" s="771"/>
      <c r="AO3658" s="771"/>
      <c r="AP3658" s="771"/>
      <c r="AQ3658" s="771"/>
      <c r="AR3658" s="771"/>
      <c r="AS3658" s="771"/>
      <c r="AT3658" s="771"/>
      <c r="AU3658" s="771"/>
    </row>
    <row r="3659" spans="1:47" s="15" customFormat="1" outlineLevel="1" x14ac:dyDescent="0.2">
      <c r="A3659" s="8"/>
      <c r="B3659" s="8"/>
      <c r="C3659" s="1989" t="s">
        <v>4984</v>
      </c>
      <c r="D3659" s="1989" t="s">
        <v>8595</v>
      </c>
      <c r="E3659" s="1989">
        <v>6.25</v>
      </c>
      <c r="F3659" s="1546">
        <f t="shared" si="55"/>
        <v>508.25775000000004</v>
      </c>
      <c r="G3659" s="1547"/>
      <c r="H3659" s="8"/>
      <c r="I3659" s="8"/>
      <c r="J3659" s="8"/>
      <c r="K3659" s="8"/>
      <c r="L3659" s="8"/>
      <c r="M3659" s="8"/>
      <c r="N3659" s="8"/>
      <c r="O3659" s="8"/>
      <c r="P3659" s="8"/>
      <c r="Q3659" s="8"/>
      <c r="R3659" s="8"/>
      <c r="S3659" s="8"/>
      <c r="T3659" s="8"/>
      <c r="U3659" s="8"/>
      <c r="V3659" s="8"/>
      <c r="W3659" s="8"/>
      <c r="X3659" s="771"/>
      <c r="Y3659" s="771"/>
      <c r="Z3659" s="771"/>
      <c r="AA3659" s="771"/>
      <c r="AB3659" s="771"/>
      <c r="AC3659" s="771"/>
      <c r="AD3659" s="771"/>
      <c r="AE3659" s="771"/>
      <c r="AF3659" s="771"/>
      <c r="AG3659" s="771"/>
      <c r="AH3659" s="771"/>
      <c r="AI3659" s="771"/>
      <c r="AJ3659" s="771"/>
      <c r="AK3659" s="771"/>
      <c r="AL3659" s="771"/>
      <c r="AM3659" s="771"/>
      <c r="AN3659" s="771"/>
      <c r="AO3659" s="771"/>
      <c r="AP3659" s="771"/>
      <c r="AQ3659" s="771"/>
      <c r="AR3659" s="771"/>
      <c r="AS3659" s="771"/>
      <c r="AT3659" s="771"/>
      <c r="AU3659" s="771"/>
    </row>
    <row r="3660" spans="1:47" s="15" customFormat="1" outlineLevel="1" x14ac:dyDescent="0.2">
      <c r="A3660" s="8"/>
      <c r="B3660" s="8"/>
      <c r="C3660" s="1989">
        <v>1000646</v>
      </c>
      <c r="D3660" s="1989" t="s">
        <v>6605</v>
      </c>
      <c r="E3660" s="1989">
        <v>0</v>
      </c>
      <c r="F3660" s="1546">
        <f t="shared" si="55"/>
        <v>0</v>
      </c>
      <c r="G3660" s="1547"/>
      <c r="H3660" s="8"/>
      <c r="I3660" s="8"/>
      <c r="J3660" s="8"/>
      <c r="K3660" s="8"/>
      <c r="L3660" s="8"/>
      <c r="M3660" s="8"/>
      <c r="N3660" s="8"/>
      <c r="O3660" s="8"/>
      <c r="P3660" s="8"/>
      <c r="Q3660" s="8"/>
      <c r="R3660" s="8"/>
      <c r="S3660" s="8"/>
      <c r="T3660" s="8"/>
      <c r="U3660" s="8"/>
      <c r="V3660" s="8"/>
      <c r="W3660" s="8"/>
      <c r="X3660" s="771"/>
      <c r="Y3660" s="771"/>
      <c r="Z3660" s="771"/>
      <c r="AA3660" s="771"/>
      <c r="AB3660" s="771"/>
      <c r="AC3660" s="771"/>
      <c r="AD3660" s="771"/>
      <c r="AE3660" s="771"/>
      <c r="AF3660" s="771"/>
      <c r="AG3660" s="771"/>
      <c r="AH3660" s="771"/>
      <c r="AI3660" s="771"/>
      <c r="AJ3660" s="771"/>
      <c r="AK3660" s="771"/>
      <c r="AL3660" s="771"/>
      <c r="AM3660" s="771"/>
      <c r="AN3660" s="771"/>
      <c r="AO3660" s="771"/>
      <c r="AP3660" s="771"/>
      <c r="AQ3660" s="771"/>
      <c r="AR3660" s="771"/>
      <c r="AS3660" s="771"/>
      <c r="AT3660" s="771"/>
      <c r="AU3660" s="771"/>
    </row>
    <row r="3661" spans="1:47" s="15" customFormat="1" outlineLevel="1" x14ac:dyDescent="0.2">
      <c r="A3661" s="8"/>
      <c r="B3661" s="8"/>
      <c r="C3661" s="1989">
        <v>1000652</v>
      </c>
      <c r="D3661" s="1989" t="s">
        <v>4316</v>
      </c>
      <c r="E3661" s="1989">
        <v>1.07</v>
      </c>
      <c r="F3661" s="1546">
        <f t="shared" si="55"/>
        <v>87.013726800000015</v>
      </c>
      <c r="G3661" s="1547"/>
      <c r="H3661" s="8"/>
      <c r="I3661" s="8"/>
      <c r="J3661" s="8"/>
      <c r="K3661" s="8"/>
      <c r="L3661" s="8"/>
      <c r="M3661" s="8"/>
      <c r="N3661" s="8"/>
      <c r="O3661" s="8"/>
      <c r="P3661" s="8"/>
      <c r="Q3661" s="8"/>
      <c r="R3661" s="8"/>
      <c r="S3661" s="8"/>
      <c r="T3661" s="8"/>
      <c r="U3661" s="8"/>
      <c r="V3661" s="8"/>
      <c r="W3661" s="8"/>
      <c r="X3661" s="771"/>
      <c r="Y3661" s="771"/>
      <c r="Z3661" s="771"/>
      <c r="AA3661" s="771"/>
      <c r="AB3661" s="771"/>
      <c r="AC3661" s="771"/>
      <c r="AD3661" s="771"/>
      <c r="AE3661" s="771"/>
      <c r="AF3661" s="771"/>
      <c r="AG3661" s="771"/>
      <c r="AH3661" s="771"/>
      <c r="AI3661" s="771"/>
      <c r="AJ3661" s="771"/>
      <c r="AK3661" s="771"/>
      <c r="AL3661" s="771"/>
      <c r="AM3661" s="771"/>
      <c r="AN3661" s="771"/>
      <c r="AO3661" s="771"/>
      <c r="AP3661" s="771"/>
      <c r="AQ3661" s="771"/>
      <c r="AR3661" s="771"/>
      <c r="AS3661" s="771"/>
      <c r="AT3661" s="771"/>
      <c r="AU3661" s="771"/>
    </row>
    <row r="3662" spans="1:47" s="15" customFormat="1" outlineLevel="1" x14ac:dyDescent="0.2">
      <c r="A3662" s="8"/>
      <c r="B3662" s="8"/>
      <c r="C3662" s="1989">
        <v>4100070</v>
      </c>
      <c r="D3662" s="1989" t="s">
        <v>8596</v>
      </c>
      <c r="E3662" s="1989">
        <v>0</v>
      </c>
      <c r="F3662" s="1546">
        <f t="shared" si="55"/>
        <v>0</v>
      </c>
      <c r="G3662" s="1547"/>
      <c r="H3662" s="8"/>
      <c r="I3662" s="8"/>
      <c r="J3662" s="8"/>
      <c r="K3662" s="8"/>
      <c r="L3662" s="8"/>
      <c r="M3662" s="8"/>
      <c r="N3662" s="8"/>
      <c r="O3662" s="8"/>
      <c r="P3662" s="8"/>
      <c r="Q3662" s="8"/>
      <c r="R3662" s="8"/>
      <c r="S3662" s="8"/>
      <c r="T3662" s="8"/>
      <c r="U3662" s="8"/>
      <c r="V3662" s="8"/>
      <c r="W3662" s="8"/>
      <c r="X3662" s="771"/>
      <c r="Y3662" s="771"/>
      <c r="Z3662" s="771"/>
      <c r="AA3662" s="771"/>
      <c r="AB3662" s="771"/>
      <c r="AC3662" s="771"/>
      <c r="AD3662" s="771"/>
      <c r="AE3662" s="771"/>
      <c r="AF3662" s="771"/>
      <c r="AG3662" s="771"/>
      <c r="AH3662" s="771"/>
      <c r="AI3662" s="771"/>
      <c r="AJ3662" s="771"/>
      <c r="AK3662" s="771"/>
      <c r="AL3662" s="771"/>
      <c r="AM3662" s="771"/>
      <c r="AN3662" s="771"/>
      <c r="AO3662" s="771"/>
      <c r="AP3662" s="771"/>
      <c r="AQ3662" s="771"/>
      <c r="AR3662" s="771"/>
      <c r="AS3662" s="771"/>
      <c r="AT3662" s="771"/>
      <c r="AU3662" s="771"/>
    </row>
    <row r="3663" spans="1:47" s="15" customFormat="1" outlineLevel="1" x14ac:dyDescent="0.2">
      <c r="A3663" s="8"/>
      <c r="B3663" s="8"/>
      <c r="C3663" s="1989">
        <v>4100071</v>
      </c>
      <c r="D3663" s="1989" t="s">
        <v>8597</v>
      </c>
      <c r="E3663" s="1989">
        <v>0</v>
      </c>
      <c r="F3663" s="1546">
        <f t="shared" si="55"/>
        <v>0</v>
      </c>
      <c r="G3663" s="1547"/>
      <c r="H3663" s="8"/>
      <c r="I3663" s="8"/>
      <c r="J3663" s="8"/>
      <c r="K3663" s="8"/>
      <c r="L3663" s="8"/>
      <c r="M3663" s="8"/>
      <c r="N3663" s="8"/>
      <c r="O3663" s="8"/>
      <c r="P3663" s="8"/>
      <c r="Q3663" s="8"/>
      <c r="R3663" s="8"/>
      <c r="S3663" s="8"/>
      <c r="T3663" s="8"/>
      <c r="U3663" s="8"/>
      <c r="V3663" s="8"/>
      <c r="W3663" s="8"/>
      <c r="X3663" s="771"/>
      <c r="Y3663" s="771"/>
      <c r="Z3663" s="771"/>
      <c r="AA3663" s="771"/>
      <c r="AB3663" s="771"/>
      <c r="AC3663" s="771"/>
      <c r="AD3663" s="771"/>
      <c r="AE3663" s="771"/>
      <c r="AF3663" s="771"/>
      <c r="AG3663" s="771"/>
      <c r="AH3663" s="771"/>
      <c r="AI3663" s="771"/>
      <c r="AJ3663" s="771"/>
      <c r="AK3663" s="771"/>
      <c r="AL3663" s="771"/>
      <c r="AM3663" s="771"/>
      <c r="AN3663" s="771"/>
      <c r="AO3663" s="771"/>
      <c r="AP3663" s="771"/>
      <c r="AQ3663" s="771"/>
      <c r="AR3663" s="771"/>
      <c r="AS3663" s="771"/>
      <c r="AT3663" s="771"/>
      <c r="AU3663" s="771"/>
    </row>
    <row r="3664" spans="1:47" s="15" customFormat="1" outlineLevel="1" x14ac:dyDescent="0.2">
      <c r="A3664" s="8"/>
      <c r="B3664" s="8"/>
      <c r="C3664" s="1989">
        <v>4100072</v>
      </c>
      <c r="D3664" s="1989" t="s">
        <v>8598</v>
      </c>
      <c r="E3664" s="1989">
        <v>0</v>
      </c>
      <c r="F3664" s="1546">
        <f t="shared" si="55"/>
        <v>0</v>
      </c>
      <c r="G3664" s="1547"/>
      <c r="H3664" s="8"/>
      <c r="I3664" s="8"/>
      <c r="J3664" s="8"/>
      <c r="K3664" s="8"/>
      <c r="L3664" s="8"/>
      <c r="M3664" s="8"/>
      <c r="N3664" s="8"/>
      <c r="O3664" s="8"/>
      <c r="P3664" s="8"/>
      <c r="Q3664" s="8"/>
      <c r="R3664" s="8"/>
      <c r="S3664" s="8"/>
      <c r="T3664" s="8"/>
      <c r="U3664" s="8"/>
      <c r="V3664" s="8"/>
      <c r="W3664" s="8"/>
      <c r="X3664" s="771"/>
      <c r="Y3664" s="771"/>
      <c r="Z3664" s="771"/>
      <c r="AA3664" s="771"/>
      <c r="AB3664" s="771"/>
      <c r="AC3664" s="771"/>
      <c r="AD3664" s="771"/>
      <c r="AE3664" s="771"/>
      <c r="AF3664" s="771"/>
      <c r="AG3664" s="771"/>
      <c r="AH3664" s="771"/>
      <c r="AI3664" s="771"/>
      <c r="AJ3664" s="771"/>
      <c r="AK3664" s="771"/>
      <c r="AL3664" s="771"/>
      <c r="AM3664" s="771"/>
      <c r="AN3664" s="771"/>
      <c r="AO3664" s="771"/>
      <c r="AP3664" s="771"/>
      <c r="AQ3664" s="771"/>
      <c r="AR3664" s="771"/>
      <c r="AS3664" s="771"/>
      <c r="AT3664" s="771"/>
      <c r="AU3664" s="771"/>
    </row>
    <row r="3665" spans="1:47" s="15" customFormat="1" outlineLevel="1" x14ac:dyDescent="0.2">
      <c r="A3665" s="8"/>
      <c r="B3665" s="8"/>
      <c r="C3665" s="1989">
        <v>4100073</v>
      </c>
      <c r="D3665" s="1989" t="s">
        <v>8599</v>
      </c>
      <c r="E3665" s="1989">
        <v>0</v>
      </c>
      <c r="F3665" s="1546">
        <f t="shared" si="55"/>
        <v>0</v>
      </c>
      <c r="G3665" s="1547"/>
      <c r="H3665" s="8"/>
      <c r="I3665" s="8"/>
      <c r="J3665" s="8"/>
      <c r="K3665" s="8"/>
      <c r="L3665" s="8"/>
      <c r="M3665" s="8"/>
      <c r="N3665" s="8"/>
      <c r="O3665" s="8"/>
      <c r="P3665" s="8"/>
      <c r="Q3665" s="8"/>
      <c r="R3665" s="8"/>
      <c r="S3665" s="8"/>
      <c r="T3665" s="8"/>
      <c r="U3665" s="8"/>
      <c r="V3665" s="8"/>
      <c r="W3665" s="8"/>
      <c r="X3665" s="771"/>
      <c r="Y3665" s="771"/>
      <c r="Z3665" s="771"/>
      <c r="AA3665" s="771"/>
      <c r="AB3665" s="771"/>
      <c r="AC3665" s="771"/>
      <c r="AD3665" s="771"/>
      <c r="AE3665" s="771"/>
      <c r="AF3665" s="771"/>
      <c r="AG3665" s="771"/>
      <c r="AH3665" s="771"/>
      <c r="AI3665" s="771"/>
      <c r="AJ3665" s="771"/>
      <c r="AK3665" s="771"/>
      <c r="AL3665" s="771"/>
      <c r="AM3665" s="771"/>
      <c r="AN3665" s="771"/>
      <c r="AO3665" s="771"/>
      <c r="AP3665" s="771"/>
      <c r="AQ3665" s="771"/>
      <c r="AR3665" s="771"/>
      <c r="AS3665" s="771"/>
      <c r="AT3665" s="771"/>
      <c r="AU3665" s="771"/>
    </row>
    <row r="3666" spans="1:47" s="15" customFormat="1" outlineLevel="1" x14ac:dyDescent="0.2">
      <c r="A3666" s="8"/>
      <c r="B3666" s="8"/>
      <c r="C3666" s="1989">
        <v>4100074</v>
      </c>
      <c r="D3666" s="1989" t="s">
        <v>8600</v>
      </c>
      <c r="E3666" s="1989">
        <v>0</v>
      </c>
      <c r="F3666" s="1546">
        <f t="shared" si="55"/>
        <v>0</v>
      </c>
      <c r="G3666" s="1547"/>
      <c r="H3666" s="8"/>
      <c r="I3666" s="8"/>
      <c r="J3666" s="8"/>
      <c r="K3666" s="8"/>
      <c r="L3666" s="8"/>
      <c r="M3666" s="8"/>
      <c r="N3666" s="8"/>
      <c r="O3666" s="8"/>
      <c r="P3666" s="8"/>
      <c r="Q3666" s="8"/>
      <c r="R3666" s="8"/>
      <c r="S3666" s="8"/>
      <c r="T3666" s="8"/>
      <c r="U3666" s="8"/>
      <c r="V3666" s="8"/>
      <c r="W3666" s="8"/>
      <c r="X3666" s="771"/>
      <c r="Y3666" s="771"/>
      <c r="Z3666" s="771"/>
      <c r="AA3666" s="771"/>
      <c r="AB3666" s="771"/>
      <c r="AC3666" s="771"/>
      <c r="AD3666" s="771"/>
      <c r="AE3666" s="771"/>
      <c r="AF3666" s="771"/>
      <c r="AG3666" s="771"/>
      <c r="AH3666" s="771"/>
      <c r="AI3666" s="771"/>
      <c r="AJ3666" s="771"/>
      <c r="AK3666" s="771"/>
      <c r="AL3666" s="771"/>
      <c r="AM3666" s="771"/>
      <c r="AN3666" s="771"/>
      <c r="AO3666" s="771"/>
      <c r="AP3666" s="771"/>
      <c r="AQ3666" s="771"/>
      <c r="AR3666" s="771"/>
      <c r="AS3666" s="771"/>
      <c r="AT3666" s="771"/>
      <c r="AU3666" s="771"/>
    </row>
    <row r="3667" spans="1:47" s="15" customFormat="1" outlineLevel="1" x14ac:dyDescent="0.2">
      <c r="A3667" s="8"/>
      <c r="B3667" s="8"/>
      <c r="C3667" s="1989">
        <v>4100075</v>
      </c>
      <c r="D3667" s="1989" t="s">
        <v>8601</v>
      </c>
      <c r="E3667" s="1989">
        <v>0</v>
      </c>
      <c r="F3667" s="1546">
        <f t="shared" si="55"/>
        <v>0</v>
      </c>
      <c r="G3667" s="1547"/>
      <c r="H3667" s="8"/>
      <c r="I3667" s="8"/>
      <c r="J3667" s="8"/>
      <c r="K3667" s="8"/>
      <c r="L3667" s="8"/>
      <c r="M3667" s="8"/>
      <c r="N3667" s="8"/>
      <c r="O3667" s="8"/>
      <c r="P3667" s="8"/>
      <c r="Q3667" s="8"/>
      <c r="R3667" s="8"/>
      <c r="S3667" s="8"/>
      <c r="T3667" s="8"/>
      <c r="U3667" s="8"/>
      <c r="V3667" s="8"/>
      <c r="W3667" s="8"/>
      <c r="X3667" s="771"/>
      <c r="Y3667" s="771"/>
      <c r="Z3667" s="771"/>
      <c r="AA3667" s="771"/>
      <c r="AB3667" s="771"/>
      <c r="AC3667" s="771"/>
      <c r="AD3667" s="771"/>
      <c r="AE3667" s="771"/>
      <c r="AF3667" s="771"/>
      <c r="AG3667" s="771"/>
      <c r="AH3667" s="771"/>
      <c r="AI3667" s="771"/>
      <c r="AJ3667" s="771"/>
      <c r="AK3667" s="771"/>
      <c r="AL3667" s="771"/>
      <c r="AM3667" s="771"/>
      <c r="AN3667" s="771"/>
      <c r="AO3667" s="771"/>
      <c r="AP3667" s="771"/>
      <c r="AQ3667" s="771"/>
      <c r="AR3667" s="771"/>
      <c r="AS3667" s="771"/>
      <c r="AT3667" s="771"/>
      <c r="AU3667" s="771"/>
    </row>
    <row r="3668" spans="1:47" s="15" customFormat="1" outlineLevel="1" x14ac:dyDescent="0.2">
      <c r="A3668" s="8"/>
      <c r="B3668" s="8"/>
      <c r="C3668" s="1989">
        <v>4100080</v>
      </c>
      <c r="D3668" s="1989" t="s">
        <v>8602</v>
      </c>
      <c r="E3668" s="1989">
        <v>0</v>
      </c>
      <c r="F3668" s="1546">
        <f t="shared" si="55"/>
        <v>0</v>
      </c>
      <c r="G3668" s="1547"/>
      <c r="H3668" s="8"/>
      <c r="I3668" s="8"/>
      <c r="J3668" s="8"/>
      <c r="K3668" s="8"/>
      <c r="L3668" s="8"/>
      <c r="M3668" s="8"/>
      <c r="N3668" s="8"/>
      <c r="O3668" s="8"/>
      <c r="P3668" s="8"/>
      <c r="Q3668" s="8"/>
      <c r="R3668" s="8"/>
      <c r="S3668" s="8"/>
      <c r="T3668" s="8"/>
      <c r="U3668" s="8"/>
      <c r="V3668" s="8"/>
      <c r="W3668" s="8"/>
      <c r="X3668" s="771"/>
      <c r="Y3668" s="771"/>
      <c r="Z3668" s="771"/>
      <c r="AA3668" s="771"/>
      <c r="AB3668" s="771"/>
      <c r="AC3668" s="771"/>
      <c r="AD3668" s="771"/>
      <c r="AE3668" s="771"/>
      <c r="AF3668" s="771"/>
      <c r="AG3668" s="771"/>
      <c r="AH3668" s="771"/>
      <c r="AI3668" s="771"/>
      <c r="AJ3668" s="771"/>
      <c r="AK3668" s="771"/>
      <c r="AL3668" s="771"/>
      <c r="AM3668" s="771"/>
      <c r="AN3668" s="771"/>
      <c r="AO3668" s="771"/>
      <c r="AP3668" s="771"/>
      <c r="AQ3668" s="771"/>
      <c r="AR3668" s="771"/>
      <c r="AS3668" s="771"/>
      <c r="AT3668" s="771"/>
      <c r="AU3668" s="771"/>
    </row>
    <row r="3669" spans="1:47" s="15" customFormat="1" outlineLevel="1" x14ac:dyDescent="0.2">
      <c r="A3669" s="8"/>
      <c r="B3669" s="8"/>
      <c r="C3669" s="1989">
        <v>4100081</v>
      </c>
      <c r="D3669" s="1989" t="s">
        <v>8603</v>
      </c>
      <c r="E3669" s="1989">
        <v>0</v>
      </c>
      <c r="F3669" s="1546">
        <f t="shared" si="55"/>
        <v>0</v>
      </c>
      <c r="G3669" s="1547"/>
      <c r="H3669" s="8"/>
      <c r="I3669" s="8"/>
      <c r="J3669" s="8"/>
      <c r="K3669" s="8"/>
      <c r="L3669" s="8"/>
      <c r="M3669" s="8"/>
      <c r="N3669" s="8"/>
      <c r="O3669" s="8"/>
      <c r="P3669" s="8"/>
      <c r="Q3669" s="8"/>
      <c r="R3669" s="8"/>
      <c r="S3669" s="8"/>
      <c r="T3669" s="8"/>
      <c r="U3669" s="8"/>
      <c r="V3669" s="8"/>
      <c r="W3669" s="8"/>
      <c r="X3669" s="771"/>
      <c r="Y3669" s="771"/>
      <c r="Z3669" s="771"/>
      <c r="AA3669" s="771"/>
      <c r="AB3669" s="771"/>
      <c r="AC3669" s="771"/>
      <c r="AD3669" s="771"/>
      <c r="AE3669" s="771"/>
      <c r="AF3669" s="771"/>
      <c r="AG3669" s="771"/>
      <c r="AH3669" s="771"/>
      <c r="AI3669" s="771"/>
      <c r="AJ3669" s="771"/>
      <c r="AK3669" s="771"/>
      <c r="AL3669" s="771"/>
      <c r="AM3669" s="771"/>
      <c r="AN3669" s="771"/>
      <c r="AO3669" s="771"/>
      <c r="AP3669" s="771"/>
      <c r="AQ3669" s="771"/>
      <c r="AR3669" s="771"/>
      <c r="AS3669" s="771"/>
      <c r="AT3669" s="771"/>
      <c r="AU3669" s="771"/>
    </row>
    <row r="3670" spans="1:47" s="15" customFormat="1" outlineLevel="1" x14ac:dyDescent="0.2">
      <c r="A3670" s="8"/>
      <c r="B3670" s="8"/>
      <c r="C3670" s="1989">
        <v>4100082</v>
      </c>
      <c r="D3670" s="1989" t="s">
        <v>8604</v>
      </c>
      <c r="E3670" s="1989">
        <v>0</v>
      </c>
      <c r="F3670" s="1546">
        <f t="shared" si="55"/>
        <v>0</v>
      </c>
      <c r="G3670" s="1547"/>
      <c r="H3670" s="8"/>
      <c r="I3670" s="8"/>
      <c r="J3670" s="8"/>
      <c r="K3670" s="8"/>
      <c r="L3670" s="8"/>
      <c r="M3670" s="8"/>
      <c r="N3670" s="8"/>
      <c r="O3670" s="8"/>
      <c r="P3670" s="8"/>
      <c r="Q3670" s="8"/>
      <c r="R3670" s="8"/>
      <c r="S3670" s="8"/>
      <c r="T3670" s="8"/>
      <c r="U3670" s="8"/>
      <c r="V3670" s="8"/>
      <c r="W3670" s="8"/>
      <c r="X3670" s="771"/>
      <c r="Y3670" s="771"/>
      <c r="Z3670" s="771"/>
      <c r="AA3670" s="771"/>
      <c r="AB3670" s="771"/>
      <c r="AC3670" s="771"/>
      <c r="AD3670" s="771"/>
      <c r="AE3670" s="771"/>
      <c r="AF3670" s="771"/>
      <c r="AG3670" s="771"/>
      <c r="AH3670" s="771"/>
      <c r="AI3670" s="771"/>
      <c r="AJ3670" s="771"/>
      <c r="AK3670" s="771"/>
      <c r="AL3670" s="771"/>
      <c r="AM3670" s="771"/>
      <c r="AN3670" s="771"/>
      <c r="AO3670" s="771"/>
      <c r="AP3670" s="771"/>
      <c r="AQ3670" s="771"/>
      <c r="AR3670" s="771"/>
      <c r="AS3670" s="771"/>
      <c r="AT3670" s="771"/>
      <c r="AU3670" s="771"/>
    </row>
    <row r="3671" spans="1:47" s="15" customFormat="1" outlineLevel="1" x14ac:dyDescent="0.2">
      <c r="A3671" s="8"/>
      <c r="B3671" s="8"/>
      <c r="C3671" s="1989">
        <v>4100123</v>
      </c>
      <c r="D3671" s="1989" t="s">
        <v>8605</v>
      </c>
      <c r="E3671" s="1989">
        <v>0</v>
      </c>
      <c r="F3671" s="1546">
        <f t="shared" si="55"/>
        <v>0</v>
      </c>
      <c r="G3671" s="1547"/>
      <c r="H3671" s="8"/>
      <c r="I3671" s="8"/>
      <c r="J3671" s="8"/>
      <c r="K3671" s="8"/>
      <c r="L3671" s="8"/>
      <c r="M3671" s="8"/>
      <c r="N3671" s="8"/>
      <c r="O3671" s="8"/>
      <c r="P3671" s="8"/>
      <c r="Q3671" s="8"/>
      <c r="R3671" s="8"/>
      <c r="S3671" s="8"/>
      <c r="T3671" s="8"/>
      <c r="U3671" s="8"/>
      <c r="V3671" s="8"/>
      <c r="W3671" s="8"/>
      <c r="X3671" s="771"/>
      <c r="Y3671" s="771"/>
      <c r="Z3671" s="771"/>
      <c r="AA3671" s="771"/>
      <c r="AB3671" s="771"/>
      <c r="AC3671" s="771"/>
      <c r="AD3671" s="771"/>
      <c r="AE3671" s="771"/>
      <c r="AF3671" s="771"/>
      <c r="AG3671" s="771"/>
      <c r="AH3671" s="771"/>
      <c r="AI3671" s="771"/>
      <c r="AJ3671" s="771"/>
      <c r="AK3671" s="771"/>
      <c r="AL3671" s="771"/>
      <c r="AM3671" s="771"/>
      <c r="AN3671" s="771"/>
      <c r="AO3671" s="771"/>
      <c r="AP3671" s="771"/>
      <c r="AQ3671" s="771"/>
      <c r="AR3671" s="771"/>
      <c r="AS3671" s="771"/>
      <c r="AT3671" s="771"/>
      <c r="AU3671" s="771"/>
    </row>
    <row r="3672" spans="1:47" s="15" customFormat="1" outlineLevel="1" x14ac:dyDescent="0.2">
      <c r="A3672" s="8"/>
      <c r="B3672" s="8"/>
      <c r="C3672" s="1989">
        <v>4100125</v>
      </c>
      <c r="D3672" s="1989" t="s">
        <v>8606</v>
      </c>
      <c r="E3672" s="1989">
        <v>0</v>
      </c>
      <c r="F3672" s="1546">
        <f t="shared" si="55"/>
        <v>0</v>
      </c>
      <c r="G3672" s="1547"/>
      <c r="H3672" s="8"/>
      <c r="I3672" s="8"/>
      <c r="J3672" s="8"/>
      <c r="K3672" s="8"/>
      <c r="L3672" s="8"/>
      <c r="M3672" s="8"/>
      <c r="N3672" s="8"/>
      <c r="O3672" s="8"/>
      <c r="P3672" s="8"/>
      <c r="Q3672" s="8"/>
      <c r="R3672" s="8"/>
      <c r="S3672" s="8"/>
      <c r="T3672" s="8"/>
      <c r="U3672" s="8"/>
      <c r="V3672" s="8"/>
      <c r="W3672" s="8"/>
      <c r="X3672" s="771"/>
      <c r="Y3672" s="771"/>
      <c r="Z3672" s="771"/>
      <c r="AA3672" s="771"/>
      <c r="AB3672" s="771"/>
      <c r="AC3672" s="771"/>
      <c r="AD3672" s="771"/>
      <c r="AE3672" s="771"/>
      <c r="AF3672" s="771"/>
      <c r="AG3672" s="771"/>
      <c r="AH3672" s="771"/>
      <c r="AI3672" s="771"/>
      <c r="AJ3672" s="771"/>
      <c r="AK3672" s="771"/>
      <c r="AL3672" s="771"/>
      <c r="AM3672" s="771"/>
      <c r="AN3672" s="771"/>
      <c r="AO3672" s="771"/>
      <c r="AP3672" s="771"/>
      <c r="AQ3672" s="771"/>
      <c r="AR3672" s="771"/>
      <c r="AS3672" s="771"/>
      <c r="AT3672" s="771"/>
      <c r="AU3672" s="771"/>
    </row>
    <row r="3673" spans="1:47" s="15" customFormat="1" outlineLevel="1" x14ac:dyDescent="0.2">
      <c r="A3673" s="8"/>
      <c r="B3673" s="8"/>
      <c r="C3673" s="1989">
        <v>4100126</v>
      </c>
      <c r="D3673" s="1989" t="s">
        <v>8607</v>
      </c>
      <c r="E3673" s="1989">
        <v>0</v>
      </c>
      <c r="F3673" s="1546">
        <f t="shared" si="55"/>
        <v>0</v>
      </c>
      <c r="G3673" s="1547"/>
      <c r="H3673" s="8"/>
      <c r="I3673" s="8"/>
      <c r="J3673" s="8"/>
      <c r="K3673" s="8"/>
      <c r="L3673" s="8"/>
      <c r="M3673" s="8"/>
      <c r="N3673" s="8"/>
      <c r="O3673" s="8"/>
      <c r="P3673" s="8"/>
      <c r="Q3673" s="8"/>
      <c r="R3673" s="8"/>
      <c r="S3673" s="8"/>
      <c r="T3673" s="8"/>
      <c r="U3673" s="8"/>
      <c r="V3673" s="8"/>
      <c r="W3673" s="8"/>
      <c r="X3673" s="771"/>
      <c r="Y3673" s="771"/>
      <c r="Z3673" s="771"/>
      <c r="AA3673" s="771"/>
      <c r="AB3673" s="771"/>
      <c r="AC3673" s="771"/>
      <c r="AD3673" s="771"/>
      <c r="AE3673" s="771"/>
      <c r="AF3673" s="771"/>
      <c r="AG3673" s="771"/>
      <c r="AH3673" s="771"/>
      <c r="AI3673" s="771"/>
      <c r="AJ3673" s="771"/>
      <c r="AK3673" s="771"/>
      <c r="AL3673" s="771"/>
      <c r="AM3673" s="771"/>
      <c r="AN3673" s="771"/>
      <c r="AO3673" s="771"/>
      <c r="AP3673" s="771"/>
      <c r="AQ3673" s="771"/>
      <c r="AR3673" s="771"/>
      <c r="AS3673" s="771"/>
      <c r="AT3673" s="771"/>
      <c r="AU3673" s="771"/>
    </row>
    <row r="3674" spans="1:47" s="15" customFormat="1" outlineLevel="1" x14ac:dyDescent="0.2">
      <c r="A3674" s="8"/>
      <c r="B3674" s="8"/>
      <c r="C3674" s="1989">
        <v>4100127</v>
      </c>
      <c r="D3674" s="1989" t="s">
        <v>8608</v>
      </c>
      <c r="E3674" s="1989">
        <v>0</v>
      </c>
      <c r="F3674" s="1546">
        <f t="shared" si="55"/>
        <v>0</v>
      </c>
      <c r="G3674" s="1547"/>
      <c r="H3674" s="8"/>
      <c r="I3674" s="8"/>
      <c r="J3674" s="8"/>
      <c r="K3674" s="8"/>
      <c r="L3674" s="8"/>
      <c r="M3674" s="8"/>
      <c r="N3674" s="8"/>
      <c r="O3674" s="8"/>
      <c r="P3674" s="8"/>
      <c r="Q3674" s="8"/>
      <c r="R3674" s="8"/>
      <c r="S3674" s="8"/>
      <c r="T3674" s="8"/>
      <c r="U3674" s="8"/>
      <c r="V3674" s="8"/>
      <c r="W3674" s="8"/>
      <c r="X3674" s="771"/>
      <c r="Y3674" s="771"/>
      <c r="Z3674" s="771"/>
      <c r="AA3674" s="771"/>
      <c r="AB3674" s="771"/>
      <c r="AC3674" s="771"/>
      <c r="AD3674" s="771"/>
      <c r="AE3674" s="771"/>
      <c r="AF3674" s="771"/>
      <c r="AG3674" s="771"/>
      <c r="AH3674" s="771"/>
      <c r="AI3674" s="771"/>
      <c r="AJ3674" s="771"/>
      <c r="AK3674" s="771"/>
      <c r="AL3674" s="771"/>
      <c r="AM3674" s="771"/>
      <c r="AN3674" s="771"/>
      <c r="AO3674" s="771"/>
      <c r="AP3674" s="771"/>
      <c r="AQ3674" s="771"/>
      <c r="AR3674" s="771"/>
      <c r="AS3674" s="771"/>
      <c r="AT3674" s="771"/>
      <c r="AU3674" s="771"/>
    </row>
    <row r="3675" spans="1:47" s="15" customFormat="1" outlineLevel="1" x14ac:dyDescent="0.2">
      <c r="A3675" s="8"/>
      <c r="B3675" s="8"/>
      <c r="C3675" s="1989">
        <v>4100140</v>
      </c>
      <c r="D3675" s="1989" t="s">
        <v>8609</v>
      </c>
      <c r="E3675" s="1989">
        <v>0</v>
      </c>
      <c r="F3675" s="1546">
        <f t="shared" si="55"/>
        <v>0</v>
      </c>
      <c r="G3675" s="1547"/>
      <c r="H3675" s="8"/>
      <c r="I3675" s="8"/>
      <c r="J3675" s="8"/>
      <c r="K3675" s="8"/>
      <c r="L3675" s="8"/>
      <c r="M3675" s="8"/>
      <c r="N3675" s="8"/>
      <c r="O3675" s="8"/>
      <c r="P3675" s="8"/>
      <c r="Q3675" s="8"/>
      <c r="R3675" s="8"/>
      <c r="S3675" s="8"/>
      <c r="T3675" s="8"/>
      <c r="U3675" s="8"/>
      <c r="V3675" s="8"/>
      <c r="W3675" s="8"/>
      <c r="X3675" s="771"/>
      <c r="Y3675" s="771"/>
      <c r="Z3675" s="771"/>
      <c r="AA3675" s="771"/>
      <c r="AB3675" s="771"/>
      <c r="AC3675" s="771"/>
      <c r="AD3675" s="771"/>
      <c r="AE3675" s="771"/>
      <c r="AF3675" s="771"/>
      <c r="AG3675" s="771"/>
      <c r="AH3675" s="771"/>
      <c r="AI3675" s="771"/>
      <c r="AJ3675" s="771"/>
      <c r="AK3675" s="771"/>
      <c r="AL3675" s="771"/>
      <c r="AM3675" s="771"/>
      <c r="AN3675" s="771"/>
      <c r="AO3675" s="771"/>
      <c r="AP3675" s="771"/>
      <c r="AQ3675" s="771"/>
      <c r="AR3675" s="771"/>
      <c r="AS3675" s="771"/>
      <c r="AT3675" s="771"/>
      <c r="AU3675" s="771"/>
    </row>
    <row r="3676" spans="1:47" s="15" customFormat="1" outlineLevel="1" x14ac:dyDescent="0.2">
      <c r="A3676" s="8"/>
      <c r="B3676" s="8"/>
      <c r="C3676" s="1989">
        <v>4100141</v>
      </c>
      <c r="D3676" s="1989" t="s">
        <v>8610</v>
      </c>
      <c r="E3676" s="1989">
        <v>0</v>
      </c>
      <c r="F3676" s="1546">
        <f t="shared" si="55"/>
        <v>0</v>
      </c>
      <c r="G3676" s="1547"/>
      <c r="H3676" s="8"/>
      <c r="I3676" s="8"/>
      <c r="J3676" s="8"/>
      <c r="K3676" s="8"/>
      <c r="L3676" s="8"/>
      <c r="M3676" s="8"/>
      <c r="N3676" s="8"/>
      <c r="O3676" s="8"/>
      <c r="P3676" s="8"/>
      <c r="Q3676" s="8"/>
      <c r="R3676" s="8"/>
      <c r="S3676" s="8"/>
      <c r="T3676" s="8"/>
      <c r="U3676" s="8"/>
      <c r="V3676" s="8"/>
      <c r="W3676" s="8"/>
      <c r="X3676" s="771"/>
      <c r="Y3676" s="771"/>
      <c r="Z3676" s="771"/>
      <c r="AA3676" s="771"/>
      <c r="AB3676" s="771"/>
      <c r="AC3676" s="771"/>
      <c r="AD3676" s="771"/>
      <c r="AE3676" s="771"/>
      <c r="AF3676" s="771"/>
      <c r="AG3676" s="771"/>
      <c r="AH3676" s="771"/>
      <c r="AI3676" s="771"/>
      <c r="AJ3676" s="771"/>
      <c r="AK3676" s="771"/>
      <c r="AL3676" s="771"/>
      <c r="AM3676" s="771"/>
      <c r="AN3676" s="771"/>
      <c r="AO3676" s="771"/>
      <c r="AP3676" s="771"/>
      <c r="AQ3676" s="771"/>
      <c r="AR3676" s="771"/>
      <c r="AS3676" s="771"/>
      <c r="AT3676" s="771"/>
      <c r="AU3676" s="771"/>
    </row>
    <row r="3677" spans="1:47" s="15" customFormat="1" outlineLevel="1" x14ac:dyDescent="0.2">
      <c r="A3677" s="8"/>
      <c r="B3677" s="8"/>
      <c r="C3677" s="1989">
        <v>4100142</v>
      </c>
      <c r="D3677" s="1989" t="s">
        <v>8611</v>
      </c>
      <c r="E3677" s="1989">
        <v>0</v>
      </c>
      <c r="F3677" s="1546">
        <f t="shared" si="55"/>
        <v>0</v>
      </c>
      <c r="G3677" s="1547"/>
      <c r="H3677" s="8"/>
      <c r="I3677" s="8"/>
      <c r="J3677" s="8"/>
      <c r="K3677" s="8"/>
      <c r="L3677" s="8"/>
      <c r="M3677" s="8"/>
      <c r="N3677" s="8"/>
      <c r="O3677" s="8"/>
      <c r="P3677" s="8"/>
      <c r="Q3677" s="8"/>
      <c r="R3677" s="8"/>
      <c r="S3677" s="8"/>
      <c r="T3677" s="8"/>
      <c r="U3677" s="8"/>
      <c r="V3677" s="8"/>
      <c r="W3677" s="8"/>
      <c r="X3677" s="771"/>
      <c r="Y3677" s="771"/>
      <c r="Z3677" s="771"/>
      <c r="AA3677" s="771"/>
      <c r="AB3677" s="771"/>
      <c r="AC3677" s="771"/>
      <c r="AD3677" s="771"/>
      <c r="AE3677" s="771"/>
      <c r="AF3677" s="771"/>
      <c r="AG3677" s="771"/>
      <c r="AH3677" s="771"/>
      <c r="AI3677" s="771"/>
      <c r="AJ3677" s="771"/>
      <c r="AK3677" s="771"/>
      <c r="AL3677" s="771"/>
      <c r="AM3677" s="771"/>
      <c r="AN3677" s="771"/>
      <c r="AO3677" s="771"/>
      <c r="AP3677" s="771"/>
      <c r="AQ3677" s="771"/>
      <c r="AR3677" s="771"/>
      <c r="AS3677" s="771"/>
      <c r="AT3677" s="771"/>
      <c r="AU3677" s="771"/>
    </row>
    <row r="3678" spans="1:47" s="15" customFormat="1" outlineLevel="1" x14ac:dyDescent="0.2">
      <c r="A3678" s="8"/>
      <c r="B3678" s="8"/>
      <c r="C3678" s="1989">
        <v>4100143</v>
      </c>
      <c r="D3678" s="1989" t="s">
        <v>8612</v>
      </c>
      <c r="E3678" s="1989">
        <v>0</v>
      </c>
      <c r="F3678" s="1546">
        <f t="shared" si="55"/>
        <v>0</v>
      </c>
      <c r="G3678" s="1547"/>
      <c r="H3678" s="8"/>
      <c r="I3678" s="8"/>
      <c r="J3678" s="8"/>
      <c r="K3678" s="8"/>
      <c r="L3678" s="8"/>
      <c r="M3678" s="8"/>
      <c r="N3678" s="8"/>
      <c r="O3678" s="8"/>
      <c r="P3678" s="8"/>
      <c r="Q3678" s="8"/>
      <c r="R3678" s="8"/>
      <c r="S3678" s="8"/>
      <c r="T3678" s="8"/>
      <c r="U3678" s="8"/>
      <c r="V3678" s="8"/>
      <c r="W3678" s="8"/>
      <c r="X3678" s="771"/>
      <c r="Y3678" s="771"/>
      <c r="Z3678" s="771"/>
      <c r="AA3678" s="771"/>
      <c r="AB3678" s="771"/>
      <c r="AC3678" s="771"/>
      <c r="AD3678" s="771"/>
      <c r="AE3678" s="771"/>
      <c r="AF3678" s="771"/>
      <c r="AG3678" s="771"/>
      <c r="AH3678" s="771"/>
      <c r="AI3678" s="771"/>
      <c r="AJ3678" s="771"/>
      <c r="AK3678" s="771"/>
      <c r="AL3678" s="771"/>
      <c r="AM3678" s="771"/>
      <c r="AN3678" s="771"/>
      <c r="AO3678" s="771"/>
      <c r="AP3678" s="771"/>
      <c r="AQ3678" s="771"/>
      <c r="AR3678" s="771"/>
      <c r="AS3678" s="771"/>
      <c r="AT3678" s="771"/>
      <c r="AU3678" s="771"/>
    </row>
    <row r="3679" spans="1:47" s="15" customFormat="1" outlineLevel="1" x14ac:dyDescent="0.2">
      <c r="A3679" s="8"/>
      <c r="B3679" s="8"/>
      <c r="C3679" s="1989">
        <v>4100144</v>
      </c>
      <c r="D3679" s="1989" t="s">
        <v>8613</v>
      </c>
      <c r="E3679" s="1989">
        <v>0</v>
      </c>
      <c r="F3679" s="1546">
        <f t="shared" si="55"/>
        <v>0</v>
      </c>
      <c r="G3679" s="1547"/>
      <c r="H3679" s="8"/>
      <c r="I3679" s="8"/>
      <c r="J3679" s="8"/>
      <c r="K3679" s="8"/>
      <c r="L3679" s="8"/>
      <c r="M3679" s="8"/>
      <c r="N3679" s="8"/>
      <c r="O3679" s="8"/>
      <c r="P3679" s="8"/>
      <c r="Q3679" s="8"/>
      <c r="R3679" s="8"/>
      <c r="S3679" s="8"/>
      <c r="T3679" s="8"/>
      <c r="U3679" s="8"/>
      <c r="V3679" s="8"/>
      <c r="W3679" s="8"/>
      <c r="X3679" s="771"/>
      <c r="Y3679" s="771"/>
      <c r="Z3679" s="771"/>
      <c r="AA3679" s="771"/>
      <c r="AB3679" s="771"/>
      <c r="AC3679" s="771"/>
      <c r="AD3679" s="771"/>
      <c r="AE3679" s="771"/>
      <c r="AF3679" s="771"/>
      <c r="AG3679" s="771"/>
      <c r="AH3679" s="771"/>
      <c r="AI3679" s="771"/>
      <c r="AJ3679" s="771"/>
      <c r="AK3679" s="771"/>
      <c r="AL3679" s="771"/>
      <c r="AM3679" s="771"/>
      <c r="AN3679" s="771"/>
      <c r="AO3679" s="771"/>
      <c r="AP3679" s="771"/>
      <c r="AQ3679" s="771"/>
      <c r="AR3679" s="771"/>
      <c r="AS3679" s="771"/>
      <c r="AT3679" s="771"/>
      <c r="AU3679" s="771"/>
    </row>
    <row r="3680" spans="1:47" s="15" customFormat="1" outlineLevel="1" x14ac:dyDescent="0.2">
      <c r="A3680" s="8"/>
      <c r="B3680" s="8"/>
      <c r="C3680" s="1989">
        <v>4100145</v>
      </c>
      <c r="D3680" s="1989" t="s">
        <v>8614</v>
      </c>
      <c r="E3680" s="1989">
        <v>0</v>
      </c>
      <c r="F3680" s="1546">
        <f t="shared" si="55"/>
        <v>0</v>
      </c>
      <c r="G3680" s="1547"/>
      <c r="H3680" s="8"/>
      <c r="I3680" s="8"/>
      <c r="J3680" s="8"/>
      <c r="K3680" s="8"/>
      <c r="L3680" s="8"/>
      <c r="M3680" s="8"/>
      <c r="N3680" s="8"/>
      <c r="O3680" s="8"/>
      <c r="P3680" s="8"/>
      <c r="Q3680" s="8"/>
      <c r="R3680" s="8"/>
      <c r="S3680" s="8"/>
      <c r="T3680" s="8"/>
      <c r="U3680" s="8"/>
      <c r="V3680" s="8"/>
      <c r="W3680" s="8"/>
      <c r="X3680" s="771"/>
      <c r="Y3680" s="771"/>
      <c r="Z3680" s="771"/>
      <c r="AA3680" s="771"/>
      <c r="AB3680" s="771"/>
      <c r="AC3680" s="771"/>
      <c r="AD3680" s="771"/>
      <c r="AE3680" s="771"/>
      <c r="AF3680" s="771"/>
      <c r="AG3680" s="771"/>
      <c r="AH3680" s="771"/>
      <c r="AI3680" s="771"/>
      <c r="AJ3680" s="771"/>
      <c r="AK3680" s="771"/>
      <c r="AL3680" s="771"/>
      <c r="AM3680" s="771"/>
      <c r="AN3680" s="771"/>
      <c r="AO3680" s="771"/>
      <c r="AP3680" s="771"/>
      <c r="AQ3680" s="771"/>
      <c r="AR3680" s="771"/>
      <c r="AS3680" s="771"/>
      <c r="AT3680" s="771"/>
      <c r="AU3680" s="771"/>
    </row>
    <row r="3681" spans="1:47" s="15" customFormat="1" outlineLevel="1" x14ac:dyDescent="0.2">
      <c r="A3681" s="8"/>
      <c r="B3681" s="8"/>
      <c r="C3681" s="1989">
        <v>4100151</v>
      </c>
      <c r="D3681" s="1989" t="s">
        <v>8615</v>
      </c>
      <c r="E3681" s="1989">
        <v>0</v>
      </c>
      <c r="F3681" s="1546">
        <f t="shared" si="55"/>
        <v>0</v>
      </c>
      <c r="G3681" s="1547"/>
      <c r="H3681" s="8"/>
      <c r="I3681" s="8"/>
      <c r="J3681" s="8"/>
      <c r="K3681" s="8"/>
      <c r="L3681" s="8"/>
      <c r="M3681" s="8"/>
      <c r="N3681" s="8"/>
      <c r="O3681" s="8"/>
      <c r="P3681" s="8"/>
      <c r="Q3681" s="8"/>
      <c r="R3681" s="8"/>
      <c r="S3681" s="8"/>
      <c r="T3681" s="8"/>
      <c r="U3681" s="8"/>
      <c r="V3681" s="8"/>
      <c r="W3681" s="8"/>
      <c r="X3681" s="771"/>
      <c r="Y3681" s="771"/>
      <c r="Z3681" s="771"/>
      <c r="AA3681" s="771"/>
      <c r="AB3681" s="771"/>
      <c r="AC3681" s="771"/>
      <c r="AD3681" s="771"/>
      <c r="AE3681" s="771"/>
      <c r="AF3681" s="771"/>
      <c r="AG3681" s="771"/>
      <c r="AH3681" s="771"/>
      <c r="AI3681" s="771"/>
      <c r="AJ3681" s="771"/>
      <c r="AK3681" s="771"/>
      <c r="AL3681" s="771"/>
      <c r="AM3681" s="771"/>
      <c r="AN3681" s="771"/>
      <c r="AO3681" s="771"/>
      <c r="AP3681" s="771"/>
      <c r="AQ3681" s="771"/>
      <c r="AR3681" s="771"/>
      <c r="AS3681" s="771"/>
      <c r="AT3681" s="771"/>
      <c r="AU3681" s="771"/>
    </row>
    <row r="3682" spans="1:47" s="15" customFormat="1" outlineLevel="1" x14ac:dyDescent="0.2">
      <c r="A3682" s="8"/>
      <c r="B3682" s="8"/>
      <c r="C3682" s="1989">
        <v>4100152</v>
      </c>
      <c r="D3682" s="1989" t="s">
        <v>8616</v>
      </c>
      <c r="E3682" s="1989">
        <v>0</v>
      </c>
      <c r="F3682" s="1546">
        <f t="shared" si="55"/>
        <v>0</v>
      </c>
      <c r="G3682" s="1547"/>
      <c r="H3682" s="8"/>
      <c r="I3682" s="8"/>
      <c r="J3682" s="8"/>
      <c r="K3682" s="8"/>
      <c r="L3682" s="8"/>
      <c r="M3682" s="8"/>
      <c r="N3682" s="8"/>
      <c r="O3682" s="8"/>
      <c r="P3682" s="8"/>
      <c r="Q3682" s="8"/>
      <c r="R3682" s="8"/>
      <c r="S3682" s="8"/>
      <c r="T3682" s="8"/>
      <c r="U3682" s="8"/>
      <c r="V3682" s="8"/>
      <c r="W3682" s="8"/>
      <c r="X3682" s="771"/>
      <c r="Y3682" s="771"/>
      <c r="Z3682" s="771"/>
      <c r="AA3682" s="771"/>
      <c r="AB3682" s="771"/>
      <c r="AC3682" s="771"/>
      <c r="AD3682" s="771"/>
      <c r="AE3682" s="771"/>
      <c r="AF3682" s="771"/>
      <c r="AG3682" s="771"/>
      <c r="AH3682" s="771"/>
      <c r="AI3682" s="771"/>
      <c r="AJ3682" s="771"/>
      <c r="AK3682" s="771"/>
      <c r="AL3682" s="771"/>
      <c r="AM3682" s="771"/>
      <c r="AN3682" s="771"/>
      <c r="AO3682" s="771"/>
      <c r="AP3682" s="771"/>
      <c r="AQ3682" s="771"/>
      <c r="AR3682" s="771"/>
      <c r="AS3682" s="771"/>
      <c r="AT3682" s="771"/>
      <c r="AU3682" s="771"/>
    </row>
    <row r="3683" spans="1:47" s="15" customFormat="1" outlineLevel="1" x14ac:dyDescent="0.2">
      <c r="A3683" s="8"/>
      <c r="B3683" s="8"/>
      <c r="C3683" s="1989">
        <v>4100154</v>
      </c>
      <c r="D3683" s="1989" t="s">
        <v>8617</v>
      </c>
      <c r="E3683" s="1989">
        <v>0</v>
      </c>
      <c r="F3683" s="1546">
        <f t="shared" si="55"/>
        <v>0</v>
      </c>
      <c r="G3683" s="1547"/>
      <c r="H3683" s="8"/>
      <c r="I3683" s="8"/>
      <c r="J3683" s="8"/>
      <c r="K3683" s="8"/>
      <c r="L3683" s="8"/>
      <c r="M3683" s="8"/>
      <c r="N3683" s="8"/>
      <c r="O3683" s="8"/>
      <c r="P3683" s="8"/>
      <c r="Q3683" s="8"/>
      <c r="R3683" s="8"/>
      <c r="S3683" s="8"/>
      <c r="T3683" s="8"/>
      <c r="U3683" s="8"/>
      <c r="V3683" s="8"/>
      <c r="W3683" s="8"/>
      <c r="X3683" s="771"/>
      <c r="Y3683" s="771"/>
      <c r="Z3683" s="771"/>
      <c r="AA3683" s="771"/>
      <c r="AB3683" s="771"/>
      <c r="AC3683" s="771"/>
      <c r="AD3683" s="771"/>
      <c r="AE3683" s="771"/>
      <c r="AF3683" s="771"/>
      <c r="AG3683" s="771"/>
      <c r="AH3683" s="771"/>
      <c r="AI3683" s="771"/>
      <c r="AJ3683" s="771"/>
      <c r="AK3683" s="771"/>
      <c r="AL3683" s="771"/>
      <c r="AM3683" s="771"/>
      <c r="AN3683" s="771"/>
      <c r="AO3683" s="771"/>
      <c r="AP3683" s="771"/>
      <c r="AQ3683" s="771"/>
      <c r="AR3683" s="771"/>
      <c r="AS3683" s="771"/>
      <c r="AT3683" s="771"/>
      <c r="AU3683" s="771"/>
    </row>
    <row r="3684" spans="1:47" s="15" customFormat="1" outlineLevel="1" x14ac:dyDescent="0.2">
      <c r="A3684" s="8"/>
      <c r="B3684" s="8"/>
      <c r="C3684" s="1989">
        <v>4100156</v>
      </c>
      <c r="D3684" s="1989" t="s">
        <v>8618</v>
      </c>
      <c r="E3684" s="1989">
        <v>0</v>
      </c>
      <c r="F3684" s="1546">
        <f t="shared" si="55"/>
        <v>0</v>
      </c>
      <c r="G3684" s="1547"/>
      <c r="H3684" s="8"/>
      <c r="I3684" s="8"/>
      <c r="J3684" s="8"/>
      <c r="K3684" s="8"/>
      <c r="L3684" s="8"/>
      <c r="M3684" s="8"/>
      <c r="N3684" s="8"/>
      <c r="O3684" s="8"/>
      <c r="P3684" s="8"/>
      <c r="Q3684" s="8"/>
      <c r="R3684" s="8"/>
      <c r="S3684" s="8"/>
      <c r="T3684" s="8"/>
      <c r="U3684" s="8"/>
      <c r="V3684" s="8"/>
      <c r="W3684" s="8"/>
      <c r="X3684" s="771"/>
      <c r="Y3684" s="771"/>
      <c r="Z3684" s="771"/>
      <c r="AA3684" s="771"/>
      <c r="AB3684" s="771"/>
      <c r="AC3684" s="771"/>
      <c r="AD3684" s="771"/>
      <c r="AE3684" s="771"/>
      <c r="AF3684" s="771"/>
      <c r="AG3684" s="771"/>
      <c r="AH3684" s="771"/>
      <c r="AI3684" s="771"/>
      <c r="AJ3684" s="771"/>
      <c r="AK3684" s="771"/>
      <c r="AL3684" s="771"/>
      <c r="AM3684" s="771"/>
      <c r="AN3684" s="771"/>
      <c r="AO3684" s="771"/>
      <c r="AP3684" s="771"/>
      <c r="AQ3684" s="771"/>
      <c r="AR3684" s="771"/>
      <c r="AS3684" s="771"/>
      <c r="AT3684" s="771"/>
      <c r="AU3684" s="771"/>
    </row>
    <row r="3685" spans="1:47" s="15" customFormat="1" outlineLevel="1" x14ac:dyDescent="0.2">
      <c r="A3685" s="8"/>
      <c r="B3685" s="8"/>
      <c r="C3685" s="1989">
        <v>4100157</v>
      </c>
      <c r="D3685" s="1989" t="s">
        <v>8619</v>
      </c>
      <c r="E3685" s="1989">
        <v>0</v>
      </c>
      <c r="F3685" s="1546">
        <f t="shared" si="55"/>
        <v>0</v>
      </c>
      <c r="G3685" s="1547"/>
      <c r="H3685" s="8"/>
      <c r="I3685" s="8"/>
      <c r="J3685" s="8"/>
      <c r="K3685" s="8"/>
      <c r="L3685" s="8"/>
      <c r="M3685" s="8"/>
      <c r="N3685" s="8"/>
      <c r="O3685" s="8"/>
      <c r="P3685" s="8"/>
      <c r="Q3685" s="8"/>
      <c r="R3685" s="8"/>
      <c r="S3685" s="8"/>
      <c r="T3685" s="8"/>
      <c r="U3685" s="8"/>
      <c r="V3685" s="8"/>
      <c r="W3685" s="8"/>
      <c r="X3685" s="771"/>
      <c r="Y3685" s="771"/>
      <c r="Z3685" s="771"/>
      <c r="AA3685" s="771"/>
      <c r="AB3685" s="771"/>
      <c r="AC3685" s="771"/>
      <c r="AD3685" s="771"/>
      <c r="AE3685" s="771"/>
      <c r="AF3685" s="771"/>
      <c r="AG3685" s="771"/>
      <c r="AH3685" s="771"/>
      <c r="AI3685" s="771"/>
      <c r="AJ3685" s="771"/>
      <c r="AK3685" s="771"/>
      <c r="AL3685" s="771"/>
      <c r="AM3685" s="771"/>
      <c r="AN3685" s="771"/>
      <c r="AO3685" s="771"/>
      <c r="AP3685" s="771"/>
      <c r="AQ3685" s="771"/>
      <c r="AR3685" s="771"/>
      <c r="AS3685" s="771"/>
      <c r="AT3685" s="771"/>
      <c r="AU3685" s="771"/>
    </row>
    <row r="3686" spans="1:47" s="15" customFormat="1" outlineLevel="1" x14ac:dyDescent="0.2">
      <c r="A3686" s="8"/>
      <c r="B3686" s="8"/>
      <c r="C3686" s="1989">
        <v>4100158</v>
      </c>
      <c r="D3686" s="1989" t="s">
        <v>8620</v>
      </c>
      <c r="E3686" s="1989">
        <v>0</v>
      </c>
      <c r="F3686" s="1546">
        <f t="shared" si="55"/>
        <v>0</v>
      </c>
      <c r="G3686" s="1547"/>
      <c r="H3686" s="8"/>
      <c r="I3686" s="8"/>
      <c r="J3686" s="8"/>
      <c r="K3686" s="8"/>
      <c r="L3686" s="8"/>
      <c r="M3686" s="8"/>
      <c r="N3686" s="8"/>
      <c r="O3686" s="8"/>
      <c r="P3686" s="8"/>
      <c r="Q3686" s="8"/>
      <c r="R3686" s="8"/>
      <c r="S3686" s="8"/>
      <c r="T3686" s="8"/>
      <c r="U3686" s="8"/>
      <c r="V3686" s="8"/>
      <c r="W3686" s="8"/>
      <c r="X3686" s="771"/>
      <c r="Y3686" s="771"/>
      <c r="Z3686" s="771"/>
      <c r="AA3686" s="771"/>
      <c r="AB3686" s="771"/>
      <c r="AC3686" s="771"/>
      <c r="AD3686" s="771"/>
      <c r="AE3686" s="771"/>
      <c r="AF3686" s="771"/>
      <c r="AG3686" s="771"/>
      <c r="AH3686" s="771"/>
      <c r="AI3686" s="771"/>
      <c r="AJ3686" s="771"/>
      <c r="AK3686" s="771"/>
      <c r="AL3686" s="771"/>
      <c r="AM3686" s="771"/>
      <c r="AN3686" s="771"/>
      <c r="AO3686" s="771"/>
      <c r="AP3686" s="771"/>
      <c r="AQ3686" s="771"/>
      <c r="AR3686" s="771"/>
      <c r="AS3686" s="771"/>
      <c r="AT3686" s="771"/>
      <c r="AU3686" s="771"/>
    </row>
    <row r="3687" spans="1:47" s="15" customFormat="1" outlineLevel="1" x14ac:dyDescent="0.2">
      <c r="A3687" s="8"/>
      <c r="B3687" s="8"/>
      <c r="C3687" s="1989">
        <v>4100159</v>
      </c>
      <c r="D3687" s="1989" t="s">
        <v>8621</v>
      </c>
      <c r="E3687" s="1989">
        <v>0</v>
      </c>
      <c r="F3687" s="1546">
        <f t="shared" ref="F3687:F3750" si="56">E3687*$G$4*$J$4</f>
        <v>0</v>
      </c>
      <c r="G3687" s="1547"/>
      <c r="H3687" s="8"/>
      <c r="I3687" s="8"/>
      <c r="J3687" s="8"/>
      <c r="K3687" s="8"/>
      <c r="L3687" s="8"/>
      <c r="M3687" s="8"/>
      <c r="N3687" s="8"/>
      <c r="O3687" s="8"/>
      <c r="P3687" s="8"/>
      <c r="Q3687" s="8"/>
      <c r="R3687" s="8"/>
      <c r="S3687" s="8"/>
      <c r="T3687" s="8"/>
      <c r="U3687" s="8"/>
      <c r="V3687" s="8"/>
      <c r="W3687" s="8"/>
      <c r="X3687" s="771"/>
      <c r="Y3687" s="771"/>
      <c r="Z3687" s="771"/>
      <c r="AA3687" s="771"/>
      <c r="AB3687" s="771"/>
      <c r="AC3687" s="771"/>
      <c r="AD3687" s="771"/>
      <c r="AE3687" s="771"/>
      <c r="AF3687" s="771"/>
      <c r="AG3687" s="771"/>
      <c r="AH3687" s="771"/>
      <c r="AI3687" s="771"/>
      <c r="AJ3687" s="771"/>
      <c r="AK3687" s="771"/>
      <c r="AL3687" s="771"/>
      <c r="AM3687" s="771"/>
      <c r="AN3687" s="771"/>
      <c r="AO3687" s="771"/>
      <c r="AP3687" s="771"/>
      <c r="AQ3687" s="771"/>
      <c r="AR3687" s="771"/>
      <c r="AS3687" s="771"/>
      <c r="AT3687" s="771"/>
      <c r="AU3687" s="771"/>
    </row>
    <row r="3688" spans="1:47" s="15" customFormat="1" outlineLevel="1" x14ac:dyDescent="0.2">
      <c r="A3688" s="8"/>
      <c r="B3688" s="8"/>
      <c r="C3688" s="1989">
        <v>4100160</v>
      </c>
      <c r="D3688" s="1989" t="s">
        <v>8622</v>
      </c>
      <c r="E3688" s="1989">
        <v>0</v>
      </c>
      <c r="F3688" s="1546">
        <f t="shared" si="56"/>
        <v>0</v>
      </c>
      <c r="G3688" s="1547"/>
      <c r="H3688" s="8"/>
      <c r="I3688" s="8"/>
      <c r="J3688" s="8"/>
      <c r="K3688" s="8"/>
      <c r="L3688" s="8"/>
      <c r="M3688" s="8"/>
      <c r="N3688" s="8"/>
      <c r="O3688" s="8"/>
      <c r="P3688" s="8"/>
      <c r="Q3688" s="8"/>
      <c r="R3688" s="8"/>
      <c r="S3688" s="8"/>
      <c r="T3688" s="8"/>
      <c r="U3688" s="8"/>
      <c r="V3688" s="8"/>
      <c r="W3688" s="8"/>
      <c r="X3688" s="771"/>
      <c r="Y3688" s="771"/>
      <c r="Z3688" s="771"/>
      <c r="AA3688" s="771"/>
      <c r="AB3688" s="771"/>
      <c r="AC3688" s="771"/>
      <c r="AD3688" s="771"/>
      <c r="AE3688" s="771"/>
      <c r="AF3688" s="771"/>
      <c r="AG3688" s="771"/>
      <c r="AH3688" s="771"/>
      <c r="AI3688" s="771"/>
      <c r="AJ3688" s="771"/>
      <c r="AK3688" s="771"/>
      <c r="AL3688" s="771"/>
      <c r="AM3688" s="771"/>
      <c r="AN3688" s="771"/>
      <c r="AO3688" s="771"/>
      <c r="AP3688" s="771"/>
      <c r="AQ3688" s="771"/>
      <c r="AR3688" s="771"/>
      <c r="AS3688" s="771"/>
      <c r="AT3688" s="771"/>
      <c r="AU3688" s="771"/>
    </row>
    <row r="3689" spans="1:47" s="15" customFormat="1" outlineLevel="1" x14ac:dyDescent="0.2">
      <c r="A3689" s="8"/>
      <c r="B3689" s="8"/>
      <c r="C3689" s="1989">
        <v>4100161</v>
      </c>
      <c r="D3689" s="1989" t="s">
        <v>8623</v>
      </c>
      <c r="E3689" s="1989">
        <v>0</v>
      </c>
      <c r="F3689" s="1546">
        <f t="shared" si="56"/>
        <v>0</v>
      </c>
      <c r="G3689" s="1547"/>
      <c r="H3689" s="8"/>
      <c r="I3689" s="8"/>
      <c r="J3689" s="8"/>
      <c r="K3689" s="8"/>
      <c r="L3689" s="8"/>
      <c r="M3689" s="8"/>
      <c r="N3689" s="8"/>
      <c r="O3689" s="8"/>
      <c r="P3689" s="8"/>
      <c r="Q3689" s="8"/>
      <c r="R3689" s="8"/>
      <c r="S3689" s="8"/>
      <c r="T3689" s="8"/>
      <c r="U3689" s="8"/>
      <c r="V3689" s="8"/>
      <c r="W3689" s="8"/>
      <c r="X3689" s="771"/>
      <c r="Y3689" s="771"/>
      <c r="Z3689" s="771"/>
      <c r="AA3689" s="771"/>
      <c r="AB3689" s="771"/>
      <c r="AC3689" s="771"/>
      <c r="AD3689" s="771"/>
      <c r="AE3689" s="771"/>
      <c r="AF3689" s="771"/>
      <c r="AG3689" s="771"/>
      <c r="AH3689" s="771"/>
      <c r="AI3689" s="771"/>
      <c r="AJ3689" s="771"/>
      <c r="AK3689" s="771"/>
      <c r="AL3689" s="771"/>
      <c r="AM3689" s="771"/>
      <c r="AN3689" s="771"/>
      <c r="AO3689" s="771"/>
      <c r="AP3689" s="771"/>
      <c r="AQ3689" s="771"/>
      <c r="AR3689" s="771"/>
      <c r="AS3689" s="771"/>
      <c r="AT3689" s="771"/>
      <c r="AU3689" s="771"/>
    </row>
    <row r="3690" spans="1:47" s="15" customFormat="1" outlineLevel="1" x14ac:dyDescent="0.2">
      <c r="A3690" s="8"/>
      <c r="B3690" s="8"/>
      <c r="C3690" s="1989">
        <v>4100162</v>
      </c>
      <c r="D3690" s="1989" t="s">
        <v>8624</v>
      </c>
      <c r="E3690" s="1989">
        <v>0</v>
      </c>
      <c r="F3690" s="1546">
        <f t="shared" si="56"/>
        <v>0</v>
      </c>
      <c r="G3690" s="1547"/>
      <c r="H3690" s="8"/>
      <c r="I3690" s="8"/>
      <c r="J3690" s="8"/>
      <c r="K3690" s="8"/>
      <c r="L3690" s="8"/>
      <c r="M3690" s="8"/>
      <c r="N3690" s="8"/>
      <c r="O3690" s="8"/>
      <c r="P3690" s="8"/>
      <c r="Q3690" s="8"/>
      <c r="R3690" s="8"/>
      <c r="S3690" s="8"/>
      <c r="T3690" s="8"/>
      <c r="U3690" s="8"/>
      <c r="V3690" s="8"/>
      <c r="W3690" s="8"/>
      <c r="X3690" s="771"/>
      <c r="Y3690" s="771"/>
      <c r="Z3690" s="771"/>
      <c r="AA3690" s="771"/>
      <c r="AB3690" s="771"/>
      <c r="AC3690" s="771"/>
      <c r="AD3690" s="771"/>
      <c r="AE3690" s="771"/>
      <c r="AF3690" s="771"/>
      <c r="AG3690" s="771"/>
      <c r="AH3690" s="771"/>
      <c r="AI3690" s="771"/>
      <c r="AJ3690" s="771"/>
      <c r="AK3690" s="771"/>
      <c r="AL3690" s="771"/>
      <c r="AM3690" s="771"/>
      <c r="AN3690" s="771"/>
      <c r="AO3690" s="771"/>
      <c r="AP3690" s="771"/>
      <c r="AQ3690" s="771"/>
      <c r="AR3690" s="771"/>
      <c r="AS3690" s="771"/>
      <c r="AT3690" s="771"/>
      <c r="AU3690" s="771"/>
    </row>
    <row r="3691" spans="1:47" s="15" customFormat="1" outlineLevel="1" x14ac:dyDescent="0.2">
      <c r="A3691" s="8"/>
      <c r="B3691" s="8"/>
      <c r="C3691" s="1989">
        <v>4100163</v>
      </c>
      <c r="D3691" s="1989" t="s">
        <v>8625</v>
      </c>
      <c r="E3691" s="1989">
        <v>0</v>
      </c>
      <c r="F3691" s="1546">
        <f t="shared" si="56"/>
        <v>0</v>
      </c>
      <c r="G3691" s="1547"/>
      <c r="H3691" s="8"/>
      <c r="I3691" s="8"/>
      <c r="J3691" s="8"/>
      <c r="K3691" s="8"/>
      <c r="L3691" s="8"/>
      <c r="M3691" s="8"/>
      <c r="N3691" s="8"/>
      <c r="O3691" s="8"/>
      <c r="P3691" s="8"/>
      <c r="Q3691" s="8"/>
      <c r="R3691" s="8"/>
      <c r="S3691" s="8"/>
      <c r="T3691" s="8"/>
      <c r="U3691" s="8"/>
      <c r="V3691" s="8"/>
      <c r="W3691" s="8"/>
      <c r="X3691" s="771"/>
      <c r="Y3691" s="771"/>
      <c r="Z3691" s="771"/>
      <c r="AA3691" s="771"/>
      <c r="AB3691" s="771"/>
      <c r="AC3691" s="771"/>
      <c r="AD3691" s="771"/>
      <c r="AE3691" s="771"/>
      <c r="AF3691" s="771"/>
      <c r="AG3691" s="771"/>
      <c r="AH3691" s="771"/>
      <c r="AI3691" s="771"/>
      <c r="AJ3691" s="771"/>
      <c r="AK3691" s="771"/>
      <c r="AL3691" s="771"/>
      <c r="AM3691" s="771"/>
      <c r="AN3691" s="771"/>
      <c r="AO3691" s="771"/>
      <c r="AP3691" s="771"/>
      <c r="AQ3691" s="771"/>
      <c r="AR3691" s="771"/>
      <c r="AS3691" s="771"/>
      <c r="AT3691" s="771"/>
      <c r="AU3691" s="771"/>
    </row>
    <row r="3692" spans="1:47" s="15" customFormat="1" outlineLevel="1" x14ac:dyDescent="0.2">
      <c r="A3692" s="8"/>
      <c r="B3692" s="8"/>
      <c r="C3692" s="1989">
        <v>4100164</v>
      </c>
      <c r="D3692" s="1989" t="s">
        <v>8626</v>
      </c>
      <c r="E3692" s="1989">
        <v>0</v>
      </c>
      <c r="F3692" s="1546">
        <f t="shared" si="56"/>
        <v>0</v>
      </c>
      <c r="G3692" s="1547"/>
      <c r="H3692" s="8"/>
      <c r="I3692" s="8"/>
      <c r="J3692" s="8"/>
      <c r="K3692" s="8"/>
      <c r="L3692" s="8"/>
      <c r="M3692" s="8"/>
      <c r="N3692" s="8"/>
      <c r="O3692" s="8"/>
      <c r="P3692" s="8"/>
      <c r="Q3692" s="8"/>
      <c r="R3692" s="8"/>
      <c r="S3692" s="8"/>
      <c r="T3692" s="8"/>
      <c r="U3692" s="8"/>
      <c r="V3692" s="8"/>
      <c r="W3692" s="8"/>
      <c r="X3692" s="771"/>
      <c r="Y3692" s="771"/>
      <c r="Z3692" s="771"/>
      <c r="AA3692" s="771"/>
      <c r="AB3692" s="771"/>
      <c r="AC3692" s="771"/>
      <c r="AD3692" s="771"/>
      <c r="AE3692" s="771"/>
      <c r="AF3692" s="771"/>
      <c r="AG3692" s="771"/>
      <c r="AH3692" s="771"/>
      <c r="AI3692" s="771"/>
      <c r="AJ3692" s="771"/>
      <c r="AK3692" s="771"/>
      <c r="AL3692" s="771"/>
      <c r="AM3692" s="771"/>
      <c r="AN3692" s="771"/>
      <c r="AO3692" s="771"/>
      <c r="AP3692" s="771"/>
      <c r="AQ3692" s="771"/>
      <c r="AR3692" s="771"/>
      <c r="AS3692" s="771"/>
      <c r="AT3692" s="771"/>
      <c r="AU3692" s="771"/>
    </row>
    <row r="3693" spans="1:47" s="15" customFormat="1" outlineLevel="1" x14ac:dyDescent="0.2">
      <c r="A3693" s="8"/>
      <c r="B3693" s="8"/>
      <c r="C3693" s="1989">
        <v>4100165</v>
      </c>
      <c r="D3693" s="1989" t="s">
        <v>8627</v>
      </c>
      <c r="E3693" s="1989">
        <v>0</v>
      </c>
      <c r="F3693" s="1546">
        <f t="shared" si="56"/>
        <v>0</v>
      </c>
      <c r="G3693" s="1547"/>
      <c r="H3693" s="8"/>
      <c r="I3693" s="8"/>
      <c r="J3693" s="8"/>
      <c r="K3693" s="8"/>
      <c r="L3693" s="8"/>
      <c r="M3693" s="8"/>
      <c r="N3693" s="8"/>
      <c r="O3693" s="8"/>
      <c r="P3693" s="8"/>
      <c r="Q3693" s="8"/>
      <c r="R3693" s="8"/>
      <c r="S3693" s="8"/>
      <c r="T3693" s="8"/>
      <c r="U3693" s="8"/>
      <c r="V3693" s="8"/>
      <c r="W3693" s="8"/>
      <c r="X3693" s="771"/>
      <c r="Y3693" s="771"/>
      <c r="Z3693" s="771"/>
      <c r="AA3693" s="771"/>
      <c r="AB3693" s="771"/>
      <c r="AC3693" s="771"/>
      <c r="AD3693" s="771"/>
      <c r="AE3693" s="771"/>
      <c r="AF3693" s="771"/>
      <c r="AG3693" s="771"/>
      <c r="AH3693" s="771"/>
      <c r="AI3693" s="771"/>
      <c r="AJ3693" s="771"/>
      <c r="AK3693" s="771"/>
      <c r="AL3693" s="771"/>
      <c r="AM3693" s="771"/>
      <c r="AN3693" s="771"/>
      <c r="AO3693" s="771"/>
      <c r="AP3693" s="771"/>
      <c r="AQ3693" s="771"/>
      <c r="AR3693" s="771"/>
      <c r="AS3693" s="771"/>
      <c r="AT3693" s="771"/>
      <c r="AU3693" s="771"/>
    </row>
    <row r="3694" spans="1:47" s="15" customFormat="1" outlineLevel="1" x14ac:dyDescent="0.2">
      <c r="A3694" s="8"/>
      <c r="B3694" s="8"/>
      <c r="C3694" s="1989">
        <v>4100170</v>
      </c>
      <c r="D3694" s="1989" t="s">
        <v>8628</v>
      </c>
      <c r="E3694" s="1989">
        <v>0</v>
      </c>
      <c r="F3694" s="1546">
        <f t="shared" si="56"/>
        <v>0</v>
      </c>
      <c r="G3694" s="1547"/>
      <c r="H3694" s="8"/>
      <c r="I3694" s="8"/>
      <c r="J3694" s="8"/>
      <c r="K3694" s="8"/>
      <c r="L3694" s="8"/>
      <c r="M3694" s="8"/>
      <c r="N3694" s="8"/>
      <c r="O3694" s="8"/>
      <c r="P3694" s="8"/>
      <c r="Q3694" s="8"/>
      <c r="R3694" s="8"/>
      <c r="S3694" s="8"/>
      <c r="T3694" s="8"/>
      <c r="U3694" s="8"/>
      <c r="V3694" s="8"/>
      <c r="W3694" s="8"/>
      <c r="X3694" s="771"/>
      <c r="Y3694" s="771"/>
      <c r="Z3694" s="771"/>
      <c r="AA3694" s="771"/>
      <c r="AB3694" s="771"/>
      <c r="AC3694" s="771"/>
      <c r="AD3694" s="771"/>
      <c r="AE3694" s="771"/>
      <c r="AF3694" s="771"/>
      <c r="AG3694" s="771"/>
      <c r="AH3694" s="771"/>
      <c r="AI3694" s="771"/>
      <c r="AJ3694" s="771"/>
      <c r="AK3694" s="771"/>
      <c r="AL3694" s="771"/>
      <c r="AM3694" s="771"/>
      <c r="AN3694" s="771"/>
      <c r="AO3694" s="771"/>
      <c r="AP3694" s="771"/>
      <c r="AQ3694" s="771"/>
      <c r="AR3694" s="771"/>
      <c r="AS3694" s="771"/>
      <c r="AT3694" s="771"/>
      <c r="AU3694" s="771"/>
    </row>
    <row r="3695" spans="1:47" s="15" customFormat="1" outlineLevel="1" x14ac:dyDescent="0.2">
      <c r="A3695" s="8"/>
      <c r="B3695" s="8"/>
      <c r="C3695" s="1989">
        <v>4100171</v>
      </c>
      <c r="D3695" s="1989" t="s">
        <v>8629</v>
      </c>
      <c r="E3695" s="1989">
        <v>0</v>
      </c>
      <c r="F3695" s="1546">
        <f t="shared" si="56"/>
        <v>0</v>
      </c>
      <c r="G3695" s="1547"/>
      <c r="H3695" s="8"/>
      <c r="I3695" s="8"/>
      <c r="J3695" s="8"/>
      <c r="K3695" s="8"/>
      <c r="L3695" s="8"/>
      <c r="M3695" s="8"/>
      <c r="N3695" s="8"/>
      <c r="O3695" s="8"/>
      <c r="P3695" s="8"/>
      <c r="Q3695" s="8"/>
      <c r="R3695" s="8"/>
      <c r="S3695" s="8"/>
      <c r="T3695" s="8"/>
      <c r="U3695" s="8"/>
      <c r="V3695" s="8"/>
      <c r="W3695" s="8"/>
      <c r="X3695" s="771"/>
      <c r="Y3695" s="771"/>
      <c r="Z3695" s="771"/>
      <c r="AA3695" s="771"/>
      <c r="AB3695" s="771"/>
      <c r="AC3695" s="771"/>
      <c r="AD3695" s="771"/>
      <c r="AE3695" s="771"/>
      <c r="AF3695" s="771"/>
      <c r="AG3695" s="771"/>
      <c r="AH3695" s="771"/>
      <c r="AI3695" s="771"/>
      <c r="AJ3695" s="771"/>
      <c r="AK3695" s="771"/>
      <c r="AL3695" s="771"/>
      <c r="AM3695" s="771"/>
      <c r="AN3695" s="771"/>
      <c r="AO3695" s="771"/>
      <c r="AP3695" s="771"/>
      <c r="AQ3695" s="771"/>
      <c r="AR3695" s="771"/>
      <c r="AS3695" s="771"/>
      <c r="AT3695" s="771"/>
      <c r="AU3695" s="771"/>
    </row>
    <row r="3696" spans="1:47" s="15" customFormat="1" outlineLevel="1" x14ac:dyDescent="0.2">
      <c r="A3696" s="8"/>
      <c r="B3696" s="8"/>
      <c r="C3696" s="1989">
        <v>41000341</v>
      </c>
      <c r="D3696" s="1989" t="s">
        <v>8630</v>
      </c>
      <c r="E3696" s="1989">
        <v>0</v>
      </c>
      <c r="F3696" s="1546">
        <f t="shared" si="56"/>
        <v>0</v>
      </c>
      <c r="G3696" s="1547"/>
      <c r="H3696" s="8"/>
      <c r="I3696" s="8"/>
      <c r="J3696" s="8"/>
      <c r="K3696" s="8"/>
      <c r="L3696" s="8"/>
      <c r="M3696" s="8"/>
      <c r="N3696" s="8"/>
      <c r="O3696" s="8"/>
      <c r="P3696" s="8"/>
      <c r="Q3696" s="8"/>
      <c r="R3696" s="8"/>
      <c r="S3696" s="8"/>
      <c r="T3696" s="8"/>
      <c r="U3696" s="8"/>
      <c r="V3696" s="8"/>
      <c r="W3696" s="8"/>
      <c r="X3696" s="771"/>
      <c r="Y3696" s="771"/>
      <c r="Z3696" s="771"/>
      <c r="AA3696" s="771"/>
      <c r="AB3696" s="771"/>
      <c r="AC3696" s="771"/>
      <c r="AD3696" s="771"/>
      <c r="AE3696" s="771"/>
      <c r="AF3696" s="771"/>
      <c r="AG3696" s="771"/>
      <c r="AH3696" s="771"/>
      <c r="AI3696" s="771"/>
      <c r="AJ3696" s="771"/>
      <c r="AK3696" s="771"/>
      <c r="AL3696" s="771"/>
      <c r="AM3696" s="771"/>
      <c r="AN3696" s="771"/>
      <c r="AO3696" s="771"/>
      <c r="AP3696" s="771"/>
      <c r="AQ3696" s="771"/>
      <c r="AR3696" s="771"/>
      <c r="AS3696" s="771"/>
      <c r="AT3696" s="771"/>
      <c r="AU3696" s="771"/>
    </row>
    <row r="3697" spans="1:47" s="15" customFormat="1" outlineLevel="1" x14ac:dyDescent="0.2">
      <c r="A3697" s="8"/>
      <c r="B3697" s="8"/>
      <c r="C3697" s="1989" t="s">
        <v>4317</v>
      </c>
      <c r="D3697" s="1989" t="s">
        <v>8631</v>
      </c>
      <c r="E3697" s="1989">
        <v>11.27</v>
      </c>
      <c r="F3697" s="1546">
        <f t="shared" si="56"/>
        <v>916.49037480000004</v>
      </c>
      <c r="G3697" s="1547"/>
      <c r="H3697" s="8"/>
      <c r="I3697" s="8"/>
      <c r="J3697" s="8"/>
      <c r="K3697" s="8"/>
      <c r="L3697" s="8"/>
      <c r="M3697" s="8"/>
      <c r="N3697" s="8"/>
      <c r="O3697" s="8"/>
      <c r="P3697" s="8"/>
      <c r="Q3697" s="8"/>
      <c r="R3697" s="8"/>
      <c r="S3697" s="8"/>
      <c r="T3697" s="8"/>
      <c r="U3697" s="8"/>
      <c r="V3697" s="8"/>
      <c r="W3697" s="8"/>
      <c r="X3697" s="771"/>
      <c r="Y3697" s="771"/>
      <c r="Z3697" s="771"/>
      <c r="AA3697" s="771"/>
      <c r="AB3697" s="771"/>
      <c r="AC3697" s="771"/>
      <c r="AD3697" s="771"/>
      <c r="AE3697" s="771"/>
      <c r="AF3697" s="771"/>
      <c r="AG3697" s="771"/>
      <c r="AH3697" s="771"/>
      <c r="AI3697" s="771"/>
      <c r="AJ3697" s="771"/>
      <c r="AK3697" s="771"/>
      <c r="AL3697" s="771"/>
      <c r="AM3697" s="771"/>
      <c r="AN3697" s="771"/>
      <c r="AO3697" s="771"/>
      <c r="AP3697" s="771"/>
      <c r="AQ3697" s="771"/>
      <c r="AR3697" s="771"/>
      <c r="AS3697" s="771"/>
      <c r="AT3697" s="771"/>
      <c r="AU3697" s="771"/>
    </row>
    <row r="3698" spans="1:47" s="15" customFormat="1" outlineLevel="1" x14ac:dyDescent="0.2">
      <c r="A3698" s="8"/>
      <c r="B3698" s="8"/>
      <c r="C3698" s="1989" t="s">
        <v>4318</v>
      </c>
      <c r="D3698" s="1989" t="s">
        <v>8632</v>
      </c>
      <c r="E3698" s="1989">
        <v>0</v>
      </c>
      <c r="F3698" s="1546">
        <f t="shared" si="56"/>
        <v>0</v>
      </c>
      <c r="G3698" s="1547"/>
      <c r="H3698" s="8"/>
      <c r="I3698" s="8"/>
      <c r="J3698" s="8"/>
      <c r="K3698" s="8"/>
      <c r="L3698" s="8"/>
      <c r="M3698" s="8"/>
      <c r="N3698" s="8"/>
      <c r="O3698" s="8"/>
      <c r="P3698" s="8"/>
      <c r="Q3698" s="8"/>
      <c r="R3698" s="8"/>
      <c r="S3698" s="8"/>
      <c r="T3698" s="8"/>
      <c r="U3698" s="8"/>
      <c r="V3698" s="8"/>
      <c r="W3698" s="8"/>
      <c r="X3698" s="771"/>
      <c r="Y3698" s="771"/>
      <c r="Z3698" s="771"/>
      <c r="AA3698" s="771"/>
      <c r="AB3698" s="771"/>
      <c r="AC3698" s="771"/>
      <c r="AD3698" s="771"/>
      <c r="AE3698" s="771"/>
      <c r="AF3698" s="771"/>
      <c r="AG3698" s="771"/>
      <c r="AH3698" s="771"/>
      <c r="AI3698" s="771"/>
      <c r="AJ3698" s="771"/>
      <c r="AK3698" s="771"/>
      <c r="AL3698" s="771"/>
      <c r="AM3698" s="771"/>
      <c r="AN3698" s="771"/>
      <c r="AO3698" s="771"/>
      <c r="AP3698" s="771"/>
      <c r="AQ3698" s="771"/>
      <c r="AR3698" s="771"/>
      <c r="AS3698" s="771"/>
      <c r="AT3698" s="771"/>
      <c r="AU3698" s="771"/>
    </row>
    <row r="3699" spans="1:47" s="15" customFormat="1" outlineLevel="1" x14ac:dyDescent="0.2">
      <c r="A3699" s="8"/>
      <c r="B3699" s="8"/>
      <c r="C3699" s="1989" t="s">
        <v>4319</v>
      </c>
      <c r="D3699" s="1989" t="s">
        <v>8633</v>
      </c>
      <c r="E3699" s="1989">
        <v>0</v>
      </c>
      <c r="F3699" s="1546">
        <f t="shared" si="56"/>
        <v>0</v>
      </c>
      <c r="G3699" s="1547"/>
      <c r="H3699" s="8"/>
      <c r="I3699" s="8"/>
      <c r="J3699" s="8"/>
      <c r="K3699" s="8"/>
      <c r="L3699" s="8"/>
      <c r="M3699" s="8"/>
      <c r="N3699" s="8"/>
      <c r="O3699" s="8"/>
      <c r="P3699" s="8"/>
      <c r="Q3699" s="8"/>
      <c r="R3699" s="8"/>
      <c r="S3699" s="8"/>
      <c r="T3699" s="8"/>
      <c r="U3699" s="8"/>
      <c r="V3699" s="8"/>
      <c r="W3699" s="8"/>
      <c r="X3699" s="771"/>
      <c r="Y3699" s="771"/>
      <c r="Z3699" s="771"/>
      <c r="AA3699" s="771"/>
      <c r="AB3699" s="771"/>
      <c r="AC3699" s="771"/>
      <c r="AD3699" s="771"/>
      <c r="AE3699" s="771"/>
      <c r="AF3699" s="771"/>
      <c r="AG3699" s="771"/>
      <c r="AH3699" s="771"/>
      <c r="AI3699" s="771"/>
      <c r="AJ3699" s="771"/>
      <c r="AK3699" s="771"/>
      <c r="AL3699" s="771"/>
      <c r="AM3699" s="771"/>
      <c r="AN3699" s="771"/>
      <c r="AO3699" s="771"/>
      <c r="AP3699" s="771"/>
      <c r="AQ3699" s="771"/>
      <c r="AR3699" s="771"/>
      <c r="AS3699" s="771"/>
      <c r="AT3699" s="771"/>
      <c r="AU3699" s="771"/>
    </row>
    <row r="3700" spans="1:47" s="15" customFormat="1" outlineLevel="1" x14ac:dyDescent="0.2">
      <c r="A3700" s="8"/>
      <c r="B3700" s="8"/>
      <c r="C3700" s="1989" t="s">
        <v>1127</v>
      </c>
      <c r="D3700" s="1989" t="s">
        <v>8634</v>
      </c>
      <c r="E3700" s="1989">
        <v>0.15</v>
      </c>
      <c r="F3700" s="1546">
        <f t="shared" si="56"/>
        <v>12.198186</v>
      </c>
      <c r="G3700" s="1547"/>
      <c r="H3700" s="8"/>
      <c r="I3700" s="8"/>
      <c r="J3700" s="8"/>
      <c r="K3700" s="8"/>
      <c r="L3700" s="8"/>
      <c r="M3700" s="8"/>
      <c r="N3700" s="8"/>
      <c r="O3700" s="8"/>
      <c r="P3700" s="8"/>
      <c r="Q3700" s="8"/>
      <c r="R3700" s="8"/>
      <c r="S3700" s="8"/>
      <c r="T3700" s="8"/>
      <c r="U3700" s="8"/>
      <c r="V3700" s="8"/>
      <c r="W3700" s="8"/>
      <c r="X3700" s="771"/>
      <c r="Y3700" s="771"/>
      <c r="Z3700" s="771"/>
      <c r="AA3700" s="771"/>
      <c r="AB3700" s="771"/>
      <c r="AC3700" s="771"/>
      <c r="AD3700" s="771"/>
      <c r="AE3700" s="771"/>
      <c r="AF3700" s="771"/>
      <c r="AG3700" s="771"/>
      <c r="AH3700" s="771"/>
      <c r="AI3700" s="771"/>
      <c r="AJ3700" s="771"/>
      <c r="AK3700" s="771"/>
      <c r="AL3700" s="771"/>
      <c r="AM3700" s="771"/>
      <c r="AN3700" s="771"/>
      <c r="AO3700" s="771"/>
      <c r="AP3700" s="771"/>
      <c r="AQ3700" s="771"/>
      <c r="AR3700" s="771"/>
      <c r="AS3700" s="771"/>
      <c r="AT3700" s="771"/>
      <c r="AU3700" s="771"/>
    </row>
    <row r="3701" spans="1:47" s="15" customFormat="1" outlineLevel="1" x14ac:dyDescent="0.2">
      <c r="A3701" s="8"/>
      <c r="B3701" s="8"/>
      <c r="C3701" s="1989" t="s">
        <v>1128</v>
      </c>
      <c r="D3701" s="1989" t="s">
        <v>8635</v>
      </c>
      <c r="E3701" s="1989">
        <v>0.15</v>
      </c>
      <c r="F3701" s="1546">
        <f t="shared" si="56"/>
        <v>12.198186</v>
      </c>
      <c r="G3701" s="1547"/>
      <c r="H3701" s="8"/>
      <c r="I3701" s="8"/>
      <c r="J3701" s="8"/>
      <c r="K3701" s="8"/>
      <c r="L3701" s="8"/>
      <c r="M3701" s="8"/>
      <c r="N3701" s="8"/>
      <c r="O3701" s="8"/>
      <c r="P3701" s="8"/>
      <c r="Q3701" s="8"/>
      <c r="R3701" s="8"/>
      <c r="S3701" s="8"/>
      <c r="T3701" s="8"/>
      <c r="U3701" s="8"/>
      <c r="V3701" s="8"/>
      <c r="W3701" s="8"/>
      <c r="X3701" s="771"/>
      <c r="Y3701" s="771"/>
      <c r="Z3701" s="771"/>
      <c r="AA3701" s="771"/>
      <c r="AB3701" s="771"/>
      <c r="AC3701" s="771"/>
      <c r="AD3701" s="771"/>
      <c r="AE3701" s="771"/>
      <c r="AF3701" s="771"/>
      <c r="AG3701" s="771"/>
      <c r="AH3701" s="771"/>
      <c r="AI3701" s="771"/>
      <c r="AJ3701" s="771"/>
      <c r="AK3701" s="771"/>
      <c r="AL3701" s="771"/>
      <c r="AM3701" s="771"/>
      <c r="AN3701" s="771"/>
      <c r="AO3701" s="771"/>
      <c r="AP3701" s="771"/>
      <c r="AQ3701" s="771"/>
      <c r="AR3701" s="771"/>
      <c r="AS3701" s="771"/>
      <c r="AT3701" s="771"/>
      <c r="AU3701" s="771"/>
    </row>
    <row r="3702" spans="1:47" s="15" customFormat="1" outlineLevel="1" x14ac:dyDescent="0.2">
      <c r="A3702" s="8"/>
      <c r="B3702" s="8"/>
      <c r="C3702" s="1989" t="s">
        <v>3137</v>
      </c>
      <c r="D3702" s="1989" t="s">
        <v>3138</v>
      </c>
      <c r="E3702" s="1989">
        <v>6.28</v>
      </c>
      <c r="F3702" s="1546">
        <f t="shared" si="56"/>
        <v>510.69738720000004</v>
      </c>
      <c r="G3702" s="1547"/>
      <c r="H3702" s="8"/>
      <c r="I3702" s="8"/>
      <c r="J3702" s="8"/>
      <c r="K3702" s="8"/>
      <c r="L3702" s="8"/>
      <c r="M3702" s="8"/>
      <c r="N3702" s="8"/>
      <c r="O3702" s="8"/>
      <c r="P3702" s="8"/>
      <c r="Q3702" s="8"/>
      <c r="R3702" s="8"/>
      <c r="S3702" s="8"/>
      <c r="T3702" s="8"/>
      <c r="U3702" s="8"/>
      <c r="V3702" s="8"/>
      <c r="W3702" s="8"/>
      <c r="X3702" s="771"/>
      <c r="Y3702" s="771"/>
      <c r="Z3702" s="771"/>
      <c r="AA3702" s="771"/>
      <c r="AB3702" s="771"/>
      <c r="AC3702" s="771"/>
      <c r="AD3702" s="771"/>
      <c r="AE3702" s="771"/>
      <c r="AF3702" s="771"/>
      <c r="AG3702" s="771"/>
      <c r="AH3702" s="771"/>
      <c r="AI3702" s="771"/>
      <c r="AJ3702" s="771"/>
      <c r="AK3702" s="771"/>
      <c r="AL3702" s="771"/>
      <c r="AM3702" s="771"/>
      <c r="AN3702" s="771"/>
      <c r="AO3702" s="771"/>
      <c r="AP3702" s="771"/>
      <c r="AQ3702" s="771"/>
      <c r="AR3702" s="771"/>
      <c r="AS3702" s="771"/>
      <c r="AT3702" s="771"/>
      <c r="AU3702" s="771"/>
    </row>
    <row r="3703" spans="1:47" s="15" customFormat="1" outlineLevel="1" x14ac:dyDescent="0.2">
      <c r="A3703" s="8"/>
      <c r="B3703" s="8"/>
      <c r="C3703" s="1989" t="s">
        <v>2001</v>
      </c>
      <c r="D3703" s="1989" t="s">
        <v>6606</v>
      </c>
      <c r="E3703" s="1989">
        <v>11.27</v>
      </c>
      <c r="F3703" s="1546">
        <f t="shared" si="56"/>
        <v>916.49037480000004</v>
      </c>
      <c r="G3703" s="1547"/>
      <c r="H3703" s="8"/>
      <c r="I3703" s="8"/>
      <c r="J3703" s="8"/>
      <c r="K3703" s="8"/>
      <c r="L3703" s="8"/>
      <c r="M3703" s="8"/>
      <c r="N3703" s="8"/>
      <c r="O3703" s="8"/>
      <c r="P3703" s="8"/>
      <c r="Q3703" s="8"/>
      <c r="R3703" s="8"/>
      <c r="S3703" s="8"/>
      <c r="T3703" s="8"/>
      <c r="U3703" s="8"/>
      <c r="V3703" s="8"/>
      <c r="W3703" s="8"/>
      <c r="X3703" s="771"/>
      <c r="Y3703" s="771"/>
      <c r="Z3703" s="771"/>
      <c r="AA3703" s="771"/>
      <c r="AB3703" s="771"/>
      <c r="AC3703" s="771"/>
      <c r="AD3703" s="771"/>
      <c r="AE3703" s="771"/>
      <c r="AF3703" s="771"/>
      <c r="AG3703" s="771"/>
      <c r="AH3703" s="771"/>
      <c r="AI3703" s="771"/>
      <c r="AJ3703" s="771"/>
      <c r="AK3703" s="771"/>
      <c r="AL3703" s="771"/>
      <c r="AM3703" s="771"/>
      <c r="AN3703" s="771"/>
      <c r="AO3703" s="771"/>
      <c r="AP3703" s="771"/>
      <c r="AQ3703" s="771"/>
      <c r="AR3703" s="771"/>
      <c r="AS3703" s="771"/>
      <c r="AT3703" s="771"/>
      <c r="AU3703" s="771"/>
    </row>
    <row r="3704" spans="1:47" s="15" customFormat="1" outlineLevel="1" x14ac:dyDescent="0.2">
      <c r="A3704" s="8"/>
      <c r="B3704" s="8"/>
      <c r="C3704" s="1989" t="s">
        <v>3419</v>
      </c>
      <c r="D3704" s="1989" t="s">
        <v>8636</v>
      </c>
      <c r="E3704" s="1989">
        <v>0</v>
      </c>
      <c r="F3704" s="1546">
        <f t="shared" si="56"/>
        <v>0</v>
      </c>
      <c r="G3704" s="1547"/>
      <c r="H3704" s="8"/>
      <c r="I3704" s="8"/>
      <c r="J3704" s="8"/>
      <c r="K3704" s="8"/>
      <c r="L3704" s="8"/>
      <c r="M3704" s="8"/>
      <c r="N3704" s="8"/>
      <c r="O3704" s="8"/>
      <c r="P3704" s="8"/>
      <c r="Q3704" s="8"/>
      <c r="R3704" s="8"/>
      <c r="S3704" s="8"/>
      <c r="T3704" s="8"/>
      <c r="U3704" s="8"/>
      <c r="V3704" s="8"/>
      <c r="W3704" s="8"/>
      <c r="X3704" s="771"/>
      <c r="Y3704" s="771"/>
      <c r="Z3704" s="771"/>
      <c r="AA3704" s="771"/>
      <c r="AB3704" s="771"/>
      <c r="AC3704" s="771"/>
      <c r="AD3704" s="771"/>
      <c r="AE3704" s="771"/>
      <c r="AF3704" s="771"/>
      <c r="AG3704" s="771"/>
      <c r="AH3704" s="771"/>
      <c r="AI3704" s="771"/>
      <c r="AJ3704" s="771"/>
      <c r="AK3704" s="771"/>
      <c r="AL3704" s="771"/>
      <c r="AM3704" s="771"/>
      <c r="AN3704" s="771"/>
      <c r="AO3704" s="771"/>
      <c r="AP3704" s="771"/>
      <c r="AQ3704" s="771"/>
      <c r="AR3704" s="771"/>
      <c r="AS3704" s="771"/>
      <c r="AT3704" s="771"/>
      <c r="AU3704" s="771"/>
    </row>
    <row r="3705" spans="1:47" s="15" customFormat="1" outlineLevel="1" x14ac:dyDescent="0.2">
      <c r="A3705" s="8"/>
      <c r="B3705" s="8"/>
      <c r="C3705" s="1989" t="s">
        <v>4320</v>
      </c>
      <c r="D3705" s="1989" t="s">
        <v>8637</v>
      </c>
      <c r="E3705" s="1989">
        <v>0.71</v>
      </c>
      <c r="F3705" s="1546">
        <f t="shared" si="56"/>
        <v>57.738080400000001</v>
      </c>
      <c r="G3705" s="1547"/>
      <c r="H3705" s="8"/>
      <c r="I3705" s="8"/>
      <c r="J3705" s="8"/>
      <c r="K3705" s="8"/>
      <c r="L3705" s="8"/>
      <c r="M3705" s="8"/>
      <c r="N3705" s="8"/>
      <c r="O3705" s="8"/>
      <c r="P3705" s="8"/>
      <c r="Q3705" s="8"/>
      <c r="R3705" s="8"/>
      <c r="S3705" s="8"/>
      <c r="T3705" s="8"/>
      <c r="U3705" s="8"/>
      <c r="V3705" s="8"/>
      <c r="W3705" s="8"/>
      <c r="X3705" s="771"/>
      <c r="Y3705" s="771"/>
      <c r="Z3705" s="771"/>
      <c r="AA3705" s="771"/>
      <c r="AB3705" s="771"/>
      <c r="AC3705" s="771"/>
      <c r="AD3705" s="771"/>
      <c r="AE3705" s="771"/>
      <c r="AF3705" s="771"/>
      <c r="AG3705" s="771"/>
      <c r="AH3705" s="771"/>
      <c r="AI3705" s="771"/>
      <c r="AJ3705" s="771"/>
      <c r="AK3705" s="771"/>
      <c r="AL3705" s="771"/>
      <c r="AM3705" s="771"/>
      <c r="AN3705" s="771"/>
      <c r="AO3705" s="771"/>
      <c r="AP3705" s="771"/>
      <c r="AQ3705" s="771"/>
      <c r="AR3705" s="771"/>
      <c r="AS3705" s="771"/>
      <c r="AT3705" s="771"/>
      <c r="AU3705" s="771"/>
    </row>
    <row r="3706" spans="1:47" s="15" customFormat="1" outlineLevel="1" x14ac:dyDescent="0.2">
      <c r="A3706" s="8"/>
      <c r="B3706" s="8"/>
      <c r="C3706" s="1989" t="s">
        <v>4321</v>
      </c>
      <c r="D3706" s="1989" t="s">
        <v>8638</v>
      </c>
      <c r="E3706" s="1989">
        <v>0</v>
      </c>
      <c r="F3706" s="1546">
        <f t="shared" si="56"/>
        <v>0</v>
      </c>
      <c r="G3706" s="1547"/>
      <c r="H3706" s="8"/>
      <c r="I3706" s="8"/>
      <c r="J3706" s="8"/>
      <c r="K3706" s="8"/>
      <c r="L3706" s="8"/>
      <c r="M3706" s="8"/>
      <c r="N3706" s="8"/>
      <c r="O3706" s="8"/>
      <c r="P3706" s="8"/>
      <c r="Q3706" s="8"/>
      <c r="R3706" s="8"/>
      <c r="S3706" s="8"/>
      <c r="T3706" s="8"/>
      <c r="U3706" s="8"/>
      <c r="V3706" s="8"/>
      <c r="W3706" s="8"/>
      <c r="X3706" s="771"/>
      <c r="Y3706" s="771"/>
      <c r="Z3706" s="771"/>
      <c r="AA3706" s="771"/>
      <c r="AB3706" s="771"/>
      <c r="AC3706" s="771"/>
      <c r="AD3706" s="771"/>
      <c r="AE3706" s="771"/>
      <c r="AF3706" s="771"/>
      <c r="AG3706" s="771"/>
      <c r="AH3706" s="771"/>
      <c r="AI3706" s="771"/>
      <c r="AJ3706" s="771"/>
      <c r="AK3706" s="771"/>
      <c r="AL3706" s="771"/>
      <c r="AM3706" s="771"/>
      <c r="AN3706" s="771"/>
      <c r="AO3706" s="771"/>
      <c r="AP3706" s="771"/>
      <c r="AQ3706" s="771"/>
      <c r="AR3706" s="771"/>
      <c r="AS3706" s="771"/>
      <c r="AT3706" s="771"/>
      <c r="AU3706" s="771"/>
    </row>
    <row r="3707" spans="1:47" s="15" customFormat="1" outlineLevel="1" x14ac:dyDescent="0.2">
      <c r="A3707" s="8"/>
      <c r="B3707" s="8"/>
      <c r="C3707" s="1989" t="s">
        <v>4322</v>
      </c>
      <c r="D3707" s="1989" t="s">
        <v>8639</v>
      </c>
      <c r="E3707" s="1989">
        <v>0</v>
      </c>
      <c r="F3707" s="1546">
        <f t="shared" si="56"/>
        <v>0</v>
      </c>
      <c r="G3707" s="1547"/>
      <c r="H3707" s="8"/>
      <c r="I3707" s="8"/>
      <c r="J3707" s="8"/>
      <c r="K3707" s="8"/>
      <c r="L3707" s="8"/>
      <c r="M3707" s="8"/>
      <c r="N3707" s="8"/>
      <c r="O3707" s="8"/>
      <c r="P3707" s="8"/>
      <c r="Q3707" s="8"/>
      <c r="R3707" s="8"/>
      <c r="S3707" s="8"/>
      <c r="T3707" s="8"/>
      <c r="U3707" s="8"/>
      <c r="V3707" s="8"/>
      <c r="W3707" s="8"/>
      <c r="X3707" s="771"/>
      <c r="Y3707" s="771"/>
      <c r="Z3707" s="771"/>
      <c r="AA3707" s="771"/>
      <c r="AB3707" s="771"/>
      <c r="AC3707" s="771"/>
      <c r="AD3707" s="771"/>
      <c r="AE3707" s="771"/>
      <c r="AF3707" s="771"/>
      <c r="AG3707" s="771"/>
      <c r="AH3707" s="771"/>
      <c r="AI3707" s="771"/>
      <c r="AJ3707" s="771"/>
      <c r="AK3707" s="771"/>
      <c r="AL3707" s="771"/>
      <c r="AM3707" s="771"/>
      <c r="AN3707" s="771"/>
      <c r="AO3707" s="771"/>
      <c r="AP3707" s="771"/>
      <c r="AQ3707" s="771"/>
      <c r="AR3707" s="771"/>
      <c r="AS3707" s="771"/>
      <c r="AT3707" s="771"/>
      <c r="AU3707" s="771"/>
    </row>
    <row r="3708" spans="1:47" s="15" customFormat="1" outlineLevel="1" x14ac:dyDescent="0.2">
      <c r="A3708" s="8"/>
      <c r="B3708" s="8"/>
      <c r="C3708" s="1989" t="s">
        <v>3338</v>
      </c>
      <c r="D3708" s="1989" t="s">
        <v>8640</v>
      </c>
      <c r="E3708" s="1989">
        <v>0</v>
      </c>
      <c r="F3708" s="1546">
        <f t="shared" si="56"/>
        <v>0</v>
      </c>
      <c r="G3708" s="1547"/>
      <c r="H3708" s="8"/>
      <c r="I3708" s="8"/>
      <c r="J3708" s="8"/>
      <c r="K3708" s="8"/>
      <c r="L3708" s="8"/>
      <c r="M3708" s="8"/>
      <c r="N3708" s="8"/>
      <c r="O3708" s="8"/>
      <c r="P3708" s="8"/>
      <c r="Q3708" s="8"/>
      <c r="R3708" s="8"/>
      <c r="S3708" s="8"/>
      <c r="T3708" s="8"/>
      <c r="U3708" s="8"/>
      <c r="V3708" s="8"/>
      <c r="W3708" s="8"/>
      <c r="X3708" s="771"/>
      <c r="Y3708" s="771"/>
      <c r="Z3708" s="771"/>
      <c r="AA3708" s="771"/>
      <c r="AB3708" s="771"/>
      <c r="AC3708" s="771"/>
      <c r="AD3708" s="771"/>
      <c r="AE3708" s="771"/>
      <c r="AF3708" s="771"/>
      <c r="AG3708" s="771"/>
      <c r="AH3708" s="771"/>
      <c r="AI3708" s="771"/>
      <c r="AJ3708" s="771"/>
      <c r="AK3708" s="771"/>
      <c r="AL3708" s="771"/>
      <c r="AM3708" s="771"/>
      <c r="AN3708" s="771"/>
      <c r="AO3708" s="771"/>
      <c r="AP3708" s="771"/>
      <c r="AQ3708" s="771"/>
      <c r="AR3708" s="771"/>
      <c r="AS3708" s="771"/>
      <c r="AT3708" s="771"/>
      <c r="AU3708" s="771"/>
    </row>
    <row r="3709" spans="1:47" s="15" customFormat="1" outlineLevel="1" x14ac:dyDescent="0.2">
      <c r="A3709" s="8"/>
      <c r="B3709" s="8"/>
      <c r="C3709" s="1989" t="s">
        <v>2675</v>
      </c>
      <c r="D3709" s="1989" t="s">
        <v>8641</v>
      </c>
      <c r="E3709" s="1989">
        <v>0</v>
      </c>
      <c r="F3709" s="1546">
        <f t="shared" si="56"/>
        <v>0</v>
      </c>
      <c r="G3709" s="1547"/>
      <c r="H3709" s="8"/>
      <c r="I3709" s="8"/>
      <c r="J3709" s="8"/>
      <c r="K3709" s="8"/>
      <c r="L3709" s="8"/>
      <c r="M3709" s="8"/>
      <c r="N3709" s="8"/>
      <c r="O3709" s="8"/>
      <c r="P3709" s="8"/>
      <c r="Q3709" s="8"/>
      <c r="R3709" s="8"/>
      <c r="S3709" s="8"/>
      <c r="T3709" s="8"/>
      <c r="U3709" s="8"/>
      <c r="V3709" s="8"/>
      <c r="W3709" s="8"/>
      <c r="X3709" s="771"/>
      <c r="Y3709" s="771"/>
      <c r="Z3709" s="771"/>
      <c r="AA3709" s="771"/>
      <c r="AB3709" s="771"/>
      <c r="AC3709" s="771"/>
      <c r="AD3709" s="771"/>
      <c r="AE3709" s="771"/>
      <c r="AF3709" s="771"/>
      <c r="AG3709" s="771"/>
      <c r="AH3709" s="771"/>
      <c r="AI3709" s="771"/>
      <c r="AJ3709" s="771"/>
      <c r="AK3709" s="771"/>
      <c r="AL3709" s="771"/>
      <c r="AM3709" s="771"/>
      <c r="AN3709" s="771"/>
      <c r="AO3709" s="771"/>
      <c r="AP3709" s="771"/>
      <c r="AQ3709" s="771"/>
      <c r="AR3709" s="771"/>
      <c r="AS3709" s="771"/>
      <c r="AT3709" s="771"/>
      <c r="AU3709" s="771"/>
    </row>
    <row r="3710" spans="1:47" s="15" customFormat="1" outlineLevel="1" x14ac:dyDescent="0.2">
      <c r="A3710" s="8"/>
      <c r="B3710" s="8"/>
      <c r="C3710" s="1989" t="s">
        <v>3339</v>
      </c>
      <c r="D3710" s="1989" t="s">
        <v>8642</v>
      </c>
      <c r="E3710" s="1989">
        <v>0</v>
      </c>
      <c r="F3710" s="1546">
        <f t="shared" si="56"/>
        <v>0</v>
      </c>
      <c r="G3710" s="1547"/>
      <c r="H3710" s="8"/>
      <c r="I3710" s="8"/>
      <c r="J3710" s="8"/>
      <c r="K3710" s="8"/>
      <c r="L3710" s="8"/>
      <c r="M3710" s="8"/>
      <c r="N3710" s="8"/>
      <c r="O3710" s="8"/>
      <c r="P3710" s="8"/>
      <c r="Q3710" s="8"/>
      <c r="R3710" s="8"/>
      <c r="S3710" s="8"/>
      <c r="T3710" s="8"/>
      <c r="U3710" s="8"/>
      <c r="V3710" s="8"/>
      <c r="W3710" s="8"/>
      <c r="X3710" s="771"/>
      <c r="Y3710" s="771"/>
      <c r="Z3710" s="771"/>
      <c r="AA3710" s="771"/>
      <c r="AB3710" s="771"/>
      <c r="AC3710" s="771"/>
      <c r="AD3710" s="771"/>
      <c r="AE3710" s="771"/>
      <c r="AF3710" s="771"/>
      <c r="AG3710" s="771"/>
      <c r="AH3710" s="771"/>
      <c r="AI3710" s="771"/>
      <c r="AJ3710" s="771"/>
      <c r="AK3710" s="771"/>
      <c r="AL3710" s="771"/>
      <c r="AM3710" s="771"/>
      <c r="AN3710" s="771"/>
      <c r="AO3710" s="771"/>
      <c r="AP3710" s="771"/>
      <c r="AQ3710" s="771"/>
      <c r="AR3710" s="771"/>
      <c r="AS3710" s="771"/>
      <c r="AT3710" s="771"/>
      <c r="AU3710" s="771"/>
    </row>
    <row r="3711" spans="1:47" s="15" customFormat="1" outlineLevel="1" x14ac:dyDescent="0.2">
      <c r="A3711" s="8"/>
      <c r="B3711" s="8"/>
      <c r="C3711" s="1989" t="s">
        <v>2684</v>
      </c>
      <c r="D3711" s="1989" t="s">
        <v>8643</v>
      </c>
      <c r="E3711" s="1989">
        <v>0</v>
      </c>
      <c r="F3711" s="1546">
        <f t="shared" si="56"/>
        <v>0</v>
      </c>
      <c r="G3711" s="1547"/>
      <c r="H3711" s="8"/>
      <c r="I3711" s="8"/>
      <c r="J3711" s="8"/>
      <c r="K3711" s="8"/>
      <c r="L3711" s="8"/>
      <c r="M3711" s="8"/>
      <c r="N3711" s="8"/>
      <c r="O3711" s="8"/>
      <c r="P3711" s="8"/>
      <c r="Q3711" s="8"/>
      <c r="R3711" s="8"/>
      <c r="S3711" s="8"/>
      <c r="T3711" s="8"/>
      <c r="U3711" s="8"/>
      <c r="V3711" s="8"/>
      <c r="W3711" s="8"/>
      <c r="X3711" s="771"/>
      <c r="Y3711" s="771"/>
      <c r="Z3711" s="771"/>
      <c r="AA3711" s="771"/>
      <c r="AB3711" s="771"/>
      <c r="AC3711" s="771"/>
      <c r="AD3711" s="771"/>
      <c r="AE3711" s="771"/>
      <c r="AF3711" s="771"/>
      <c r="AG3711" s="771"/>
      <c r="AH3711" s="771"/>
      <c r="AI3711" s="771"/>
      <c r="AJ3711" s="771"/>
      <c r="AK3711" s="771"/>
      <c r="AL3711" s="771"/>
      <c r="AM3711" s="771"/>
      <c r="AN3711" s="771"/>
      <c r="AO3711" s="771"/>
      <c r="AP3711" s="771"/>
      <c r="AQ3711" s="771"/>
      <c r="AR3711" s="771"/>
      <c r="AS3711" s="771"/>
      <c r="AT3711" s="771"/>
      <c r="AU3711" s="771"/>
    </row>
    <row r="3712" spans="1:47" s="15" customFormat="1" outlineLevel="1" x14ac:dyDescent="0.2">
      <c r="A3712" s="8"/>
      <c r="B3712" s="8"/>
      <c r="C3712" s="1989" t="s">
        <v>4323</v>
      </c>
      <c r="D3712" s="1989" t="s">
        <v>8644</v>
      </c>
      <c r="E3712" s="1989">
        <v>0</v>
      </c>
      <c r="F3712" s="1546">
        <f t="shared" si="56"/>
        <v>0</v>
      </c>
      <c r="G3712" s="1547"/>
      <c r="H3712" s="8"/>
      <c r="I3712" s="8"/>
      <c r="J3712" s="8"/>
      <c r="K3712" s="8"/>
      <c r="L3712" s="8"/>
      <c r="M3712" s="8"/>
      <c r="N3712" s="8"/>
      <c r="O3712" s="8"/>
      <c r="P3712" s="8"/>
      <c r="Q3712" s="8"/>
      <c r="R3712" s="8"/>
      <c r="S3712" s="8"/>
      <c r="T3712" s="8"/>
      <c r="U3712" s="8"/>
      <c r="V3712" s="8"/>
      <c r="W3712" s="8"/>
      <c r="X3712" s="771"/>
      <c r="Y3712" s="771"/>
      <c r="Z3712" s="771"/>
      <c r="AA3712" s="771"/>
      <c r="AB3712" s="771"/>
      <c r="AC3712" s="771"/>
      <c r="AD3712" s="771"/>
      <c r="AE3712" s="771"/>
      <c r="AF3712" s="771"/>
      <c r="AG3712" s="771"/>
      <c r="AH3712" s="771"/>
      <c r="AI3712" s="771"/>
      <c r="AJ3712" s="771"/>
      <c r="AK3712" s="771"/>
      <c r="AL3712" s="771"/>
      <c r="AM3712" s="771"/>
      <c r="AN3712" s="771"/>
      <c r="AO3712" s="771"/>
      <c r="AP3712" s="771"/>
      <c r="AQ3712" s="771"/>
      <c r="AR3712" s="771"/>
      <c r="AS3712" s="771"/>
      <c r="AT3712" s="771"/>
      <c r="AU3712" s="771"/>
    </row>
    <row r="3713" spans="1:47" s="15" customFormat="1" outlineLevel="1" x14ac:dyDescent="0.2">
      <c r="A3713" s="8"/>
      <c r="B3713" s="8"/>
      <c r="C3713" s="1989" t="s">
        <v>4324</v>
      </c>
      <c r="D3713" s="1989" t="s">
        <v>8645</v>
      </c>
      <c r="E3713" s="1989">
        <v>0.26</v>
      </c>
      <c r="F3713" s="1546">
        <f t="shared" si="56"/>
        <v>21.143522400000002</v>
      </c>
      <c r="G3713" s="1547"/>
      <c r="H3713" s="8"/>
      <c r="I3713" s="8"/>
      <c r="J3713" s="8"/>
      <c r="K3713" s="8"/>
      <c r="L3713" s="8"/>
      <c r="M3713" s="8"/>
      <c r="N3713" s="8"/>
      <c r="O3713" s="8"/>
      <c r="P3713" s="8"/>
      <c r="Q3713" s="8"/>
      <c r="R3713" s="8"/>
      <c r="S3713" s="8"/>
      <c r="T3713" s="8"/>
      <c r="U3713" s="8"/>
      <c r="V3713" s="8"/>
      <c r="W3713" s="8"/>
      <c r="X3713" s="771"/>
      <c r="Y3713" s="771"/>
      <c r="Z3713" s="771"/>
      <c r="AA3713" s="771"/>
      <c r="AB3713" s="771"/>
      <c r="AC3713" s="771"/>
      <c r="AD3713" s="771"/>
      <c r="AE3713" s="771"/>
      <c r="AF3713" s="771"/>
      <c r="AG3713" s="771"/>
      <c r="AH3713" s="771"/>
      <c r="AI3713" s="771"/>
      <c r="AJ3713" s="771"/>
      <c r="AK3713" s="771"/>
      <c r="AL3713" s="771"/>
      <c r="AM3713" s="771"/>
      <c r="AN3713" s="771"/>
      <c r="AO3713" s="771"/>
      <c r="AP3713" s="771"/>
      <c r="AQ3713" s="771"/>
      <c r="AR3713" s="771"/>
      <c r="AS3713" s="771"/>
      <c r="AT3713" s="771"/>
      <c r="AU3713" s="771"/>
    </row>
    <row r="3714" spans="1:47" s="15" customFormat="1" outlineLevel="1" x14ac:dyDescent="0.2">
      <c r="A3714" s="8"/>
      <c r="B3714" s="8"/>
      <c r="C3714" s="1989" t="s">
        <v>4325</v>
      </c>
      <c r="D3714" s="1989" t="s">
        <v>8646</v>
      </c>
      <c r="E3714" s="1989">
        <v>0</v>
      </c>
      <c r="F3714" s="1546">
        <f t="shared" si="56"/>
        <v>0</v>
      </c>
      <c r="G3714" s="1547"/>
      <c r="H3714" s="8"/>
      <c r="I3714" s="8"/>
      <c r="J3714" s="8"/>
      <c r="K3714" s="8"/>
      <c r="L3714" s="8"/>
      <c r="M3714" s="8"/>
      <c r="N3714" s="8"/>
      <c r="O3714" s="8"/>
      <c r="P3714" s="8"/>
      <c r="Q3714" s="8"/>
      <c r="R3714" s="8"/>
      <c r="S3714" s="8"/>
      <c r="T3714" s="8"/>
      <c r="U3714" s="8"/>
      <c r="V3714" s="8"/>
      <c r="W3714" s="8"/>
      <c r="X3714" s="771"/>
      <c r="Y3714" s="771"/>
      <c r="Z3714" s="771"/>
      <c r="AA3714" s="771"/>
      <c r="AB3714" s="771"/>
      <c r="AC3714" s="771"/>
      <c r="AD3714" s="771"/>
      <c r="AE3714" s="771"/>
      <c r="AF3714" s="771"/>
      <c r="AG3714" s="771"/>
      <c r="AH3714" s="771"/>
      <c r="AI3714" s="771"/>
      <c r="AJ3714" s="771"/>
      <c r="AK3714" s="771"/>
      <c r="AL3714" s="771"/>
      <c r="AM3714" s="771"/>
      <c r="AN3714" s="771"/>
      <c r="AO3714" s="771"/>
      <c r="AP3714" s="771"/>
      <c r="AQ3714" s="771"/>
      <c r="AR3714" s="771"/>
      <c r="AS3714" s="771"/>
      <c r="AT3714" s="771"/>
      <c r="AU3714" s="771"/>
    </row>
    <row r="3715" spans="1:47" s="15" customFormat="1" outlineLevel="1" x14ac:dyDescent="0.2">
      <c r="A3715" s="8"/>
      <c r="B3715" s="8"/>
      <c r="C3715" s="1989" t="s">
        <v>2457</v>
      </c>
      <c r="D3715" s="1989" t="s">
        <v>8647</v>
      </c>
      <c r="E3715" s="1989">
        <v>0</v>
      </c>
      <c r="F3715" s="1546">
        <f t="shared" si="56"/>
        <v>0</v>
      </c>
      <c r="G3715" s="1547"/>
      <c r="H3715" s="8"/>
      <c r="I3715" s="8"/>
      <c r="J3715" s="8"/>
      <c r="K3715" s="8"/>
      <c r="L3715" s="8"/>
      <c r="M3715" s="8"/>
      <c r="N3715" s="8"/>
      <c r="O3715" s="8"/>
      <c r="P3715" s="8"/>
      <c r="Q3715" s="8"/>
      <c r="R3715" s="8"/>
      <c r="S3715" s="8"/>
      <c r="T3715" s="8"/>
      <c r="U3715" s="8"/>
      <c r="V3715" s="8"/>
      <c r="W3715" s="8"/>
      <c r="X3715" s="771"/>
      <c r="Y3715" s="771"/>
      <c r="Z3715" s="771"/>
      <c r="AA3715" s="771"/>
      <c r="AB3715" s="771"/>
      <c r="AC3715" s="771"/>
      <c r="AD3715" s="771"/>
      <c r="AE3715" s="771"/>
      <c r="AF3715" s="771"/>
      <c r="AG3715" s="771"/>
      <c r="AH3715" s="771"/>
      <c r="AI3715" s="771"/>
      <c r="AJ3715" s="771"/>
      <c r="AK3715" s="771"/>
      <c r="AL3715" s="771"/>
      <c r="AM3715" s="771"/>
      <c r="AN3715" s="771"/>
      <c r="AO3715" s="771"/>
      <c r="AP3715" s="771"/>
      <c r="AQ3715" s="771"/>
      <c r="AR3715" s="771"/>
      <c r="AS3715" s="771"/>
      <c r="AT3715" s="771"/>
      <c r="AU3715" s="771"/>
    </row>
    <row r="3716" spans="1:47" s="15" customFormat="1" outlineLevel="1" x14ac:dyDescent="0.2">
      <c r="A3716" s="8"/>
      <c r="B3716" s="8"/>
      <c r="C3716" s="1989" t="s">
        <v>4326</v>
      </c>
      <c r="D3716" s="1989" t="s">
        <v>8648</v>
      </c>
      <c r="E3716" s="1989">
        <v>0.13</v>
      </c>
      <c r="F3716" s="1546">
        <f t="shared" si="56"/>
        <v>10.571761200000001</v>
      </c>
      <c r="G3716" s="1547"/>
      <c r="H3716" s="8"/>
      <c r="I3716" s="8"/>
      <c r="J3716" s="8"/>
      <c r="K3716" s="8"/>
      <c r="L3716" s="8"/>
      <c r="M3716" s="8"/>
      <c r="N3716" s="8"/>
      <c r="O3716" s="8"/>
      <c r="P3716" s="8"/>
      <c r="Q3716" s="8"/>
      <c r="R3716" s="8"/>
      <c r="S3716" s="8"/>
      <c r="T3716" s="8"/>
      <c r="U3716" s="8"/>
      <c r="V3716" s="8"/>
      <c r="W3716" s="8"/>
      <c r="X3716" s="771"/>
      <c r="Y3716" s="771"/>
      <c r="Z3716" s="771"/>
      <c r="AA3716" s="771"/>
      <c r="AB3716" s="771"/>
      <c r="AC3716" s="771"/>
      <c r="AD3716" s="771"/>
      <c r="AE3716" s="771"/>
      <c r="AF3716" s="771"/>
      <c r="AG3716" s="771"/>
      <c r="AH3716" s="771"/>
      <c r="AI3716" s="771"/>
      <c r="AJ3716" s="771"/>
      <c r="AK3716" s="771"/>
      <c r="AL3716" s="771"/>
      <c r="AM3716" s="771"/>
      <c r="AN3716" s="771"/>
      <c r="AO3716" s="771"/>
      <c r="AP3716" s="771"/>
      <c r="AQ3716" s="771"/>
      <c r="AR3716" s="771"/>
      <c r="AS3716" s="771"/>
      <c r="AT3716" s="771"/>
      <c r="AU3716" s="771"/>
    </row>
    <row r="3717" spans="1:47" s="15" customFormat="1" outlineLevel="1" x14ac:dyDescent="0.2">
      <c r="A3717" s="8"/>
      <c r="B3717" s="8"/>
      <c r="C3717" s="1989" t="s">
        <v>2689</v>
      </c>
      <c r="D3717" s="1989" t="s">
        <v>8649</v>
      </c>
      <c r="E3717" s="1989">
        <v>0</v>
      </c>
      <c r="F3717" s="1546">
        <f t="shared" si="56"/>
        <v>0</v>
      </c>
      <c r="G3717" s="1547"/>
      <c r="H3717" s="8"/>
      <c r="I3717" s="8"/>
      <c r="J3717" s="8"/>
      <c r="K3717" s="8"/>
      <c r="L3717" s="8"/>
      <c r="M3717" s="8"/>
      <c r="N3717" s="8"/>
      <c r="O3717" s="8"/>
      <c r="P3717" s="8"/>
      <c r="Q3717" s="8"/>
      <c r="R3717" s="8"/>
      <c r="S3717" s="8"/>
      <c r="T3717" s="8"/>
      <c r="U3717" s="8"/>
      <c r="V3717" s="8"/>
      <c r="W3717" s="8"/>
      <c r="X3717" s="771"/>
      <c r="Y3717" s="771"/>
      <c r="Z3717" s="771"/>
      <c r="AA3717" s="771"/>
      <c r="AB3717" s="771"/>
      <c r="AC3717" s="771"/>
      <c r="AD3717" s="771"/>
      <c r="AE3717" s="771"/>
      <c r="AF3717" s="771"/>
      <c r="AG3717" s="771"/>
      <c r="AH3717" s="771"/>
      <c r="AI3717" s="771"/>
      <c r="AJ3717" s="771"/>
      <c r="AK3717" s="771"/>
      <c r="AL3717" s="771"/>
      <c r="AM3717" s="771"/>
      <c r="AN3717" s="771"/>
      <c r="AO3717" s="771"/>
      <c r="AP3717" s="771"/>
      <c r="AQ3717" s="771"/>
      <c r="AR3717" s="771"/>
      <c r="AS3717" s="771"/>
      <c r="AT3717" s="771"/>
      <c r="AU3717" s="771"/>
    </row>
    <row r="3718" spans="1:47" s="15" customFormat="1" outlineLevel="1" x14ac:dyDescent="0.2">
      <c r="A3718" s="8"/>
      <c r="B3718" s="8"/>
      <c r="C3718" s="1989" t="s">
        <v>644</v>
      </c>
      <c r="D3718" s="1989" t="s">
        <v>6607</v>
      </c>
      <c r="E3718" s="1989">
        <v>9.82</v>
      </c>
      <c r="F3718" s="1546">
        <f t="shared" si="56"/>
        <v>798.57457680000016</v>
      </c>
      <c r="G3718" s="1547"/>
      <c r="H3718" s="8"/>
      <c r="I3718" s="8"/>
      <c r="J3718" s="8"/>
      <c r="K3718" s="8"/>
      <c r="L3718" s="8"/>
      <c r="M3718" s="8"/>
      <c r="N3718" s="8"/>
      <c r="O3718" s="8"/>
      <c r="P3718" s="8"/>
      <c r="Q3718" s="8"/>
      <c r="R3718" s="8"/>
      <c r="S3718" s="8"/>
      <c r="T3718" s="8"/>
      <c r="U3718" s="8"/>
      <c r="V3718" s="8"/>
      <c r="W3718" s="8"/>
      <c r="X3718" s="771"/>
      <c r="Y3718" s="771"/>
      <c r="Z3718" s="771"/>
      <c r="AA3718" s="771"/>
      <c r="AB3718" s="771"/>
      <c r="AC3718" s="771"/>
      <c r="AD3718" s="771"/>
      <c r="AE3718" s="771"/>
      <c r="AF3718" s="771"/>
      <c r="AG3718" s="771"/>
      <c r="AH3718" s="771"/>
      <c r="AI3718" s="771"/>
      <c r="AJ3718" s="771"/>
      <c r="AK3718" s="771"/>
      <c r="AL3718" s="771"/>
      <c r="AM3718" s="771"/>
      <c r="AN3718" s="771"/>
      <c r="AO3718" s="771"/>
      <c r="AP3718" s="771"/>
      <c r="AQ3718" s="771"/>
      <c r="AR3718" s="771"/>
      <c r="AS3718" s="771"/>
      <c r="AT3718" s="771"/>
      <c r="AU3718" s="771"/>
    </row>
    <row r="3719" spans="1:47" s="15" customFormat="1" outlineLevel="1" x14ac:dyDescent="0.2">
      <c r="A3719" s="8"/>
      <c r="B3719" s="8"/>
      <c r="C3719" s="1989" t="s">
        <v>2181</v>
      </c>
      <c r="D3719" s="1989" t="s">
        <v>2477</v>
      </c>
      <c r="E3719" s="1989">
        <v>3.88</v>
      </c>
      <c r="F3719" s="1546">
        <f t="shared" si="56"/>
        <v>315.52641119999998</v>
      </c>
      <c r="G3719" s="1547"/>
      <c r="H3719" s="8"/>
      <c r="I3719" s="8"/>
      <c r="J3719" s="8"/>
      <c r="K3719" s="8"/>
      <c r="L3719" s="8"/>
      <c r="M3719" s="8"/>
      <c r="N3719" s="8"/>
      <c r="O3719" s="8"/>
      <c r="P3719" s="8"/>
      <c r="Q3719" s="8"/>
      <c r="R3719" s="8"/>
      <c r="S3719" s="8"/>
      <c r="T3719" s="8"/>
      <c r="U3719" s="8"/>
      <c r="V3719" s="8"/>
      <c r="W3719" s="8"/>
      <c r="X3719" s="771"/>
      <c r="Y3719" s="771"/>
      <c r="Z3719" s="771"/>
      <c r="AA3719" s="771"/>
      <c r="AB3719" s="771"/>
      <c r="AC3719" s="771"/>
      <c r="AD3719" s="771"/>
      <c r="AE3719" s="771"/>
      <c r="AF3719" s="771"/>
      <c r="AG3719" s="771"/>
      <c r="AH3719" s="771"/>
      <c r="AI3719" s="771"/>
      <c r="AJ3719" s="771"/>
      <c r="AK3719" s="771"/>
      <c r="AL3719" s="771"/>
      <c r="AM3719" s="771"/>
      <c r="AN3719" s="771"/>
      <c r="AO3719" s="771"/>
      <c r="AP3719" s="771"/>
      <c r="AQ3719" s="771"/>
      <c r="AR3719" s="771"/>
      <c r="AS3719" s="771"/>
      <c r="AT3719" s="771"/>
      <c r="AU3719" s="771"/>
    </row>
    <row r="3720" spans="1:47" s="15" customFormat="1" outlineLevel="1" x14ac:dyDescent="0.2">
      <c r="A3720" s="8"/>
      <c r="B3720" s="8"/>
      <c r="C3720" s="1989" t="s">
        <v>2183</v>
      </c>
      <c r="D3720" s="1989" t="s">
        <v>2126</v>
      </c>
      <c r="E3720" s="1989">
        <v>2.11</v>
      </c>
      <c r="F3720" s="1546">
        <f t="shared" si="56"/>
        <v>171.58781639999998</v>
      </c>
      <c r="G3720" s="1547"/>
      <c r="H3720" s="8"/>
      <c r="I3720" s="8"/>
      <c r="J3720" s="8"/>
      <c r="K3720" s="8"/>
      <c r="L3720" s="8"/>
      <c r="M3720" s="8"/>
      <c r="N3720" s="8"/>
      <c r="O3720" s="8"/>
      <c r="P3720" s="8"/>
      <c r="Q3720" s="8"/>
      <c r="R3720" s="8"/>
      <c r="S3720" s="8"/>
      <c r="T3720" s="8"/>
      <c r="U3720" s="8"/>
      <c r="V3720" s="8"/>
      <c r="W3720" s="8"/>
      <c r="X3720" s="771"/>
      <c r="Y3720" s="771"/>
      <c r="Z3720" s="771"/>
      <c r="AA3720" s="771"/>
      <c r="AB3720" s="771"/>
      <c r="AC3720" s="771"/>
      <c r="AD3720" s="771"/>
      <c r="AE3720" s="771"/>
      <c r="AF3720" s="771"/>
      <c r="AG3720" s="771"/>
      <c r="AH3720" s="771"/>
      <c r="AI3720" s="771"/>
      <c r="AJ3720" s="771"/>
      <c r="AK3720" s="771"/>
      <c r="AL3720" s="771"/>
      <c r="AM3720" s="771"/>
      <c r="AN3720" s="771"/>
      <c r="AO3720" s="771"/>
      <c r="AP3720" s="771"/>
      <c r="AQ3720" s="771"/>
      <c r="AR3720" s="771"/>
      <c r="AS3720" s="771"/>
      <c r="AT3720" s="771"/>
      <c r="AU3720" s="771"/>
    </row>
    <row r="3721" spans="1:47" s="15" customFormat="1" outlineLevel="1" x14ac:dyDescent="0.2">
      <c r="A3721" s="8"/>
      <c r="B3721" s="8"/>
      <c r="C3721" s="1989" t="s">
        <v>651</v>
      </c>
      <c r="D3721" s="1989" t="s">
        <v>1826</v>
      </c>
      <c r="E3721" s="1989">
        <v>0.83</v>
      </c>
      <c r="F3721" s="1546">
        <f t="shared" si="56"/>
        <v>67.496629200000001</v>
      </c>
      <c r="G3721" s="1547"/>
      <c r="H3721" s="8"/>
      <c r="I3721" s="8"/>
      <c r="J3721" s="8"/>
      <c r="K3721" s="8"/>
      <c r="L3721" s="8"/>
      <c r="M3721" s="8"/>
      <c r="N3721" s="8"/>
      <c r="O3721" s="8"/>
      <c r="P3721" s="8"/>
      <c r="Q3721" s="8"/>
      <c r="R3721" s="8"/>
      <c r="S3721" s="8"/>
      <c r="T3721" s="8"/>
      <c r="U3721" s="8"/>
      <c r="V3721" s="8"/>
      <c r="W3721" s="8"/>
      <c r="X3721" s="771"/>
      <c r="Y3721" s="771"/>
      <c r="Z3721" s="771"/>
      <c r="AA3721" s="771"/>
      <c r="AB3721" s="771"/>
      <c r="AC3721" s="771"/>
      <c r="AD3721" s="771"/>
      <c r="AE3721" s="771"/>
      <c r="AF3721" s="771"/>
      <c r="AG3721" s="771"/>
      <c r="AH3721" s="771"/>
      <c r="AI3721" s="771"/>
      <c r="AJ3721" s="771"/>
      <c r="AK3721" s="771"/>
      <c r="AL3721" s="771"/>
      <c r="AM3721" s="771"/>
      <c r="AN3721" s="771"/>
      <c r="AO3721" s="771"/>
      <c r="AP3721" s="771"/>
      <c r="AQ3721" s="771"/>
      <c r="AR3721" s="771"/>
      <c r="AS3721" s="771"/>
      <c r="AT3721" s="771"/>
      <c r="AU3721" s="771"/>
    </row>
    <row r="3722" spans="1:47" s="15" customFormat="1" outlineLevel="1" x14ac:dyDescent="0.2">
      <c r="A3722" s="8"/>
      <c r="B3722" s="8"/>
      <c r="C3722" s="1989" t="s">
        <v>4327</v>
      </c>
      <c r="D3722" s="1989" t="s">
        <v>8650</v>
      </c>
      <c r="E3722" s="1989">
        <v>0</v>
      </c>
      <c r="F3722" s="1546">
        <f t="shared" si="56"/>
        <v>0</v>
      </c>
      <c r="G3722" s="1547"/>
      <c r="H3722" s="8"/>
      <c r="I3722" s="8"/>
      <c r="J3722" s="8"/>
      <c r="K3722" s="8"/>
      <c r="L3722" s="8"/>
      <c r="M3722" s="8"/>
      <c r="N3722" s="8"/>
      <c r="O3722" s="8"/>
      <c r="P3722" s="8"/>
      <c r="Q3722" s="8"/>
      <c r="R3722" s="8"/>
      <c r="S3722" s="8"/>
      <c r="T3722" s="8"/>
      <c r="U3722" s="8"/>
      <c r="V3722" s="8"/>
      <c r="W3722" s="8"/>
      <c r="X3722" s="771"/>
      <c r="Y3722" s="771"/>
      <c r="Z3722" s="771"/>
      <c r="AA3722" s="771"/>
      <c r="AB3722" s="771"/>
      <c r="AC3722" s="771"/>
      <c r="AD3722" s="771"/>
      <c r="AE3722" s="771"/>
      <c r="AF3722" s="771"/>
      <c r="AG3722" s="771"/>
      <c r="AH3722" s="771"/>
      <c r="AI3722" s="771"/>
      <c r="AJ3722" s="771"/>
      <c r="AK3722" s="771"/>
      <c r="AL3722" s="771"/>
      <c r="AM3722" s="771"/>
      <c r="AN3722" s="771"/>
      <c r="AO3722" s="771"/>
      <c r="AP3722" s="771"/>
      <c r="AQ3722" s="771"/>
      <c r="AR3722" s="771"/>
      <c r="AS3722" s="771"/>
      <c r="AT3722" s="771"/>
      <c r="AU3722" s="771"/>
    </row>
    <row r="3723" spans="1:47" s="15" customFormat="1" outlineLevel="1" x14ac:dyDescent="0.2">
      <c r="A3723" s="8"/>
      <c r="B3723" s="8"/>
      <c r="C3723" s="1989" t="s">
        <v>4328</v>
      </c>
      <c r="D3723" s="1989" t="s">
        <v>8651</v>
      </c>
      <c r="E3723" s="1989">
        <v>0.24</v>
      </c>
      <c r="F3723" s="1546">
        <f t="shared" si="56"/>
        <v>19.5170976</v>
      </c>
      <c r="G3723" s="1547"/>
      <c r="H3723" s="8"/>
      <c r="I3723" s="8"/>
      <c r="J3723" s="8"/>
      <c r="K3723" s="8"/>
      <c r="L3723" s="8"/>
      <c r="M3723" s="8"/>
      <c r="N3723" s="8"/>
      <c r="O3723" s="8"/>
      <c r="P3723" s="8"/>
      <c r="Q3723" s="8"/>
      <c r="R3723" s="8"/>
      <c r="S3723" s="8"/>
      <c r="T3723" s="8"/>
      <c r="U3723" s="8"/>
      <c r="V3723" s="8"/>
      <c r="W3723" s="8"/>
      <c r="X3723" s="771"/>
      <c r="Y3723" s="771"/>
      <c r="Z3723" s="771"/>
      <c r="AA3723" s="771"/>
      <c r="AB3723" s="771"/>
      <c r="AC3723" s="771"/>
      <c r="AD3723" s="771"/>
      <c r="AE3723" s="771"/>
      <c r="AF3723" s="771"/>
      <c r="AG3723" s="771"/>
      <c r="AH3723" s="771"/>
      <c r="AI3723" s="771"/>
      <c r="AJ3723" s="771"/>
      <c r="AK3723" s="771"/>
      <c r="AL3723" s="771"/>
      <c r="AM3723" s="771"/>
      <c r="AN3723" s="771"/>
      <c r="AO3723" s="771"/>
      <c r="AP3723" s="771"/>
      <c r="AQ3723" s="771"/>
      <c r="AR3723" s="771"/>
      <c r="AS3723" s="771"/>
      <c r="AT3723" s="771"/>
      <c r="AU3723" s="771"/>
    </row>
    <row r="3724" spans="1:47" s="15" customFormat="1" outlineLevel="1" x14ac:dyDescent="0.2">
      <c r="A3724" s="8"/>
      <c r="B3724" s="8"/>
      <c r="C3724" s="1989" t="s">
        <v>4329</v>
      </c>
      <c r="D3724" s="1989" t="s">
        <v>8652</v>
      </c>
      <c r="E3724" s="1989">
        <v>0</v>
      </c>
      <c r="F3724" s="1546">
        <f t="shared" si="56"/>
        <v>0</v>
      </c>
      <c r="G3724" s="1547"/>
      <c r="H3724" s="8"/>
      <c r="I3724" s="8"/>
      <c r="J3724" s="8"/>
      <c r="K3724" s="8"/>
      <c r="L3724" s="8"/>
      <c r="M3724" s="8"/>
      <c r="N3724" s="8"/>
      <c r="O3724" s="8"/>
      <c r="P3724" s="8"/>
      <c r="Q3724" s="8"/>
      <c r="R3724" s="8"/>
      <c r="S3724" s="8"/>
      <c r="T3724" s="8"/>
      <c r="U3724" s="8"/>
      <c r="V3724" s="8"/>
      <c r="W3724" s="8"/>
      <c r="X3724" s="771"/>
      <c r="Y3724" s="771"/>
      <c r="Z3724" s="771"/>
      <c r="AA3724" s="771"/>
      <c r="AB3724" s="771"/>
      <c r="AC3724" s="771"/>
      <c r="AD3724" s="771"/>
      <c r="AE3724" s="771"/>
      <c r="AF3724" s="771"/>
      <c r="AG3724" s="771"/>
      <c r="AH3724" s="771"/>
      <c r="AI3724" s="771"/>
      <c r="AJ3724" s="771"/>
      <c r="AK3724" s="771"/>
      <c r="AL3724" s="771"/>
      <c r="AM3724" s="771"/>
      <c r="AN3724" s="771"/>
      <c r="AO3724" s="771"/>
      <c r="AP3724" s="771"/>
      <c r="AQ3724" s="771"/>
      <c r="AR3724" s="771"/>
      <c r="AS3724" s="771"/>
      <c r="AT3724" s="771"/>
      <c r="AU3724" s="771"/>
    </row>
    <row r="3725" spans="1:47" s="15" customFormat="1" outlineLevel="1" x14ac:dyDescent="0.2">
      <c r="A3725" s="8"/>
      <c r="B3725" s="8"/>
      <c r="C3725" s="1989" t="s">
        <v>2703</v>
      </c>
      <c r="D3725" s="1989" t="s">
        <v>8653</v>
      </c>
      <c r="E3725" s="1989">
        <v>0</v>
      </c>
      <c r="F3725" s="1546">
        <f t="shared" si="56"/>
        <v>0</v>
      </c>
      <c r="G3725" s="1547"/>
      <c r="H3725" s="8"/>
      <c r="I3725" s="8"/>
      <c r="J3725" s="8"/>
      <c r="K3725" s="8"/>
      <c r="L3725" s="8"/>
      <c r="M3725" s="8"/>
      <c r="N3725" s="8"/>
      <c r="O3725" s="8"/>
      <c r="P3725" s="8"/>
      <c r="Q3725" s="8"/>
      <c r="R3725" s="8"/>
      <c r="S3725" s="8"/>
      <c r="T3725" s="8"/>
      <c r="U3725" s="8"/>
      <c r="V3725" s="8"/>
      <c r="W3725" s="8"/>
      <c r="X3725" s="771"/>
      <c r="Y3725" s="771"/>
      <c r="Z3725" s="771"/>
      <c r="AA3725" s="771"/>
      <c r="AB3725" s="771"/>
      <c r="AC3725" s="771"/>
      <c r="AD3725" s="771"/>
      <c r="AE3725" s="771"/>
      <c r="AF3725" s="771"/>
      <c r="AG3725" s="771"/>
      <c r="AH3725" s="771"/>
      <c r="AI3725" s="771"/>
      <c r="AJ3725" s="771"/>
      <c r="AK3725" s="771"/>
      <c r="AL3725" s="771"/>
      <c r="AM3725" s="771"/>
      <c r="AN3725" s="771"/>
      <c r="AO3725" s="771"/>
      <c r="AP3725" s="771"/>
      <c r="AQ3725" s="771"/>
      <c r="AR3725" s="771"/>
      <c r="AS3725" s="771"/>
      <c r="AT3725" s="771"/>
      <c r="AU3725" s="771"/>
    </row>
    <row r="3726" spans="1:47" s="15" customFormat="1" outlineLevel="1" x14ac:dyDescent="0.2">
      <c r="A3726" s="8"/>
      <c r="B3726" s="8"/>
      <c r="C3726" s="1989" t="s">
        <v>2705</v>
      </c>
      <c r="D3726" s="1989" t="s">
        <v>8654</v>
      </c>
      <c r="E3726" s="1989">
        <v>0</v>
      </c>
      <c r="F3726" s="1546">
        <f t="shared" si="56"/>
        <v>0</v>
      </c>
      <c r="G3726" s="1547"/>
      <c r="H3726" s="8"/>
      <c r="I3726" s="8"/>
      <c r="J3726" s="8"/>
      <c r="K3726" s="8"/>
      <c r="L3726" s="8"/>
      <c r="M3726" s="8"/>
      <c r="N3726" s="8"/>
      <c r="O3726" s="8"/>
      <c r="P3726" s="8"/>
      <c r="Q3726" s="8"/>
      <c r="R3726" s="8"/>
      <c r="S3726" s="8"/>
      <c r="T3726" s="8"/>
      <c r="U3726" s="8"/>
      <c r="V3726" s="8"/>
      <c r="W3726" s="8"/>
      <c r="X3726" s="771"/>
      <c r="Y3726" s="771"/>
      <c r="Z3726" s="771"/>
      <c r="AA3726" s="771"/>
      <c r="AB3726" s="771"/>
      <c r="AC3726" s="771"/>
      <c r="AD3726" s="771"/>
      <c r="AE3726" s="771"/>
      <c r="AF3726" s="771"/>
      <c r="AG3726" s="771"/>
      <c r="AH3726" s="771"/>
      <c r="AI3726" s="771"/>
      <c r="AJ3726" s="771"/>
      <c r="AK3726" s="771"/>
      <c r="AL3726" s="771"/>
      <c r="AM3726" s="771"/>
      <c r="AN3726" s="771"/>
      <c r="AO3726" s="771"/>
      <c r="AP3726" s="771"/>
      <c r="AQ3726" s="771"/>
      <c r="AR3726" s="771"/>
      <c r="AS3726" s="771"/>
      <c r="AT3726" s="771"/>
      <c r="AU3726" s="771"/>
    </row>
    <row r="3727" spans="1:47" s="15" customFormat="1" outlineLevel="1" x14ac:dyDescent="0.2">
      <c r="A3727" s="8"/>
      <c r="B3727" s="8"/>
      <c r="C3727" s="1989" t="s">
        <v>2707</v>
      </c>
      <c r="D3727" s="1989" t="s">
        <v>8655</v>
      </c>
      <c r="E3727" s="1989">
        <v>0</v>
      </c>
      <c r="F3727" s="1546">
        <f t="shared" si="56"/>
        <v>0</v>
      </c>
      <c r="G3727" s="1547"/>
      <c r="H3727" s="8"/>
      <c r="I3727" s="8"/>
      <c r="J3727" s="8"/>
      <c r="K3727" s="8"/>
      <c r="L3727" s="8"/>
      <c r="M3727" s="8"/>
      <c r="N3727" s="8"/>
      <c r="O3727" s="8"/>
      <c r="P3727" s="8"/>
      <c r="Q3727" s="8"/>
      <c r="R3727" s="8"/>
      <c r="S3727" s="8"/>
      <c r="T3727" s="8"/>
      <c r="U3727" s="8"/>
      <c r="V3727" s="8"/>
      <c r="W3727" s="8"/>
      <c r="X3727" s="771"/>
      <c r="Y3727" s="771"/>
      <c r="Z3727" s="771"/>
      <c r="AA3727" s="771"/>
      <c r="AB3727" s="771"/>
      <c r="AC3727" s="771"/>
      <c r="AD3727" s="771"/>
      <c r="AE3727" s="771"/>
      <c r="AF3727" s="771"/>
      <c r="AG3727" s="771"/>
      <c r="AH3727" s="771"/>
      <c r="AI3727" s="771"/>
      <c r="AJ3727" s="771"/>
      <c r="AK3727" s="771"/>
      <c r="AL3727" s="771"/>
      <c r="AM3727" s="771"/>
      <c r="AN3727" s="771"/>
      <c r="AO3727" s="771"/>
      <c r="AP3727" s="771"/>
      <c r="AQ3727" s="771"/>
      <c r="AR3727" s="771"/>
      <c r="AS3727" s="771"/>
      <c r="AT3727" s="771"/>
      <c r="AU3727" s="771"/>
    </row>
    <row r="3728" spans="1:47" s="15" customFormat="1" outlineLevel="1" x14ac:dyDescent="0.2">
      <c r="A3728" s="8"/>
      <c r="B3728" s="8"/>
      <c r="C3728" s="1989" t="s">
        <v>6932</v>
      </c>
      <c r="D3728" s="1989" t="s">
        <v>8656</v>
      </c>
      <c r="E3728" s="1989">
        <v>0</v>
      </c>
      <c r="F3728" s="1546">
        <f t="shared" si="56"/>
        <v>0</v>
      </c>
      <c r="G3728" s="1547"/>
      <c r="H3728" s="8"/>
      <c r="I3728" s="8"/>
      <c r="J3728" s="8"/>
      <c r="K3728" s="8"/>
      <c r="L3728" s="8"/>
      <c r="M3728" s="8"/>
      <c r="N3728" s="8"/>
      <c r="O3728" s="8"/>
      <c r="P3728" s="8"/>
      <c r="Q3728" s="8"/>
      <c r="R3728" s="8"/>
      <c r="S3728" s="8"/>
      <c r="T3728" s="8"/>
      <c r="U3728" s="8"/>
      <c r="V3728" s="8"/>
      <c r="W3728" s="8"/>
      <c r="X3728" s="771"/>
      <c r="Y3728" s="771"/>
      <c r="Z3728" s="771"/>
      <c r="AA3728" s="771"/>
      <c r="AB3728" s="771"/>
      <c r="AC3728" s="771"/>
      <c r="AD3728" s="771"/>
      <c r="AE3728" s="771"/>
      <c r="AF3728" s="771"/>
      <c r="AG3728" s="771"/>
      <c r="AH3728" s="771"/>
      <c r="AI3728" s="771"/>
      <c r="AJ3728" s="771"/>
      <c r="AK3728" s="771"/>
      <c r="AL3728" s="771"/>
      <c r="AM3728" s="771"/>
      <c r="AN3728" s="771"/>
      <c r="AO3728" s="771"/>
      <c r="AP3728" s="771"/>
      <c r="AQ3728" s="771"/>
      <c r="AR3728" s="771"/>
      <c r="AS3728" s="771"/>
      <c r="AT3728" s="771"/>
      <c r="AU3728" s="771"/>
    </row>
    <row r="3729" spans="1:47" s="15" customFormat="1" outlineLevel="1" x14ac:dyDescent="0.2">
      <c r="A3729" s="8"/>
      <c r="B3729" s="8"/>
      <c r="C3729" s="1989" t="s">
        <v>3420</v>
      </c>
      <c r="D3729" s="1989" t="s">
        <v>8657</v>
      </c>
      <c r="E3729" s="1989">
        <v>0</v>
      </c>
      <c r="F3729" s="1546">
        <f t="shared" si="56"/>
        <v>0</v>
      </c>
      <c r="G3729" s="1547"/>
      <c r="H3729" s="8"/>
      <c r="I3729" s="8"/>
      <c r="J3729" s="8"/>
      <c r="K3729" s="8"/>
      <c r="L3729" s="8"/>
      <c r="M3729" s="8"/>
      <c r="N3729" s="8"/>
      <c r="O3729" s="8"/>
      <c r="P3729" s="8"/>
      <c r="Q3729" s="8"/>
      <c r="R3729" s="8"/>
      <c r="S3729" s="8"/>
      <c r="T3729" s="8"/>
      <c r="U3729" s="8"/>
      <c r="V3729" s="8"/>
      <c r="W3729" s="8"/>
      <c r="X3729" s="771"/>
      <c r="Y3729" s="771"/>
      <c r="Z3729" s="771"/>
      <c r="AA3729" s="771"/>
      <c r="AB3729" s="771"/>
      <c r="AC3729" s="771"/>
      <c r="AD3729" s="771"/>
      <c r="AE3729" s="771"/>
      <c r="AF3729" s="771"/>
      <c r="AG3729" s="771"/>
      <c r="AH3729" s="771"/>
      <c r="AI3729" s="771"/>
      <c r="AJ3729" s="771"/>
      <c r="AK3729" s="771"/>
      <c r="AL3729" s="771"/>
      <c r="AM3729" s="771"/>
      <c r="AN3729" s="771"/>
      <c r="AO3729" s="771"/>
      <c r="AP3729" s="771"/>
      <c r="AQ3729" s="771"/>
      <c r="AR3729" s="771"/>
      <c r="AS3729" s="771"/>
      <c r="AT3729" s="771"/>
      <c r="AU3729" s="771"/>
    </row>
    <row r="3730" spans="1:47" s="15" customFormat="1" outlineLevel="1" x14ac:dyDescent="0.2">
      <c r="A3730" s="8"/>
      <c r="B3730" s="8"/>
      <c r="C3730" s="1989" t="s">
        <v>2498</v>
      </c>
      <c r="D3730" s="1989" t="s">
        <v>5294</v>
      </c>
      <c r="E3730" s="1989">
        <v>0</v>
      </c>
      <c r="F3730" s="1546">
        <f t="shared" si="56"/>
        <v>0</v>
      </c>
      <c r="G3730" s="1547"/>
      <c r="H3730" s="8"/>
      <c r="I3730" s="8"/>
      <c r="J3730" s="8"/>
      <c r="K3730" s="8"/>
      <c r="L3730" s="8"/>
      <c r="M3730" s="8"/>
      <c r="N3730" s="8"/>
      <c r="O3730" s="8"/>
      <c r="P3730" s="8"/>
      <c r="Q3730" s="8"/>
      <c r="R3730" s="8"/>
      <c r="S3730" s="8"/>
      <c r="T3730" s="8"/>
      <c r="U3730" s="8"/>
      <c r="V3730" s="8"/>
      <c r="W3730" s="8"/>
      <c r="X3730" s="771"/>
      <c r="Y3730" s="771"/>
      <c r="Z3730" s="771"/>
      <c r="AA3730" s="771"/>
      <c r="AB3730" s="771"/>
      <c r="AC3730" s="771"/>
      <c r="AD3730" s="771"/>
      <c r="AE3730" s="771"/>
      <c r="AF3730" s="771"/>
      <c r="AG3730" s="771"/>
      <c r="AH3730" s="771"/>
      <c r="AI3730" s="771"/>
      <c r="AJ3730" s="771"/>
      <c r="AK3730" s="771"/>
      <c r="AL3730" s="771"/>
      <c r="AM3730" s="771"/>
      <c r="AN3730" s="771"/>
      <c r="AO3730" s="771"/>
      <c r="AP3730" s="771"/>
      <c r="AQ3730" s="771"/>
      <c r="AR3730" s="771"/>
      <c r="AS3730" s="771"/>
      <c r="AT3730" s="771"/>
      <c r="AU3730" s="771"/>
    </row>
    <row r="3731" spans="1:47" s="15" customFormat="1" outlineLevel="1" x14ac:dyDescent="0.2">
      <c r="A3731" s="8"/>
      <c r="B3731" s="8"/>
      <c r="C3731" s="1989" t="s">
        <v>622</v>
      </c>
      <c r="D3731" s="1989" t="s">
        <v>8658</v>
      </c>
      <c r="E3731" s="6">
        <v>2164.86</v>
      </c>
      <c r="F3731" s="1546">
        <f t="shared" si="56"/>
        <v>176049.09962640001</v>
      </c>
      <c r="G3731" s="1547"/>
      <c r="H3731" s="8"/>
      <c r="I3731" s="8"/>
      <c r="J3731" s="8"/>
      <c r="K3731" s="8"/>
      <c r="L3731" s="8"/>
      <c r="M3731" s="8"/>
      <c r="N3731" s="8"/>
      <c r="O3731" s="8"/>
      <c r="P3731" s="8"/>
      <c r="Q3731" s="8"/>
      <c r="R3731" s="8"/>
      <c r="S3731" s="8"/>
      <c r="T3731" s="8"/>
      <c r="U3731" s="8"/>
      <c r="V3731" s="8"/>
      <c r="W3731" s="8"/>
      <c r="X3731" s="771"/>
      <c r="Y3731" s="771"/>
      <c r="Z3731" s="771"/>
      <c r="AA3731" s="771"/>
      <c r="AB3731" s="771"/>
      <c r="AC3731" s="771"/>
      <c r="AD3731" s="771"/>
      <c r="AE3731" s="771"/>
      <c r="AF3731" s="771"/>
      <c r="AG3731" s="771"/>
      <c r="AH3731" s="771"/>
      <c r="AI3731" s="771"/>
      <c r="AJ3731" s="771"/>
      <c r="AK3731" s="771"/>
      <c r="AL3731" s="771"/>
      <c r="AM3731" s="771"/>
      <c r="AN3731" s="771"/>
      <c r="AO3731" s="771"/>
      <c r="AP3731" s="771"/>
      <c r="AQ3731" s="771"/>
      <c r="AR3731" s="771"/>
      <c r="AS3731" s="771"/>
      <c r="AT3731" s="771"/>
      <c r="AU3731" s="771"/>
    </row>
    <row r="3732" spans="1:47" s="15" customFormat="1" outlineLevel="1" x14ac:dyDescent="0.2">
      <c r="A3732" s="8"/>
      <c r="B3732" s="8"/>
      <c r="C3732" s="1989" t="s">
        <v>623</v>
      </c>
      <c r="D3732" s="1989" t="s">
        <v>624</v>
      </c>
      <c r="E3732" s="6">
        <v>2292.2800000000002</v>
      </c>
      <c r="F3732" s="1546">
        <f t="shared" si="56"/>
        <v>186411.05202720003</v>
      </c>
      <c r="G3732" s="1547"/>
      <c r="H3732" s="8"/>
      <c r="I3732" s="8"/>
      <c r="J3732" s="8"/>
      <c r="K3732" s="8"/>
      <c r="L3732" s="8"/>
      <c r="M3732" s="8"/>
      <c r="N3732" s="8"/>
      <c r="O3732" s="8"/>
      <c r="P3732" s="8"/>
      <c r="Q3732" s="8"/>
      <c r="R3732" s="8"/>
      <c r="S3732" s="8"/>
      <c r="T3732" s="8"/>
      <c r="U3732" s="8"/>
      <c r="V3732" s="8"/>
      <c r="W3732" s="8"/>
      <c r="X3732" s="771"/>
      <c r="Y3732" s="771"/>
      <c r="Z3732" s="771"/>
      <c r="AA3732" s="771"/>
      <c r="AB3732" s="771"/>
      <c r="AC3732" s="771"/>
      <c r="AD3732" s="771"/>
      <c r="AE3732" s="771"/>
      <c r="AF3732" s="771"/>
      <c r="AG3732" s="771"/>
      <c r="AH3732" s="771"/>
      <c r="AI3732" s="771"/>
      <c r="AJ3732" s="771"/>
      <c r="AK3732" s="771"/>
      <c r="AL3732" s="771"/>
      <c r="AM3732" s="771"/>
      <c r="AN3732" s="771"/>
      <c r="AO3732" s="771"/>
      <c r="AP3732" s="771"/>
      <c r="AQ3732" s="771"/>
      <c r="AR3732" s="771"/>
      <c r="AS3732" s="771"/>
      <c r="AT3732" s="771"/>
      <c r="AU3732" s="771"/>
    </row>
    <row r="3733" spans="1:47" s="15" customFormat="1" outlineLevel="1" x14ac:dyDescent="0.2">
      <c r="A3733" s="8"/>
      <c r="B3733" s="8"/>
      <c r="C3733" s="1989" t="s">
        <v>1573</v>
      </c>
      <c r="D3733" s="1989" t="s">
        <v>8659</v>
      </c>
      <c r="E3733" s="1989">
        <v>10.92</v>
      </c>
      <c r="F3733" s="1546">
        <f t="shared" si="56"/>
        <v>888.02794080000001</v>
      </c>
      <c r="G3733" s="1547"/>
      <c r="H3733" s="8"/>
      <c r="I3733" s="8"/>
      <c r="J3733" s="8"/>
      <c r="K3733" s="8"/>
      <c r="L3733" s="8"/>
      <c r="M3733" s="8"/>
      <c r="N3733" s="8"/>
      <c r="O3733" s="8"/>
      <c r="P3733" s="8"/>
      <c r="Q3733" s="8"/>
      <c r="R3733" s="8"/>
      <c r="S3733" s="8"/>
      <c r="T3733" s="8"/>
      <c r="U3733" s="8"/>
      <c r="V3733" s="8"/>
      <c r="W3733" s="8"/>
      <c r="X3733" s="771"/>
      <c r="Y3733" s="771"/>
      <c r="Z3733" s="771"/>
      <c r="AA3733" s="771"/>
      <c r="AB3733" s="771"/>
      <c r="AC3733" s="771"/>
      <c r="AD3733" s="771"/>
      <c r="AE3733" s="771"/>
      <c r="AF3733" s="771"/>
      <c r="AG3733" s="771"/>
      <c r="AH3733" s="771"/>
      <c r="AI3733" s="771"/>
      <c r="AJ3733" s="771"/>
      <c r="AK3733" s="771"/>
      <c r="AL3733" s="771"/>
      <c r="AM3733" s="771"/>
      <c r="AN3733" s="771"/>
      <c r="AO3733" s="771"/>
      <c r="AP3733" s="771"/>
      <c r="AQ3733" s="771"/>
      <c r="AR3733" s="771"/>
      <c r="AS3733" s="771"/>
      <c r="AT3733" s="771"/>
      <c r="AU3733" s="771"/>
    </row>
    <row r="3734" spans="1:47" s="15" customFormat="1" outlineLevel="1" x14ac:dyDescent="0.2">
      <c r="A3734" s="8"/>
      <c r="B3734" s="8"/>
      <c r="C3734" s="1989" t="s">
        <v>2149</v>
      </c>
      <c r="D3734" s="1989" t="s">
        <v>6608</v>
      </c>
      <c r="E3734" s="1989">
        <v>10.41</v>
      </c>
      <c r="F3734" s="1546">
        <f t="shared" si="56"/>
        <v>846.55410840000002</v>
      </c>
      <c r="G3734" s="1547"/>
      <c r="H3734" s="8"/>
      <c r="I3734" s="8"/>
      <c r="J3734" s="8"/>
      <c r="K3734" s="8"/>
      <c r="L3734" s="8"/>
      <c r="M3734" s="8"/>
      <c r="N3734" s="8"/>
      <c r="O3734" s="8"/>
      <c r="P3734" s="8"/>
      <c r="Q3734" s="8"/>
      <c r="R3734" s="8"/>
      <c r="S3734" s="8"/>
      <c r="T3734" s="8"/>
      <c r="U3734" s="8"/>
      <c r="V3734" s="8"/>
      <c r="W3734" s="8"/>
      <c r="X3734" s="771"/>
      <c r="Y3734" s="771"/>
      <c r="Z3734" s="771"/>
      <c r="AA3734" s="771"/>
      <c r="AB3734" s="771"/>
      <c r="AC3734" s="771"/>
      <c r="AD3734" s="771"/>
      <c r="AE3734" s="771"/>
      <c r="AF3734" s="771"/>
      <c r="AG3734" s="771"/>
      <c r="AH3734" s="771"/>
      <c r="AI3734" s="771"/>
      <c r="AJ3734" s="771"/>
      <c r="AK3734" s="771"/>
      <c r="AL3734" s="771"/>
      <c r="AM3734" s="771"/>
      <c r="AN3734" s="771"/>
      <c r="AO3734" s="771"/>
      <c r="AP3734" s="771"/>
      <c r="AQ3734" s="771"/>
      <c r="AR3734" s="771"/>
      <c r="AS3734" s="771"/>
      <c r="AT3734" s="771"/>
      <c r="AU3734" s="771"/>
    </row>
    <row r="3735" spans="1:47" s="15" customFormat="1" outlineLevel="1" x14ac:dyDescent="0.2">
      <c r="A3735" s="8"/>
      <c r="B3735" s="8"/>
      <c r="C3735" s="1989" t="s">
        <v>1257</v>
      </c>
      <c r="D3735" s="1989" t="s">
        <v>6609</v>
      </c>
      <c r="E3735" s="1989">
        <v>14.81</v>
      </c>
      <c r="F3735" s="1546">
        <f t="shared" si="56"/>
        <v>1204.3675644</v>
      </c>
      <c r="G3735" s="1547"/>
      <c r="H3735" s="8"/>
      <c r="I3735" s="8"/>
      <c r="J3735" s="8"/>
      <c r="K3735" s="8"/>
      <c r="L3735" s="8"/>
      <c r="M3735" s="8"/>
      <c r="N3735" s="8"/>
      <c r="O3735" s="8"/>
      <c r="P3735" s="8"/>
      <c r="Q3735" s="8"/>
      <c r="R3735" s="8"/>
      <c r="S3735" s="8"/>
      <c r="T3735" s="8"/>
      <c r="U3735" s="8"/>
      <c r="V3735" s="8"/>
      <c r="W3735" s="8"/>
      <c r="X3735" s="771"/>
      <c r="Y3735" s="771"/>
      <c r="Z3735" s="771"/>
      <c r="AA3735" s="771"/>
      <c r="AB3735" s="771"/>
      <c r="AC3735" s="771"/>
      <c r="AD3735" s="771"/>
      <c r="AE3735" s="771"/>
      <c r="AF3735" s="771"/>
      <c r="AG3735" s="771"/>
      <c r="AH3735" s="771"/>
      <c r="AI3735" s="771"/>
      <c r="AJ3735" s="771"/>
      <c r="AK3735" s="771"/>
      <c r="AL3735" s="771"/>
      <c r="AM3735" s="771"/>
      <c r="AN3735" s="771"/>
      <c r="AO3735" s="771"/>
      <c r="AP3735" s="771"/>
      <c r="AQ3735" s="771"/>
      <c r="AR3735" s="771"/>
      <c r="AS3735" s="771"/>
      <c r="AT3735" s="771"/>
      <c r="AU3735" s="771"/>
    </row>
    <row r="3736" spans="1:47" s="15" customFormat="1" outlineLevel="1" x14ac:dyDescent="0.2">
      <c r="A3736" s="8"/>
      <c r="B3736" s="8"/>
      <c r="C3736" s="1989" t="s">
        <v>2728</v>
      </c>
      <c r="D3736" s="1989" t="s">
        <v>8655</v>
      </c>
      <c r="E3736" s="1989">
        <v>0</v>
      </c>
      <c r="F3736" s="1546">
        <f t="shared" si="56"/>
        <v>0</v>
      </c>
      <c r="G3736" s="1547"/>
      <c r="H3736" s="8"/>
      <c r="I3736" s="8"/>
      <c r="J3736" s="8"/>
      <c r="K3736" s="8"/>
      <c r="L3736" s="8"/>
      <c r="M3736" s="8"/>
      <c r="N3736" s="8"/>
      <c r="O3736" s="8"/>
      <c r="P3736" s="8"/>
      <c r="Q3736" s="8"/>
      <c r="R3736" s="8"/>
      <c r="S3736" s="8"/>
      <c r="T3736" s="8"/>
      <c r="U3736" s="8"/>
      <c r="V3736" s="8"/>
      <c r="W3736" s="8"/>
      <c r="X3736" s="771"/>
      <c r="Y3736" s="771"/>
      <c r="Z3736" s="771"/>
      <c r="AA3736" s="771"/>
      <c r="AB3736" s="771"/>
      <c r="AC3736" s="771"/>
      <c r="AD3736" s="771"/>
      <c r="AE3736" s="771"/>
      <c r="AF3736" s="771"/>
      <c r="AG3736" s="771"/>
      <c r="AH3736" s="771"/>
      <c r="AI3736" s="771"/>
      <c r="AJ3736" s="771"/>
      <c r="AK3736" s="771"/>
      <c r="AL3736" s="771"/>
      <c r="AM3736" s="771"/>
      <c r="AN3736" s="771"/>
      <c r="AO3736" s="771"/>
      <c r="AP3736" s="771"/>
      <c r="AQ3736" s="771"/>
      <c r="AR3736" s="771"/>
      <c r="AS3736" s="771"/>
      <c r="AT3736" s="771"/>
      <c r="AU3736" s="771"/>
    </row>
    <row r="3737" spans="1:47" s="15" customFormat="1" outlineLevel="1" x14ac:dyDescent="0.2">
      <c r="A3737" s="8"/>
      <c r="B3737" s="8"/>
      <c r="C3737" s="1989" t="s">
        <v>2729</v>
      </c>
      <c r="D3737" s="1989" t="s">
        <v>8654</v>
      </c>
      <c r="E3737" s="1989">
        <v>0</v>
      </c>
      <c r="F3737" s="1546">
        <f t="shared" si="56"/>
        <v>0</v>
      </c>
      <c r="G3737" s="1547"/>
      <c r="H3737" s="8"/>
      <c r="I3737" s="8"/>
      <c r="J3737" s="8"/>
      <c r="K3737" s="8"/>
      <c r="L3737" s="8"/>
      <c r="M3737" s="8"/>
      <c r="N3737" s="8"/>
      <c r="O3737" s="8"/>
      <c r="P3737" s="8"/>
      <c r="Q3737" s="8"/>
      <c r="R3737" s="8"/>
      <c r="S3737" s="8"/>
      <c r="T3737" s="8"/>
      <c r="U3737" s="8"/>
      <c r="V3737" s="8"/>
      <c r="W3737" s="8"/>
      <c r="X3737" s="771"/>
      <c r="Y3737" s="771"/>
      <c r="Z3737" s="771"/>
      <c r="AA3737" s="771"/>
      <c r="AB3737" s="771"/>
      <c r="AC3737" s="771"/>
      <c r="AD3737" s="771"/>
      <c r="AE3737" s="771"/>
      <c r="AF3737" s="771"/>
      <c r="AG3737" s="771"/>
      <c r="AH3737" s="771"/>
      <c r="AI3737" s="771"/>
      <c r="AJ3737" s="771"/>
      <c r="AK3737" s="771"/>
      <c r="AL3737" s="771"/>
      <c r="AM3737" s="771"/>
      <c r="AN3737" s="771"/>
      <c r="AO3737" s="771"/>
      <c r="AP3737" s="771"/>
      <c r="AQ3737" s="771"/>
      <c r="AR3737" s="771"/>
      <c r="AS3737" s="771"/>
      <c r="AT3737" s="771"/>
      <c r="AU3737" s="771"/>
    </row>
    <row r="3738" spans="1:47" s="15" customFormat="1" outlineLevel="1" x14ac:dyDescent="0.2">
      <c r="A3738" s="8"/>
      <c r="B3738" s="8"/>
      <c r="C3738" s="1989" t="s">
        <v>4330</v>
      </c>
      <c r="D3738" s="1989" t="s">
        <v>8660</v>
      </c>
      <c r="E3738" s="1989">
        <v>0</v>
      </c>
      <c r="F3738" s="1546">
        <f t="shared" si="56"/>
        <v>0</v>
      </c>
      <c r="G3738" s="1547"/>
      <c r="H3738" s="8"/>
      <c r="I3738" s="8"/>
      <c r="J3738" s="8"/>
      <c r="K3738" s="8"/>
      <c r="L3738" s="8"/>
      <c r="M3738" s="8"/>
      <c r="N3738" s="8"/>
      <c r="O3738" s="8"/>
      <c r="P3738" s="8"/>
      <c r="Q3738" s="8"/>
      <c r="R3738" s="8"/>
      <c r="S3738" s="8"/>
      <c r="T3738" s="8"/>
      <c r="U3738" s="8"/>
      <c r="V3738" s="8"/>
      <c r="W3738" s="8"/>
      <c r="X3738" s="771"/>
      <c r="Y3738" s="771"/>
      <c r="Z3738" s="771"/>
      <c r="AA3738" s="771"/>
      <c r="AB3738" s="771"/>
      <c r="AC3738" s="771"/>
      <c r="AD3738" s="771"/>
      <c r="AE3738" s="771"/>
      <c r="AF3738" s="771"/>
      <c r="AG3738" s="771"/>
      <c r="AH3738" s="771"/>
      <c r="AI3738" s="771"/>
      <c r="AJ3738" s="771"/>
      <c r="AK3738" s="771"/>
      <c r="AL3738" s="771"/>
      <c r="AM3738" s="771"/>
      <c r="AN3738" s="771"/>
      <c r="AO3738" s="771"/>
      <c r="AP3738" s="771"/>
      <c r="AQ3738" s="771"/>
      <c r="AR3738" s="771"/>
      <c r="AS3738" s="771"/>
      <c r="AT3738" s="771"/>
      <c r="AU3738" s="771"/>
    </row>
    <row r="3739" spans="1:47" s="15" customFormat="1" outlineLevel="1" x14ac:dyDescent="0.2">
      <c r="A3739" s="8"/>
      <c r="B3739" s="8"/>
      <c r="C3739" s="1989" t="s">
        <v>4331</v>
      </c>
      <c r="D3739" s="1989" t="s">
        <v>8661</v>
      </c>
      <c r="E3739" s="1989">
        <v>0</v>
      </c>
      <c r="F3739" s="1546">
        <f t="shared" si="56"/>
        <v>0</v>
      </c>
      <c r="G3739" s="1547"/>
      <c r="H3739" s="8"/>
      <c r="I3739" s="8"/>
      <c r="J3739" s="8"/>
      <c r="K3739" s="8"/>
      <c r="L3739" s="8"/>
      <c r="M3739" s="8"/>
      <c r="N3739" s="8"/>
      <c r="O3739" s="8"/>
      <c r="P3739" s="8"/>
      <c r="Q3739" s="8"/>
      <c r="R3739" s="8"/>
      <c r="S3739" s="8"/>
      <c r="T3739" s="8"/>
      <c r="U3739" s="8"/>
      <c r="V3739" s="8"/>
      <c r="W3739" s="8"/>
      <c r="X3739" s="771"/>
      <c r="Y3739" s="771"/>
      <c r="Z3739" s="771"/>
      <c r="AA3739" s="771"/>
      <c r="AB3739" s="771"/>
      <c r="AC3739" s="771"/>
      <c r="AD3739" s="771"/>
      <c r="AE3739" s="771"/>
      <c r="AF3739" s="771"/>
      <c r="AG3739" s="771"/>
      <c r="AH3739" s="771"/>
      <c r="AI3739" s="771"/>
      <c r="AJ3739" s="771"/>
      <c r="AK3739" s="771"/>
      <c r="AL3739" s="771"/>
      <c r="AM3739" s="771"/>
      <c r="AN3739" s="771"/>
      <c r="AO3739" s="771"/>
      <c r="AP3739" s="771"/>
      <c r="AQ3739" s="771"/>
      <c r="AR3739" s="771"/>
      <c r="AS3739" s="771"/>
      <c r="AT3739" s="771"/>
      <c r="AU3739" s="771"/>
    </row>
    <row r="3740" spans="1:47" s="15" customFormat="1" outlineLevel="1" x14ac:dyDescent="0.2">
      <c r="A3740" s="8"/>
      <c r="B3740" s="8"/>
      <c r="C3740" s="1989" t="s">
        <v>2002</v>
      </c>
      <c r="D3740" s="1989" t="s">
        <v>8662</v>
      </c>
      <c r="E3740" s="1989">
        <v>0.2</v>
      </c>
      <c r="F3740" s="1546">
        <f t="shared" si="56"/>
        <v>16.264248000000002</v>
      </c>
      <c r="G3740" s="1547"/>
      <c r="H3740" s="8"/>
      <c r="I3740" s="8"/>
      <c r="J3740" s="8"/>
      <c r="K3740" s="8"/>
      <c r="L3740" s="8"/>
      <c r="M3740" s="8"/>
      <c r="N3740" s="8"/>
      <c r="O3740" s="8"/>
      <c r="P3740" s="8"/>
      <c r="Q3740" s="8"/>
      <c r="R3740" s="8"/>
      <c r="S3740" s="8"/>
      <c r="T3740" s="8"/>
      <c r="U3740" s="8"/>
      <c r="V3740" s="8"/>
      <c r="W3740" s="8"/>
      <c r="X3740" s="771"/>
      <c r="Y3740" s="771"/>
      <c r="Z3740" s="771"/>
      <c r="AA3740" s="771"/>
      <c r="AB3740" s="771"/>
      <c r="AC3740" s="771"/>
      <c r="AD3740" s="771"/>
      <c r="AE3740" s="771"/>
      <c r="AF3740" s="771"/>
      <c r="AG3740" s="771"/>
      <c r="AH3740" s="771"/>
      <c r="AI3740" s="771"/>
      <c r="AJ3740" s="771"/>
      <c r="AK3740" s="771"/>
      <c r="AL3740" s="771"/>
      <c r="AM3740" s="771"/>
      <c r="AN3740" s="771"/>
      <c r="AO3740" s="771"/>
      <c r="AP3740" s="771"/>
      <c r="AQ3740" s="771"/>
      <c r="AR3740" s="771"/>
      <c r="AS3740" s="771"/>
      <c r="AT3740" s="771"/>
      <c r="AU3740" s="771"/>
    </row>
    <row r="3741" spans="1:47" s="15" customFormat="1" outlineLevel="1" x14ac:dyDescent="0.2">
      <c r="A3741" s="8"/>
      <c r="B3741" s="8"/>
      <c r="C3741" s="1989" t="s">
        <v>2003</v>
      </c>
      <c r="D3741" s="1989" t="s">
        <v>6610</v>
      </c>
      <c r="E3741" s="1989">
        <v>0.2</v>
      </c>
      <c r="F3741" s="1546">
        <f t="shared" si="56"/>
        <v>16.264248000000002</v>
      </c>
      <c r="G3741" s="1547"/>
      <c r="H3741" s="8"/>
      <c r="I3741" s="8"/>
      <c r="J3741" s="8"/>
      <c r="K3741" s="8"/>
      <c r="L3741" s="8"/>
      <c r="M3741" s="8"/>
      <c r="N3741" s="8"/>
      <c r="O3741" s="8"/>
      <c r="P3741" s="8"/>
      <c r="Q3741" s="8"/>
      <c r="R3741" s="8"/>
      <c r="S3741" s="8"/>
      <c r="T3741" s="8"/>
      <c r="U3741" s="8"/>
      <c r="V3741" s="8"/>
      <c r="W3741" s="8"/>
      <c r="X3741" s="771"/>
      <c r="Y3741" s="771"/>
      <c r="Z3741" s="771"/>
      <c r="AA3741" s="771"/>
      <c r="AB3741" s="771"/>
      <c r="AC3741" s="771"/>
      <c r="AD3741" s="771"/>
      <c r="AE3741" s="771"/>
      <c r="AF3741" s="771"/>
      <c r="AG3741" s="771"/>
      <c r="AH3741" s="771"/>
      <c r="AI3741" s="771"/>
      <c r="AJ3741" s="771"/>
      <c r="AK3741" s="771"/>
      <c r="AL3741" s="771"/>
      <c r="AM3741" s="771"/>
      <c r="AN3741" s="771"/>
      <c r="AO3741" s="771"/>
      <c r="AP3741" s="771"/>
      <c r="AQ3741" s="771"/>
      <c r="AR3741" s="771"/>
      <c r="AS3741" s="771"/>
      <c r="AT3741" s="771"/>
      <c r="AU3741" s="771"/>
    </row>
    <row r="3742" spans="1:47" s="15" customFormat="1" outlineLevel="1" x14ac:dyDescent="0.2">
      <c r="A3742" s="8"/>
      <c r="B3742" s="8"/>
      <c r="C3742" s="1989" t="s">
        <v>857</v>
      </c>
      <c r="D3742" s="1989" t="s">
        <v>858</v>
      </c>
      <c r="E3742" s="1989">
        <v>2.11</v>
      </c>
      <c r="F3742" s="1546">
        <f t="shared" si="56"/>
        <v>171.58781639999998</v>
      </c>
      <c r="G3742" s="1547"/>
      <c r="H3742" s="8"/>
      <c r="I3742" s="8"/>
      <c r="J3742" s="8"/>
      <c r="K3742" s="8"/>
      <c r="L3742" s="8"/>
      <c r="M3742" s="8"/>
      <c r="N3742" s="8"/>
      <c r="O3742" s="8"/>
      <c r="P3742" s="8"/>
      <c r="Q3742" s="8"/>
      <c r="R3742" s="8"/>
      <c r="S3742" s="8"/>
      <c r="T3742" s="8"/>
      <c r="U3742" s="8"/>
      <c r="V3742" s="8"/>
      <c r="W3742" s="8"/>
      <c r="X3742" s="771"/>
      <c r="Y3742" s="771"/>
      <c r="Z3742" s="771"/>
      <c r="AA3742" s="771"/>
      <c r="AB3742" s="771"/>
      <c r="AC3742" s="771"/>
      <c r="AD3742" s="771"/>
      <c r="AE3742" s="771"/>
      <c r="AF3742" s="771"/>
      <c r="AG3742" s="771"/>
      <c r="AH3742" s="771"/>
      <c r="AI3742" s="771"/>
      <c r="AJ3742" s="771"/>
      <c r="AK3742" s="771"/>
      <c r="AL3742" s="771"/>
      <c r="AM3742" s="771"/>
      <c r="AN3742" s="771"/>
      <c r="AO3742" s="771"/>
      <c r="AP3742" s="771"/>
      <c r="AQ3742" s="771"/>
      <c r="AR3742" s="771"/>
      <c r="AS3742" s="771"/>
      <c r="AT3742" s="771"/>
      <c r="AU3742" s="771"/>
    </row>
    <row r="3743" spans="1:47" s="15" customFormat="1" outlineLevel="1" x14ac:dyDescent="0.2">
      <c r="A3743" s="8"/>
      <c r="B3743" s="8"/>
      <c r="C3743" s="1989" t="s">
        <v>1395</v>
      </c>
      <c r="D3743" s="1989" t="s">
        <v>6611</v>
      </c>
      <c r="E3743" s="1989">
        <v>1.03</v>
      </c>
      <c r="F3743" s="1546">
        <f t="shared" si="56"/>
        <v>83.76087720000001</v>
      </c>
      <c r="G3743" s="1547"/>
      <c r="H3743" s="8"/>
      <c r="I3743" s="8"/>
      <c r="J3743" s="8"/>
      <c r="K3743" s="8"/>
      <c r="L3743" s="8"/>
      <c r="M3743" s="8"/>
      <c r="N3743" s="8"/>
      <c r="O3743" s="8"/>
      <c r="P3743" s="8"/>
      <c r="Q3743" s="8"/>
      <c r="R3743" s="8"/>
      <c r="S3743" s="8"/>
      <c r="T3743" s="8"/>
      <c r="U3743" s="8"/>
      <c r="V3743" s="8"/>
      <c r="W3743" s="8"/>
      <c r="X3743" s="771"/>
      <c r="Y3743" s="771"/>
      <c r="Z3743" s="771"/>
      <c r="AA3743" s="771"/>
      <c r="AB3743" s="771"/>
      <c r="AC3743" s="771"/>
      <c r="AD3743" s="771"/>
      <c r="AE3743" s="771"/>
      <c r="AF3743" s="771"/>
      <c r="AG3743" s="771"/>
      <c r="AH3743" s="771"/>
      <c r="AI3743" s="771"/>
      <c r="AJ3743" s="771"/>
      <c r="AK3743" s="771"/>
      <c r="AL3743" s="771"/>
      <c r="AM3743" s="771"/>
      <c r="AN3743" s="771"/>
      <c r="AO3743" s="771"/>
      <c r="AP3743" s="771"/>
      <c r="AQ3743" s="771"/>
      <c r="AR3743" s="771"/>
      <c r="AS3743" s="771"/>
      <c r="AT3743" s="771"/>
      <c r="AU3743" s="771"/>
    </row>
    <row r="3744" spans="1:47" s="15" customFormat="1" outlineLevel="1" x14ac:dyDescent="0.2">
      <c r="A3744" s="8"/>
      <c r="B3744" s="8"/>
      <c r="C3744" s="1989" t="s">
        <v>4017</v>
      </c>
      <c r="D3744" s="1989" t="s">
        <v>6612</v>
      </c>
      <c r="E3744" s="1989">
        <v>3.15</v>
      </c>
      <c r="F3744" s="1546">
        <f t="shared" si="56"/>
        <v>256.16190599999999</v>
      </c>
      <c r="G3744" s="1547"/>
      <c r="H3744" s="8"/>
      <c r="I3744" s="8"/>
      <c r="J3744" s="8"/>
      <c r="K3744" s="8"/>
      <c r="L3744" s="8"/>
      <c r="M3744" s="8"/>
      <c r="N3744" s="8"/>
      <c r="O3744" s="8"/>
      <c r="P3744" s="8"/>
      <c r="Q3744" s="8"/>
      <c r="R3744" s="8"/>
      <c r="S3744" s="8"/>
      <c r="T3744" s="8"/>
      <c r="U3744" s="8"/>
      <c r="V3744" s="8"/>
      <c r="W3744" s="8"/>
      <c r="X3744" s="771"/>
      <c r="Y3744" s="771"/>
      <c r="Z3744" s="771"/>
      <c r="AA3744" s="771"/>
      <c r="AB3744" s="771"/>
      <c r="AC3744" s="771"/>
      <c r="AD3744" s="771"/>
      <c r="AE3744" s="771"/>
      <c r="AF3744" s="771"/>
      <c r="AG3744" s="771"/>
      <c r="AH3744" s="771"/>
      <c r="AI3744" s="771"/>
      <c r="AJ3744" s="771"/>
      <c r="AK3744" s="771"/>
      <c r="AL3744" s="771"/>
      <c r="AM3744" s="771"/>
      <c r="AN3744" s="771"/>
      <c r="AO3744" s="771"/>
      <c r="AP3744" s="771"/>
      <c r="AQ3744" s="771"/>
      <c r="AR3744" s="771"/>
      <c r="AS3744" s="771"/>
      <c r="AT3744" s="771"/>
      <c r="AU3744" s="771"/>
    </row>
    <row r="3745" spans="1:47" s="15" customFormat="1" outlineLevel="1" x14ac:dyDescent="0.2">
      <c r="A3745" s="8"/>
      <c r="B3745" s="8"/>
      <c r="C3745" s="1989" t="s">
        <v>571</v>
      </c>
      <c r="D3745" s="1989" t="s">
        <v>8663</v>
      </c>
      <c r="E3745" s="1989">
        <v>1.79</v>
      </c>
      <c r="F3745" s="1546">
        <f t="shared" si="56"/>
        <v>145.56501960000003</v>
      </c>
      <c r="G3745" s="1547"/>
      <c r="H3745" s="8"/>
      <c r="I3745" s="8"/>
      <c r="J3745" s="8"/>
      <c r="K3745" s="8"/>
      <c r="L3745" s="8"/>
      <c r="M3745" s="8"/>
      <c r="N3745" s="8"/>
      <c r="O3745" s="8"/>
      <c r="P3745" s="8"/>
      <c r="Q3745" s="8"/>
      <c r="R3745" s="8"/>
      <c r="S3745" s="8"/>
      <c r="T3745" s="8"/>
      <c r="U3745" s="8"/>
      <c r="V3745" s="8"/>
      <c r="W3745" s="8"/>
      <c r="X3745" s="771"/>
      <c r="Y3745" s="771"/>
      <c r="Z3745" s="771"/>
      <c r="AA3745" s="771"/>
      <c r="AB3745" s="771"/>
      <c r="AC3745" s="771"/>
      <c r="AD3745" s="771"/>
      <c r="AE3745" s="771"/>
      <c r="AF3745" s="771"/>
      <c r="AG3745" s="771"/>
      <c r="AH3745" s="771"/>
      <c r="AI3745" s="771"/>
      <c r="AJ3745" s="771"/>
      <c r="AK3745" s="771"/>
      <c r="AL3745" s="771"/>
      <c r="AM3745" s="771"/>
      <c r="AN3745" s="771"/>
      <c r="AO3745" s="771"/>
      <c r="AP3745" s="771"/>
      <c r="AQ3745" s="771"/>
      <c r="AR3745" s="771"/>
      <c r="AS3745" s="771"/>
      <c r="AT3745" s="771"/>
      <c r="AU3745" s="771"/>
    </row>
    <row r="3746" spans="1:47" s="15" customFormat="1" outlineLevel="1" x14ac:dyDescent="0.2">
      <c r="A3746" s="8"/>
      <c r="B3746" s="8"/>
      <c r="C3746" s="1989" t="s">
        <v>835</v>
      </c>
      <c r="D3746" s="1989" t="s">
        <v>6613</v>
      </c>
      <c r="E3746" s="1989">
        <v>0.09</v>
      </c>
      <c r="F3746" s="1546">
        <f t="shared" si="56"/>
        <v>7.3189116000000007</v>
      </c>
      <c r="G3746" s="1547"/>
      <c r="H3746" s="8"/>
      <c r="I3746" s="8"/>
      <c r="J3746" s="8"/>
      <c r="K3746" s="8"/>
      <c r="L3746" s="8"/>
      <c r="M3746" s="8"/>
      <c r="N3746" s="8"/>
      <c r="O3746" s="8"/>
      <c r="P3746" s="8"/>
      <c r="Q3746" s="8"/>
      <c r="R3746" s="8"/>
      <c r="S3746" s="8"/>
      <c r="T3746" s="8"/>
      <c r="U3746" s="8"/>
      <c r="V3746" s="8"/>
      <c r="W3746" s="8"/>
      <c r="X3746" s="771"/>
      <c r="Y3746" s="771"/>
      <c r="Z3746" s="771"/>
      <c r="AA3746" s="771"/>
      <c r="AB3746" s="771"/>
      <c r="AC3746" s="771"/>
      <c r="AD3746" s="771"/>
      <c r="AE3746" s="771"/>
      <c r="AF3746" s="771"/>
      <c r="AG3746" s="771"/>
      <c r="AH3746" s="771"/>
      <c r="AI3746" s="771"/>
      <c r="AJ3746" s="771"/>
      <c r="AK3746" s="771"/>
      <c r="AL3746" s="771"/>
      <c r="AM3746" s="771"/>
      <c r="AN3746" s="771"/>
      <c r="AO3746" s="771"/>
      <c r="AP3746" s="771"/>
      <c r="AQ3746" s="771"/>
      <c r="AR3746" s="771"/>
      <c r="AS3746" s="771"/>
      <c r="AT3746" s="771"/>
      <c r="AU3746" s="771"/>
    </row>
    <row r="3747" spans="1:47" s="15" customFormat="1" outlineLevel="1" x14ac:dyDescent="0.2">
      <c r="A3747" s="8"/>
      <c r="B3747" s="8"/>
      <c r="C3747" s="1989" t="s">
        <v>832</v>
      </c>
      <c r="D3747" s="1989" t="s">
        <v>6614</v>
      </c>
      <c r="E3747" s="1989">
        <v>18.11</v>
      </c>
      <c r="F3747" s="1546">
        <f t="shared" si="56"/>
        <v>1472.7276564000001</v>
      </c>
      <c r="G3747" s="1547"/>
      <c r="H3747" s="8"/>
      <c r="I3747" s="8"/>
      <c r="J3747" s="8"/>
      <c r="K3747" s="8"/>
      <c r="L3747" s="8"/>
      <c r="M3747" s="8"/>
      <c r="N3747" s="8"/>
      <c r="O3747" s="8"/>
      <c r="P3747" s="8"/>
      <c r="Q3747" s="8"/>
      <c r="R3747" s="8"/>
      <c r="S3747" s="8"/>
      <c r="T3747" s="8"/>
      <c r="U3747" s="8"/>
      <c r="V3747" s="8"/>
      <c r="W3747" s="8"/>
      <c r="X3747" s="771"/>
      <c r="Y3747" s="771"/>
      <c r="Z3747" s="771"/>
      <c r="AA3747" s="771"/>
      <c r="AB3747" s="771"/>
      <c r="AC3747" s="771"/>
      <c r="AD3747" s="771"/>
      <c r="AE3747" s="771"/>
      <c r="AF3747" s="771"/>
      <c r="AG3747" s="771"/>
      <c r="AH3747" s="771"/>
      <c r="AI3747" s="771"/>
      <c r="AJ3747" s="771"/>
      <c r="AK3747" s="771"/>
      <c r="AL3747" s="771"/>
      <c r="AM3747" s="771"/>
      <c r="AN3747" s="771"/>
      <c r="AO3747" s="771"/>
      <c r="AP3747" s="771"/>
      <c r="AQ3747" s="771"/>
      <c r="AR3747" s="771"/>
      <c r="AS3747" s="771"/>
      <c r="AT3747" s="771"/>
      <c r="AU3747" s="771"/>
    </row>
    <row r="3748" spans="1:47" s="15" customFormat="1" outlineLevel="1" x14ac:dyDescent="0.2">
      <c r="A3748" s="8"/>
      <c r="B3748" s="8"/>
      <c r="C3748" s="1989" t="s">
        <v>1305</v>
      </c>
      <c r="D3748" s="1989" t="s">
        <v>6615</v>
      </c>
      <c r="E3748" s="1989">
        <v>1.68</v>
      </c>
      <c r="F3748" s="1546">
        <f t="shared" si="56"/>
        <v>136.6196832</v>
      </c>
      <c r="G3748" s="1547"/>
      <c r="H3748" s="8"/>
      <c r="I3748" s="8"/>
      <c r="J3748" s="8"/>
      <c r="K3748" s="8"/>
      <c r="L3748" s="8"/>
      <c r="M3748" s="8"/>
      <c r="N3748" s="8"/>
      <c r="O3748" s="8"/>
      <c r="P3748" s="8"/>
      <c r="Q3748" s="8"/>
      <c r="R3748" s="8"/>
      <c r="S3748" s="8"/>
      <c r="T3748" s="8"/>
      <c r="U3748" s="8"/>
      <c r="V3748" s="8"/>
      <c r="W3748" s="8"/>
      <c r="X3748" s="771"/>
      <c r="Y3748" s="771"/>
      <c r="Z3748" s="771"/>
      <c r="AA3748" s="771"/>
      <c r="AB3748" s="771"/>
      <c r="AC3748" s="771"/>
      <c r="AD3748" s="771"/>
      <c r="AE3748" s="771"/>
      <c r="AF3748" s="771"/>
      <c r="AG3748" s="771"/>
      <c r="AH3748" s="771"/>
      <c r="AI3748" s="771"/>
      <c r="AJ3748" s="771"/>
      <c r="AK3748" s="771"/>
      <c r="AL3748" s="771"/>
      <c r="AM3748" s="771"/>
      <c r="AN3748" s="771"/>
      <c r="AO3748" s="771"/>
      <c r="AP3748" s="771"/>
      <c r="AQ3748" s="771"/>
      <c r="AR3748" s="771"/>
      <c r="AS3748" s="771"/>
      <c r="AT3748" s="771"/>
      <c r="AU3748" s="771"/>
    </row>
    <row r="3749" spans="1:47" s="15" customFormat="1" outlineLevel="1" x14ac:dyDescent="0.2">
      <c r="A3749" s="8"/>
      <c r="B3749" s="8"/>
      <c r="C3749" s="1989" t="s">
        <v>1306</v>
      </c>
      <c r="D3749" s="1989" t="s">
        <v>6616</v>
      </c>
      <c r="E3749" s="1989">
        <v>1.68</v>
      </c>
      <c r="F3749" s="1546">
        <f t="shared" si="56"/>
        <v>136.6196832</v>
      </c>
      <c r="G3749" s="1547"/>
      <c r="H3749" s="8"/>
      <c r="I3749" s="8"/>
      <c r="J3749" s="8"/>
      <c r="K3749" s="8"/>
      <c r="L3749" s="8"/>
      <c r="M3749" s="8"/>
      <c r="N3749" s="8"/>
      <c r="O3749" s="8"/>
      <c r="P3749" s="8"/>
      <c r="Q3749" s="8"/>
      <c r="R3749" s="8"/>
      <c r="S3749" s="8"/>
      <c r="T3749" s="8"/>
      <c r="U3749" s="8"/>
      <c r="V3749" s="8"/>
      <c r="W3749" s="8"/>
      <c r="X3749" s="771"/>
      <c r="Y3749" s="771"/>
      <c r="Z3749" s="771"/>
      <c r="AA3749" s="771"/>
      <c r="AB3749" s="771"/>
      <c r="AC3749" s="771"/>
      <c r="AD3749" s="771"/>
      <c r="AE3749" s="771"/>
      <c r="AF3749" s="771"/>
      <c r="AG3749" s="771"/>
      <c r="AH3749" s="771"/>
      <c r="AI3749" s="771"/>
      <c r="AJ3749" s="771"/>
      <c r="AK3749" s="771"/>
      <c r="AL3749" s="771"/>
      <c r="AM3749" s="771"/>
      <c r="AN3749" s="771"/>
      <c r="AO3749" s="771"/>
      <c r="AP3749" s="771"/>
      <c r="AQ3749" s="771"/>
      <c r="AR3749" s="771"/>
      <c r="AS3749" s="771"/>
      <c r="AT3749" s="771"/>
      <c r="AU3749" s="771"/>
    </row>
    <row r="3750" spans="1:47" s="15" customFormat="1" outlineLevel="1" x14ac:dyDescent="0.2">
      <c r="A3750" s="8"/>
      <c r="B3750" s="8"/>
      <c r="C3750" s="1989" t="s">
        <v>1035</v>
      </c>
      <c r="D3750" s="1989" t="s">
        <v>6617</v>
      </c>
      <c r="E3750" s="1989">
        <v>13.31</v>
      </c>
      <c r="F3750" s="1546">
        <f t="shared" si="56"/>
        <v>1082.3857044000001</v>
      </c>
      <c r="G3750" s="1547"/>
      <c r="H3750" s="8"/>
      <c r="I3750" s="8"/>
      <c r="J3750" s="8"/>
      <c r="K3750" s="8"/>
      <c r="L3750" s="8"/>
      <c r="M3750" s="8"/>
      <c r="N3750" s="8"/>
      <c r="O3750" s="8"/>
      <c r="P3750" s="8"/>
      <c r="Q3750" s="8"/>
      <c r="R3750" s="8"/>
      <c r="S3750" s="8"/>
      <c r="T3750" s="8"/>
      <c r="U3750" s="8"/>
      <c r="V3750" s="8"/>
      <c r="W3750" s="8"/>
      <c r="X3750" s="771"/>
      <c r="Y3750" s="771"/>
      <c r="Z3750" s="771"/>
      <c r="AA3750" s="771"/>
      <c r="AB3750" s="771"/>
      <c r="AC3750" s="771"/>
      <c r="AD3750" s="771"/>
      <c r="AE3750" s="771"/>
      <c r="AF3750" s="771"/>
      <c r="AG3750" s="771"/>
      <c r="AH3750" s="771"/>
      <c r="AI3750" s="771"/>
      <c r="AJ3750" s="771"/>
      <c r="AK3750" s="771"/>
      <c r="AL3750" s="771"/>
      <c r="AM3750" s="771"/>
      <c r="AN3750" s="771"/>
      <c r="AO3750" s="771"/>
      <c r="AP3750" s="771"/>
      <c r="AQ3750" s="771"/>
      <c r="AR3750" s="771"/>
      <c r="AS3750" s="771"/>
      <c r="AT3750" s="771"/>
      <c r="AU3750" s="771"/>
    </row>
    <row r="3751" spans="1:47" s="15" customFormat="1" outlineLevel="1" x14ac:dyDescent="0.2">
      <c r="A3751" s="8"/>
      <c r="B3751" s="8"/>
      <c r="C3751" s="1989" t="s">
        <v>1091</v>
      </c>
      <c r="D3751" s="1989" t="s">
        <v>2742</v>
      </c>
      <c r="E3751" s="1989">
        <v>2.12</v>
      </c>
      <c r="F3751" s="1546">
        <f t="shared" ref="F3751:F3814" si="57">E3751*$G$4*$J$4</f>
        <v>172.40102880000001</v>
      </c>
      <c r="G3751" s="1547"/>
      <c r="H3751" s="8"/>
      <c r="I3751" s="8"/>
      <c r="J3751" s="8"/>
      <c r="K3751" s="8"/>
      <c r="L3751" s="8"/>
      <c r="M3751" s="8"/>
      <c r="N3751" s="8"/>
      <c r="O3751" s="8"/>
      <c r="P3751" s="8"/>
      <c r="Q3751" s="8"/>
      <c r="R3751" s="8"/>
      <c r="S3751" s="8"/>
      <c r="T3751" s="8"/>
      <c r="U3751" s="8"/>
      <c r="V3751" s="8"/>
      <c r="W3751" s="8"/>
      <c r="X3751" s="771"/>
      <c r="Y3751" s="771"/>
      <c r="Z3751" s="771"/>
      <c r="AA3751" s="771"/>
      <c r="AB3751" s="771"/>
      <c r="AC3751" s="771"/>
      <c r="AD3751" s="771"/>
      <c r="AE3751" s="771"/>
      <c r="AF3751" s="771"/>
      <c r="AG3751" s="771"/>
      <c r="AH3751" s="771"/>
      <c r="AI3751" s="771"/>
      <c r="AJ3751" s="771"/>
      <c r="AK3751" s="771"/>
      <c r="AL3751" s="771"/>
      <c r="AM3751" s="771"/>
      <c r="AN3751" s="771"/>
      <c r="AO3751" s="771"/>
      <c r="AP3751" s="771"/>
      <c r="AQ3751" s="771"/>
      <c r="AR3751" s="771"/>
      <c r="AS3751" s="771"/>
      <c r="AT3751" s="771"/>
      <c r="AU3751" s="771"/>
    </row>
    <row r="3752" spans="1:47" s="15" customFormat="1" outlineLevel="1" x14ac:dyDescent="0.2">
      <c r="A3752" s="8"/>
      <c r="B3752" s="8"/>
      <c r="C3752" s="1989" t="s">
        <v>2756</v>
      </c>
      <c r="D3752" s="1989" t="s">
        <v>8664</v>
      </c>
      <c r="E3752" s="1989">
        <v>0</v>
      </c>
      <c r="F3752" s="1546">
        <f t="shared" si="57"/>
        <v>0</v>
      </c>
      <c r="G3752" s="1547"/>
      <c r="H3752" s="8"/>
      <c r="I3752" s="8"/>
      <c r="J3752" s="8"/>
      <c r="K3752" s="8"/>
      <c r="L3752" s="8"/>
      <c r="M3752" s="8"/>
      <c r="N3752" s="8"/>
      <c r="O3752" s="8"/>
      <c r="P3752" s="8"/>
      <c r="Q3752" s="8"/>
      <c r="R3752" s="8"/>
      <c r="S3752" s="8"/>
      <c r="T3752" s="8"/>
      <c r="U3752" s="8"/>
      <c r="V3752" s="8"/>
      <c r="W3752" s="8"/>
      <c r="X3752" s="771"/>
      <c r="Y3752" s="771"/>
      <c r="Z3752" s="771"/>
      <c r="AA3752" s="771"/>
      <c r="AB3752" s="771"/>
      <c r="AC3752" s="771"/>
      <c r="AD3752" s="771"/>
      <c r="AE3752" s="771"/>
      <c r="AF3752" s="771"/>
      <c r="AG3752" s="771"/>
      <c r="AH3752" s="771"/>
      <c r="AI3752" s="771"/>
      <c r="AJ3752" s="771"/>
      <c r="AK3752" s="771"/>
      <c r="AL3752" s="771"/>
      <c r="AM3752" s="771"/>
      <c r="AN3752" s="771"/>
      <c r="AO3752" s="771"/>
      <c r="AP3752" s="771"/>
      <c r="AQ3752" s="771"/>
      <c r="AR3752" s="771"/>
      <c r="AS3752" s="771"/>
      <c r="AT3752" s="771"/>
      <c r="AU3752" s="771"/>
    </row>
    <row r="3753" spans="1:47" s="15" customFormat="1" outlineLevel="1" x14ac:dyDescent="0.2">
      <c r="A3753" s="8"/>
      <c r="B3753" s="8"/>
      <c r="C3753" s="1989" t="s">
        <v>1292</v>
      </c>
      <c r="D3753" s="1989" t="s">
        <v>6618</v>
      </c>
      <c r="E3753" s="1989">
        <v>1.42</v>
      </c>
      <c r="F3753" s="1546">
        <f t="shared" si="57"/>
        <v>115.4761608</v>
      </c>
      <c r="G3753" s="1547"/>
      <c r="H3753" s="8"/>
      <c r="I3753" s="8"/>
      <c r="J3753" s="8"/>
      <c r="K3753" s="8"/>
      <c r="L3753" s="8"/>
      <c r="M3753" s="8"/>
      <c r="N3753" s="8"/>
      <c r="O3753" s="8"/>
      <c r="P3753" s="8"/>
      <c r="Q3753" s="8"/>
      <c r="R3753" s="8"/>
      <c r="S3753" s="8"/>
      <c r="T3753" s="8"/>
      <c r="U3753" s="8"/>
      <c r="V3753" s="8"/>
      <c r="W3753" s="8"/>
      <c r="X3753" s="771"/>
      <c r="Y3753" s="771"/>
      <c r="Z3753" s="771"/>
      <c r="AA3753" s="771"/>
      <c r="AB3753" s="771"/>
      <c r="AC3753" s="771"/>
      <c r="AD3753" s="771"/>
      <c r="AE3753" s="771"/>
      <c r="AF3753" s="771"/>
      <c r="AG3753" s="771"/>
      <c r="AH3753" s="771"/>
      <c r="AI3753" s="771"/>
      <c r="AJ3753" s="771"/>
      <c r="AK3753" s="771"/>
      <c r="AL3753" s="771"/>
      <c r="AM3753" s="771"/>
      <c r="AN3753" s="771"/>
      <c r="AO3753" s="771"/>
      <c r="AP3753" s="771"/>
      <c r="AQ3753" s="771"/>
      <c r="AR3753" s="771"/>
      <c r="AS3753" s="771"/>
      <c r="AT3753" s="771"/>
      <c r="AU3753" s="771"/>
    </row>
    <row r="3754" spans="1:47" s="15" customFormat="1" outlineLevel="1" x14ac:dyDescent="0.2">
      <c r="A3754" s="8"/>
      <c r="B3754" s="8"/>
      <c r="C3754" s="1989" t="s">
        <v>403</v>
      </c>
      <c r="D3754" s="1989" t="s">
        <v>6619</v>
      </c>
      <c r="E3754" s="1989">
        <v>1.42</v>
      </c>
      <c r="F3754" s="1546">
        <f t="shared" si="57"/>
        <v>115.4761608</v>
      </c>
      <c r="G3754" s="1547"/>
      <c r="H3754" s="8"/>
      <c r="I3754" s="8"/>
      <c r="J3754" s="8"/>
      <c r="K3754" s="8"/>
      <c r="L3754" s="8"/>
      <c r="M3754" s="8"/>
      <c r="N3754" s="8"/>
      <c r="O3754" s="8"/>
      <c r="P3754" s="8"/>
      <c r="Q3754" s="8"/>
      <c r="R3754" s="8"/>
      <c r="S3754" s="8"/>
      <c r="T3754" s="8"/>
      <c r="U3754" s="8"/>
      <c r="V3754" s="8"/>
      <c r="W3754" s="8"/>
      <c r="X3754" s="771"/>
      <c r="Y3754" s="771"/>
      <c r="Z3754" s="771"/>
      <c r="AA3754" s="771"/>
      <c r="AB3754" s="771"/>
      <c r="AC3754" s="771"/>
      <c r="AD3754" s="771"/>
      <c r="AE3754" s="771"/>
      <c r="AF3754" s="771"/>
      <c r="AG3754" s="771"/>
      <c r="AH3754" s="771"/>
      <c r="AI3754" s="771"/>
      <c r="AJ3754" s="771"/>
      <c r="AK3754" s="771"/>
      <c r="AL3754" s="771"/>
      <c r="AM3754" s="771"/>
      <c r="AN3754" s="771"/>
      <c r="AO3754" s="771"/>
      <c r="AP3754" s="771"/>
      <c r="AQ3754" s="771"/>
      <c r="AR3754" s="771"/>
      <c r="AS3754" s="771"/>
      <c r="AT3754" s="771"/>
      <c r="AU3754" s="771"/>
    </row>
    <row r="3755" spans="1:47" s="15" customFormat="1" outlineLevel="1" x14ac:dyDescent="0.2">
      <c r="A3755" s="8"/>
      <c r="B3755" s="8"/>
      <c r="C3755" s="1989" t="s">
        <v>1692</v>
      </c>
      <c r="D3755" s="1989" t="s">
        <v>6620</v>
      </c>
      <c r="E3755" s="1989">
        <v>19.34</v>
      </c>
      <c r="F3755" s="1546">
        <f t="shared" si="57"/>
        <v>1572.7527815999999</v>
      </c>
      <c r="G3755" s="1547"/>
      <c r="H3755" s="8"/>
      <c r="I3755" s="8"/>
      <c r="J3755" s="8"/>
      <c r="K3755" s="8"/>
      <c r="L3755" s="8"/>
      <c r="M3755" s="8"/>
      <c r="N3755" s="8"/>
      <c r="O3755" s="8"/>
      <c r="P3755" s="8"/>
      <c r="Q3755" s="8"/>
      <c r="R3755" s="8"/>
      <c r="S3755" s="8"/>
      <c r="T3755" s="8"/>
      <c r="U3755" s="8"/>
      <c r="V3755" s="8"/>
      <c r="W3755" s="8"/>
      <c r="X3755" s="771"/>
      <c r="Y3755" s="771"/>
      <c r="Z3755" s="771"/>
      <c r="AA3755" s="771"/>
      <c r="AB3755" s="771"/>
      <c r="AC3755" s="771"/>
      <c r="AD3755" s="771"/>
      <c r="AE3755" s="771"/>
      <c r="AF3755" s="771"/>
      <c r="AG3755" s="771"/>
      <c r="AH3755" s="771"/>
      <c r="AI3755" s="771"/>
      <c r="AJ3755" s="771"/>
      <c r="AK3755" s="771"/>
      <c r="AL3755" s="771"/>
      <c r="AM3755" s="771"/>
      <c r="AN3755" s="771"/>
      <c r="AO3755" s="771"/>
      <c r="AP3755" s="771"/>
      <c r="AQ3755" s="771"/>
      <c r="AR3755" s="771"/>
      <c r="AS3755" s="771"/>
      <c r="AT3755" s="771"/>
      <c r="AU3755" s="771"/>
    </row>
    <row r="3756" spans="1:47" s="15" customFormat="1" outlineLevel="1" x14ac:dyDescent="0.2">
      <c r="A3756" s="8"/>
      <c r="B3756" s="8"/>
      <c r="C3756" s="1989" t="s">
        <v>892</v>
      </c>
      <c r="D3756" s="1989" t="s">
        <v>6621</v>
      </c>
      <c r="E3756" s="1989">
        <v>19.190000000000001</v>
      </c>
      <c r="F3756" s="1546">
        <f t="shared" si="57"/>
        <v>1560.5545956000003</v>
      </c>
      <c r="G3756" s="1547"/>
      <c r="H3756" s="8"/>
      <c r="I3756" s="8"/>
      <c r="J3756" s="8"/>
      <c r="K3756" s="8"/>
      <c r="L3756" s="8"/>
      <c r="M3756" s="8"/>
      <c r="N3756" s="8"/>
      <c r="O3756" s="8"/>
      <c r="P3756" s="8"/>
      <c r="Q3756" s="8"/>
      <c r="R3756" s="8"/>
      <c r="S3756" s="8"/>
      <c r="T3756" s="8"/>
      <c r="U3756" s="8"/>
      <c r="V3756" s="8"/>
      <c r="W3756" s="8"/>
      <c r="X3756" s="771"/>
      <c r="Y3756" s="771"/>
      <c r="Z3756" s="771"/>
      <c r="AA3756" s="771"/>
      <c r="AB3756" s="771"/>
      <c r="AC3756" s="771"/>
      <c r="AD3756" s="771"/>
      <c r="AE3756" s="771"/>
      <c r="AF3756" s="771"/>
      <c r="AG3756" s="771"/>
      <c r="AH3756" s="771"/>
      <c r="AI3756" s="771"/>
      <c r="AJ3756" s="771"/>
      <c r="AK3756" s="771"/>
      <c r="AL3756" s="771"/>
      <c r="AM3756" s="771"/>
      <c r="AN3756" s="771"/>
      <c r="AO3756" s="771"/>
      <c r="AP3756" s="771"/>
      <c r="AQ3756" s="771"/>
      <c r="AR3756" s="771"/>
      <c r="AS3756" s="771"/>
      <c r="AT3756" s="771"/>
      <c r="AU3756" s="771"/>
    </row>
    <row r="3757" spans="1:47" s="15" customFormat="1" outlineLevel="1" x14ac:dyDescent="0.2">
      <c r="A3757" s="8"/>
      <c r="B3757" s="8"/>
      <c r="C3757" s="1989" t="s">
        <v>1695</v>
      </c>
      <c r="D3757" s="1989" t="s">
        <v>1218</v>
      </c>
      <c r="E3757" s="1989">
        <v>12.31</v>
      </c>
      <c r="F3757" s="1546">
        <f t="shared" si="57"/>
        <v>1001.0644644000001</v>
      </c>
      <c r="G3757" s="1547"/>
      <c r="H3757" s="8"/>
      <c r="I3757" s="8"/>
      <c r="J3757" s="8"/>
      <c r="K3757" s="8"/>
      <c r="L3757" s="8"/>
      <c r="M3757" s="8"/>
      <c r="N3757" s="8"/>
      <c r="O3757" s="8"/>
      <c r="P3757" s="8"/>
      <c r="Q3757" s="8"/>
      <c r="R3757" s="8"/>
      <c r="S3757" s="8"/>
      <c r="T3757" s="8"/>
      <c r="U3757" s="8"/>
      <c r="V3757" s="8"/>
      <c r="W3757" s="8"/>
      <c r="X3757" s="771"/>
      <c r="Y3757" s="771"/>
      <c r="Z3757" s="771"/>
      <c r="AA3757" s="771"/>
      <c r="AB3757" s="771"/>
      <c r="AC3757" s="771"/>
      <c r="AD3757" s="771"/>
      <c r="AE3757" s="771"/>
      <c r="AF3757" s="771"/>
      <c r="AG3757" s="771"/>
      <c r="AH3757" s="771"/>
      <c r="AI3757" s="771"/>
      <c r="AJ3757" s="771"/>
      <c r="AK3757" s="771"/>
      <c r="AL3757" s="771"/>
      <c r="AM3757" s="771"/>
      <c r="AN3757" s="771"/>
      <c r="AO3757" s="771"/>
      <c r="AP3757" s="771"/>
      <c r="AQ3757" s="771"/>
      <c r="AR3757" s="771"/>
      <c r="AS3757" s="771"/>
      <c r="AT3757" s="771"/>
      <c r="AU3757" s="771"/>
    </row>
    <row r="3758" spans="1:47" s="15" customFormat="1" outlineLevel="1" x14ac:dyDescent="0.2">
      <c r="A3758" s="8"/>
      <c r="B3758" s="8"/>
      <c r="C3758" s="1989" t="s">
        <v>1696</v>
      </c>
      <c r="D3758" s="1989" t="s">
        <v>1219</v>
      </c>
      <c r="E3758" s="1989">
        <v>12.31</v>
      </c>
      <c r="F3758" s="1546">
        <f t="shared" si="57"/>
        <v>1001.0644644000001</v>
      </c>
      <c r="G3758" s="1547"/>
      <c r="H3758" s="8"/>
      <c r="I3758" s="8"/>
      <c r="J3758" s="8"/>
      <c r="K3758" s="8"/>
      <c r="L3758" s="8"/>
      <c r="M3758" s="8"/>
      <c r="N3758" s="8"/>
      <c r="O3758" s="8"/>
      <c r="P3758" s="8"/>
      <c r="Q3758" s="8"/>
      <c r="R3758" s="8"/>
      <c r="S3758" s="8"/>
      <c r="T3758" s="8"/>
      <c r="U3758" s="8"/>
      <c r="V3758" s="8"/>
      <c r="W3758" s="8"/>
      <c r="X3758" s="771"/>
      <c r="Y3758" s="771"/>
      <c r="Z3758" s="771"/>
      <c r="AA3758" s="771"/>
      <c r="AB3758" s="771"/>
      <c r="AC3758" s="771"/>
      <c r="AD3758" s="771"/>
      <c r="AE3758" s="771"/>
      <c r="AF3758" s="771"/>
      <c r="AG3758" s="771"/>
      <c r="AH3758" s="771"/>
      <c r="AI3758" s="771"/>
      <c r="AJ3758" s="771"/>
      <c r="AK3758" s="771"/>
      <c r="AL3758" s="771"/>
      <c r="AM3758" s="771"/>
      <c r="AN3758" s="771"/>
      <c r="AO3758" s="771"/>
      <c r="AP3758" s="771"/>
      <c r="AQ3758" s="771"/>
      <c r="AR3758" s="771"/>
      <c r="AS3758" s="771"/>
      <c r="AT3758" s="771"/>
      <c r="AU3758" s="771"/>
    </row>
    <row r="3759" spans="1:47" s="15" customFormat="1" outlineLevel="1" x14ac:dyDescent="0.2">
      <c r="A3759" s="8"/>
      <c r="B3759" s="8"/>
      <c r="C3759" s="1989" t="s">
        <v>4332</v>
      </c>
      <c r="D3759" s="1989" t="s">
        <v>8665</v>
      </c>
      <c r="E3759" s="1989">
        <v>0.81</v>
      </c>
      <c r="F3759" s="1546">
        <f t="shared" si="57"/>
        <v>65.870204400000006</v>
      </c>
      <c r="G3759" s="1547"/>
      <c r="H3759" s="8"/>
      <c r="I3759" s="8"/>
      <c r="J3759" s="8"/>
      <c r="K3759" s="8"/>
      <c r="L3759" s="8"/>
      <c r="M3759" s="8"/>
      <c r="N3759" s="8"/>
      <c r="O3759" s="8"/>
      <c r="P3759" s="8"/>
      <c r="Q3759" s="8"/>
      <c r="R3759" s="8"/>
      <c r="S3759" s="8"/>
      <c r="T3759" s="8"/>
      <c r="U3759" s="8"/>
      <c r="V3759" s="8"/>
      <c r="W3759" s="8"/>
      <c r="X3759" s="771"/>
      <c r="Y3759" s="771"/>
      <c r="Z3759" s="771"/>
      <c r="AA3759" s="771"/>
      <c r="AB3759" s="771"/>
      <c r="AC3759" s="771"/>
      <c r="AD3759" s="771"/>
      <c r="AE3759" s="771"/>
      <c r="AF3759" s="771"/>
      <c r="AG3759" s="771"/>
      <c r="AH3759" s="771"/>
      <c r="AI3759" s="771"/>
      <c r="AJ3759" s="771"/>
      <c r="AK3759" s="771"/>
      <c r="AL3759" s="771"/>
      <c r="AM3759" s="771"/>
      <c r="AN3759" s="771"/>
      <c r="AO3759" s="771"/>
      <c r="AP3759" s="771"/>
      <c r="AQ3759" s="771"/>
      <c r="AR3759" s="771"/>
      <c r="AS3759" s="771"/>
      <c r="AT3759" s="771"/>
      <c r="AU3759" s="771"/>
    </row>
    <row r="3760" spans="1:47" s="15" customFormat="1" outlineLevel="1" x14ac:dyDescent="0.2">
      <c r="A3760" s="8"/>
      <c r="B3760" s="8"/>
      <c r="C3760" s="1989" t="s">
        <v>4333</v>
      </c>
      <c r="D3760" s="1989" t="s">
        <v>8666</v>
      </c>
      <c r="E3760" s="1989">
        <v>0.72</v>
      </c>
      <c r="F3760" s="1546">
        <f t="shared" si="57"/>
        <v>58.551292800000006</v>
      </c>
      <c r="G3760" s="1547"/>
      <c r="H3760" s="8"/>
      <c r="I3760" s="8"/>
      <c r="J3760" s="8"/>
      <c r="K3760" s="8"/>
      <c r="L3760" s="8"/>
      <c r="M3760" s="8"/>
      <c r="N3760" s="8"/>
      <c r="O3760" s="8"/>
      <c r="P3760" s="8"/>
      <c r="Q3760" s="8"/>
      <c r="R3760" s="8"/>
      <c r="S3760" s="8"/>
      <c r="T3760" s="8"/>
      <c r="U3760" s="8"/>
      <c r="V3760" s="8"/>
      <c r="W3760" s="8"/>
      <c r="X3760" s="771"/>
      <c r="Y3760" s="771"/>
      <c r="Z3760" s="771"/>
      <c r="AA3760" s="771"/>
      <c r="AB3760" s="771"/>
      <c r="AC3760" s="771"/>
      <c r="AD3760" s="771"/>
      <c r="AE3760" s="771"/>
      <c r="AF3760" s="771"/>
      <c r="AG3760" s="771"/>
      <c r="AH3760" s="771"/>
      <c r="AI3760" s="771"/>
      <c r="AJ3760" s="771"/>
      <c r="AK3760" s="771"/>
      <c r="AL3760" s="771"/>
      <c r="AM3760" s="771"/>
      <c r="AN3760" s="771"/>
      <c r="AO3760" s="771"/>
      <c r="AP3760" s="771"/>
      <c r="AQ3760" s="771"/>
      <c r="AR3760" s="771"/>
      <c r="AS3760" s="771"/>
      <c r="AT3760" s="771"/>
      <c r="AU3760" s="771"/>
    </row>
    <row r="3761" spans="1:47" s="15" customFormat="1" outlineLevel="1" x14ac:dyDescent="0.2">
      <c r="A3761" s="8"/>
      <c r="B3761" s="8"/>
      <c r="C3761" s="1989" t="s">
        <v>3421</v>
      </c>
      <c r="D3761" s="1989" t="s">
        <v>8667</v>
      </c>
      <c r="E3761" s="1989">
        <v>0</v>
      </c>
      <c r="F3761" s="1546">
        <f t="shared" si="57"/>
        <v>0</v>
      </c>
      <c r="G3761" s="1547"/>
      <c r="H3761" s="8"/>
      <c r="I3761" s="8"/>
      <c r="J3761" s="8"/>
      <c r="K3761" s="8"/>
      <c r="L3761" s="8"/>
      <c r="M3761" s="8"/>
      <c r="N3761" s="8"/>
      <c r="O3761" s="8"/>
      <c r="P3761" s="8"/>
      <c r="Q3761" s="8"/>
      <c r="R3761" s="8"/>
      <c r="S3761" s="8"/>
      <c r="T3761" s="8"/>
      <c r="U3761" s="8"/>
      <c r="V3761" s="8"/>
      <c r="W3761" s="8"/>
      <c r="X3761" s="771"/>
      <c r="Y3761" s="771"/>
      <c r="Z3761" s="771"/>
      <c r="AA3761" s="771"/>
      <c r="AB3761" s="771"/>
      <c r="AC3761" s="771"/>
      <c r="AD3761" s="771"/>
      <c r="AE3761" s="771"/>
      <c r="AF3761" s="771"/>
      <c r="AG3761" s="771"/>
      <c r="AH3761" s="771"/>
      <c r="AI3761" s="771"/>
      <c r="AJ3761" s="771"/>
      <c r="AK3761" s="771"/>
      <c r="AL3761" s="771"/>
      <c r="AM3761" s="771"/>
      <c r="AN3761" s="771"/>
      <c r="AO3761" s="771"/>
      <c r="AP3761" s="771"/>
      <c r="AQ3761" s="771"/>
      <c r="AR3761" s="771"/>
      <c r="AS3761" s="771"/>
      <c r="AT3761" s="771"/>
      <c r="AU3761" s="771"/>
    </row>
    <row r="3762" spans="1:47" s="15" customFormat="1" outlineLevel="1" x14ac:dyDescent="0.2">
      <c r="A3762" s="8"/>
      <c r="B3762" s="8"/>
      <c r="C3762" s="1989" t="s">
        <v>4334</v>
      </c>
      <c r="D3762" s="1989" t="s">
        <v>8668</v>
      </c>
      <c r="E3762" s="1989">
        <v>0</v>
      </c>
      <c r="F3762" s="1546">
        <f t="shared" si="57"/>
        <v>0</v>
      </c>
      <c r="G3762" s="1547"/>
      <c r="H3762" s="8"/>
      <c r="I3762" s="8"/>
      <c r="J3762" s="8"/>
      <c r="K3762" s="8"/>
      <c r="L3762" s="8"/>
      <c r="M3762" s="8"/>
      <c r="N3762" s="8"/>
      <c r="O3762" s="8"/>
      <c r="P3762" s="8"/>
      <c r="Q3762" s="8"/>
      <c r="R3762" s="8"/>
      <c r="S3762" s="8"/>
      <c r="T3762" s="8"/>
      <c r="U3762" s="8"/>
      <c r="V3762" s="8"/>
      <c r="W3762" s="8"/>
      <c r="X3762" s="771"/>
      <c r="Y3762" s="771"/>
      <c r="Z3762" s="771"/>
      <c r="AA3762" s="771"/>
      <c r="AB3762" s="771"/>
      <c r="AC3762" s="771"/>
      <c r="AD3762" s="771"/>
      <c r="AE3762" s="771"/>
      <c r="AF3762" s="771"/>
      <c r="AG3762" s="771"/>
      <c r="AH3762" s="771"/>
      <c r="AI3762" s="771"/>
      <c r="AJ3762" s="771"/>
      <c r="AK3762" s="771"/>
      <c r="AL3762" s="771"/>
      <c r="AM3762" s="771"/>
      <c r="AN3762" s="771"/>
      <c r="AO3762" s="771"/>
      <c r="AP3762" s="771"/>
      <c r="AQ3762" s="771"/>
      <c r="AR3762" s="771"/>
      <c r="AS3762" s="771"/>
      <c r="AT3762" s="771"/>
      <c r="AU3762" s="771"/>
    </row>
    <row r="3763" spans="1:47" s="15" customFormat="1" outlineLevel="1" x14ac:dyDescent="0.2">
      <c r="A3763" s="8"/>
      <c r="B3763" s="8"/>
      <c r="C3763" s="1989" t="s">
        <v>2763</v>
      </c>
      <c r="D3763" s="1989" t="s">
        <v>8669</v>
      </c>
      <c r="E3763" s="1989">
        <v>0</v>
      </c>
      <c r="F3763" s="1546">
        <f t="shared" si="57"/>
        <v>0</v>
      </c>
      <c r="G3763" s="1547"/>
      <c r="H3763" s="8"/>
      <c r="I3763" s="8"/>
      <c r="J3763" s="8"/>
      <c r="K3763" s="8"/>
      <c r="L3763" s="8"/>
      <c r="M3763" s="8"/>
      <c r="N3763" s="8"/>
      <c r="O3763" s="8"/>
      <c r="P3763" s="8"/>
      <c r="Q3763" s="8"/>
      <c r="R3763" s="8"/>
      <c r="S3763" s="8"/>
      <c r="T3763" s="8"/>
      <c r="U3763" s="8"/>
      <c r="V3763" s="8"/>
      <c r="W3763" s="8"/>
      <c r="X3763" s="771"/>
      <c r="Y3763" s="771"/>
      <c r="Z3763" s="771"/>
      <c r="AA3763" s="771"/>
      <c r="AB3763" s="771"/>
      <c r="AC3763" s="771"/>
      <c r="AD3763" s="771"/>
      <c r="AE3763" s="771"/>
      <c r="AF3763" s="771"/>
      <c r="AG3763" s="771"/>
      <c r="AH3763" s="771"/>
      <c r="AI3763" s="771"/>
      <c r="AJ3763" s="771"/>
      <c r="AK3763" s="771"/>
      <c r="AL3763" s="771"/>
      <c r="AM3763" s="771"/>
      <c r="AN3763" s="771"/>
      <c r="AO3763" s="771"/>
      <c r="AP3763" s="771"/>
      <c r="AQ3763" s="771"/>
      <c r="AR3763" s="771"/>
      <c r="AS3763" s="771"/>
      <c r="AT3763" s="771"/>
      <c r="AU3763" s="771"/>
    </row>
    <row r="3764" spans="1:47" s="15" customFormat="1" outlineLevel="1" x14ac:dyDescent="0.2">
      <c r="A3764" s="8"/>
      <c r="B3764" s="8"/>
      <c r="C3764" s="1989" t="s">
        <v>2211</v>
      </c>
      <c r="D3764" s="1989" t="s">
        <v>2630</v>
      </c>
      <c r="E3764" s="1989">
        <v>6.66</v>
      </c>
      <c r="F3764" s="1546">
        <f t="shared" si="57"/>
        <v>541.5994584</v>
      </c>
      <c r="G3764" s="1547"/>
      <c r="H3764" s="8"/>
      <c r="I3764" s="8"/>
      <c r="J3764" s="8"/>
      <c r="K3764" s="8"/>
      <c r="L3764" s="8"/>
      <c r="M3764" s="8"/>
      <c r="N3764" s="8"/>
      <c r="O3764" s="8"/>
      <c r="P3764" s="8"/>
      <c r="Q3764" s="8"/>
      <c r="R3764" s="8"/>
      <c r="S3764" s="8"/>
      <c r="T3764" s="8"/>
      <c r="U3764" s="8"/>
      <c r="V3764" s="8"/>
      <c r="W3764" s="8"/>
      <c r="X3764" s="771"/>
      <c r="Y3764" s="771"/>
      <c r="Z3764" s="771"/>
      <c r="AA3764" s="771"/>
      <c r="AB3764" s="771"/>
      <c r="AC3764" s="771"/>
      <c r="AD3764" s="771"/>
      <c r="AE3764" s="771"/>
      <c r="AF3764" s="771"/>
      <c r="AG3764" s="771"/>
      <c r="AH3764" s="771"/>
      <c r="AI3764" s="771"/>
      <c r="AJ3764" s="771"/>
      <c r="AK3764" s="771"/>
      <c r="AL3764" s="771"/>
      <c r="AM3764" s="771"/>
      <c r="AN3764" s="771"/>
      <c r="AO3764" s="771"/>
      <c r="AP3764" s="771"/>
      <c r="AQ3764" s="771"/>
      <c r="AR3764" s="771"/>
      <c r="AS3764" s="771"/>
      <c r="AT3764" s="771"/>
      <c r="AU3764" s="771"/>
    </row>
    <row r="3765" spans="1:47" s="15" customFormat="1" outlineLevel="1" x14ac:dyDescent="0.2">
      <c r="A3765" s="8"/>
      <c r="B3765" s="8"/>
      <c r="C3765" s="1989" t="s">
        <v>226</v>
      </c>
      <c r="D3765" s="1989" t="s">
        <v>2631</v>
      </c>
      <c r="E3765" s="1989">
        <v>7.41</v>
      </c>
      <c r="F3765" s="1546">
        <f t="shared" si="57"/>
        <v>602.59038840000005</v>
      </c>
      <c r="G3765" s="1547"/>
      <c r="H3765" s="8"/>
      <c r="I3765" s="8"/>
      <c r="J3765" s="8"/>
      <c r="K3765" s="8"/>
      <c r="L3765" s="8"/>
      <c r="M3765" s="8"/>
      <c r="N3765" s="8"/>
      <c r="O3765" s="8"/>
      <c r="P3765" s="8"/>
      <c r="Q3765" s="8"/>
      <c r="R3765" s="8"/>
      <c r="S3765" s="8"/>
      <c r="T3765" s="8"/>
      <c r="U3765" s="8"/>
      <c r="V3765" s="8"/>
      <c r="W3765" s="8"/>
      <c r="X3765" s="771"/>
      <c r="Y3765" s="771"/>
      <c r="Z3765" s="771"/>
      <c r="AA3765" s="771"/>
      <c r="AB3765" s="771"/>
      <c r="AC3765" s="771"/>
      <c r="AD3765" s="771"/>
      <c r="AE3765" s="771"/>
      <c r="AF3765" s="771"/>
      <c r="AG3765" s="771"/>
      <c r="AH3765" s="771"/>
      <c r="AI3765" s="771"/>
      <c r="AJ3765" s="771"/>
      <c r="AK3765" s="771"/>
      <c r="AL3765" s="771"/>
      <c r="AM3765" s="771"/>
      <c r="AN3765" s="771"/>
      <c r="AO3765" s="771"/>
      <c r="AP3765" s="771"/>
      <c r="AQ3765" s="771"/>
      <c r="AR3765" s="771"/>
      <c r="AS3765" s="771"/>
      <c r="AT3765" s="771"/>
      <c r="AU3765" s="771"/>
    </row>
    <row r="3766" spans="1:47" s="15" customFormat="1" outlineLevel="1" x14ac:dyDescent="0.2">
      <c r="A3766" s="8"/>
      <c r="B3766" s="8"/>
      <c r="C3766" s="1989" t="s">
        <v>391</v>
      </c>
      <c r="D3766" s="1989" t="s">
        <v>8670</v>
      </c>
      <c r="E3766" s="1989">
        <v>0.59</v>
      </c>
      <c r="F3766" s="1546">
        <f t="shared" si="57"/>
        <v>47.979531600000001</v>
      </c>
      <c r="G3766" s="1547"/>
      <c r="H3766" s="8"/>
      <c r="I3766" s="8"/>
      <c r="J3766" s="8"/>
      <c r="K3766" s="8"/>
      <c r="L3766" s="8"/>
      <c r="M3766" s="8"/>
      <c r="N3766" s="8"/>
      <c r="O3766" s="8"/>
      <c r="P3766" s="8"/>
      <c r="Q3766" s="8"/>
      <c r="R3766" s="8"/>
      <c r="S3766" s="8"/>
      <c r="T3766" s="8"/>
      <c r="U3766" s="8"/>
      <c r="V3766" s="8"/>
      <c r="W3766" s="8"/>
      <c r="X3766" s="771"/>
      <c r="Y3766" s="771"/>
      <c r="Z3766" s="771"/>
      <c r="AA3766" s="771"/>
      <c r="AB3766" s="771"/>
      <c r="AC3766" s="771"/>
      <c r="AD3766" s="771"/>
      <c r="AE3766" s="771"/>
      <c r="AF3766" s="771"/>
      <c r="AG3766" s="771"/>
      <c r="AH3766" s="771"/>
      <c r="AI3766" s="771"/>
      <c r="AJ3766" s="771"/>
      <c r="AK3766" s="771"/>
      <c r="AL3766" s="771"/>
      <c r="AM3766" s="771"/>
      <c r="AN3766" s="771"/>
      <c r="AO3766" s="771"/>
      <c r="AP3766" s="771"/>
      <c r="AQ3766" s="771"/>
      <c r="AR3766" s="771"/>
      <c r="AS3766" s="771"/>
      <c r="AT3766" s="771"/>
      <c r="AU3766" s="771"/>
    </row>
    <row r="3767" spans="1:47" s="15" customFormat="1" outlineLevel="1" x14ac:dyDescent="0.2">
      <c r="A3767" s="8"/>
      <c r="B3767" s="8"/>
      <c r="C3767" s="1989" t="s">
        <v>675</v>
      </c>
      <c r="D3767" s="1989" t="s">
        <v>6622</v>
      </c>
      <c r="E3767" s="1989">
        <v>1.31</v>
      </c>
      <c r="F3767" s="1546">
        <f t="shared" si="57"/>
        <v>106.53082440000001</v>
      </c>
      <c r="G3767" s="1547"/>
      <c r="H3767" s="8"/>
      <c r="I3767" s="8"/>
      <c r="J3767" s="8"/>
      <c r="K3767" s="8"/>
      <c r="L3767" s="8"/>
      <c r="M3767" s="8"/>
      <c r="N3767" s="8"/>
      <c r="O3767" s="8"/>
      <c r="P3767" s="8"/>
      <c r="Q3767" s="8"/>
      <c r="R3767" s="8"/>
      <c r="S3767" s="8"/>
      <c r="T3767" s="8"/>
      <c r="U3767" s="8"/>
      <c r="V3767" s="8"/>
      <c r="W3767" s="8"/>
      <c r="X3767" s="771"/>
      <c r="Y3767" s="771"/>
      <c r="Z3767" s="771"/>
      <c r="AA3767" s="771"/>
      <c r="AB3767" s="771"/>
      <c r="AC3767" s="771"/>
      <c r="AD3767" s="771"/>
      <c r="AE3767" s="771"/>
      <c r="AF3767" s="771"/>
      <c r="AG3767" s="771"/>
      <c r="AH3767" s="771"/>
      <c r="AI3767" s="771"/>
      <c r="AJ3767" s="771"/>
      <c r="AK3767" s="771"/>
      <c r="AL3767" s="771"/>
      <c r="AM3767" s="771"/>
      <c r="AN3767" s="771"/>
      <c r="AO3767" s="771"/>
      <c r="AP3767" s="771"/>
      <c r="AQ3767" s="771"/>
      <c r="AR3767" s="771"/>
      <c r="AS3767" s="771"/>
      <c r="AT3767" s="771"/>
      <c r="AU3767" s="771"/>
    </row>
    <row r="3768" spans="1:47" s="15" customFormat="1" outlineLevel="1" x14ac:dyDescent="0.2">
      <c r="A3768" s="8"/>
      <c r="B3768" s="8"/>
      <c r="C3768" s="1989" t="s">
        <v>1293</v>
      </c>
      <c r="D3768" s="1989" t="s">
        <v>6623</v>
      </c>
      <c r="E3768" s="1989">
        <v>1.2</v>
      </c>
      <c r="F3768" s="1546">
        <f t="shared" si="57"/>
        <v>97.585487999999998</v>
      </c>
      <c r="G3768" s="1547"/>
      <c r="H3768" s="8"/>
      <c r="I3768" s="8"/>
      <c r="J3768" s="8"/>
      <c r="K3768" s="8"/>
      <c r="L3768" s="8"/>
      <c r="M3768" s="8"/>
      <c r="N3768" s="8"/>
      <c r="O3768" s="8"/>
      <c r="P3768" s="8"/>
      <c r="Q3768" s="8"/>
      <c r="R3768" s="8"/>
      <c r="S3768" s="8"/>
      <c r="T3768" s="8"/>
      <c r="U3768" s="8"/>
      <c r="V3768" s="8"/>
      <c r="W3768" s="8"/>
      <c r="X3768" s="771"/>
      <c r="Y3768" s="771"/>
      <c r="Z3768" s="771"/>
      <c r="AA3768" s="771"/>
      <c r="AB3768" s="771"/>
      <c r="AC3768" s="771"/>
      <c r="AD3768" s="771"/>
      <c r="AE3768" s="771"/>
      <c r="AF3768" s="771"/>
      <c r="AG3768" s="771"/>
      <c r="AH3768" s="771"/>
      <c r="AI3768" s="771"/>
      <c r="AJ3768" s="771"/>
      <c r="AK3768" s="771"/>
      <c r="AL3768" s="771"/>
      <c r="AM3768" s="771"/>
      <c r="AN3768" s="771"/>
      <c r="AO3768" s="771"/>
      <c r="AP3768" s="771"/>
      <c r="AQ3768" s="771"/>
      <c r="AR3768" s="771"/>
      <c r="AS3768" s="771"/>
      <c r="AT3768" s="771"/>
      <c r="AU3768" s="771"/>
    </row>
    <row r="3769" spans="1:47" s="15" customFormat="1" outlineLevel="1" x14ac:dyDescent="0.2">
      <c r="A3769" s="8"/>
      <c r="B3769" s="8"/>
      <c r="C3769" s="1989" t="s">
        <v>676</v>
      </c>
      <c r="D3769" s="1989" t="s">
        <v>6624</v>
      </c>
      <c r="E3769" s="1989">
        <v>1.31</v>
      </c>
      <c r="F3769" s="1546">
        <f t="shared" si="57"/>
        <v>106.53082440000001</v>
      </c>
      <c r="G3769" s="1547"/>
      <c r="H3769" s="8"/>
      <c r="I3769" s="8"/>
      <c r="J3769" s="8"/>
      <c r="K3769" s="8"/>
      <c r="L3769" s="8"/>
      <c r="M3769" s="8"/>
      <c r="N3769" s="8"/>
      <c r="O3769" s="8"/>
      <c r="P3769" s="8"/>
      <c r="Q3769" s="8"/>
      <c r="R3769" s="8"/>
      <c r="S3769" s="8"/>
      <c r="T3769" s="8"/>
      <c r="U3769" s="8"/>
      <c r="V3769" s="8"/>
      <c r="W3769" s="8"/>
      <c r="X3769" s="771"/>
      <c r="Y3769" s="771"/>
      <c r="Z3769" s="771"/>
      <c r="AA3769" s="771"/>
      <c r="AB3769" s="771"/>
      <c r="AC3769" s="771"/>
      <c r="AD3769" s="771"/>
      <c r="AE3769" s="771"/>
      <c r="AF3769" s="771"/>
      <c r="AG3769" s="771"/>
      <c r="AH3769" s="771"/>
      <c r="AI3769" s="771"/>
      <c r="AJ3769" s="771"/>
      <c r="AK3769" s="771"/>
      <c r="AL3769" s="771"/>
      <c r="AM3769" s="771"/>
      <c r="AN3769" s="771"/>
      <c r="AO3769" s="771"/>
      <c r="AP3769" s="771"/>
      <c r="AQ3769" s="771"/>
      <c r="AR3769" s="771"/>
      <c r="AS3769" s="771"/>
      <c r="AT3769" s="771"/>
      <c r="AU3769" s="771"/>
    </row>
    <row r="3770" spans="1:47" s="15" customFormat="1" outlineLevel="1" x14ac:dyDescent="0.2">
      <c r="A3770" s="8"/>
      <c r="B3770" s="8"/>
      <c r="C3770" s="1989" t="s">
        <v>1294</v>
      </c>
      <c r="D3770" s="1989" t="s">
        <v>6625</v>
      </c>
      <c r="E3770" s="1989">
        <v>1.31</v>
      </c>
      <c r="F3770" s="1546">
        <f t="shared" si="57"/>
        <v>106.53082440000001</v>
      </c>
      <c r="G3770" s="1547"/>
      <c r="H3770" s="8"/>
      <c r="I3770" s="8"/>
      <c r="J3770" s="8"/>
      <c r="K3770" s="8"/>
      <c r="L3770" s="8"/>
      <c r="M3770" s="8"/>
      <c r="N3770" s="8"/>
      <c r="O3770" s="8"/>
      <c r="P3770" s="8"/>
      <c r="Q3770" s="8"/>
      <c r="R3770" s="8"/>
      <c r="S3770" s="8"/>
      <c r="T3770" s="8"/>
      <c r="U3770" s="8"/>
      <c r="V3770" s="8"/>
      <c r="W3770" s="8"/>
      <c r="X3770" s="771"/>
      <c r="Y3770" s="771"/>
      <c r="Z3770" s="771"/>
      <c r="AA3770" s="771"/>
      <c r="AB3770" s="771"/>
      <c r="AC3770" s="771"/>
      <c r="AD3770" s="771"/>
      <c r="AE3770" s="771"/>
      <c r="AF3770" s="771"/>
      <c r="AG3770" s="771"/>
      <c r="AH3770" s="771"/>
      <c r="AI3770" s="771"/>
      <c r="AJ3770" s="771"/>
      <c r="AK3770" s="771"/>
      <c r="AL3770" s="771"/>
      <c r="AM3770" s="771"/>
      <c r="AN3770" s="771"/>
      <c r="AO3770" s="771"/>
      <c r="AP3770" s="771"/>
      <c r="AQ3770" s="771"/>
      <c r="AR3770" s="771"/>
      <c r="AS3770" s="771"/>
      <c r="AT3770" s="771"/>
      <c r="AU3770" s="771"/>
    </row>
    <row r="3771" spans="1:47" s="15" customFormat="1" outlineLevel="1" x14ac:dyDescent="0.2">
      <c r="A3771" s="8"/>
      <c r="B3771" s="8"/>
      <c r="C3771" s="1989" t="s">
        <v>834</v>
      </c>
      <c r="D3771" s="1989" t="s">
        <v>8671</v>
      </c>
      <c r="E3771" s="1989">
        <v>194.64</v>
      </c>
      <c r="F3771" s="1546">
        <f t="shared" si="57"/>
        <v>15828.3661536</v>
      </c>
      <c r="G3771" s="1547"/>
      <c r="H3771" s="8"/>
      <c r="I3771" s="8"/>
      <c r="J3771" s="8"/>
      <c r="K3771" s="8"/>
      <c r="L3771" s="8"/>
      <c r="M3771" s="8"/>
      <c r="N3771" s="8"/>
      <c r="O3771" s="8"/>
      <c r="P3771" s="8"/>
      <c r="Q3771" s="8"/>
      <c r="R3771" s="8"/>
      <c r="S3771" s="8"/>
      <c r="T3771" s="8"/>
      <c r="U3771" s="8"/>
      <c r="V3771" s="8"/>
      <c r="W3771" s="8"/>
      <c r="X3771" s="771"/>
      <c r="Y3771" s="771"/>
      <c r="Z3771" s="771"/>
      <c r="AA3771" s="771"/>
      <c r="AB3771" s="771"/>
      <c r="AC3771" s="771"/>
      <c r="AD3771" s="771"/>
      <c r="AE3771" s="771"/>
      <c r="AF3771" s="771"/>
      <c r="AG3771" s="771"/>
      <c r="AH3771" s="771"/>
      <c r="AI3771" s="771"/>
      <c r="AJ3771" s="771"/>
      <c r="AK3771" s="771"/>
      <c r="AL3771" s="771"/>
      <c r="AM3771" s="771"/>
      <c r="AN3771" s="771"/>
      <c r="AO3771" s="771"/>
      <c r="AP3771" s="771"/>
      <c r="AQ3771" s="771"/>
      <c r="AR3771" s="771"/>
      <c r="AS3771" s="771"/>
      <c r="AT3771" s="771"/>
      <c r="AU3771" s="771"/>
    </row>
    <row r="3772" spans="1:47" s="15" customFormat="1" outlineLevel="1" x14ac:dyDescent="0.2">
      <c r="A3772" s="8"/>
      <c r="B3772" s="8"/>
      <c r="C3772" s="1989" t="s">
        <v>4985</v>
      </c>
      <c r="D3772" s="1989" t="s">
        <v>4986</v>
      </c>
      <c r="E3772" s="1989">
        <v>0.12</v>
      </c>
      <c r="F3772" s="1546">
        <f t="shared" si="57"/>
        <v>9.7585487999999998</v>
      </c>
      <c r="G3772" s="1547"/>
      <c r="H3772" s="8"/>
      <c r="I3772" s="8"/>
      <c r="J3772" s="8"/>
      <c r="K3772" s="8"/>
      <c r="L3772" s="8"/>
      <c r="M3772" s="8"/>
      <c r="N3772" s="8"/>
      <c r="O3772" s="8"/>
      <c r="P3772" s="8"/>
      <c r="Q3772" s="8"/>
      <c r="R3772" s="8"/>
      <c r="S3772" s="8"/>
      <c r="T3772" s="8"/>
      <c r="U3772" s="8"/>
      <c r="V3772" s="8"/>
      <c r="W3772" s="8"/>
      <c r="X3772" s="771"/>
      <c r="Y3772" s="771"/>
      <c r="Z3772" s="771"/>
      <c r="AA3772" s="771"/>
      <c r="AB3772" s="771"/>
      <c r="AC3772" s="771"/>
      <c r="AD3772" s="771"/>
      <c r="AE3772" s="771"/>
      <c r="AF3772" s="771"/>
      <c r="AG3772" s="771"/>
      <c r="AH3772" s="771"/>
      <c r="AI3772" s="771"/>
      <c r="AJ3772" s="771"/>
      <c r="AK3772" s="771"/>
      <c r="AL3772" s="771"/>
      <c r="AM3772" s="771"/>
      <c r="AN3772" s="771"/>
      <c r="AO3772" s="771"/>
      <c r="AP3772" s="771"/>
      <c r="AQ3772" s="771"/>
      <c r="AR3772" s="771"/>
      <c r="AS3772" s="771"/>
      <c r="AT3772" s="771"/>
      <c r="AU3772" s="771"/>
    </row>
    <row r="3773" spans="1:47" s="15" customFormat="1" outlineLevel="1" x14ac:dyDescent="0.2">
      <c r="A3773" s="8"/>
      <c r="B3773" s="8"/>
      <c r="C3773" s="1989" t="s">
        <v>4987</v>
      </c>
      <c r="D3773" s="1989" t="s">
        <v>6626</v>
      </c>
      <c r="E3773" s="1989">
        <v>0.66</v>
      </c>
      <c r="F3773" s="1546">
        <f t="shared" si="57"/>
        <v>53.672018400000006</v>
      </c>
      <c r="G3773" s="1547"/>
      <c r="H3773" s="8"/>
      <c r="I3773" s="8"/>
      <c r="J3773" s="8"/>
      <c r="K3773" s="8"/>
      <c r="L3773" s="8"/>
      <c r="M3773" s="8"/>
      <c r="N3773" s="8"/>
      <c r="O3773" s="8"/>
      <c r="P3773" s="8"/>
      <c r="Q3773" s="8"/>
      <c r="R3773" s="8"/>
      <c r="S3773" s="8"/>
      <c r="T3773" s="8"/>
      <c r="U3773" s="8"/>
      <c r="V3773" s="8"/>
      <c r="W3773" s="8"/>
      <c r="X3773" s="771"/>
      <c r="Y3773" s="771"/>
      <c r="Z3773" s="771"/>
      <c r="AA3773" s="771"/>
      <c r="AB3773" s="771"/>
      <c r="AC3773" s="771"/>
      <c r="AD3773" s="771"/>
      <c r="AE3773" s="771"/>
      <c r="AF3773" s="771"/>
      <c r="AG3773" s="771"/>
      <c r="AH3773" s="771"/>
      <c r="AI3773" s="771"/>
      <c r="AJ3773" s="771"/>
      <c r="AK3773" s="771"/>
      <c r="AL3773" s="771"/>
      <c r="AM3773" s="771"/>
      <c r="AN3773" s="771"/>
      <c r="AO3773" s="771"/>
      <c r="AP3773" s="771"/>
      <c r="AQ3773" s="771"/>
      <c r="AR3773" s="771"/>
      <c r="AS3773" s="771"/>
      <c r="AT3773" s="771"/>
      <c r="AU3773" s="771"/>
    </row>
    <row r="3774" spans="1:47" s="15" customFormat="1" outlineLevel="1" x14ac:dyDescent="0.2">
      <c r="A3774" s="8"/>
      <c r="B3774" s="8"/>
      <c r="C3774" s="1989" t="s">
        <v>4988</v>
      </c>
      <c r="D3774" s="1989" t="s">
        <v>8672</v>
      </c>
      <c r="E3774" s="1989">
        <v>0</v>
      </c>
      <c r="F3774" s="1546">
        <f t="shared" si="57"/>
        <v>0</v>
      </c>
      <c r="G3774" s="1547"/>
      <c r="H3774" s="8"/>
      <c r="I3774" s="8"/>
      <c r="J3774" s="8"/>
      <c r="K3774" s="8"/>
      <c r="L3774" s="8"/>
      <c r="M3774" s="8"/>
      <c r="N3774" s="8"/>
      <c r="O3774" s="8"/>
      <c r="P3774" s="8"/>
      <c r="Q3774" s="8"/>
      <c r="R3774" s="8"/>
      <c r="S3774" s="8"/>
      <c r="T3774" s="8"/>
      <c r="U3774" s="8"/>
      <c r="V3774" s="8"/>
      <c r="W3774" s="8"/>
      <c r="X3774" s="771"/>
      <c r="Y3774" s="771"/>
      <c r="Z3774" s="771"/>
      <c r="AA3774" s="771"/>
      <c r="AB3774" s="771"/>
      <c r="AC3774" s="771"/>
      <c r="AD3774" s="771"/>
      <c r="AE3774" s="771"/>
      <c r="AF3774" s="771"/>
      <c r="AG3774" s="771"/>
      <c r="AH3774" s="771"/>
      <c r="AI3774" s="771"/>
      <c r="AJ3774" s="771"/>
      <c r="AK3774" s="771"/>
      <c r="AL3774" s="771"/>
      <c r="AM3774" s="771"/>
      <c r="AN3774" s="771"/>
      <c r="AO3774" s="771"/>
      <c r="AP3774" s="771"/>
      <c r="AQ3774" s="771"/>
      <c r="AR3774" s="771"/>
      <c r="AS3774" s="771"/>
      <c r="AT3774" s="771"/>
      <c r="AU3774" s="771"/>
    </row>
    <row r="3775" spans="1:47" s="15" customFormat="1" outlineLevel="1" x14ac:dyDescent="0.2">
      <c r="A3775" s="8"/>
      <c r="B3775" s="8"/>
      <c r="C3775" s="1989" t="s">
        <v>4989</v>
      </c>
      <c r="D3775" s="1989" t="s">
        <v>8673</v>
      </c>
      <c r="E3775" s="1989">
        <v>0</v>
      </c>
      <c r="F3775" s="1546">
        <f t="shared" si="57"/>
        <v>0</v>
      </c>
      <c r="G3775" s="1547"/>
      <c r="H3775" s="8"/>
      <c r="I3775" s="8"/>
      <c r="J3775" s="8"/>
      <c r="K3775" s="8"/>
      <c r="L3775" s="8"/>
      <c r="M3775" s="8"/>
      <c r="N3775" s="8"/>
      <c r="O3775" s="8"/>
      <c r="P3775" s="8"/>
      <c r="Q3775" s="8"/>
      <c r="R3775" s="8"/>
      <c r="S3775" s="8"/>
      <c r="T3775" s="8"/>
      <c r="U3775" s="8"/>
      <c r="V3775" s="8"/>
      <c r="W3775" s="8"/>
      <c r="X3775" s="771"/>
      <c r="Y3775" s="771"/>
      <c r="Z3775" s="771"/>
      <c r="AA3775" s="771"/>
      <c r="AB3775" s="771"/>
      <c r="AC3775" s="771"/>
      <c r="AD3775" s="771"/>
      <c r="AE3775" s="771"/>
      <c r="AF3775" s="771"/>
      <c r="AG3775" s="771"/>
      <c r="AH3775" s="771"/>
      <c r="AI3775" s="771"/>
      <c r="AJ3775" s="771"/>
      <c r="AK3775" s="771"/>
      <c r="AL3775" s="771"/>
      <c r="AM3775" s="771"/>
      <c r="AN3775" s="771"/>
      <c r="AO3775" s="771"/>
      <c r="AP3775" s="771"/>
      <c r="AQ3775" s="771"/>
      <c r="AR3775" s="771"/>
      <c r="AS3775" s="771"/>
      <c r="AT3775" s="771"/>
      <c r="AU3775" s="771"/>
    </row>
    <row r="3776" spans="1:47" s="15" customFormat="1" outlineLevel="1" x14ac:dyDescent="0.2">
      <c r="A3776" s="8"/>
      <c r="B3776" s="8"/>
      <c r="C3776" s="1989" t="s">
        <v>4990</v>
      </c>
      <c r="D3776" s="1989" t="s">
        <v>8674</v>
      </c>
      <c r="E3776" s="1989">
        <v>0</v>
      </c>
      <c r="F3776" s="1546">
        <f t="shared" si="57"/>
        <v>0</v>
      </c>
      <c r="G3776" s="1547"/>
      <c r="H3776" s="8"/>
      <c r="I3776" s="8"/>
      <c r="J3776" s="8"/>
      <c r="K3776" s="8"/>
      <c r="L3776" s="8"/>
      <c r="M3776" s="8"/>
      <c r="N3776" s="8"/>
      <c r="O3776" s="8"/>
      <c r="P3776" s="8"/>
      <c r="Q3776" s="8"/>
      <c r="R3776" s="8"/>
      <c r="S3776" s="8"/>
      <c r="T3776" s="8"/>
      <c r="U3776" s="8"/>
      <c r="V3776" s="8"/>
      <c r="W3776" s="8"/>
      <c r="X3776" s="771"/>
      <c r="Y3776" s="771"/>
      <c r="Z3776" s="771"/>
      <c r="AA3776" s="771"/>
      <c r="AB3776" s="771"/>
      <c r="AC3776" s="771"/>
      <c r="AD3776" s="771"/>
      <c r="AE3776" s="771"/>
      <c r="AF3776" s="771"/>
      <c r="AG3776" s="771"/>
      <c r="AH3776" s="771"/>
      <c r="AI3776" s="771"/>
      <c r="AJ3776" s="771"/>
      <c r="AK3776" s="771"/>
      <c r="AL3776" s="771"/>
      <c r="AM3776" s="771"/>
      <c r="AN3776" s="771"/>
      <c r="AO3776" s="771"/>
      <c r="AP3776" s="771"/>
      <c r="AQ3776" s="771"/>
      <c r="AR3776" s="771"/>
      <c r="AS3776" s="771"/>
      <c r="AT3776" s="771"/>
      <c r="AU3776" s="771"/>
    </row>
    <row r="3777" spans="1:47" s="15" customFormat="1" outlineLevel="1" x14ac:dyDescent="0.2">
      <c r="A3777" s="8"/>
      <c r="B3777" s="8"/>
      <c r="C3777" s="1989" t="s">
        <v>4991</v>
      </c>
      <c r="D3777" s="1989" t="s">
        <v>8675</v>
      </c>
      <c r="E3777" s="1989">
        <v>0</v>
      </c>
      <c r="F3777" s="1546">
        <f t="shared" si="57"/>
        <v>0</v>
      </c>
      <c r="G3777" s="1547"/>
      <c r="H3777" s="8"/>
      <c r="I3777" s="8"/>
      <c r="J3777" s="8"/>
      <c r="K3777" s="8"/>
      <c r="L3777" s="8"/>
      <c r="M3777" s="8"/>
      <c r="N3777" s="8"/>
      <c r="O3777" s="8"/>
      <c r="P3777" s="8"/>
      <c r="Q3777" s="8"/>
      <c r="R3777" s="8"/>
      <c r="S3777" s="8"/>
      <c r="T3777" s="8"/>
      <c r="U3777" s="8"/>
      <c r="V3777" s="8"/>
      <c r="W3777" s="8"/>
      <c r="X3777" s="771"/>
      <c r="Y3777" s="771"/>
      <c r="Z3777" s="771"/>
      <c r="AA3777" s="771"/>
      <c r="AB3777" s="771"/>
      <c r="AC3777" s="771"/>
      <c r="AD3777" s="771"/>
      <c r="AE3777" s="771"/>
      <c r="AF3777" s="771"/>
      <c r="AG3777" s="771"/>
      <c r="AH3777" s="771"/>
      <c r="AI3777" s="771"/>
      <c r="AJ3777" s="771"/>
      <c r="AK3777" s="771"/>
      <c r="AL3777" s="771"/>
      <c r="AM3777" s="771"/>
      <c r="AN3777" s="771"/>
      <c r="AO3777" s="771"/>
      <c r="AP3777" s="771"/>
      <c r="AQ3777" s="771"/>
      <c r="AR3777" s="771"/>
      <c r="AS3777" s="771"/>
      <c r="AT3777" s="771"/>
      <c r="AU3777" s="771"/>
    </row>
    <row r="3778" spans="1:47" s="15" customFormat="1" outlineLevel="1" x14ac:dyDescent="0.2">
      <c r="A3778" s="8"/>
      <c r="B3778" s="8"/>
      <c r="C3778" s="1989" t="s">
        <v>4992</v>
      </c>
      <c r="D3778" s="1989" t="s">
        <v>6627</v>
      </c>
      <c r="E3778" s="1989">
        <v>0</v>
      </c>
      <c r="F3778" s="1546">
        <f t="shared" si="57"/>
        <v>0</v>
      </c>
      <c r="G3778" s="1547"/>
      <c r="H3778" s="8"/>
      <c r="I3778" s="8"/>
      <c r="J3778" s="8"/>
      <c r="K3778" s="8"/>
      <c r="L3778" s="8"/>
      <c r="M3778" s="8"/>
      <c r="N3778" s="8"/>
      <c r="O3778" s="8"/>
      <c r="P3778" s="8"/>
      <c r="Q3778" s="8"/>
      <c r="R3778" s="8"/>
      <c r="S3778" s="8"/>
      <c r="T3778" s="8"/>
      <c r="U3778" s="8"/>
      <c r="V3778" s="8"/>
      <c r="W3778" s="8"/>
      <c r="X3778" s="771"/>
      <c r="Y3778" s="771"/>
      <c r="Z3778" s="771"/>
      <c r="AA3778" s="771"/>
      <c r="AB3778" s="771"/>
      <c r="AC3778" s="771"/>
      <c r="AD3778" s="771"/>
      <c r="AE3778" s="771"/>
      <c r="AF3778" s="771"/>
      <c r="AG3778" s="771"/>
      <c r="AH3778" s="771"/>
      <c r="AI3778" s="771"/>
      <c r="AJ3778" s="771"/>
      <c r="AK3778" s="771"/>
      <c r="AL3778" s="771"/>
      <c r="AM3778" s="771"/>
      <c r="AN3778" s="771"/>
      <c r="AO3778" s="771"/>
      <c r="AP3778" s="771"/>
      <c r="AQ3778" s="771"/>
      <c r="AR3778" s="771"/>
      <c r="AS3778" s="771"/>
      <c r="AT3778" s="771"/>
      <c r="AU3778" s="771"/>
    </row>
    <row r="3779" spans="1:47" s="15" customFormat="1" outlineLevel="1" x14ac:dyDescent="0.2">
      <c r="A3779" s="8"/>
      <c r="B3779" s="8"/>
      <c r="C3779" s="1989" t="s">
        <v>6933</v>
      </c>
      <c r="D3779" s="1989" t="s">
        <v>8676</v>
      </c>
      <c r="E3779" s="1989">
        <v>0</v>
      </c>
      <c r="F3779" s="1546">
        <f t="shared" si="57"/>
        <v>0</v>
      </c>
      <c r="G3779" s="1547"/>
      <c r="H3779" s="8"/>
      <c r="I3779" s="8"/>
      <c r="J3779" s="8"/>
      <c r="K3779" s="8"/>
      <c r="L3779" s="8"/>
      <c r="M3779" s="8"/>
      <c r="N3779" s="8"/>
      <c r="O3779" s="8"/>
      <c r="P3779" s="8"/>
      <c r="Q3779" s="8"/>
      <c r="R3779" s="8"/>
      <c r="S3779" s="8"/>
      <c r="T3779" s="8"/>
      <c r="U3779" s="8"/>
      <c r="V3779" s="8"/>
      <c r="W3779" s="8"/>
      <c r="X3779" s="771"/>
      <c r="Y3779" s="771"/>
      <c r="Z3779" s="771"/>
      <c r="AA3779" s="771"/>
      <c r="AB3779" s="771"/>
      <c r="AC3779" s="771"/>
      <c r="AD3779" s="771"/>
      <c r="AE3779" s="771"/>
      <c r="AF3779" s="771"/>
      <c r="AG3779" s="771"/>
      <c r="AH3779" s="771"/>
      <c r="AI3779" s="771"/>
      <c r="AJ3779" s="771"/>
      <c r="AK3779" s="771"/>
      <c r="AL3779" s="771"/>
      <c r="AM3779" s="771"/>
      <c r="AN3779" s="771"/>
      <c r="AO3779" s="771"/>
      <c r="AP3779" s="771"/>
      <c r="AQ3779" s="771"/>
      <c r="AR3779" s="771"/>
      <c r="AS3779" s="771"/>
      <c r="AT3779" s="771"/>
      <c r="AU3779" s="771"/>
    </row>
    <row r="3780" spans="1:47" s="15" customFormat="1" outlineLevel="1" x14ac:dyDescent="0.2">
      <c r="A3780" s="8"/>
      <c r="B3780" s="8"/>
      <c r="C3780" s="1989" t="s">
        <v>6934</v>
      </c>
      <c r="D3780" s="1989" t="s">
        <v>8677</v>
      </c>
      <c r="E3780" s="1989">
        <v>0</v>
      </c>
      <c r="F3780" s="1546">
        <f t="shared" si="57"/>
        <v>0</v>
      </c>
      <c r="G3780" s="1547"/>
      <c r="H3780" s="8"/>
      <c r="I3780" s="8"/>
      <c r="J3780" s="8"/>
      <c r="K3780" s="8"/>
      <c r="L3780" s="8"/>
      <c r="M3780" s="8"/>
      <c r="N3780" s="8"/>
      <c r="O3780" s="8"/>
      <c r="P3780" s="8"/>
      <c r="Q3780" s="8"/>
      <c r="R3780" s="8"/>
      <c r="S3780" s="8"/>
      <c r="T3780" s="8"/>
      <c r="U3780" s="8"/>
      <c r="V3780" s="8"/>
      <c r="W3780" s="8"/>
      <c r="X3780" s="771"/>
      <c r="Y3780" s="771"/>
      <c r="Z3780" s="771"/>
      <c r="AA3780" s="771"/>
      <c r="AB3780" s="771"/>
      <c r="AC3780" s="771"/>
      <c r="AD3780" s="771"/>
      <c r="AE3780" s="771"/>
      <c r="AF3780" s="771"/>
      <c r="AG3780" s="771"/>
      <c r="AH3780" s="771"/>
      <c r="AI3780" s="771"/>
      <c r="AJ3780" s="771"/>
      <c r="AK3780" s="771"/>
      <c r="AL3780" s="771"/>
      <c r="AM3780" s="771"/>
      <c r="AN3780" s="771"/>
      <c r="AO3780" s="771"/>
      <c r="AP3780" s="771"/>
      <c r="AQ3780" s="771"/>
      <c r="AR3780" s="771"/>
      <c r="AS3780" s="771"/>
      <c r="AT3780" s="771"/>
      <c r="AU3780" s="771"/>
    </row>
    <row r="3781" spans="1:47" s="15" customFormat="1" outlineLevel="1" x14ac:dyDescent="0.2">
      <c r="A3781" s="8"/>
      <c r="B3781" s="8"/>
      <c r="C3781" s="1989" t="s">
        <v>6935</v>
      </c>
      <c r="D3781" s="1989" t="s">
        <v>8678</v>
      </c>
      <c r="E3781" s="1989">
        <v>0</v>
      </c>
      <c r="F3781" s="1546">
        <f t="shared" si="57"/>
        <v>0</v>
      </c>
      <c r="G3781" s="1547"/>
      <c r="H3781" s="8"/>
      <c r="I3781" s="8"/>
      <c r="J3781" s="8"/>
      <c r="K3781" s="8"/>
      <c r="L3781" s="8"/>
      <c r="M3781" s="8"/>
      <c r="N3781" s="8"/>
      <c r="O3781" s="8"/>
      <c r="P3781" s="8"/>
      <c r="Q3781" s="8"/>
      <c r="R3781" s="8"/>
      <c r="S3781" s="8"/>
      <c r="T3781" s="8"/>
      <c r="U3781" s="8"/>
      <c r="V3781" s="8"/>
      <c r="W3781" s="8"/>
      <c r="X3781" s="771"/>
      <c r="Y3781" s="771"/>
      <c r="Z3781" s="771"/>
      <c r="AA3781" s="771"/>
      <c r="AB3781" s="771"/>
      <c r="AC3781" s="771"/>
      <c r="AD3781" s="771"/>
      <c r="AE3781" s="771"/>
      <c r="AF3781" s="771"/>
      <c r="AG3781" s="771"/>
      <c r="AH3781" s="771"/>
      <c r="AI3781" s="771"/>
      <c r="AJ3781" s="771"/>
      <c r="AK3781" s="771"/>
      <c r="AL3781" s="771"/>
      <c r="AM3781" s="771"/>
      <c r="AN3781" s="771"/>
      <c r="AO3781" s="771"/>
      <c r="AP3781" s="771"/>
      <c r="AQ3781" s="771"/>
      <c r="AR3781" s="771"/>
      <c r="AS3781" s="771"/>
      <c r="AT3781" s="771"/>
      <c r="AU3781" s="771"/>
    </row>
    <row r="3782" spans="1:47" s="15" customFormat="1" outlineLevel="1" x14ac:dyDescent="0.2">
      <c r="A3782" s="8"/>
      <c r="B3782" s="8"/>
      <c r="C3782" s="1989" t="s">
        <v>6936</v>
      </c>
      <c r="D3782" s="1989" t="s">
        <v>8679</v>
      </c>
      <c r="E3782" s="1989">
        <v>0</v>
      </c>
      <c r="F3782" s="1546">
        <f t="shared" si="57"/>
        <v>0</v>
      </c>
      <c r="G3782" s="1547"/>
      <c r="H3782" s="8"/>
      <c r="I3782" s="8"/>
      <c r="J3782" s="8"/>
      <c r="K3782" s="8"/>
      <c r="L3782" s="8"/>
      <c r="M3782" s="8"/>
      <c r="N3782" s="8"/>
      <c r="O3782" s="8"/>
      <c r="P3782" s="8"/>
      <c r="Q3782" s="8"/>
      <c r="R3782" s="8"/>
      <c r="S3782" s="8"/>
      <c r="T3782" s="8"/>
      <c r="U3782" s="8"/>
      <c r="V3782" s="8"/>
      <c r="W3782" s="8"/>
      <c r="X3782" s="771"/>
      <c r="Y3782" s="771"/>
      <c r="Z3782" s="771"/>
      <c r="AA3782" s="771"/>
      <c r="AB3782" s="771"/>
      <c r="AC3782" s="771"/>
      <c r="AD3782" s="771"/>
      <c r="AE3782" s="771"/>
      <c r="AF3782" s="771"/>
      <c r="AG3782" s="771"/>
      <c r="AH3782" s="771"/>
      <c r="AI3782" s="771"/>
      <c r="AJ3782" s="771"/>
      <c r="AK3782" s="771"/>
      <c r="AL3782" s="771"/>
      <c r="AM3782" s="771"/>
      <c r="AN3782" s="771"/>
      <c r="AO3782" s="771"/>
      <c r="AP3782" s="771"/>
      <c r="AQ3782" s="771"/>
      <c r="AR3782" s="771"/>
      <c r="AS3782" s="771"/>
      <c r="AT3782" s="771"/>
      <c r="AU3782" s="771"/>
    </row>
    <row r="3783" spans="1:47" s="15" customFormat="1" outlineLevel="1" x14ac:dyDescent="0.2">
      <c r="A3783" s="8"/>
      <c r="B3783" s="8"/>
      <c r="C3783" s="1989" t="s">
        <v>6937</v>
      </c>
      <c r="D3783" s="1989" t="s">
        <v>6628</v>
      </c>
      <c r="E3783" s="1989">
        <v>0</v>
      </c>
      <c r="F3783" s="1546">
        <f t="shared" si="57"/>
        <v>0</v>
      </c>
      <c r="G3783" s="1547"/>
      <c r="H3783" s="8"/>
      <c r="I3783" s="8"/>
      <c r="J3783" s="8"/>
      <c r="K3783" s="8"/>
      <c r="L3783" s="8"/>
      <c r="M3783" s="8"/>
      <c r="N3783" s="8"/>
      <c r="O3783" s="8"/>
      <c r="P3783" s="8"/>
      <c r="Q3783" s="8"/>
      <c r="R3783" s="8"/>
      <c r="S3783" s="8"/>
      <c r="T3783" s="8"/>
      <c r="U3783" s="8"/>
      <c r="V3783" s="8"/>
      <c r="W3783" s="8"/>
      <c r="X3783" s="771"/>
      <c r="Y3783" s="771"/>
      <c r="Z3783" s="771"/>
      <c r="AA3783" s="771"/>
      <c r="AB3783" s="771"/>
      <c r="AC3783" s="771"/>
      <c r="AD3783" s="771"/>
      <c r="AE3783" s="771"/>
      <c r="AF3783" s="771"/>
      <c r="AG3783" s="771"/>
      <c r="AH3783" s="771"/>
      <c r="AI3783" s="771"/>
      <c r="AJ3783" s="771"/>
      <c r="AK3783" s="771"/>
      <c r="AL3783" s="771"/>
      <c r="AM3783" s="771"/>
      <c r="AN3783" s="771"/>
      <c r="AO3783" s="771"/>
      <c r="AP3783" s="771"/>
      <c r="AQ3783" s="771"/>
      <c r="AR3783" s="771"/>
      <c r="AS3783" s="771"/>
      <c r="AT3783" s="771"/>
      <c r="AU3783" s="771"/>
    </row>
    <row r="3784" spans="1:47" s="15" customFormat="1" outlineLevel="1" x14ac:dyDescent="0.2">
      <c r="A3784" s="8"/>
      <c r="B3784" s="8"/>
      <c r="C3784" s="1989" t="s">
        <v>6938</v>
      </c>
      <c r="D3784" s="1989" t="s">
        <v>6629</v>
      </c>
      <c r="E3784" s="1989">
        <v>0</v>
      </c>
      <c r="F3784" s="1546">
        <f t="shared" si="57"/>
        <v>0</v>
      </c>
      <c r="G3784" s="1547"/>
      <c r="H3784" s="8"/>
      <c r="I3784" s="8"/>
      <c r="J3784" s="8"/>
      <c r="K3784" s="8"/>
      <c r="L3784" s="8"/>
      <c r="M3784" s="8"/>
      <c r="N3784" s="8"/>
      <c r="O3784" s="8"/>
      <c r="P3784" s="8"/>
      <c r="Q3784" s="8"/>
      <c r="R3784" s="8"/>
      <c r="S3784" s="8"/>
      <c r="T3784" s="8"/>
      <c r="U3784" s="8"/>
      <c r="V3784" s="8"/>
      <c r="W3784" s="8"/>
      <c r="X3784" s="771"/>
      <c r="Y3784" s="771"/>
      <c r="Z3784" s="771"/>
      <c r="AA3784" s="771"/>
      <c r="AB3784" s="771"/>
      <c r="AC3784" s="771"/>
      <c r="AD3784" s="771"/>
      <c r="AE3784" s="771"/>
      <c r="AF3784" s="771"/>
      <c r="AG3784" s="771"/>
      <c r="AH3784" s="771"/>
      <c r="AI3784" s="771"/>
      <c r="AJ3784" s="771"/>
      <c r="AK3784" s="771"/>
      <c r="AL3784" s="771"/>
      <c r="AM3784" s="771"/>
      <c r="AN3784" s="771"/>
      <c r="AO3784" s="771"/>
      <c r="AP3784" s="771"/>
      <c r="AQ3784" s="771"/>
      <c r="AR3784" s="771"/>
      <c r="AS3784" s="771"/>
      <c r="AT3784" s="771"/>
      <c r="AU3784" s="771"/>
    </row>
    <row r="3785" spans="1:47" s="15" customFormat="1" outlineLevel="1" x14ac:dyDescent="0.2">
      <c r="A3785" s="8"/>
      <c r="B3785" s="8"/>
      <c r="C3785" s="1989" t="s">
        <v>6939</v>
      </c>
      <c r="D3785" s="1989" t="s">
        <v>6630</v>
      </c>
      <c r="E3785" s="1989">
        <v>0</v>
      </c>
      <c r="F3785" s="1546">
        <f t="shared" si="57"/>
        <v>0</v>
      </c>
      <c r="G3785" s="1547"/>
      <c r="H3785" s="8"/>
      <c r="I3785" s="8"/>
      <c r="J3785" s="8"/>
      <c r="K3785" s="8"/>
      <c r="L3785" s="8"/>
      <c r="M3785" s="8"/>
      <c r="N3785" s="8"/>
      <c r="O3785" s="8"/>
      <c r="P3785" s="8"/>
      <c r="Q3785" s="8"/>
      <c r="R3785" s="8"/>
      <c r="S3785" s="8"/>
      <c r="T3785" s="8"/>
      <c r="U3785" s="8"/>
      <c r="V3785" s="8"/>
      <c r="W3785" s="8"/>
      <c r="X3785" s="771"/>
      <c r="Y3785" s="771"/>
      <c r="Z3785" s="771"/>
      <c r="AA3785" s="771"/>
      <c r="AB3785" s="771"/>
      <c r="AC3785" s="771"/>
      <c r="AD3785" s="771"/>
      <c r="AE3785" s="771"/>
      <c r="AF3785" s="771"/>
      <c r="AG3785" s="771"/>
      <c r="AH3785" s="771"/>
      <c r="AI3785" s="771"/>
      <c r="AJ3785" s="771"/>
      <c r="AK3785" s="771"/>
      <c r="AL3785" s="771"/>
      <c r="AM3785" s="771"/>
      <c r="AN3785" s="771"/>
      <c r="AO3785" s="771"/>
      <c r="AP3785" s="771"/>
      <c r="AQ3785" s="771"/>
      <c r="AR3785" s="771"/>
      <c r="AS3785" s="771"/>
      <c r="AT3785" s="771"/>
      <c r="AU3785" s="771"/>
    </row>
    <row r="3786" spans="1:47" s="15" customFormat="1" outlineLevel="1" x14ac:dyDescent="0.2">
      <c r="A3786" s="8"/>
      <c r="B3786" s="8"/>
      <c r="C3786" s="1989" t="s">
        <v>6940</v>
      </c>
      <c r="D3786" s="1989" t="s">
        <v>6631</v>
      </c>
      <c r="E3786" s="1989">
        <v>0</v>
      </c>
      <c r="F3786" s="1546">
        <f t="shared" si="57"/>
        <v>0</v>
      </c>
      <c r="G3786" s="1547"/>
      <c r="H3786" s="8"/>
      <c r="I3786" s="8"/>
      <c r="J3786" s="8"/>
      <c r="K3786" s="8"/>
      <c r="L3786" s="8"/>
      <c r="M3786" s="8"/>
      <c r="N3786" s="8"/>
      <c r="O3786" s="8"/>
      <c r="P3786" s="8"/>
      <c r="Q3786" s="8"/>
      <c r="R3786" s="8"/>
      <c r="S3786" s="8"/>
      <c r="T3786" s="8"/>
      <c r="U3786" s="8"/>
      <c r="V3786" s="8"/>
      <c r="W3786" s="8"/>
      <c r="X3786" s="771"/>
      <c r="Y3786" s="771"/>
      <c r="Z3786" s="771"/>
      <c r="AA3786" s="771"/>
      <c r="AB3786" s="771"/>
      <c r="AC3786" s="771"/>
      <c r="AD3786" s="771"/>
      <c r="AE3786" s="771"/>
      <c r="AF3786" s="771"/>
      <c r="AG3786" s="771"/>
      <c r="AH3786" s="771"/>
      <c r="AI3786" s="771"/>
      <c r="AJ3786" s="771"/>
      <c r="AK3786" s="771"/>
      <c r="AL3786" s="771"/>
      <c r="AM3786" s="771"/>
      <c r="AN3786" s="771"/>
      <c r="AO3786" s="771"/>
      <c r="AP3786" s="771"/>
      <c r="AQ3786" s="771"/>
      <c r="AR3786" s="771"/>
      <c r="AS3786" s="771"/>
      <c r="AT3786" s="771"/>
      <c r="AU3786" s="771"/>
    </row>
    <row r="3787" spans="1:47" s="15" customFormat="1" outlineLevel="1" x14ac:dyDescent="0.2">
      <c r="A3787" s="8"/>
      <c r="B3787" s="8"/>
      <c r="C3787" s="1989" t="s">
        <v>6941</v>
      </c>
      <c r="D3787" s="1989" t="s">
        <v>6632</v>
      </c>
      <c r="E3787" s="1989">
        <v>0</v>
      </c>
      <c r="F3787" s="1546">
        <f t="shared" si="57"/>
        <v>0</v>
      </c>
      <c r="G3787" s="1547"/>
      <c r="H3787" s="8"/>
      <c r="I3787" s="8"/>
      <c r="J3787" s="8"/>
      <c r="K3787" s="8"/>
      <c r="L3787" s="8"/>
      <c r="M3787" s="8"/>
      <c r="N3787" s="8"/>
      <c r="O3787" s="8"/>
      <c r="P3787" s="8"/>
      <c r="Q3787" s="8"/>
      <c r="R3787" s="8"/>
      <c r="S3787" s="8"/>
      <c r="T3787" s="8"/>
      <c r="U3787" s="8"/>
      <c r="V3787" s="8"/>
      <c r="W3787" s="8"/>
      <c r="X3787" s="771"/>
      <c r="Y3787" s="771"/>
      <c r="Z3787" s="771"/>
      <c r="AA3787" s="771"/>
      <c r="AB3787" s="771"/>
      <c r="AC3787" s="771"/>
      <c r="AD3787" s="771"/>
      <c r="AE3787" s="771"/>
      <c r="AF3787" s="771"/>
      <c r="AG3787" s="771"/>
      <c r="AH3787" s="771"/>
      <c r="AI3787" s="771"/>
      <c r="AJ3787" s="771"/>
      <c r="AK3787" s="771"/>
      <c r="AL3787" s="771"/>
      <c r="AM3787" s="771"/>
      <c r="AN3787" s="771"/>
      <c r="AO3787" s="771"/>
      <c r="AP3787" s="771"/>
      <c r="AQ3787" s="771"/>
      <c r="AR3787" s="771"/>
      <c r="AS3787" s="771"/>
      <c r="AT3787" s="771"/>
      <c r="AU3787" s="771"/>
    </row>
    <row r="3788" spans="1:47" s="15" customFormat="1" outlineLevel="1" x14ac:dyDescent="0.2">
      <c r="A3788" s="8"/>
      <c r="B3788" s="8"/>
      <c r="C3788" s="1989" t="s">
        <v>6942</v>
      </c>
      <c r="D3788" s="1989" t="s">
        <v>6633</v>
      </c>
      <c r="E3788" s="1989">
        <v>0</v>
      </c>
      <c r="F3788" s="1546">
        <f t="shared" si="57"/>
        <v>0</v>
      </c>
      <c r="G3788" s="1547"/>
      <c r="H3788" s="8"/>
      <c r="I3788" s="8"/>
      <c r="J3788" s="8"/>
      <c r="K3788" s="8"/>
      <c r="L3788" s="8"/>
      <c r="M3788" s="8"/>
      <c r="N3788" s="8"/>
      <c r="O3788" s="8"/>
      <c r="P3788" s="8"/>
      <c r="Q3788" s="8"/>
      <c r="R3788" s="8"/>
      <c r="S3788" s="8"/>
      <c r="T3788" s="8"/>
      <c r="U3788" s="8"/>
      <c r="V3788" s="8"/>
      <c r="W3788" s="8"/>
      <c r="X3788" s="771"/>
      <c r="Y3788" s="771"/>
      <c r="Z3788" s="771"/>
      <c r="AA3788" s="771"/>
      <c r="AB3788" s="771"/>
      <c r="AC3788" s="771"/>
      <c r="AD3788" s="771"/>
      <c r="AE3788" s="771"/>
      <c r="AF3788" s="771"/>
      <c r="AG3788" s="771"/>
      <c r="AH3788" s="771"/>
      <c r="AI3788" s="771"/>
      <c r="AJ3788" s="771"/>
      <c r="AK3788" s="771"/>
      <c r="AL3788" s="771"/>
      <c r="AM3788" s="771"/>
      <c r="AN3788" s="771"/>
      <c r="AO3788" s="771"/>
      <c r="AP3788" s="771"/>
      <c r="AQ3788" s="771"/>
      <c r="AR3788" s="771"/>
      <c r="AS3788" s="771"/>
      <c r="AT3788" s="771"/>
      <c r="AU3788" s="771"/>
    </row>
    <row r="3789" spans="1:47" s="15" customFormat="1" outlineLevel="1" x14ac:dyDescent="0.2">
      <c r="A3789" s="8"/>
      <c r="B3789" s="8"/>
      <c r="C3789" s="1989" t="s">
        <v>6943</v>
      </c>
      <c r="D3789" s="1989" t="s">
        <v>6634</v>
      </c>
      <c r="E3789" s="1989">
        <v>0</v>
      </c>
      <c r="F3789" s="1546">
        <f t="shared" si="57"/>
        <v>0</v>
      </c>
      <c r="G3789" s="1547"/>
      <c r="H3789" s="8"/>
      <c r="I3789" s="8"/>
      <c r="J3789" s="8"/>
      <c r="K3789" s="8"/>
      <c r="L3789" s="8"/>
      <c r="M3789" s="8"/>
      <c r="N3789" s="8"/>
      <c r="O3789" s="8"/>
      <c r="P3789" s="8"/>
      <c r="Q3789" s="8"/>
      <c r="R3789" s="8"/>
      <c r="S3789" s="8"/>
      <c r="T3789" s="8"/>
      <c r="U3789" s="8"/>
      <c r="V3789" s="8"/>
      <c r="W3789" s="8"/>
      <c r="X3789" s="771"/>
      <c r="Y3789" s="771"/>
      <c r="Z3789" s="771"/>
      <c r="AA3789" s="771"/>
      <c r="AB3789" s="771"/>
      <c r="AC3789" s="771"/>
      <c r="AD3789" s="771"/>
      <c r="AE3789" s="771"/>
      <c r="AF3789" s="771"/>
      <c r="AG3789" s="771"/>
      <c r="AH3789" s="771"/>
      <c r="AI3789" s="771"/>
      <c r="AJ3789" s="771"/>
      <c r="AK3789" s="771"/>
      <c r="AL3789" s="771"/>
      <c r="AM3789" s="771"/>
      <c r="AN3789" s="771"/>
      <c r="AO3789" s="771"/>
      <c r="AP3789" s="771"/>
      <c r="AQ3789" s="771"/>
      <c r="AR3789" s="771"/>
      <c r="AS3789" s="771"/>
      <c r="AT3789" s="771"/>
      <c r="AU3789" s="771"/>
    </row>
    <row r="3790" spans="1:47" s="15" customFormat="1" outlineLevel="1" x14ac:dyDescent="0.2">
      <c r="A3790" s="8"/>
      <c r="B3790" s="8"/>
      <c r="C3790" s="1989" t="s">
        <v>6944</v>
      </c>
      <c r="D3790" s="1989" t="s">
        <v>6635</v>
      </c>
      <c r="E3790" s="1989">
        <v>0</v>
      </c>
      <c r="F3790" s="1546">
        <f t="shared" si="57"/>
        <v>0</v>
      </c>
      <c r="G3790" s="1547"/>
      <c r="H3790" s="8"/>
      <c r="I3790" s="8"/>
      <c r="J3790" s="8"/>
      <c r="K3790" s="8"/>
      <c r="L3790" s="8"/>
      <c r="M3790" s="8"/>
      <c r="N3790" s="8"/>
      <c r="O3790" s="8"/>
      <c r="P3790" s="8"/>
      <c r="Q3790" s="8"/>
      <c r="R3790" s="8"/>
      <c r="S3790" s="8"/>
      <c r="T3790" s="8"/>
      <c r="U3790" s="8"/>
      <c r="V3790" s="8"/>
      <c r="W3790" s="8"/>
      <c r="X3790" s="771"/>
      <c r="Y3790" s="771"/>
      <c r="Z3790" s="771"/>
      <c r="AA3790" s="771"/>
      <c r="AB3790" s="771"/>
      <c r="AC3790" s="771"/>
      <c r="AD3790" s="771"/>
      <c r="AE3790" s="771"/>
      <c r="AF3790" s="771"/>
      <c r="AG3790" s="771"/>
      <c r="AH3790" s="771"/>
      <c r="AI3790" s="771"/>
      <c r="AJ3790" s="771"/>
      <c r="AK3790" s="771"/>
      <c r="AL3790" s="771"/>
      <c r="AM3790" s="771"/>
      <c r="AN3790" s="771"/>
      <c r="AO3790" s="771"/>
      <c r="AP3790" s="771"/>
      <c r="AQ3790" s="771"/>
      <c r="AR3790" s="771"/>
      <c r="AS3790" s="771"/>
      <c r="AT3790" s="771"/>
      <c r="AU3790" s="771"/>
    </row>
    <row r="3791" spans="1:47" s="15" customFormat="1" outlineLevel="1" x14ac:dyDescent="0.2">
      <c r="A3791" s="8"/>
      <c r="B3791" s="8"/>
      <c r="C3791" s="1989" t="s">
        <v>6945</v>
      </c>
      <c r="D3791" s="1989" t="s">
        <v>8680</v>
      </c>
      <c r="E3791" s="1989">
        <v>0</v>
      </c>
      <c r="F3791" s="1546">
        <f t="shared" si="57"/>
        <v>0</v>
      </c>
      <c r="G3791" s="1547"/>
      <c r="H3791" s="8"/>
      <c r="I3791" s="8"/>
      <c r="J3791" s="8"/>
      <c r="K3791" s="8"/>
      <c r="L3791" s="8"/>
      <c r="M3791" s="8"/>
      <c r="N3791" s="8"/>
      <c r="O3791" s="8"/>
      <c r="P3791" s="8"/>
      <c r="Q3791" s="8"/>
      <c r="R3791" s="8"/>
      <c r="S3791" s="8"/>
      <c r="T3791" s="8"/>
      <c r="U3791" s="8"/>
      <c r="V3791" s="8"/>
      <c r="W3791" s="8"/>
      <c r="X3791" s="771"/>
      <c r="Y3791" s="771"/>
      <c r="Z3791" s="771"/>
      <c r="AA3791" s="771"/>
      <c r="AB3791" s="771"/>
      <c r="AC3791" s="771"/>
      <c r="AD3791" s="771"/>
      <c r="AE3791" s="771"/>
      <c r="AF3791" s="771"/>
      <c r="AG3791" s="771"/>
      <c r="AH3791" s="771"/>
      <c r="AI3791" s="771"/>
      <c r="AJ3791" s="771"/>
      <c r="AK3791" s="771"/>
      <c r="AL3791" s="771"/>
      <c r="AM3791" s="771"/>
      <c r="AN3791" s="771"/>
      <c r="AO3791" s="771"/>
      <c r="AP3791" s="771"/>
      <c r="AQ3791" s="771"/>
      <c r="AR3791" s="771"/>
      <c r="AS3791" s="771"/>
      <c r="AT3791" s="771"/>
      <c r="AU3791" s="771"/>
    </row>
    <row r="3792" spans="1:47" s="15" customFormat="1" outlineLevel="1" x14ac:dyDescent="0.2">
      <c r="A3792" s="8"/>
      <c r="B3792" s="8"/>
      <c r="C3792" s="1989" t="s">
        <v>6946</v>
      </c>
      <c r="D3792" s="1989" t="s">
        <v>6636</v>
      </c>
      <c r="E3792" s="1989">
        <v>0</v>
      </c>
      <c r="F3792" s="1546">
        <f t="shared" si="57"/>
        <v>0</v>
      </c>
      <c r="G3792" s="1547"/>
      <c r="H3792" s="8"/>
      <c r="I3792" s="8"/>
      <c r="J3792" s="8"/>
      <c r="K3792" s="8"/>
      <c r="L3792" s="8"/>
      <c r="M3792" s="8"/>
      <c r="N3792" s="8"/>
      <c r="O3792" s="8"/>
      <c r="P3792" s="8"/>
      <c r="Q3792" s="8"/>
      <c r="R3792" s="8"/>
      <c r="S3792" s="8"/>
      <c r="T3792" s="8"/>
      <c r="U3792" s="8"/>
      <c r="V3792" s="8"/>
      <c r="W3792" s="8"/>
      <c r="X3792" s="771"/>
      <c r="Y3792" s="771"/>
      <c r="Z3792" s="771"/>
      <c r="AA3792" s="771"/>
      <c r="AB3792" s="771"/>
      <c r="AC3792" s="771"/>
      <c r="AD3792" s="771"/>
      <c r="AE3792" s="771"/>
      <c r="AF3792" s="771"/>
      <c r="AG3792" s="771"/>
      <c r="AH3792" s="771"/>
      <c r="AI3792" s="771"/>
      <c r="AJ3792" s="771"/>
      <c r="AK3792" s="771"/>
      <c r="AL3792" s="771"/>
      <c r="AM3792" s="771"/>
      <c r="AN3792" s="771"/>
      <c r="AO3792" s="771"/>
      <c r="AP3792" s="771"/>
      <c r="AQ3792" s="771"/>
      <c r="AR3792" s="771"/>
      <c r="AS3792" s="771"/>
      <c r="AT3792" s="771"/>
      <c r="AU3792" s="771"/>
    </row>
    <row r="3793" spans="1:47" s="15" customFormat="1" outlineLevel="1" x14ac:dyDescent="0.2">
      <c r="A3793" s="8"/>
      <c r="B3793" s="8"/>
      <c r="C3793" s="1989" t="s">
        <v>6947</v>
      </c>
      <c r="D3793" s="1989" t="s">
        <v>6637</v>
      </c>
      <c r="E3793" s="1989">
        <v>0</v>
      </c>
      <c r="F3793" s="1546">
        <f t="shared" si="57"/>
        <v>0</v>
      </c>
      <c r="G3793" s="1547"/>
      <c r="H3793" s="8"/>
      <c r="I3793" s="8"/>
      <c r="J3793" s="8"/>
      <c r="K3793" s="8"/>
      <c r="L3793" s="8"/>
      <c r="M3793" s="8"/>
      <c r="N3793" s="8"/>
      <c r="O3793" s="8"/>
      <c r="P3793" s="8"/>
      <c r="Q3793" s="8"/>
      <c r="R3793" s="8"/>
      <c r="S3793" s="8"/>
      <c r="T3793" s="8"/>
      <c r="U3793" s="8"/>
      <c r="V3793" s="8"/>
      <c r="W3793" s="8"/>
      <c r="X3793" s="771"/>
      <c r="Y3793" s="771"/>
      <c r="Z3793" s="771"/>
      <c r="AA3793" s="771"/>
      <c r="AB3793" s="771"/>
      <c r="AC3793" s="771"/>
      <c r="AD3793" s="771"/>
      <c r="AE3793" s="771"/>
      <c r="AF3793" s="771"/>
      <c r="AG3793" s="771"/>
      <c r="AH3793" s="771"/>
      <c r="AI3793" s="771"/>
      <c r="AJ3793" s="771"/>
      <c r="AK3793" s="771"/>
      <c r="AL3793" s="771"/>
      <c r="AM3793" s="771"/>
      <c r="AN3793" s="771"/>
      <c r="AO3793" s="771"/>
      <c r="AP3793" s="771"/>
      <c r="AQ3793" s="771"/>
      <c r="AR3793" s="771"/>
      <c r="AS3793" s="771"/>
      <c r="AT3793" s="771"/>
      <c r="AU3793" s="771"/>
    </row>
    <row r="3794" spans="1:47" s="15" customFormat="1" outlineLevel="1" x14ac:dyDescent="0.2">
      <c r="A3794" s="8"/>
      <c r="B3794" s="8"/>
      <c r="C3794" s="1989" t="s">
        <v>6948</v>
      </c>
      <c r="D3794" s="1989" t="s">
        <v>6638</v>
      </c>
      <c r="E3794" s="1989">
        <v>0</v>
      </c>
      <c r="F3794" s="1546">
        <f t="shared" si="57"/>
        <v>0</v>
      </c>
      <c r="G3794" s="1547"/>
      <c r="H3794" s="8"/>
      <c r="I3794" s="8"/>
      <c r="J3794" s="8"/>
      <c r="K3794" s="8"/>
      <c r="L3794" s="8"/>
      <c r="M3794" s="8"/>
      <c r="N3794" s="8"/>
      <c r="O3794" s="8"/>
      <c r="P3794" s="8"/>
      <c r="Q3794" s="8"/>
      <c r="R3794" s="8"/>
      <c r="S3794" s="8"/>
      <c r="T3794" s="8"/>
      <c r="U3794" s="8"/>
      <c r="V3794" s="8"/>
      <c r="W3794" s="8"/>
      <c r="X3794" s="771"/>
      <c r="Y3794" s="771"/>
      <c r="Z3794" s="771"/>
      <c r="AA3794" s="771"/>
      <c r="AB3794" s="771"/>
      <c r="AC3794" s="771"/>
      <c r="AD3794" s="771"/>
      <c r="AE3794" s="771"/>
      <c r="AF3794" s="771"/>
      <c r="AG3794" s="771"/>
      <c r="AH3794" s="771"/>
      <c r="AI3794" s="771"/>
      <c r="AJ3794" s="771"/>
      <c r="AK3794" s="771"/>
      <c r="AL3794" s="771"/>
      <c r="AM3794" s="771"/>
      <c r="AN3794" s="771"/>
      <c r="AO3794" s="771"/>
      <c r="AP3794" s="771"/>
      <c r="AQ3794" s="771"/>
      <c r="AR3794" s="771"/>
      <c r="AS3794" s="771"/>
      <c r="AT3794" s="771"/>
      <c r="AU3794" s="771"/>
    </row>
    <row r="3795" spans="1:47" s="15" customFormat="1" outlineLevel="1" x14ac:dyDescent="0.2">
      <c r="A3795" s="8"/>
      <c r="B3795" s="8"/>
      <c r="C3795" s="1989" t="s">
        <v>6949</v>
      </c>
      <c r="D3795" s="1989" t="s">
        <v>6639</v>
      </c>
      <c r="E3795" s="1989">
        <v>0</v>
      </c>
      <c r="F3795" s="1546">
        <f t="shared" si="57"/>
        <v>0</v>
      </c>
      <c r="G3795" s="1547"/>
      <c r="H3795" s="8"/>
      <c r="I3795" s="8"/>
      <c r="J3795" s="8"/>
      <c r="K3795" s="8"/>
      <c r="L3795" s="8"/>
      <c r="M3795" s="8"/>
      <c r="N3795" s="8"/>
      <c r="O3795" s="8"/>
      <c r="P3795" s="8"/>
      <c r="Q3795" s="8"/>
      <c r="R3795" s="8"/>
      <c r="S3795" s="8"/>
      <c r="T3795" s="8"/>
      <c r="U3795" s="8"/>
      <c r="V3795" s="8"/>
      <c r="W3795" s="8"/>
      <c r="X3795" s="771"/>
      <c r="Y3795" s="771"/>
      <c r="Z3795" s="771"/>
      <c r="AA3795" s="771"/>
      <c r="AB3795" s="771"/>
      <c r="AC3795" s="771"/>
      <c r="AD3795" s="771"/>
      <c r="AE3795" s="771"/>
      <c r="AF3795" s="771"/>
      <c r="AG3795" s="771"/>
      <c r="AH3795" s="771"/>
      <c r="AI3795" s="771"/>
      <c r="AJ3795" s="771"/>
      <c r="AK3795" s="771"/>
      <c r="AL3795" s="771"/>
      <c r="AM3795" s="771"/>
      <c r="AN3795" s="771"/>
      <c r="AO3795" s="771"/>
      <c r="AP3795" s="771"/>
      <c r="AQ3795" s="771"/>
      <c r="AR3795" s="771"/>
      <c r="AS3795" s="771"/>
      <c r="AT3795" s="771"/>
      <c r="AU3795" s="771"/>
    </row>
    <row r="3796" spans="1:47" s="15" customFormat="1" outlineLevel="1" x14ac:dyDescent="0.2">
      <c r="A3796" s="8"/>
      <c r="B3796" s="8"/>
      <c r="C3796" s="1989" t="s">
        <v>6950</v>
      </c>
      <c r="D3796" s="1989" t="s">
        <v>6640</v>
      </c>
      <c r="E3796" s="1989">
        <v>0</v>
      </c>
      <c r="F3796" s="1546">
        <f t="shared" si="57"/>
        <v>0</v>
      </c>
      <c r="G3796" s="1547"/>
      <c r="H3796" s="8"/>
      <c r="I3796" s="8"/>
      <c r="J3796" s="8"/>
      <c r="K3796" s="8"/>
      <c r="L3796" s="8"/>
      <c r="M3796" s="8"/>
      <c r="N3796" s="8"/>
      <c r="O3796" s="8"/>
      <c r="P3796" s="8"/>
      <c r="Q3796" s="8"/>
      <c r="R3796" s="8"/>
      <c r="S3796" s="8"/>
      <c r="T3796" s="8"/>
      <c r="U3796" s="8"/>
      <c r="V3796" s="8"/>
      <c r="W3796" s="8"/>
      <c r="X3796" s="771"/>
      <c r="Y3796" s="771"/>
      <c r="Z3796" s="771"/>
      <c r="AA3796" s="771"/>
      <c r="AB3796" s="771"/>
      <c r="AC3796" s="771"/>
      <c r="AD3796" s="771"/>
      <c r="AE3796" s="771"/>
      <c r="AF3796" s="771"/>
      <c r="AG3796" s="771"/>
      <c r="AH3796" s="771"/>
      <c r="AI3796" s="771"/>
      <c r="AJ3796" s="771"/>
      <c r="AK3796" s="771"/>
      <c r="AL3796" s="771"/>
      <c r="AM3796" s="771"/>
      <c r="AN3796" s="771"/>
      <c r="AO3796" s="771"/>
      <c r="AP3796" s="771"/>
      <c r="AQ3796" s="771"/>
      <c r="AR3796" s="771"/>
      <c r="AS3796" s="771"/>
      <c r="AT3796" s="771"/>
      <c r="AU3796" s="771"/>
    </row>
    <row r="3797" spans="1:47" s="15" customFormat="1" outlineLevel="1" x14ac:dyDescent="0.2">
      <c r="A3797" s="8"/>
      <c r="B3797" s="8"/>
      <c r="C3797" s="1989" t="s">
        <v>6951</v>
      </c>
      <c r="D3797" s="1989" t="s">
        <v>6641</v>
      </c>
      <c r="E3797" s="1989">
        <v>0</v>
      </c>
      <c r="F3797" s="1546">
        <f t="shared" si="57"/>
        <v>0</v>
      </c>
      <c r="G3797" s="1547"/>
      <c r="H3797" s="8"/>
      <c r="I3797" s="8"/>
      <c r="J3797" s="8"/>
      <c r="K3797" s="8"/>
      <c r="L3797" s="8"/>
      <c r="M3797" s="8"/>
      <c r="N3797" s="8"/>
      <c r="O3797" s="8"/>
      <c r="P3797" s="8"/>
      <c r="Q3797" s="8"/>
      <c r="R3797" s="8"/>
      <c r="S3797" s="8"/>
      <c r="T3797" s="8"/>
      <c r="U3797" s="8"/>
      <c r="V3797" s="8"/>
      <c r="W3797" s="8"/>
      <c r="X3797" s="771"/>
      <c r="Y3797" s="771"/>
      <c r="Z3797" s="771"/>
      <c r="AA3797" s="771"/>
      <c r="AB3797" s="771"/>
      <c r="AC3797" s="771"/>
      <c r="AD3797" s="771"/>
      <c r="AE3797" s="771"/>
      <c r="AF3797" s="771"/>
      <c r="AG3797" s="771"/>
      <c r="AH3797" s="771"/>
      <c r="AI3797" s="771"/>
      <c r="AJ3797" s="771"/>
      <c r="AK3797" s="771"/>
      <c r="AL3797" s="771"/>
      <c r="AM3797" s="771"/>
      <c r="AN3797" s="771"/>
      <c r="AO3797" s="771"/>
      <c r="AP3797" s="771"/>
      <c r="AQ3797" s="771"/>
      <c r="AR3797" s="771"/>
      <c r="AS3797" s="771"/>
      <c r="AT3797" s="771"/>
      <c r="AU3797" s="771"/>
    </row>
    <row r="3798" spans="1:47" s="15" customFormat="1" outlineLevel="1" x14ac:dyDescent="0.2">
      <c r="A3798" s="8"/>
      <c r="B3798" s="8"/>
      <c r="C3798" s="1989" t="s">
        <v>6952</v>
      </c>
      <c r="D3798" s="1989" t="s">
        <v>6642</v>
      </c>
      <c r="E3798" s="1989">
        <v>0</v>
      </c>
      <c r="F3798" s="1546">
        <f t="shared" si="57"/>
        <v>0</v>
      </c>
      <c r="G3798" s="1547"/>
      <c r="H3798" s="8"/>
      <c r="I3798" s="8"/>
      <c r="J3798" s="8"/>
      <c r="K3798" s="8"/>
      <c r="L3798" s="8"/>
      <c r="M3798" s="8"/>
      <c r="N3798" s="8"/>
      <c r="O3798" s="8"/>
      <c r="P3798" s="8"/>
      <c r="Q3798" s="8"/>
      <c r="R3798" s="8"/>
      <c r="S3798" s="8"/>
      <c r="T3798" s="8"/>
      <c r="U3798" s="8"/>
      <c r="V3798" s="8"/>
      <c r="W3798" s="8"/>
      <c r="X3798" s="771"/>
      <c r="Y3798" s="771"/>
      <c r="Z3798" s="771"/>
      <c r="AA3798" s="771"/>
      <c r="AB3798" s="771"/>
      <c r="AC3798" s="771"/>
      <c r="AD3798" s="771"/>
      <c r="AE3798" s="771"/>
      <c r="AF3798" s="771"/>
      <c r="AG3798" s="771"/>
      <c r="AH3798" s="771"/>
      <c r="AI3798" s="771"/>
      <c r="AJ3798" s="771"/>
      <c r="AK3798" s="771"/>
      <c r="AL3798" s="771"/>
      <c r="AM3798" s="771"/>
      <c r="AN3798" s="771"/>
      <c r="AO3798" s="771"/>
      <c r="AP3798" s="771"/>
      <c r="AQ3798" s="771"/>
      <c r="AR3798" s="771"/>
      <c r="AS3798" s="771"/>
      <c r="AT3798" s="771"/>
      <c r="AU3798" s="771"/>
    </row>
    <row r="3799" spans="1:47" s="15" customFormat="1" outlineLevel="1" x14ac:dyDescent="0.2">
      <c r="A3799" s="8"/>
      <c r="B3799" s="8"/>
      <c r="C3799" s="1989" t="s">
        <v>6953</v>
      </c>
      <c r="D3799" s="1989" t="s">
        <v>6643</v>
      </c>
      <c r="E3799" s="1989">
        <v>0</v>
      </c>
      <c r="F3799" s="1546">
        <f t="shared" si="57"/>
        <v>0</v>
      </c>
      <c r="G3799" s="1547"/>
      <c r="H3799" s="8"/>
      <c r="I3799" s="8"/>
      <c r="J3799" s="8"/>
      <c r="K3799" s="8"/>
      <c r="L3799" s="8"/>
      <c r="M3799" s="8"/>
      <c r="N3799" s="8"/>
      <c r="O3799" s="8"/>
      <c r="P3799" s="8"/>
      <c r="Q3799" s="8"/>
      <c r="R3799" s="8"/>
      <c r="S3799" s="8"/>
      <c r="T3799" s="8"/>
      <c r="U3799" s="8"/>
      <c r="V3799" s="8"/>
      <c r="W3799" s="8"/>
      <c r="X3799" s="771"/>
      <c r="Y3799" s="771"/>
      <c r="Z3799" s="771"/>
      <c r="AA3799" s="771"/>
      <c r="AB3799" s="771"/>
      <c r="AC3799" s="771"/>
      <c r="AD3799" s="771"/>
      <c r="AE3799" s="771"/>
      <c r="AF3799" s="771"/>
      <c r="AG3799" s="771"/>
      <c r="AH3799" s="771"/>
      <c r="AI3799" s="771"/>
      <c r="AJ3799" s="771"/>
      <c r="AK3799" s="771"/>
      <c r="AL3799" s="771"/>
      <c r="AM3799" s="771"/>
      <c r="AN3799" s="771"/>
      <c r="AO3799" s="771"/>
      <c r="AP3799" s="771"/>
      <c r="AQ3799" s="771"/>
      <c r="AR3799" s="771"/>
      <c r="AS3799" s="771"/>
      <c r="AT3799" s="771"/>
      <c r="AU3799" s="771"/>
    </row>
    <row r="3800" spans="1:47" s="15" customFormat="1" outlineLevel="1" x14ac:dyDescent="0.2">
      <c r="A3800" s="8"/>
      <c r="B3800" s="8"/>
      <c r="C3800" s="1989" t="s">
        <v>6954</v>
      </c>
      <c r="D3800" s="1989" t="s">
        <v>6644</v>
      </c>
      <c r="E3800" s="1989">
        <v>0</v>
      </c>
      <c r="F3800" s="1546">
        <f t="shared" si="57"/>
        <v>0</v>
      </c>
      <c r="G3800" s="1547"/>
      <c r="H3800" s="8"/>
      <c r="I3800" s="8"/>
      <c r="J3800" s="8"/>
      <c r="K3800" s="8"/>
      <c r="L3800" s="8"/>
      <c r="M3800" s="8"/>
      <c r="N3800" s="8"/>
      <c r="O3800" s="8"/>
      <c r="P3800" s="8"/>
      <c r="Q3800" s="8"/>
      <c r="R3800" s="8"/>
      <c r="S3800" s="8"/>
      <c r="T3800" s="8"/>
      <c r="U3800" s="8"/>
      <c r="V3800" s="8"/>
      <c r="W3800" s="8"/>
      <c r="X3800" s="771"/>
      <c r="Y3800" s="771"/>
      <c r="Z3800" s="771"/>
      <c r="AA3800" s="771"/>
      <c r="AB3800" s="771"/>
      <c r="AC3800" s="771"/>
      <c r="AD3800" s="771"/>
      <c r="AE3800" s="771"/>
      <c r="AF3800" s="771"/>
      <c r="AG3800" s="771"/>
      <c r="AH3800" s="771"/>
      <c r="AI3800" s="771"/>
      <c r="AJ3800" s="771"/>
      <c r="AK3800" s="771"/>
      <c r="AL3800" s="771"/>
      <c r="AM3800" s="771"/>
      <c r="AN3800" s="771"/>
      <c r="AO3800" s="771"/>
      <c r="AP3800" s="771"/>
      <c r="AQ3800" s="771"/>
      <c r="AR3800" s="771"/>
      <c r="AS3800" s="771"/>
      <c r="AT3800" s="771"/>
      <c r="AU3800" s="771"/>
    </row>
    <row r="3801" spans="1:47" s="15" customFormat="1" outlineLevel="1" x14ac:dyDescent="0.2">
      <c r="A3801" s="8"/>
      <c r="B3801" s="8"/>
      <c r="C3801" s="1989" t="s">
        <v>6955</v>
      </c>
      <c r="D3801" s="1989" t="s">
        <v>6645</v>
      </c>
      <c r="E3801" s="1989">
        <v>0</v>
      </c>
      <c r="F3801" s="1546">
        <f t="shared" si="57"/>
        <v>0</v>
      </c>
      <c r="G3801" s="1547"/>
      <c r="H3801" s="8"/>
      <c r="I3801" s="8"/>
      <c r="J3801" s="8"/>
      <c r="K3801" s="8"/>
      <c r="L3801" s="8"/>
      <c r="M3801" s="8"/>
      <c r="N3801" s="8"/>
      <c r="O3801" s="8"/>
      <c r="P3801" s="8"/>
      <c r="Q3801" s="8"/>
      <c r="R3801" s="8"/>
      <c r="S3801" s="8"/>
      <c r="T3801" s="8"/>
      <c r="U3801" s="8"/>
      <c r="V3801" s="8"/>
      <c r="W3801" s="8"/>
      <c r="X3801" s="771"/>
      <c r="Y3801" s="771"/>
      <c r="Z3801" s="771"/>
      <c r="AA3801" s="771"/>
      <c r="AB3801" s="771"/>
      <c r="AC3801" s="771"/>
      <c r="AD3801" s="771"/>
      <c r="AE3801" s="771"/>
      <c r="AF3801" s="771"/>
      <c r="AG3801" s="771"/>
      <c r="AH3801" s="771"/>
      <c r="AI3801" s="771"/>
      <c r="AJ3801" s="771"/>
      <c r="AK3801" s="771"/>
      <c r="AL3801" s="771"/>
      <c r="AM3801" s="771"/>
      <c r="AN3801" s="771"/>
      <c r="AO3801" s="771"/>
      <c r="AP3801" s="771"/>
      <c r="AQ3801" s="771"/>
      <c r="AR3801" s="771"/>
      <c r="AS3801" s="771"/>
      <c r="AT3801" s="771"/>
      <c r="AU3801" s="771"/>
    </row>
    <row r="3802" spans="1:47" s="15" customFormat="1" outlineLevel="1" x14ac:dyDescent="0.2">
      <c r="A3802" s="8"/>
      <c r="B3802" s="8"/>
      <c r="C3802" s="1989" t="s">
        <v>6956</v>
      </c>
      <c r="D3802" s="1989" t="s">
        <v>6646</v>
      </c>
      <c r="E3802" s="1989">
        <v>0</v>
      </c>
      <c r="F3802" s="1546">
        <f t="shared" si="57"/>
        <v>0</v>
      </c>
      <c r="G3802" s="1547"/>
      <c r="H3802" s="8"/>
      <c r="I3802" s="8"/>
      <c r="J3802" s="8"/>
      <c r="K3802" s="8"/>
      <c r="L3802" s="8"/>
      <c r="M3802" s="8"/>
      <c r="N3802" s="8"/>
      <c r="O3802" s="8"/>
      <c r="P3802" s="8"/>
      <c r="Q3802" s="8"/>
      <c r="R3802" s="8"/>
      <c r="S3802" s="8"/>
      <c r="T3802" s="8"/>
      <c r="U3802" s="8"/>
      <c r="V3802" s="8"/>
      <c r="W3802" s="8"/>
      <c r="X3802" s="771"/>
      <c r="Y3802" s="771"/>
      <c r="Z3802" s="771"/>
      <c r="AA3802" s="771"/>
      <c r="AB3802" s="771"/>
      <c r="AC3802" s="771"/>
      <c r="AD3802" s="771"/>
      <c r="AE3802" s="771"/>
      <c r="AF3802" s="771"/>
      <c r="AG3802" s="771"/>
      <c r="AH3802" s="771"/>
      <c r="AI3802" s="771"/>
      <c r="AJ3802" s="771"/>
      <c r="AK3802" s="771"/>
      <c r="AL3802" s="771"/>
      <c r="AM3802" s="771"/>
      <c r="AN3802" s="771"/>
      <c r="AO3802" s="771"/>
      <c r="AP3802" s="771"/>
      <c r="AQ3802" s="771"/>
      <c r="AR3802" s="771"/>
      <c r="AS3802" s="771"/>
      <c r="AT3802" s="771"/>
      <c r="AU3802" s="771"/>
    </row>
    <row r="3803" spans="1:47" s="15" customFormat="1" outlineLevel="1" x14ac:dyDescent="0.2">
      <c r="A3803" s="8"/>
      <c r="B3803" s="8"/>
      <c r="C3803" s="1989" t="s">
        <v>6957</v>
      </c>
      <c r="D3803" s="1989" t="s">
        <v>6647</v>
      </c>
      <c r="E3803" s="1989">
        <v>0</v>
      </c>
      <c r="F3803" s="1546">
        <f t="shared" si="57"/>
        <v>0</v>
      </c>
      <c r="G3803" s="1547"/>
      <c r="H3803" s="8"/>
      <c r="I3803" s="8"/>
      <c r="J3803" s="8"/>
      <c r="K3803" s="8"/>
      <c r="L3803" s="8"/>
      <c r="M3803" s="8"/>
      <c r="N3803" s="8"/>
      <c r="O3803" s="8"/>
      <c r="P3803" s="8"/>
      <c r="Q3803" s="8"/>
      <c r="R3803" s="8"/>
      <c r="S3803" s="8"/>
      <c r="T3803" s="8"/>
      <c r="U3803" s="8"/>
      <c r="V3803" s="8"/>
      <c r="W3803" s="8"/>
      <c r="X3803" s="771"/>
      <c r="Y3803" s="771"/>
      <c r="Z3803" s="771"/>
      <c r="AA3803" s="771"/>
      <c r="AB3803" s="771"/>
      <c r="AC3803" s="771"/>
      <c r="AD3803" s="771"/>
      <c r="AE3803" s="771"/>
      <c r="AF3803" s="771"/>
      <c r="AG3803" s="771"/>
      <c r="AH3803" s="771"/>
      <c r="AI3803" s="771"/>
      <c r="AJ3803" s="771"/>
      <c r="AK3803" s="771"/>
      <c r="AL3803" s="771"/>
      <c r="AM3803" s="771"/>
      <c r="AN3803" s="771"/>
      <c r="AO3803" s="771"/>
      <c r="AP3803" s="771"/>
      <c r="AQ3803" s="771"/>
      <c r="AR3803" s="771"/>
      <c r="AS3803" s="771"/>
      <c r="AT3803" s="771"/>
      <c r="AU3803" s="771"/>
    </row>
    <row r="3804" spans="1:47" s="15" customFormat="1" outlineLevel="1" x14ac:dyDescent="0.2">
      <c r="A3804" s="8"/>
      <c r="B3804" s="8"/>
      <c r="C3804" s="1989" t="s">
        <v>6958</v>
      </c>
      <c r="D3804" s="1989" t="s">
        <v>6648</v>
      </c>
      <c r="E3804" s="1989">
        <v>0</v>
      </c>
      <c r="F3804" s="1546">
        <f t="shared" si="57"/>
        <v>0</v>
      </c>
      <c r="G3804" s="1547"/>
      <c r="H3804" s="8"/>
      <c r="I3804" s="8"/>
      <c r="J3804" s="8"/>
      <c r="K3804" s="8"/>
      <c r="L3804" s="8"/>
      <c r="M3804" s="8"/>
      <c r="N3804" s="8"/>
      <c r="O3804" s="8"/>
      <c r="P3804" s="8"/>
      <c r="Q3804" s="8"/>
      <c r="R3804" s="8"/>
      <c r="S3804" s="8"/>
      <c r="T3804" s="8"/>
      <c r="U3804" s="8"/>
      <c r="V3804" s="8"/>
      <c r="W3804" s="8"/>
      <c r="X3804" s="771"/>
      <c r="Y3804" s="771"/>
      <c r="Z3804" s="771"/>
      <c r="AA3804" s="771"/>
      <c r="AB3804" s="771"/>
      <c r="AC3804" s="771"/>
      <c r="AD3804" s="771"/>
      <c r="AE3804" s="771"/>
      <c r="AF3804" s="771"/>
      <c r="AG3804" s="771"/>
      <c r="AH3804" s="771"/>
      <c r="AI3804" s="771"/>
      <c r="AJ3804" s="771"/>
      <c r="AK3804" s="771"/>
      <c r="AL3804" s="771"/>
      <c r="AM3804" s="771"/>
      <c r="AN3804" s="771"/>
      <c r="AO3804" s="771"/>
      <c r="AP3804" s="771"/>
      <c r="AQ3804" s="771"/>
      <c r="AR3804" s="771"/>
      <c r="AS3804" s="771"/>
      <c r="AT3804" s="771"/>
      <c r="AU3804" s="771"/>
    </row>
    <row r="3805" spans="1:47" s="15" customFormat="1" outlineLevel="1" x14ac:dyDescent="0.2">
      <c r="A3805" s="8"/>
      <c r="B3805" s="8"/>
      <c r="C3805" s="1989" t="s">
        <v>6959</v>
      </c>
      <c r="D3805" s="1989" t="s">
        <v>6649</v>
      </c>
      <c r="E3805" s="1989">
        <v>0</v>
      </c>
      <c r="F3805" s="1546">
        <f t="shared" si="57"/>
        <v>0</v>
      </c>
      <c r="G3805" s="1547"/>
      <c r="H3805" s="8"/>
      <c r="I3805" s="8"/>
      <c r="J3805" s="8"/>
      <c r="K3805" s="8"/>
      <c r="L3805" s="8"/>
      <c r="M3805" s="8"/>
      <c r="N3805" s="8"/>
      <c r="O3805" s="8"/>
      <c r="P3805" s="8"/>
      <c r="Q3805" s="8"/>
      <c r="R3805" s="8"/>
      <c r="S3805" s="8"/>
      <c r="T3805" s="8"/>
      <c r="U3805" s="8"/>
      <c r="V3805" s="8"/>
      <c r="W3805" s="8"/>
      <c r="X3805" s="771"/>
      <c r="Y3805" s="771"/>
      <c r="Z3805" s="771"/>
      <c r="AA3805" s="771"/>
      <c r="AB3805" s="771"/>
      <c r="AC3805" s="771"/>
      <c r="AD3805" s="771"/>
      <c r="AE3805" s="771"/>
      <c r="AF3805" s="771"/>
      <c r="AG3805" s="771"/>
      <c r="AH3805" s="771"/>
      <c r="AI3805" s="771"/>
      <c r="AJ3805" s="771"/>
      <c r="AK3805" s="771"/>
      <c r="AL3805" s="771"/>
      <c r="AM3805" s="771"/>
      <c r="AN3805" s="771"/>
      <c r="AO3805" s="771"/>
      <c r="AP3805" s="771"/>
      <c r="AQ3805" s="771"/>
      <c r="AR3805" s="771"/>
      <c r="AS3805" s="771"/>
      <c r="AT3805" s="771"/>
      <c r="AU3805" s="771"/>
    </row>
    <row r="3806" spans="1:47" s="15" customFormat="1" outlineLevel="1" x14ac:dyDescent="0.2">
      <c r="A3806" s="8"/>
      <c r="B3806" s="8"/>
      <c r="C3806" s="1989" t="s">
        <v>6960</v>
      </c>
      <c r="D3806" s="1989" t="s">
        <v>6650</v>
      </c>
      <c r="E3806" s="1989">
        <v>0</v>
      </c>
      <c r="F3806" s="1546">
        <f t="shared" si="57"/>
        <v>0</v>
      </c>
      <c r="G3806" s="1547"/>
      <c r="H3806" s="8"/>
      <c r="I3806" s="8"/>
      <c r="J3806" s="8"/>
      <c r="K3806" s="8"/>
      <c r="L3806" s="8"/>
      <c r="M3806" s="8"/>
      <c r="N3806" s="8"/>
      <c r="O3806" s="8"/>
      <c r="P3806" s="8"/>
      <c r="Q3806" s="8"/>
      <c r="R3806" s="8"/>
      <c r="S3806" s="8"/>
      <c r="T3806" s="8"/>
      <c r="U3806" s="8"/>
      <c r="V3806" s="8"/>
      <c r="W3806" s="8"/>
      <c r="X3806" s="771"/>
      <c r="Y3806" s="771"/>
      <c r="Z3806" s="771"/>
      <c r="AA3806" s="771"/>
      <c r="AB3806" s="771"/>
      <c r="AC3806" s="771"/>
      <c r="AD3806" s="771"/>
      <c r="AE3806" s="771"/>
      <c r="AF3806" s="771"/>
      <c r="AG3806" s="771"/>
      <c r="AH3806" s="771"/>
      <c r="AI3806" s="771"/>
      <c r="AJ3806" s="771"/>
      <c r="AK3806" s="771"/>
      <c r="AL3806" s="771"/>
      <c r="AM3806" s="771"/>
      <c r="AN3806" s="771"/>
      <c r="AO3806" s="771"/>
      <c r="AP3806" s="771"/>
      <c r="AQ3806" s="771"/>
      <c r="AR3806" s="771"/>
      <c r="AS3806" s="771"/>
      <c r="AT3806" s="771"/>
      <c r="AU3806" s="771"/>
    </row>
    <row r="3807" spans="1:47" s="15" customFormat="1" outlineLevel="1" x14ac:dyDescent="0.2">
      <c r="A3807" s="8"/>
      <c r="B3807" s="8"/>
      <c r="C3807" s="1989" t="s">
        <v>6961</v>
      </c>
      <c r="D3807" s="1989" t="s">
        <v>6651</v>
      </c>
      <c r="E3807" s="1989">
        <v>0</v>
      </c>
      <c r="F3807" s="1546">
        <f t="shared" si="57"/>
        <v>0</v>
      </c>
      <c r="G3807" s="1547"/>
      <c r="H3807" s="8"/>
      <c r="I3807" s="8"/>
      <c r="J3807" s="8"/>
      <c r="K3807" s="8"/>
      <c r="L3807" s="8"/>
      <c r="M3807" s="8"/>
      <c r="N3807" s="8"/>
      <c r="O3807" s="8"/>
      <c r="P3807" s="8"/>
      <c r="Q3807" s="8"/>
      <c r="R3807" s="8"/>
      <c r="S3807" s="8"/>
      <c r="T3807" s="8"/>
      <c r="U3807" s="8"/>
      <c r="V3807" s="8"/>
      <c r="W3807" s="8"/>
      <c r="X3807" s="771"/>
      <c r="Y3807" s="771"/>
      <c r="Z3807" s="771"/>
      <c r="AA3807" s="771"/>
      <c r="AB3807" s="771"/>
      <c r="AC3807" s="771"/>
      <c r="AD3807" s="771"/>
      <c r="AE3807" s="771"/>
      <c r="AF3807" s="771"/>
      <c r="AG3807" s="771"/>
      <c r="AH3807" s="771"/>
      <c r="AI3807" s="771"/>
      <c r="AJ3807" s="771"/>
      <c r="AK3807" s="771"/>
      <c r="AL3807" s="771"/>
      <c r="AM3807" s="771"/>
      <c r="AN3807" s="771"/>
      <c r="AO3807" s="771"/>
      <c r="AP3807" s="771"/>
      <c r="AQ3807" s="771"/>
      <c r="AR3807" s="771"/>
      <c r="AS3807" s="771"/>
      <c r="AT3807" s="771"/>
      <c r="AU3807" s="771"/>
    </row>
    <row r="3808" spans="1:47" s="15" customFormat="1" outlineLevel="1" x14ac:dyDescent="0.2">
      <c r="A3808" s="8"/>
      <c r="B3808" s="8"/>
      <c r="C3808" s="1989" t="s">
        <v>6962</v>
      </c>
      <c r="D3808" s="1989" t="s">
        <v>6652</v>
      </c>
      <c r="E3808" s="1989">
        <v>0</v>
      </c>
      <c r="F3808" s="1546">
        <f t="shared" si="57"/>
        <v>0</v>
      </c>
      <c r="G3808" s="1547"/>
      <c r="H3808" s="8"/>
      <c r="I3808" s="8"/>
      <c r="J3808" s="8"/>
      <c r="K3808" s="8"/>
      <c r="L3808" s="8"/>
      <c r="M3808" s="8"/>
      <c r="N3808" s="8"/>
      <c r="O3808" s="8"/>
      <c r="P3808" s="8"/>
      <c r="Q3808" s="8"/>
      <c r="R3808" s="8"/>
      <c r="S3808" s="8"/>
      <c r="T3808" s="8"/>
      <c r="U3808" s="8"/>
      <c r="V3808" s="8"/>
      <c r="W3808" s="8"/>
      <c r="X3808" s="771"/>
      <c r="Y3808" s="771"/>
      <c r="Z3808" s="771"/>
      <c r="AA3808" s="771"/>
      <c r="AB3808" s="771"/>
      <c r="AC3808" s="771"/>
      <c r="AD3808" s="771"/>
      <c r="AE3808" s="771"/>
      <c r="AF3808" s="771"/>
      <c r="AG3808" s="771"/>
      <c r="AH3808" s="771"/>
      <c r="AI3808" s="771"/>
      <c r="AJ3808" s="771"/>
      <c r="AK3808" s="771"/>
      <c r="AL3808" s="771"/>
      <c r="AM3808" s="771"/>
      <c r="AN3808" s="771"/>
      <c r="AO3808" s="771"/>
      <c r="AP3808" s="771"/>
      <c r="AQ3808" s="771"/>
      <c r="AR3808" s="771"/>
      <c r="AS3808" s="771"/>
      <c r="AT3808" s="771"/>
      <c r="AU3808" s="771"/>
    </row>
    <row r="3809" spans="1:47" s="15" customFormat="1" outlineLevel="1" x14ac:dyDescent="0.2">
      <c r="A3809" s="8"/>
      <c r="B3809" s="8"/>
      <c r="C3809" s="1989" t="s">
        <v>6963</v>
      </c>
      <c r="D3809" s="1989" t="s">
        <v>6653</v>
      </c>
      <c r="E3809" s="1989">
        <v>0</v>
      </c>
      <c r="F3809" s="1546">
        <f t="shared" si="57"/>
        <v>0</v>
      </c>
      <c r="G3809" s="1547"/>
      <c r="H3809" s="8"/>
      <c r="I3809" s="8"/>
      <c r="J3809" s="8"/>
      <c r="K3809" s="8"/>
      <c r="L3809" s="8"/>
      <c r="M3809" s="8"/>
      <c r="N3809" s="8"/>
      <c r="O3809" s="8"/>
      <c r="P3809" s="8"/>
      <c r="Q3809" s="8"/>
      <c r="R3809" s="8"/>
      <c r="S3809" s="8"/>
      <c r="T3809" s="8"/>
      <c r="U3809" s="8"/>
      <c r="V3809" s="8"/>
      <c r="W3809" s="8"/>
      <c r="X3809" s="771"/>
      <c r="Y3809" s="771"/>
      <c r="Z3809" s="771"/>
      <c r="AA3809" s="771"/>
      <c r="AB3809" s="771"/>
      <c r="AC3809" s="771"/>
      <c r="AD3809" s="771"/>
      <c r="AE3809" s="771"/>
      <c r="AF3809" s="771"/>
      <c r="AG3809" s="771"/>
      <c r="AH3809" s="771"/>
      <c r="AI3809" s="771"/>
      <c r="AJ3809" s="771"/>
      <c r="AK3809" s="771"/>
      <c r="AL3809" s="771"/>
      <c r="AM3809" s="771"/>
      <c r="AN3809" s="771"/>
      <c r="AO3809" s="771"/>
      <c r="AP3809" s="771"/>
      <c r="AQ3809" s="771"/>
      <c r="AR3809" s="771"/>
      <c r="AS3809" s="771"/>
      <c r="AT3809" s="771"/>
      <c r="AU3809" s="771"/>
    </row>
    <row r="3810" spans="1:47" s="15" customFormat="1" outlineLevel="1" x14ac:dyDescent="0.2">
      <c r="A3810" s="8"/>
      <c r="B3810" s="8"/>
      <c r="C3810" s="1989" t="s">
        <v>6964</v>
      </c>
      <c r="D3810" s="1989" t="s">
        <v>6654</v>
      </c>
      <c r="E3810" s="1989">
        <v>0</v>
      </c>
      <c r="F3810" s="1546">
        <f t="shared" si="57"/>
        <v>0</v>
      </c>
      <c r="G3810" s="1547"/>
      <c r="H3810" s="8"/>
      <c r="I3810" s="8"/>
      <c r="J3810" s="8"/>
      <c r="K3810" s="8"/>
      <c r="L3810" s="8"/>
      <c r="M3810" s="8"/>
      <c r="N3810" s="8"/>
      <c r="O3810" s="8"/>
      <c r="P3810" s="8"/>
      <c r="Q3810" s="8"/>
      <c r="R3810" s="8"/>
      <c r="S3810" s="8"/>
      <c r="T3810" s="8"/>
      <c r="U3810" s="8"/>
      <c r="V3810" s="8"/>
      <c r="W3810" s="8"/>
      <c r="X3810" s="771"/>
      <c r="Y3810" s="771"/>
      <c r="Z3810" s="771"/>
      <c r="AA3810" s="771"/>
      <c r="AB3810" s="771"/>
      <c r="AC3810" s="771"/>
      <c r="AD3810" s="771"/>
      <c r="AE3810" s="771"/>
      <c r="AF3810" s="771"/>
      <c r="AG3810" s="771"/>
      <c r="AH3810" s="771"/>
      <c r="AI3810" s="771"/>
      <c r="AJ3810" s="771"/>
      <c r="AK3810" s="771"/>
      <c r="AL3810" s="771"/>
      <c r="AM3810" s="771"/>
      <c r="AN3810" s="771"/>
      <c r="AO3810" s="771"/>
      <c r="AP3810" s="771"/>
      <c r="AQ3810" s="771"/>
      <c r="AR3810" s="771"/>
      <c r="AS3810" s="771"/>
      <c r="AT3810" s="771"/>
      <c r="AU3810" s="771"/>
    </row>
    <row r="3811" spans="1:47" s="15" customFormat="1" outlineLevel="1" x14ac:dyDescent="0.2">
      <c r="A3811" s="8"/>
      <c r="B3811" s="8"/>
      <c r="C3811" s="1989" t="s">
        <v>6965</v>
      </c>
      <c r="D3811" s="1989" t="s">
        <v>6655</v>
      </c>
      <c r="E3811" s="1989">
        <v>0</v>
      </c>
      <c r="F3811" s="1546">
        <f t="shared" si="57"/>
        <v>0</v>
      </c>
      <c r="G3811" s="1547"/>
      <c r="H3811" s="8"/>
      <c r="I3811" s="8"/>
      <c r="J3811" s="8"/>
      <c r="K3811" s="8"/>
      <c r="L3811" s="8"/>
      <c r="M3811" s="8"/>
      <c r="N3811" s="8"/>
      <c r="O3811" s="8"/>
      <c r="P3811" s="8"/>
      <c r="Q3811" s="8"/>
      <c r="R3811" s="8"/>
      <c r="S3811" s="8"/>
      <c r="T3811" s="8"/>
      <c r="U3811" s="8"/>
      <c r="V3811" s="8"/>
      <c r="W3811" s="8"/>
      <c r="X3811" s="771"/>
      <c r="Y3811" s="771"/>
      <c r="Z3811" s="771"/>
      <c r="AA3811" s="771"/>
      <c r="AB3811" s="771"/>
      <c r="AC3811" s="771"/>
      <c r="AD3811" s="771"/>
      <c r="AE3811" s="771"/>
      <c r="AF3811" s="771"/>
      <c r="AG3811" s="771"/>
      <c r="AH3811" s="771"/>
      <c r="AI3811" s="771"/>
      <c r="AJ3811" s="771"/>
      <c r="AK3811" s="771"/>
      <c r="AL3811" s="771"/>
      <c r="AM3811" s="771"/>
      <c r="AN3811" s="771"/>
      <c r="AO3811" s="771"/>
      <c r="AP3811" s="771"/>
      <c r="AQ3811" s="771"/>
      <c r="AR3811" s="771"/>
      <c r="AS3811" s="771"/>
      <c r="AT3811" s="771"/>
      <c r="AU3811" s="771"/>
    </row>
    <row r="3812" spans="1:47" s="15" customFormat="1" outlineLevel="1" x14ac:dyDescent="0.2">
      <c r="A3812" s="8"/>
      <c r="B3812" s="8"/>
      <c r="C3812" s="1989" t="s">
        <v>6966</v>
      </c>
      <c r="D3812" s="1989" t="s">
        <v>6656</v>
      </c>
      <c r="E3812" s="1989">
        <v>0</v>
      </c>
      <c r="F3812" s="1546">
        <f t="shared" si="57"/>
        <v>0</v>
      </c>
      <c r="G3812" s="1547"/>
      <c r="H3812" s="8"/>
      <c r="I3812" s="8"/>
      <c r="J3812" s="8"/>
      <c r="K3812" s="8"/>
      <c r="L3812" s="8"/>
      <c r="M3812" s="8"/>
      <c r="N3812" s="8"/>
      <c r="O3812" s="8"/>
      <c r="P3812" s="8"/>
      <c r="Q3812" s="8"/>
      <c r="R3812" s="8"/>
      <c r="S3812" s="8"/>
      <c r="T3812" s="8"/>
      <c r="U3812" s="8"/>
      <c r="V3812" s="8"/>
      <c r="W3812" s="8"/>
      <c r="X3812" s="771"/>
      <c r="Y3812" s="771"/>
      <c r="Z3812" s="771"/>
      <c r="AA3812" s="771"/>
      <c r="AB3812" s="771"/>
      <c r="AC3812" s="771"/>
      <c r="AD3812" s="771"/>
      <c r="AE3812" s="771"/>
      <c r="AF3812" s="771"/>
      <c r="AG3812" s="771"/>
      <c r="AH3812" s="771"/>
      <c r="AI3812" s="771"/>
      <c r="AJ3812" s="771"/>
      <c r="AK3812" s="771"/>
      <c r="AL3812" s="771"/>
      <c r="AM3812" s="771"/>
      <c r="AN3812" s="771"/>
      <c r="AO3812" s="771"/>
      <c r="AP3812" s="771"/>
      <c r="AQ3812" s="771"/>
      <c r="AR3812" s="771"/>
      <c r="AS3812" s="771"/>
      <c r="AT3812" s="771"/>
      <c r="AU3812" s="771"/>
    </row>
    <row r="3813" spans="1:47" s="15" customFormat="1" outlineLevel="1" x14ac:dyDescent="0.2">
      <c r="A3813" s="8"/>
      <c r="B3813" s="8"/>
      <c r="C3813" s="1989" t="s">
        <v>6967</v>
      </c>
      <c r="D3813" s="1989" t="s">
        <v>6657</v>
      </c>
      <c r="E3813" s="1989">
        <v>0</v>
      </c>
      <c r="F3813" s="1546">
        <f t="shared" si="57"/>
        <v>0</v>
      </c>
      <c r="G3813" s="1547"/>
      <c r="H3813" s="8"/>
      <c r="I3813" s="8"/>
      <c r="J3813" s="8"/>
      <c r="K3813" s="8"/>
      <c r="L3813" s="8"/>
      <c r="M3813" s="8"/>
      <c r="N3813" s="8"/>
      <c r="O3813" s="8"/>
      <c r="P3813" s="8"/>
      <c r="Q3813" s="8"/>
      <c r="R3813" s="8"/>
      <c r="S3813" s="8"/>
      <c r="T3813" s="8"/>
      <c r="U3813" s="8"/>
      <c r="V3813" s="8"/>
      <c r="W3813" s="8"/>
      <c r="X3813" s="771"/>
      <c r="Y3813" s="771"/>
      <c r="Z3813" s="771"/>
      <c r="AA3813" s="771"/>
      <c r="AB3813" s="771"/>
      <c r="AC3813" s="771"/>
      <c r="AD3813" s="771"/>
      <c r="AE3813" s="771"/>
      <c r="AF3813" s="771"/>
      <c r="AG3813" s="771"/>
      <c r="AH3813" s="771"/>
      <c r="AI3813" s="771"/>
      <c r="AJ3813" s="771"/>
      <c r="AK3813" s="771"/>
      <c r="AL3813" s="771"/>
      <c r="AM3813" s="771"/>
      <c r="AN3813" s="771"/>
      <c r="AO3813" s="771"/>
      <c r="AP3813" s="771"/>
      <c r="AQ3813" s="771"/>
      <c r="AR3813" s="771"/>
      <c r="AS3813" s="771"/>
      <c r="AT3813" s="771"/>
      <c r="AU3813" s="771"/>
    </row>
    <row r="3814" spans="1:47" s="15" customFormat="1" outlineLevel="1" x14ac:dyDescent="0.2">
      <c r="A3814" s="8"/>
      <c r="B3814" s="8"/>
      <c r="C3814" s="1989" t="s">
        <v>6968</v>
      </c>
      <c r="D3814" s="1989" t="s">
        <v>6658</v>
      </c>
      <c r="E3814" s="1989">
        <v>0</v>
      </c>
      <c r="F3814" s="1546">
        <f t="shared" si="57"/>
        <v>0</v>
      </c>
      <c r="G3814" s="1547"/>
      <c r="H3814" s="8"/>
      <c r="I3814" s="8"/>
      <c r="J3814" s="8"/>
      <c r="K3814" s="8"/>
      <c r="L3814" s="8"/>
      <c r="M3814" s="8"/>
      <c r="N3814" s="8"/>
      <c r="O3814" s="8"/>
      <c r="P3814" s="8"/>
      <c r="Q3814" s="8"/>
      <c r="R3814" s="8"/>
      <c r="S3814" s="8"/>
      <c r="T3814" s="8"/>
      <c r="U3814" s="8"/>
      <c r="V3814" s="8"/>
      <c r="W3814" s="8"/>
      <c r="X3814" s="771"/>
      <c r="Y3814" s="771"/>
      <c r="Z3814" s="771"/>
      <c r="AA3814" s="771"/>
      <c r="AB3814" s="771"/>
      <c r="AC3814" s="771"/>
      <c r="AD3814" s="771"/>
      <c r="AE3814" s="771"/>
      <c r="AF3814" s="771"/>
      <c r="AG3814" s="771"/>
      <c r="AH3814" s="771"/>
      <c r="AI3814" s="771"/>
      <c r="AJ3814" s="771"/>
      <c r="AK3814" s="771"/>
      <c r="AL3814" s="771"/>
      <c r="AM3814" s="771"/>
      <c r="AN3814" s="771"/>
      <c r="AO3814" s="771"/>
      <c r="AP3814" s="771"/>
      <c r="AQ3814" s="771"/>
      <c r="AR3814" s="771"/>
      <c r="AS3814" s="771"/>
      <c r="AT3814" s="771"/>
      <c r="AU3814" s="771"/>
    </row>
    <row r="3815" spans="1:47" s="15" customFormat="1" outlineLevel="1" x14ac:dyDescent="0.2">
      <c r="A3815" s="8"/>
      <c r="B3815" s="8"/>
      <c r="C3815" s="1989" t="s">
        <v>6969</v>
      </c>
      <c r="D3815" s="1989" t="s">
        <v>6659</v>
      </c>
      <c r="E3815" s="1989">
        <v>0</v>
      </c>
      <c r="F3815" s="1546">
        <f t="shared" ref="F3815:F3861" si="58">E3815*$G$4*$J$4</f>
        <v>0</v>
      </c>
      <c r="G3815" s="1547"/>
      <c r="H3815" s="8"/>
      <c r="I3815" s="8"/>
      <c r="J3815" s="8"/>
      <c r="K3815" s="8"/>
      <c r="L3815" s="8"/>
      <c r="M3815" s="8"/>
      <c r="N3815" s="8"/>
      <c r="O3815" s="8"/>
      <c r="P3815" s="8"/>
      <c r="Q3815" s="8"/>
      <c r="R3815" s="8"/>
      <c r="S3815" s="8"/>
      <c r="T3815" s="8"/>
      <c r="U3815" s="8"/>
      <c r="V3815" s="8"/>
      <c r="W3815" s="8"/>
      <c r="X3815" s="771"/>
      <c r="Y3815" s="771"/>
      <c r="Z3815" s="771"/>
      <c r="AA3815" s="771"/>
      <c r="AB3815" s="771"/>
      <c r="AC3815" s="771"/>
      <c r="AD3815" s="771"/>
      <c r="AE3815" s="771"/>
      <c r="AF3815" s="771"/>
      <c r="AG3815" s="771"/>
      <c r="AH3815" s="771"/>
      <c r="AI3815" s="771"/>
      <c r="AJ3815" s="771"/>
      <c r="AK3815" s="771"/>
      <c r="AL3815" s="771"/>
      <c r="AM3815" s="771"/>
      <c r="AN3815" s="771"/>
      <c r="AO3815" s="771"/>
      <c r="AP3815" s="771"/>
      <c r="AQ3815" s="771"/>
      <c r="AR3815" s="771"/>
      <c r="AS3815" s="771"/>
      <c r="AT3815" s="771"/>
      <c r="AU3815" s="771"/>
    </row>
    <row r="3816" spans="1:47" s="15" customFormat="1" outlineLevel="1" x14ac:dyDescent="0.2">
      <c r="A3816" s="8"/>
      <c r="B3816" s="8"/>
      <c r="C3816" s="1989" t="s">
        <v>4993</v>
      </c>
      <c r="D3816" s="1989" t="s">
        <v>8681</v>
      </c>
      <c r="E3816" s="1989">
        <v>1.05</v>
      </c>
      <c r="F3816" s="1546">
        <f t="shared" si="58"/>
        <v>85.387302000000005</v>
      </c>
      <c r="G3816" s="1547"/>
      <c r="H3816" s="8"/>
      <c r="I3816" s="8"/>
      <c r="J3816" s="8"/>
      <c r="K3816" s="8"/>
      <c r="L3816" s="8"/>
      <c r="M3816" s="8"/>
      <c r="N3816" s="8"/>
      <c r="O3816" s="8"/>
      <c r="P3816" s="8"/>
      <c r="Q3816" s="8"/>
      <c r="R3816" s="8"/>
      <c r="S3816" s="8"/>
      <c r="T3816" s="8"/>
      <c r="U3816" s="8"/>
      <c r="V3816" s="8"/>
      <c r="W3816" s="8"/>
      <c r="X3816" s="771"/>
      <c r="Y3816" s="771"/>
      <c r="Z3816" s="771"/>
      <c r="AA3816" s="771"/>
      <c r="AB3816" s="771"/>
      <c r="AC3816" s="771"/>
      <c r="AD3816" s="771"/>
      <c r="AE3816" s="771"/>
      <c r="AF3816" s="771"/>
      <c r="AG3816" s="771"/>
      <c r="AH3816" s="771"/>
      <c r="AI3816" s="771"/>
      <c r="AJ3816" s="771"/>
      <c r="AK3816" s="771"/>
      <c r="AL3816" s="771"/>
      <c r="AM3816" s="771"/>
      <c r="AN3816" s="771"/>
      <c r="AO3816" s="771"/>
      <c r="AP3816" s="771"/>
      <c r="AQ3816" s="771"/>
      <c r="AR3816" s="771"/>
      <c r="AS3816" s="771"/>
      <c r="AT3816" s="771"/>
      <c r="AU3816" s="771"/>
    </row>
    <row r="3817" spans="1:47" s="15" customFormat="1" outlineLevel="1" x14ac:dyDescent="0.2">
      <c r="A3817" s="8"/>
      <c r="B3817" s="8"/>
      <c r="C3817" s="1989" t="s">
        <v>4994</v>
      </c>
      <c r="D3817" s="1989" t="s">
        <v>8682</v>
      </c>
      <c r="E3817" s="1989">
        <v>1.05</v>
      </c>
      <c r="F3817" s="1546">
        <f t="shared" si="58"/>
        <v>85.387302000000005</v>
      </c>
      <c r="G3817" s="1547"/>
      <c r="H3817" s="8"/>
      <c r="I3817" s="8"/>
      <c r="J3817" s="8"/>
      <c r="K3817" s="8"/>
      <c r="L3817" s="8"/>
      <c r="M3817" s="8"/>
      <c r="N3817" s="8"/>
      <c r="O3817" s="8"/>
      <c r="P3817" s="8"/>
      <c r="Q3817" s="8"/>
      <c r="R3817" s="8"/>
      <c r="S3817" s="8"/>
      <c r="T3817" s="8"/>
      <c r="U3817" s="8"/>
      <c r="V3817" s="8"/>
      <c r="W3817" s="8"/>
      <c r="X3817" s="771"/>
      <c r="Y3817" s="771"/>
      <c r="Z3817" s="771"/>
      <c r="AA3817" s="771"/>
      <c r="AB3817" s="771"/>
      <c r="AC3817" s="771"/>
      <c r="AD3817" s="771"/>
      <c r="AE3817" s="771"/>
      <c r="AF3817" s="771"/>
      <c r="AG3817" s="771"/>
      <c r="AH3817" s="771"/>
      <c r="AI3817" s="771"/>
      <c r="AJ3817" s="771"/>
      <c r="AK3817" s="771"/>
      <c r="AL3817" s="771"/>
      <c r="AM3817" s="771"/>
      <c r="AN3817" s="771"/>
      <c r="AO3817" s="771"/>
      <c r="AP3817" s="771"/>
      <c r="AQ3817" s="771"/>
      <c r="AR3817" s="771"/>
      <c r="AS3817" s="771"/>
      <c r="AT3817" s="771"/>
      <c r="AU3817" s="771"/>
    </row>
    <row r="3818" spans="1:47" s="15" customFormat="1" outlineLevel="1" x14ac:dyDescent="0.2">
      <c r="A3818" s="8"/>
      <c r="B3818" s="8"/>
      <c r="C3818" s="1989" t="s">
        <v>4995</v>
      </c>
      <c r="D3818" s="1989" t="s">
        <v>8683</v>
      </c>
      <c r="E3818" s="1989">
        <v>1.05</v>
      </c>
      <c r="F3818" s="1546">
        <f t="shared" si="58"/>
        <v>85.387302000000005</v>
      </c>
      <c r="G3818" s="1547"/>
      <c r="H3818" s="8"/>
      <c r="I3818" s="8"/>
      <c r="J3818" s="8"/>
      <c r="K3818" s="8"/>
      <c r="L3818" s="8"/>
      <c r="M3818" s="8"/>
      <c r="N3818" s="8"/>
      <c r="O3818" s="8"/>
      <c r="P3818" s="8"/>
      <c r="Q3818" s="8"/>
      <c r="R3818" s="8"/>
      <c r="S3818" s="8"/>
      <c r="T3818" s="8"/>
      <c r="U3818" s="8"/>
      <c r="V3818" s="8"/>
      <c r="W3818" s="8"/>
      <c r="X3818" s="771"/>
      <c r="Y3818" s="771"/>
      <c r="Z3818" s="771"/>
      <c r="AA3818" s="771"/>
      <c r="AB3818" s="771"/>
      <c r="AC3818" s="771"/>
      <c r="AD3818" s="771"/>
      <c r="AE3818" s="771"/>
      <c r="AF3818" s="771"/>
      <c r="AG3818" s="771"/>
      <c r="AH3818" s="771"/>
      <c r="AI3818" s="771"/>
      <c r="AJ3818" s="771"/>
      <c r="AK3818" s="771"/>
      <c r="AL3818" s="771"/>
      <c r="AM3818" s="771"/>
      <c r="AN3818" s="771"/>
      <c r="AO3818" s="771"/>
      <c r="AP3818" s="771"/>
      <c r="AQ3818" s="771"/>
      <c r="AR3818" s="771"/>
      <c r="AS3818" s="771"/>
      <c r="AT3818" s="771"/>
      <c r="AU3818" s="771"/>
    </row>
    <row r="3819" spans="1:47" s="15" customFormat="1" outlineLevel="1" x14ac:dyDescent="0.2">
      <c r="A3819" s="8"/>
      <c r="B3819" s="8"/>
      <c r="C3819" s="1989" t="s">
        <v>420</v>
      </c>
      <c r="D3819" s="1989" t="s">
        <v>6970</v>
      </c>
      <c r="E3819" s="1989">
        <v>7.02</v>
      </c>
      <c r="F3819" s="1546">
        <f t="shared" si="58"/>
        <v>570.87510480000003</v>
      </c>
      <c r="G3819" s="1547"/>
      <c r="H3819" s="8"/>
      <c r="I3819" s="8"/>
      <c r="J3819" s="8"/>
      <c r="K3819" s="8"/>
      <c r="L3819" s="8"/>
      <c r="M3819" s="8"/>
      <c r="N3819" s="8"/>
      <c r="O3819" s="8"/>
      <c r="P3819" s="8"/>
      <c r="Q3819" s="8"/>
      <c r="R3819" s="8"/>
      <c r="S3819" s="8"/>
      <c r="T3819" s="8"/>
      <c r="U3819" s="8"/>
      <c r="V3819" s="8"/>
      <c r="W3819" s="8"/>
      <c r="X3819" s="771"/>
      <c r="Y3819" s="771"/>
      <c r="Z3819" s="771"/>
      <c r="AA3819" s="771"/>
      <c r="AB3819" s="771"/>
      <c r="AC3819" s="771"/>
      <c r="AD3819" s="771"/>
      <c r="AE3819" s="771"/>
      <c r="AF3819" s="771"/>
      <c r="AG3819" s="771"/>
      <c r="AH3819" s="771"/>
      <c r="AI3819" s="771"/>
      <c r="AJ3819" s="771"/>
      <c r="AK3819" s="771"/>
      <c r="AL3819" s="771"/>
      <c r="AM3819" s="771"/>
      <c r="AN3819" s="771"/>
      <c r="AO3819" s="771"/>
      <c r="AP3819" s="771"/>
      <c r="AQ3819" s="771"/>
      <c r="AR3819" s="771"/>
      <c r="AS3819" s="771"/>
      <c r="AT3819" s="771"/>
      <c r="AU3819" s="771"/>
    </row>
    <row r="3820" spans="1:47" s="15" customFormat="1" outlineLevel="1" x14ac:dyDescent="0.2">
      <c r="A3820" s="8"/>
      <c r="B3820" s="8"/>
      <c r="C3820" s="1989" t="s">
        <v>6971</v>
      </c>
      <c r="D3820" s="1989" t="s">
        <v>6972</v>
      </c>
      <c r="E3820" s="1989">
        <v>6.53</v>
      </c>
      <c r="F3820" s="1546">
        <f t="shared" si="58"/>
        <v>531.02769720000003</v>
      </c>
      <c r="G3820" s="1547"/>
      <c r="H3820" s="8"/>
      <c r="I3820" s="8"/>
      <c r="J3820" s="8"/>
      <c r="K3820" s="8"/>
      <c r="L3820" s="8"/>
      <c r="M3820" s="8"/>
      <c r="N3820" s="8"/>
      <c r="O3820" s="8"/>
      <c r="P3820" s="8"/>
      <c r="Q3820" s="8"/>
      <c r="R3820" s="8"/>
      <c r="S3820" s="8"/>
      <c r="T3820" s="8"/>
      <c r="U3820" s="8"/>
      <c r="V3820" s="8"/>
      <c r="W3820" s="8"/>
      <c r="X3820" s="771"/>
      <c r="Y3820" s="771"/>
      <c r="Z3820" s="771"/>
      <c r="AA3820" s="771"/>
      <c r="AB3820" s="771"/>
      <c r="AC3820" s="771"/>
      <c r="AD3820" s="771"/>
      <c r="AE3820" s="771"/>
      <c r="AF3820" s="771"/>
      <c r="AG3820" s="771"/>
      <c r="AH3820" s="771"/>
      <c r="AI3820" s="771"/>
      <c r="AJ3820" s="771"/>
      <c r="AK3820" s="771"/>
      <c r="AL3820" s="771"/>
      <c r="AM3820" s="771"/>
      <c r="AN3820" s="771"/>
      <c r="AO3820" s="771"/>
      <c r="AP3820" s="771"/>
      <c r="AQ3820" s="771"/>
      <c r="AR3820" s="771"/>
      <c r="AS3820" s="771"/>
      <c r="AT3820" s="771"/>
      <c r="AU3820" s="771"/>
    </row>
    <row r="3821" spans="1:47" s="15" customFormat="1" outlineLevel="1" x14ac:dyDescent="0.2">
      <c r="A3821" s="8"/>
      <c r="B3821" s="8"/>
      <c r="C3821" s="1989" t="s">
        <v>6973</v>
      </c>
      <c r="D3821" s="1989" t="s">
        <v>6974</v>
      </c>
      <c r="E3821" s="1989">
        <v>6.53</v>
      </c>
      <c r="F3821" s="1546">
        <f t="shared" si="58"/>
        <v>531.02769720000003</v>
      </c>
      <c r="G3821" s="1547"/>
      <c r="H3821" s="8"/>
      <c r="I3821" s="8"/>
      <c r="J3821" s="8"/>
      <c r="K3821" s="8"/>
      <c r="L3821" s="8"/>
      <c r="M3821" s="8"/>
      <c r="N3821" s="8"/>
      <c r="O3821" s="8"/>
      <c r="P3821" s="8"/>
      <c r="Q3821" s="8"/>
      <c r="R3821" s="8"/>
      <c r="S3821" s="8"/>
      <c r="T3821" s="8"/>
      <c r="U3821" s="8"/>
      <c r="V3821" s="8"/>
      <c r="W3821" s="8"/>
      <c r="X3821" s="771"/>
      <c r="Y3821" s="771"/>
      <c r="Z3821" s="771"/>
      <c r="AA3821" s="771"/>
      <c r="AB3821" s="771"/>
      <c r="AC3821" s="771"/>
      <c r="AD3821" s="771"/>
      <c r="AE3821" s="771"/>
      <c r="AF3821" s="771"/>
      <c r="AG3821" s="771"/>
      <c r="AH3821" s="771"/>
      <c r="AI3821" s="771"/>
      <c r="AJ3821" s="771"/>
      <c r="AK3821" s="771"/>
      <c r="AL3821" s="771"/>
      <c r="AM3821" s="771"/>
      <c r="AN3821" s="771"/>
      <c r="AO3821" s="771"/>
      <c r="AP3821" s="771"/>
      <c r="AQ3821" s="771"/>
      <c r="AR3821" s="771"/>
      <c r="AS3821" s="771"/>
      <c r="AT3821" s="771"/>
      <c r="AU3821" s="771"/>
    </row>
    <row r="3822" spans="1:47" s="15" customFormat="1" outlineLevel="1" x14ac:dyDescent="0.2">
      <c r="A3822" s="8"/>
      <c r="B3822" s="8"/>
      <c r="C3822" s="1989" t="s">
        <v>421</v>
      </c>
      <c r="D3822" s="1989" t="s">
        <v>6975</v>
      </c>
      <c r="E3822" s="1989">
        <v>7.02</v>
      </c>
      <c r="F3822" s="1546">
        <f t="shared" si="58"/>
        <v>570.87510480000003</v>
      </c>
      <c r="G3822" s="1547"/>
      <c r="H3822" s="8"/>
      <c r="I3822" s="8"/>
      <c r="J3822" s="8"/>
      <c r="K3822" s="8"/>
      <c r="L3822" s="8"/>
      <c r="M3822" s="8"/>
      <c r="N3822" s="8"/>
      <c r="O3822" s="8"/>
      <c r="P3822" s="8"/>
      <c r="Q3822" s="8"/>
      <c r="R3822" s="8"/>
      <c r="S3822" s="8"/>
      <c r="T3822" s="8"/>
      <c r="U3822" s="8"/>
      <c r="V3822" s="8"/>
      <c r="W3822" s="8"/>
      <c r="X3822" s="771"/>
      <c r="Y3822" s="771"/>
      <c r="Z3822" s="771"/>
      <c r="AA3822" s="771"/>
      <c r="AB3822" s="771"/>
      <c r="AC3822" s="771"/>
      <c r="AD3822" s="771"/>
      <c r="AE3822" s="771"/>
      <c r="AF3822" s="771"/>
      <c r="AG3822" s="771"/>
      <c r="AH3822" s="771"/>
      <c r="AI3822" s="771"/>
      <c r="AJ3822" s="771"/>
      <c r="AK3822" s="771"/>
      <c r="AL3822" s="771"/>
      <c r="AM3822" s="771"/>
      <c r="AN3822" s="771"/>
      <c r="AO3822" s="771"/>
      <c r="AP3822" s="771"/>
      <c r="AQ3822" s="771"/>
      <c r="AR3822" s="771"/>
      <c r="AS3822" s="771"/>
      <c r="AT3822" s="771"/>
      <c r="AU3822" s="771"/>
    </row>
    <row r="3823" spans="1:47" s="15" customFormat="1" outlineLevel="1" x14ac:dyDescent="0.2">
      <c r="A3823" s="8"/>
      <c r="B3823" s="8"/>
      <c r="C3823" s="1989" t="s">
        <v>422</v>
      </c>
      <c r="D3823" s="1989" t="s">
        <v>6976</v>
      </c>
      <c r="E3823" s="1989">
        <v>7.02</v>
      </c>
      <c r="F3823" s="1546">
        <f t="shared" si="58"/>
        <v>570.87510480000003</v>
      </c>
      <c r="G3823" s="1547"/>
      <c r="H3823" s="8"/>
      <c r="I3823" s="8"/>
      <c r="J3823" s="8"/>
      <c r="K3823" s="8"/>
      <c r="L3823" s="8"/>
      <c r="M3823" s="8"/>
      <c r="N3823" s="8"/>
      <c r="O3823" s="8"/>
      <c r="P3823" s="8"/>
      <c r="Q3823" s="8"/>
      <c r="R3823" s="8"/>
      <c r="S3823" s="8"/>
      <c r="T3823" s="8"/>
      <c r="U3823" s="8"/>
      <c r="V3823" s="8"/>
      <c r="W3823" s="8"/>
      <c r="X3823" s="771"/>
      <c r="Y3823" s="771"/>
      <c r="Z3823" s="771"/>
      <c r="AA3823" s="771"/>
      <c r="AB3823" s="771"/>
      <c r="AC3823" s="771"/>
      <c r="AD3823" s="771"/>
      <c r="AE3823" s="771"/>
      <c r="AF3823" s="771"/>
      <c r="AG3823" s="771"/>
      <c r="AH3823" s="771"/>
      <c r="AI3823" s="771"/>
      <c r="AJ3823" s="771"/>
      <c r="AK3823" s="771"/>
      <c r="AL3823" s="771"/>
      <c r="AM3823" s="771"/>
      <c r="AN3823" s="771"/>
      <c r="AO3823" s="771"/>
      <c r="AP3823" s="771"/>
      <c r="AQ3823" s="771"/>
      <c r="AR3823" s="771"/>
      <c r="AS3823" s="771"/>
      <c r="AT3823" s="771"/>
      <c r="AU3823" s="771"/>
    </row>
    <row r="3824" spans="1:47" s="15" customFormat="1" outlineLevel="1" x14ac:dyDescent="0.2">
      <c r="A3824" s="8"/>
      <c r="B3824" s="8"/>
      <c r="C3824" s="1989" t="s">
        <v>7018</v>
      </c>
      <c r="D3824" s="1989" t="s">
        <v>6977</v>
      </c>
      <c r="E3824" s="1989">
        <v>1.1599999999999999</v>
      </c>
      <c r="F3824" s="1546">
        <f t="shared" si="58"/>
        <v>94.332638399999993</v>
      </c>
      <c r="G3824" s="1547"/>
      <c r="H3824" s="8"/>
      <c r="I3824" s="8"/>
      <c r="J3824" s="8"/>
      <c r="K3824" s="8"/>
      <c r="L3824" s="8"/>
      <c r="M3824" s="8"/>
      <c r="N3824" s="8"/>
      <c r="O3824" s="8"/>
      <c r="P3824" s="8"/>
      <c r="Q3824" s="8"/>
      <c r="R3824" s="8"/>
      <c r="S3824" s="8"/>
      <c r="T3824" s="8"/>
      <c r="U3824" s="8"/>
      <c r="V3824" s="8"/>
      <c r="W3824" s="8"/>
      <c r="X3824" s="771"/>
      <c r="Y3824" s="771"/>
      <c r="Z3824" s="771"/>
      <c r="AA3824" s="771"/>
      <c r="AB3824" s="771"/>
      <c r="AC3824" s="771"/>
      <c r="AD3824" s="771"/>
      <c r="AE3824" s="771"/>
      <c r="AF3824" s="771"/>
      <c r="AG3824" s="771"/>
      <c r="AH3824" s="771"/>
      <c r="AI3824" s="771"/>
      <c r="AJ3824" s="771"/>
      <c r="AK3824" s="771"/>
      <c r="AL3824" s="771"/>
      <c r="AM3824" s="771"/>
      <c r="AN3824" s="771"/>
      <c r="AO3824" s="771"/>
      <c r="AP3824" s="771"/>
      <c r="AQ3824" s="771"/>
      <c r="AR3824" s="771"/>
      <c r="AS3824" s="771"/>
      <c r="AT3824" s="771"/>
      <c r="AU3824" s="771"/>
    </row>
    <row r="3825" spans="1:47" s="15" customFormat="1" outlineLevel="1" x14ac:dyDescent="0.2">
      <c r="A3825" s="8"/>
      <c r="B3825" s="8"/>
      <c r="C3825" s="1989" t="s">
        <v>7019</v>
      </c>
      <c r="D3825" s="1989" t="s">
        <v>6978</v>
      </c>
      <c r="E3825" s="1989">
        <v>1.79</v>
      </c>
      <c r="F3825" s="1546">
        <f t="shared" si="58"/>
        <v>145.56501960000003</v>
      </c>
      <c r="G3825" s="1547"/>
      <c r="H3825" s="8"/>
      <c r="I3825" s="8"/>
      <c r="J3825" s="8"/>
      <c r="K3825" s="8"/>
      <c r="L3825" s="8"/>
      <c r="M3825" s="8"/>
      <c r="N3825" s="8"/>
      <c r="O3825" s="8"/>
      <c r="P3825" s="8"/>
      <c r="Q3825" s="8"/>
      <c r="R3825" s="8"/>
      <c r="S3825" s="8"/>
      <c r="T3825" s="8"/>
      <c r="U3825" s="8"/>
      <c r="V3825" s="8"/>
      <c r="W3825" s="8"/>
      <c r="X3825" s="771"/>
      <c r="Y3825" s="771"/>
      <c r="Z3825" s="771"/>
      <c r="AA3825" s="771"/>
      <c r="AB3825" s="771"/>
      <c r="AC3825" s="771"/>
      <c r="AD3825" s="771"/>
      <c r="AE3825" s="771"/>
      <c r="AF3825" s="771"/>
      <c r="AG3825" s="771"/>
      <c r="AH3825" s="771"/>
      <c r="AI3825" s="771"/>
      <c r="AJ3825" s="771"/>
      <c r="AK3825" s="771"/>
      <c r="AL3825" s="771"/>
      <c r="AM3825" s="771"/>
      <c r="AN3825" s="771"/>
      <c r="AO3825" s="771"/>
      <c r="AP3825" s="771"/>
      <c r="AQ3825" s="771"/>
      <c r="AR3825" s="771"/>
      <c r="AS3825" s="771"/>
      <c r="AT3825" s="771"/>
      <c r="AU3825" s="771"/>
    </row>
    <row r="3826" spans="1:47" s="15" customFormat="1" outlineLevel="1" x14ac:dyDescent="0.2">
      <c r="A3826" s="8"/>
      <c r="B3826" s="8"/>
      <c r="C3826" s="1989" t="s">
        <v>7020</v>
      </c>
      <c r="D3826" s="1989" t="s">
        <v>6979</v>
      </c>
      <c r="E3826" s="1989">
        <v>2.12</v>
      </c>
      <c r="F3826" s="1546">
        <f t="shared" si="58"/>
        <v>172.40102880000001</v>
      </c>
      <c r="G3826" s="1547"/>
      <c r="H3826" s="8"/>
      <c r="I3826" s="8"/>
      <c r="J3826" s="8"/>
      <c r="K3826" s="8"/>
      <c r="L3826" s="8"/>
      <c r="M3826" s="8"/>
      <c r="N3826" s="8"/>
      <c r="O3826" s="8"/>
      <c r="P3826" s="8"/>
      <c r="Q3826" s="8"/>
      <c r="R3826" s="8"/>
      <c r="S3826" s="8"/>
      <c r="T3826" s="8"/>
      <c r="U3826" s="8"/>
      <c r="V3826" s="8"/>
      <c r="W3826" s="8"/>
      <c r="X3826" s="771"/>
      <c r="Y3826" s="771"/>
      <c r="Z3826" s="771"/>
      <c r="AA3826" s="771"/>
      <c r="AB3826" s="771"/>
      <c r="AC3826" s="771"/>
      <c r="AD3826" s="771"/>
      <c r="AE3826" s="771"/>
      <c r="AF3826" s="771"/>
      <c r="AG3826" s="771"/>
      <c r="AH3826" s="771"/>
      <c r="AI3826" s="771"/>
      <c r="AJ3826" s="771"/>
      <c r="AK3826" s="771"/>
      <c r="AL3826" s="771"/>
      <c r="AM3826" s="771"/>
      <c r="AN3826" s="771"/>
      <c r="AO3826" s="771"/>
      <c r="AP3826" s="771"/>
      <c r="AQ3826" s="771"/>
      <c r="AR3826" s="771"/>
      <c r="AS3826" s="771"/>
      <c r="AT3826" s="771"/>
      <c r="AU3826" s="771"/>
    </row>
    <row r="3827" spans="1:47" s="15" customFormat="1" outlineLevel="1" x14ac:dyDescent="0.2">
      <c r="A3827" s="8"/>
      <c r="B3827" s="8"/>
      <c r="C3827" s="1989" t="s">
        <v>7021</v>
      </c>
      <c r="D3827" s="1989" t="s">
        <v>6980</v>
      </c>
      <c r="E3827" s="1989">
        <v>3.09</v>
      </c>
      <c r="F3827" s="1546">
        <f t="shared" si="58"/>
        <v>251.2826316</v>
      </c>
      <c r="G3827" s="1547"/>
      <c r="H3827" s="8"/>
      <c r="I3827" s="8"/>
      <c r="J3827" s="8"/>
      <c r="K3827" s="8"/>
      <c r="L3827" s="8"/>
      <c r="M3827" s="8"/>
      <c r="N3827" s="8"/>
      <c r="O3827" s="8"/>
      <c r="P3827" s="8"/>
      <c r="Q3827" s="8"/>
      <c r="R3827" s="8"/>
      <c r="S3827" s="8"/>
      <c r="T3827" s="8"/>
      <c r="U3827" s="8"/>
      <c r="V3827" s="8"/>
      <c r="W3827" s="8"/>
      <c r="X3827" s="771"/>
      <c r="Y3827" s="771"/>
      <c r="Z3827" s="771"/>
      <c r="AA3827" s="771"/>
      <c r="AB3827" s="771"/>
      <c r="AC3827" s="771"/>
      <c r="AD3827" s="771"/>
      <c r="AE3827" s="771"/>
      <c r="AF3827" s="771"/>
      <c r="AG3827" s="771"/>
      <c r="AH3827" s="771"/>
      <c r="AI3827" s="771"/>
      <c r="AJ3827" s="771"/>
      <c r="AK3827" s="771"/>
      <c r="AL3827" s="771"/>
      <c r="AM3827" s="771"/>
      <c r="AN3827" s="771"/>
      <c r="AO3827" s="771"/>
      <c r="AP3827" s="771"/>
      <c r="AQ3827" s="771"/>
      <c r="AR3827" s="771"/>
      <c r="AS3827" s="771"/>
      <c r="AT3827" s="771"/>
      <c r="AU3827" s="771"/>
    </row>
    <row r="3828" spans="1:47" s="15" customFormat="1" outlineLevel="1" x14ac:dyDescent="0.2">
      <c r="A3828" s="8"/>
      <c r="B3828" s="8"/>
      <c r="C3828" s="1989" t="s">
        <v>7022</v>
      </c>
      <c r="D3828" s="1989" t="s">
        <v>6981</v>
      </c>
      <c r="E3828" s="1989">
        <v>5</v>
      </c>
      <c r="F3828" s="1546">
        <f t="shared" si="58"/>
        <v>406.60620000000006</v>
      </c>
      <c r="G3828" s="1547"/>
      <c r="H3828" s="8"/>
      <c r="I3828" s="8"/>
      <c r="J3828" s="8"/>
      <c r="K3828" s="8"/>
      <c r="L3828" s="8"/>
      <c r="M3828" s="8"/>
      <c r="N3828" s="8"/>
      <c r="O3828" s="8"/>
      <c r="P3828" s="8"/>
      <c r="Q3828" s="8"/>
      <c r="R3828" s="8"/>
      <c r="S3828" s="8"/>
      <c r="T3828" s="8"/>
      <c r="U3828" s="8"/>
      <c r="V3828" s="8"/>
      <c r="W3828" s="8"/>
      <c r="X3828" s="771"/>
      <c r="Y3828" s="771"/>
      <c r="Z3828" s="771"/>
      <c r="AA3828" s="771"/>
      <c r="AB3828" s="771"/>
      <c r="AC3828" s="771"/>
      <c r="AD3828" s="771"/>
      <c r="AE3828" s="771"/>
      <c r="AF3828" s="771"/>
      <c r="AG3828" s="771"/>
      <c r="AH3828" s="771"/>
      <c r="AI3828" s="771"/>
      <c r="AJ3828" s="771"/>
      <c r="AK3828" s="771"/>
      <c r="AL3828" s="771"/>
      <c r="AM3828" s="771"/>
      <c r="AN3828" s="771"/>
      <c r="AO3828" s="771"/>
      <c r="AP3828" s="771"/>
      <c r="AQ3828" s="771"/>
      <c r="AR3828" s="771"/>
      <c r="AS3828" s="771"/>
      <c r="AT3828" s="771"/>
      <c r="AU3828" s="771"/>
    </row>
    <row r="3829" spans="1:47" s="15" customFormat="1" outlineLevel="1" x14ac:dyDescent="0.2">
      <c r="A3829" s="8"/>
      <c r="B3829" s="8"/>
      <c r="C3829" s="1989" t="s">
        <v>7023</v>
      </c>
      <c r="D3829" s="1989" t="s">
        <v>6982</v>
      </c>
      <c r="E3829" s="1989">
        <v>6.9</v>
      </c>
      <c r="F3829" s="1546">
        <f t="shared" si="58"/>
        <v>561.11655599999995</v>
      </c>
      <c r="G3829" s="1547"/>
      <c r="H3829" s="8"/>
      <c r="I3829" s="8"/>
      <c r="J3829" s="8"/>
      <c r="K3829" s="8"/>
      <c r="L3829" s="8"/>
      <c r="M3829" s="8"/>
      <c r="N3829" s="8"/>
      <c r="O3829" s="8"/>
      <c r="P3829" s="8"/>
      <c r="Q3829" s="8"/>
      <c r="R3829" s="8"/>
      <c r="S3829" s="8"/>
      <c r="T3829" s="8"/>
      <c r="U3829" s="8"/>
      <c r="V3829" s="8"/>
      <c r="W3829" s="8"/>
      <c r="X3829" s="771"/>
      <c r="Y3829" s="771"/>
      <c r="Z3829" s="771"/>
      <c r="AA3829" s="771"/>
      <c r="AB3829" s="771"/>
      <c r="AC3829" s="771"/>
      <c r="AD3829" s="771"/>
      <c r="AE3829" s="771"/>
      <c r="AF3829" s="771"/>
      <c r="AG3829" s="771"/>
      <c r="AH3829" s="771"/>
      <c r="AI3829" s="771"/>
      <c r="AJ3829" s="771"/>
      <c r="AK3829" s="771"/>
      <c r="AL3829" s="771"/>
      <c r="AM3829" s="771"/>
      <c r="AN3829" s="771"/>
      <c r="AO3829" s="771"/>
      <c r="AP3829" s="771"/>
      <c r="AQ3829" s="771"/>
      <c r="AR3829" s="771"/>
      <c r="AS3829" s="771"/>
      <c r="AT3829" s="771"/>
      <c r="AU3829" s="771"/>
    </row>
    <row r="3830" spans="1:47" s="15" customFormat="1" outlineLevel="1" x14ac:dyDescent="0.2">
      <c r="A3830" s="8"/>
      <c r="B3830" s="8"/>
      <c r="C3830" s="1989" t="s">
        <v>7024</v>
      </c>
      <c r="D3830" s="1989" t="s">
        <v>6983</v>
      </c>
      <c r="E3830" s="1989">
        <v>3.48</v>
      </c>
      <c r="F3830" s="1546">
        <f t="shared" si="58"/>
        <v>282.99791520000002</v>
      </c>
      <c r="G3830" s="1547"/>
      <c r="H3830" s="8"/>
      <c r="I3830" s="8"/>
      <c r="J3830" s="8"/>
      <c r="K3830" s="8"/>
      <c r="L3830" s="8"/>
      <c r="M3830" s="8"/>
      <c r="N3830" s="8"/>
      <c r="O3830" s="8"/>
      <c r="P3830" s="8"/>
      <c r="Q3830" s="8"/>
      <c r="R3830" s="8"/>
      <c r="S3830" s="8"/>
      <c r="T3830" s="8"/>
      <c r="U3830" s="8"/>
      <c r="V3830" s="8"/>
      <c r="W3830" s="8"/>
      <c r="X3830" s="771"/>
      <c r="Y3830" s="771"/>
      <c r="Z3830" s="771"/>
      <c r="AA3830" s="771"/>
      <c r="AB3830" s="771"/>
      <c r="AC3830" s="771"/>
      <c r="AD3830" s="771"/>
      <c r="AE3830" s="771"/>
      <c r="AF3830" s="771"/>
      <c r="AG3830" s="771"/>
      <c r="AH3830" s="771"/>
      <c r="AI3830" s="771"/>
      <c r="AJ3830" s="771"/>
      <c r="AK3830" s="771"/>
      <c r="AL3830" s="771"/>
      <c r="AM3830" s="771"/>
      <c r="AN3830" s="771"/>
      <c r="AO3830" s="771"/>
      <c r="AP3830" s="771"/>
      <c r="AQ3830" s="771"/>
      <c r="AR3830" s="771"/>
      <c r="AS3830" s="771"/>
      <c r="AT3830" s="771"/>
      <c r="AU3830" s="771"/>
    </row>
    <row r="3831" spans="1:47" s="15" customFormat="1" outlineLevel="1" x14ac:dyDescent="0.2">
      <c r="A3831" s="8"/>
      <c r="B3831" s="8"/>
      <c r="C3831" s="1989" t="s">
        <v>7025</v>
      </c>
      <c r="D3831" s="1989" t="s">
        <v>6984</v>
      </c>
      <c r="E3831" s="1989">
        <v>5.72</v>
      </c>
      <c r="F3831" s="1546">
        <f t="shared" si="58"/>
        <v>465.1574928</v>
      </c>
      <c r="G3831" s="1547"/>
      <c r="H3831" s="8"/>
      <c r="I3831" s="8"/>
      <c r="J3831" s="8"/>
      <c r="K3831" s="8"/>
      <c r="L3831" s="8"/>
      <c r="M3831" s="8"/>
      <c r="N3831" s="8"/>
      <c r="O3831" s="8"/>
      <c r="P3831" s="8"/>
      <c r="Q3831" s="8"/>
      <c r="R3831" s="8"/>
      <c r="S3831" s="8"/>
      <c r="T3831" s="8"/>
      <c r="U3831" s="8"/>
      <c r="V3831" s="8"/>
      <c r="W3831" s="8"/>
      <c r="X3831" s="771"/>
      <c r="Y3831" s="771"/>
      <c r="Z3831" s="771"/>
      <c r="AA3831" s="771"/>
      <c r="AB3831" s="771"/>
      <c r="AC3831" s="771"/>
      <c r="AD3831" s="771"/>
      <c r="AE3831" s="771"/>
      <c r="AF3831" s="771"/>
      <c r="AG3831" s="771"/>
      <c r="AH3831" s="771"/>
      <c r="AI3831" s="771"/>
      <c r="AJ3831" s="771"/>
      <c r="AK3831" s="771"/>
      <c r="AL3831" s="771"/>
      <c r="AM3831" s="771"/>
      <c r="AN3831" s="771"/>
      <c r="AO3831" s="771"/>
      <c r="AP3831" s="771"/>
      <c r="AQ3831" s="771"/>
      <c r="AR3831" s="771"/>
      <c r="AS3831" s="771"/>
      <c r="AT3831" s="771"/>
      <c r="AU3831" s="771"/>
    </row>
    <row r="3832" spans="1:47" s="15" customFormat="1" outlineLevel="1" x14ac:dyDescent="0.2">
      <c r="A3832" s="8"/>
      <c r="B3832" s="8"/>
      <c r="C3832" s="1989" t="s">
        <v>6985</v>
      </c>
      <c r="D3832" s="1989" t="s">
        <v>6986</v>
      </c>
      <c r="E3832" s="1989">
        <v>3.48</v>
      </c>
      <c r="F3832" s="1546">
        <f t="shared" si="58"/>
        <v>282.99791520000002</v>
      </c>
      <c r="G3832" s="1547"/>
      <c r="H3832" s="8"/>
      <c r="I3832" s="8"/>
      <c r="J3832" s="8"/>
      <c r="K3832" s="8"/>
      <c r="L3832" s="8"/>
      <c r="M3832" s="8"/>
      <c r="N3832" s="8"/>
      <c r="O3832" s="8"/>
      <c r="P3832" s="8"/>
      <c r="Q3832" s="8"/>
      <c r="R3832" s="8"/>
      <c r="S3832" s="8"/>
      <c r="T3832" s="8"/>
      <c r="U3832" s="8"/>
      <c r="V3832" s="8"/>
      <c r="W3832" s="8"/>
      <c r="X3832" s="771"/>
      <c r="Y3832" s="771"/>
      <c r="Z3832" s="771"/>
      <c r="AA3832" s="771"/>
      <c r="AB3832" s="771"/>
      <c r="AC3832" s="771"/>
      <c r="AD3832" s="771"/>
      <c r="AE3832" s="771"/>
      <c r="AF3832" s="771"/>
      <c r="AG3832" s="771"/>
      <c r="AH3832" s="771"/>
      <c r="AI3832" s="771"/>
      <c r="AJ3832" s="771"/>
      <c r="AK3832" s="771"/>
      <c r="AL3832" s="771"/>
      <c r="AM3832" s="771"/>
      <c r="AN3832" s="771"/>
      <c r="AO3832" s="771"/>
      <c r="AP3832" s="771"/>
      <c r="AQ3832" s="771"/>
      <c r="AR3832" s="771"/>
      <c r="AS3832" s="771"/>
      <c r="AT3832" s="771"/>
      <c r="AU3832" s="771"/>
    </row>
    <row r="3833" spans="1:47" s="15" customFormat="1" outlineLevel="1" x14ac:dyDescent="0.2">
      <c r="A3833" s="8"/>
      <c r="B3833" s="8"/>
      <c r="C3833" s="1989" t="s">
        <v>6987</v>
      </c>
      <c r="D3833" s="1989" t="s">
        <v>6988</v>
      </c>
      <c r="E3833" s="1989">
        <v>2.4900000000000002</v>
      </c>
      <c r="F3833" s="1546">
        <f t="shared" si="58"/>
        <v>202.4898876</v>
      </c>
      <c r="G3833" s="1547"/>
      <c r="H3833" s="8"/>
      <c r="I3833" s="8"/>
      <c r="J3833" s="8"/>
      <c r="K3833" s="8"/>
      <c r="L3833" s="8"/>
      <c r="M3833" s="8"/>
      <c r="N3833" s="8"/>
      <c r="O3833" s="8"/>
      <c r="P3833" s="8"/>
      <c r="Q3833" s="8"/>
      <c r="R3833" s="8"/>
      <c r="S3833" s="8"/>
      <c r="T3833" s="8"/>
      <c r="U3833" s="8"/>
      <c r="V3833" s="8"/>
      <c r="W3833" s="8"/>
      <c r="X3833" s="771"/>
      <c r="Y3833" s="771"/>
      <c r="Z3833" s="771"/>
      <c r="AA3833" s="771"/>
      <c r="AB3833" s="771"/>
      <c r="AC3833" s="771"/>
      <c r="AD3833" s="771"/>
      <c r="AE3833" s="771"/>
      <c r="AF3833" s="771"/>
      <c r="AG3833" s="771"/>
      <c r="AH3833" s="771"/>
      <c r="AI3833" s="771"/>
      <c r="AJ3833" s="771"/>
      <c r="AK3833" s="771"/>
      <c r="AL3833" s="771"/>
      <c r="AM3833" s="771"/>
      <c r="AN3833" s="771"/>
      <c r="AO3833" s="771"/>
      <c r="AP3833" s="771"/>
      <c r="AQ3833" s="771"/>
      <c r="AR3833" s="771"/>
      <c r="AS3833" s="771"/>
      <c r="AT3833" s="771"/>
      <c r="AU3833" s="771"/>
    </row>
    <row r="3834" spans="1:47" s="15" customFormat="1" outlineLevel="1" x14ac:dyDescent="0.2">
      <c r="A3834" s="8"/>
      <c r="B3834" s="8"/>
      <c r="C3834" s="1989" t="s">
        <v>6989</v>
      </c>
      <c r="D3834" s="1989" t="s">
        <v>6990</v>
      </c>
      <c r="E3834" s="1989">
        <v>1.49</v>
      </c>
      <c r="F3834" s="1546">
        <f t="shared" si="58"/>
        <v>121.16864760000001</v>
      </c>
      <c r="G3834" s="1547"/>
      <c r="H3834" s="8"/>
      <c r="I3834" s="8"/>
      <c r="J3834" s="8"/>
      <c r="K3834" s="8"/>
      <c r="L3834" s="8"/>
      <c r="M3834" s="8"/>
      <c r="N3834" s="8"/>
      <c r="O3834" s="8"/>
      <c r="P3834" s="8"/>
      <c r="Q3834" s="8"/>
      <c r="R3834" s="8"/>
      <c r="S3834" s="8"/>
      <c r="T3834" s="8"/>
      <c r="U3834" s="8"/>
      <c r="V3834" s="8"/>
      <c r="W3834" s="8"/>
      <c r="X3834" s="771"/>
      <c r="Y3834" s="771"/>
      <c r="Z3834" s="771"/>
      <c r="AA3834" s="771"/>
      <c r="AB3834" s="771"/>
      <c r="AC3834" s="771"/>
      <c r="AD3834" s="771"/>
      <c r="AE3834" s="771"/>
      <c r="AF3834" s="771"/>
      <c r="AG3834" s="771"/>
      <c r="AH3834" s="771"/>
      <c r="AI3834" s="771"/>
      <c r="AJ3834" s="771"/>
      <c r="AK3834" s="771"/>
      <c r="AL3834" s="771"/>
      <c r="AM3834" s="771"/>
      <c r="AN3834" s="771"/>
      <c r="AO3834" s="771"/>
      <c r="AP3834" s="771"/>
      <c r="AQ3834" s="771"/>
      <c r="AR3834" s="771"/>
      <c r="AS3834" s="771"/>
      <c r="AT3834" s="771"/>
      <c r="AU3834" s="771"/>
    </row>
    <row r="3835" spans="1:47" s="15" customFormat="1" outlineLevel="1" x14ac:dyDescent="0.2">
      <c r="A3835" s="8"/>
      <c r="B3835" s="8"/>
      <c r="C3835" s="1989" t="s">
        <v>6991</v>
      </c>
      <c r="D3835" s="1989" t="s">
        <v>6992</v>
      </c>
      <c r="E3835" s="1989">
        <v>5.48</v>
      </c>
      <c r="F3835" s="1546">
        <f t="shared" si="58"/>
        <v>445.64039520000006</v>
      </c>
      <c r="G3835" s="1547"/>
      <c r="H3835" s="8"/>
      <c r="I3835" s="8"/>
      <c r="J3835" s="8"/>
      <c r="K3835" s="8"/>
      <c r="L3835" s="8"/>
      <c r="M3835" s="8"/>
      <c r="N3835" s="8"/>
      <c r="O3835" s="8"/>
      <c r="P3835" s="8"/>
      <c r="Q3835" s="8"/>
      <c r="R3835" s="8"/>
      <c r="S3835" s="8"/>
      <c r="T3835" s="8"/>
      <c r="U3835" s="8"/>
      <c r="V3835" s="8"/>
      <c r="W3835" s="8"/>
      <c r="X3835" s="771"/>
      <c r="Y3835" s="771"/>
      <c r="Z3835" s="771"/>
      <c r="AA3835" s="771"/>
      <c r="AB3835" s="771"/>
      <c r="AC3835" s="771"/>
      <c r="AD3835" s="771"/>
      <c r="AE3835" s="771"/>
      <c r="AF3835" s="771"/>
      <c r="AG3835" s="771"/>
      <c r="AH3835" s="771"/>
      <c r="AI3835" s="771"/>
      <c r="AJ3835" s="771"/>
      <c r="AK3835" s="771"/>
      <c r="AL3835" s="771"/>
      <c r="AM3835" s="771"/>
      <c r="AN3835" s="771"/>
      <c r="AO3835" s="771"/>
      <c r="AP3835" s="771"/>
      <c r="AQ3835" s="771"/>
      <c r="AR3835" s="771"/>
      <c r="AS3835" s="771"/>
      <c r="AT3835" s="771"/>
      <c r="AU3835" s="771"/>
    </row>
    <row r="3836" spans="1:47" s="15" customFormat="1" outlineLevel="1" x14ac:dyDescent="0.2">
      <c r="A3836" s="8"/>
      <c r="B3836" s="8"/>
      <c r="C3836" s="1989" t="s">
        <v>6993</v>
      </c>
      <c r="D3836" s="1989" t="s">
        <v>6994</v>
      </c>
      <c r="E3836" s="1989">
        <v>7.46</v>
      </c>
      <c r="F3836" s="1546">
        <f t="shared" si="58"/>
        <v>606.65645040000004</v>
      </c>
      <c r="G3836" s="1547"/>
      <c r="H3836" s="8"/>
      <c r="I3836" s="8"/>
      <c r="J3836" s="8"/>
      <c r="K3836" s="8"/>
      <c r="L3836" s="8"/>
      <c r="M3836" s="8"/>
      <c r="N3836" s="8"/>
      <c r="O3836" s="8"/>
      <c r="P3836" s="8"/>
      <c r="Q3836" s="8"/>
      <c r="R3836" s="8"/>
      <c r="S3836" s="8"/>
      <c r="T3836" s="8"/>
      <c r="U3836" s="8"/>
      <c r="V3836" s="8"/>
      <c r="W3836" s="8"/>
      <c r="X3836" s="771"/>
      <c r="Y3836" s="771"/>
      <c r="Z3836" s="771"/>
      <c r="AA3836" s="771"/>
      <c r="AB3836" s="771"/>
      <c r="AC3836" s="771"/>
      <c r="AD3836" s="771"/>
      <c r="AE3836" s="771"/>
      <c r="AF3836" s="771"/>
      <c r="AG3836" s="771"/>
      <c r="AH3836" s="771"/>
      <c r="AI3836" s="771"/>
      <c r="AJ3836" s="771"/>
      <c r="AK3836" s="771"/>
      <c r="AL3836" s="771"/>
      <c r="AM3836" s="771"/>
      <c r="AN3836" s="771"/>
      <c r="AO3836" s="771"/>
      <c r="AP3836" s="771"/>
      <c r="AQ3836" s="771"/>
      <c r="AR3836" s="771"/>
      <c r="AS3836" s="771"/>
      <c r="AT3836" s="771"/>
      <c r="AU3836" s="771"/>
    </row>
    <row r="3837" spans="1:47" s="15" customFormat="1" outlineLevel="1" x14ac:dyDescent="0.2">
      <c r="A3837" s="8"/>
      <c r="B3837" s="8"/>
      <c r="C3837" s="1989" t="s">
        <v>4996</v>
      </c>
      <c r="D3837" s="1989" t="s">
        <v>6995</v>
      </c>
      <c r="E3837" s="1989">
        <v>3.13</v>
      </c>
      <c r="F3837" s="1546">
        <f t="shared" si="58"/>
        <v>254.53548119999999</v>
      </c>
      <c r="G3837" s="1547"/>
      <c r="H3837" s="8"/>
      <c r="I3837" s="8"/>
      <c r="J3837" s="8"/>
      <c r="K3837" s="8"/>
      <c r="L3837" s="8"/>
      <c r="M3837" s="8"/>
      <c r="N3837" s="8"/>
      <c r="O3837" s="8"/>
      <c r="P3837" s="8"/>
      <c r="Q3837" s="8"/>
      <c r="R3837" s="8"/>
      <c r="S3837" s="8"/>
      <c r="T3837" s="8"/>
      <c r="U3837" s="8"/>
      <c r="V3837" s="8"/>
      <c r="W3837" s="8"/>
      <c r="X3837" s="771"/>
      <c r="Y3837" s="771"/>
      <c r="Z3837" s="771"/>
      <c r="AA3837" s="771"/>
      <c r="AB3837" s="771"/>
      <c r="AC3837" s="771"/>
      <c r="AD3837" s="771"/>
      <c r="AE3837" s="771"/>
      <c r="AF3837" s="771"/>
      <c r="AG3837" s="771"/>
      <c r="AH3837" s="771"/>
      <c r="AI3837" s="771"/>
      <c r="AJ3837" s="771"/>
      <c r="AK3837" s="771"/>
      <c r="AL3837" s="771"/>
      <c r="AM3837" s="771"/>
      <c r="AN3837" s="771"/>
      <c r="AO3837" s="771"/>
      <c r="AP3837" s="771"/>
      <c r="AQ3837" s="771"/>
      <c r="AR3837" s="771"/>
      <c r="AS3837" s="771"/>
      <c r="AT3837" s="771"/>
      <c r="AU3837" s="771"/>
    </row>
    <row r="3838" spans="1:47" s="15" customFormat="1" outlineLevel="1" x14ac:dyDescent="0.2">
      <c r="A3838" s="8"/>
      <c r="B3838" s="8"/>
      <c r="C3838" s="1989" t="s">
        <v>4997</v>
      </c>
      <c r="D3838" s="1989" t="s">
        <v>6996</v>
      </c>
      <c r="E3838" s="1989">
        <v>4.37</v>
      </c>
      <c r="F3838" s="1546">
        <f t="shared" si="58"/>
        <v>355.37381880000004</v>
      </c>
      <c r="G3838" s="1547"/>
      <c r="H3838" s="8"/>
      <c r="I3838" s="8"/>
      <c r="J3838" s="8"/>
      <c r="K3838" s="8"/>
      <c r="L3838" s="8"/>
      <c r="M3838" s="8"/>
      <c r="N3838" s="8"/>
      <c r="O3838" s="8"/>
      <c r="P3838" s="8"/>
      <c r="Q3838" s="8"/>
      <c r="R3838" s="8"/>
      <c r="S3838" s="8"/>
      <c r="T3838" s="8"/>
      <c r="U3838" s="8"/>
      <c r="V3838" s="8"/>
      <c r="W3838" s="8"/>
      <c r="X3838" s="771"/>
      <c r="Y3838" s="771"/>
      <c r="Z3838" s="771"/>
      <c r="AA3838" s="771"/>
      <c r="AB3838" s="771"/>
      <c r="AC3838" s="771"/>
      <c r="AD3838" s="771"/>
      <c r="AE3838" s="771"/>
      <c r="AF3838" s="771"/>
      <c r="AG3838" s="771"/>
      <c r="AH3838" s="771"/>
      <c r="AI3838" s="771"/>
      <c r="AJ3838" s="771"/>
      <c r="AK3838" s="771"/>
      <c r="AL3838" s="771"/>
      <c r="AM3838" s="771"/>
      <c r="AN3838" s="771"/>
      <c r="AO3838" s="771"/>
      <c r="AP3838" s="771"/>
      <c r="AQ3838" s="771"/>
      <c r="AR3838" s="771"/>
      <c r="AS3838" s="771"/>
      <c r="AT3838" s="771"/>
      <c r="AU3838" s="771"/>
    </row>
    <row r="3839" spans="1:47" s="15" customFormat="1" outlineLevel="1" x14ac:dyDescent="0.2">
      <c r="A3839" s="8"/>
      <c r="B3839" s="8"/>
      <c r="C3839" s="1989" t="s">
        <v>4998</v>
      </c>
      <c r="D3839" s="1989" t="s">
        <v>6997</v>
      </c>
      <c r="E3839" s="1989">
        <v>6.82</v>
      </c>
      <c r="F3839" s="1546">
        <f t="shared" si="58"/>
        <v>554.61085679999997</v>
      </c>
      <c r="G3839" s="1547"/>
      <c r="H3839" s="8"/>
      <c r="I3839" s="8"/>
      <c r="J3839" s="8"/>
      <c r="K3839" s="8"/>
      <c r="L3839" s="8"/>
      <c r="M3839" s="8"/>
      <c r="N3839" s="8"/>
      <c r="O3839" s="8"/>
      <c r="P3839" s="8"/>
      <c r="Q3839" s="8"/>
      <c r="R3839" s="8"/>
      <c r="S3839" s="8"/>
      <c r="T3839" s="8"/>
      <c r="U3839" s="8"/>
      <c r="V3839" s="8"/>
      <c r="W3839" s="8"/>
      <c r="X3839" s="771"/>
      <c r="Y3839" s="771"/>
      <c r="Z3839" s="771"/>
      <c r="AA3839" s="771"/>
      <c r="AB3839" s="771"/>
      <c r="AC3839" s="771"/>
      <c r="AD3839" s="771"/>
      <c r="AE3839" s="771"/>
      <c r="AF3839" s="771"/>
      <c r="AG3839" s="771"/>
      <c r="AH3839" s="771"/>
      <c r="AI3839" s="771"/>
      <c r="AJ3839" s="771"/>
      <c r="AK3839" s="771"/>
      <c r="AL3839" s="771"/>
      <c r="AM3839" s="771"/>
      <c r="AN3839" s="771"/>
      <c r="AO3839" s="771"/>
      <c r="AP3839" s="771"/>
      <c r="AQ3839" s="771"/>
      <c r="AR3839" s="771"/>
      <c r="AS3839" s="771"/>
      <c r="AT3839" s="771"/>
      <c r="AU3839" s="771"/>
    </row>
    <row r="3840" spans="1:47" s="15" customFormat="1" outlineLevel="1" x14ac:dyDescent="0.2">
      <c r="A3840" s="8"/>
      <c r="B3840" s="8"/>
      <c r="C3840" s="1989" t="s">
        <v>4999</v>
      </c>
      <c r="D3840" s="1989" t="s">
        <v>6998</v>
      </c>
      <c r="E3840" s="1989">
        <v>3.13</v>
      </c>
      <c r="F3840" s="1546">
        <f t="shared" si="58"/>
        <v>254.53548119999999</v>
      </c>
      <c r="G3840" s="1547"/>
      <c r="H3840" s="8"/>
      <c r="I3840" s="8"/>
      <c r="J3840" s="8"/>
      <c r="K3840" s="8"/>
      <c r="L3840" s="8"/>
      <c r="M3840" s="8"/>
      <c r="N3840" s="8"/>
      <c r="O3840" s="8"/>
      <c r="P3840" s="8"/>
      <c r="Q3840" s="8"/>
      <c r="R3840" s="8"/>
      <c r="S3840" s="8"/>
      <c r="T3840" s="8"/>
      <c r="U3840" s="8"/>
      <c r="V3840" s="8"/>
      <c r="W3840" s="8"/>
      <c r="X3840" s="771"/>
      <c r="Y3840" s="771"/>
      <c r="Z3840" s="771"/>
      <c r="AA3840" s="771"/>
      <c r="AB3840" s="771"/>
      <c r="AC3840" s="771"/>
      <c r="AD3840" s="771"/>
      <c r="AE3840" s="771"/>
      <c r="AF3840" s="771"/>
      <c r="AG3840" s="771"/>
      <c r="AH3840" s="771"/>
      <c r="AI3840" s="771"/>
      <c r="AJ3840" s="771"/>
      <c r="AK3840" s="771"/>
      <c r="AL3840" s="771"/>
      <c r="AM3840" s="771"/>
      <c r="AN3840" s="771"/>
      <c r="AO3840" s="771"/>
      <c r="AP3840" s="771"/>
      <c r="AQ3840" s="771"/>
      <c r="AR3840" s="771"/>
      <c r="AS3840" s="771"/>
      <c r="AT3840" s="771"/>
      <c r="AU3840" s="771"/>
    </row>
    <row r="3841" spans="1:47" s="15" customFormat="1" outlineLevel="1" x14ac:dyDescent="0.2">
      <c r="A3841" s="8"/>
      <c r="B3841" s="8"/>
      <c r="C3841" s="1989" t="s">
        <v>5000</v>
      </c>
      <c r="D3841" s="1989" t="s">
        <v>6999</v>
      </c>
      <c r="E3841" s="1989">
        <v>4.37</v>
      </c>
      <c r="F3841" s="1546">
        <f t="shared" si="58"/>
        <v>355.37381880000004</v>
      </c>
      <c r="G3841" s="1547"/>
      <c r="H3841" s="8"/>
      <c r="I3841" s="8"/>
      <c r="J3841" s="8"/>
      <c r="K3841" s="8"/>
      <c r="L3841" s="8"/>
      <c r="M3841" s="8"/>
      <c r="N3841" s="8"/>
      <c r="O3841" s="8"/>
      <c r="P3841" s="8"/>
      <c r="Q3841" s="8"/>
      <c r="R3841" s="8"/>
      <c r="S3841" s="8"/>
      <c r="T3841" s="8"/>
      <c r="U3841" s="8"/>
      <c r="V3841" s="8"/>
      <c r="W3841" s="8"/>
      <c r="X3841" s="771"/>
      <c r="Y3841" s="771"/>
      <c r="Z3841" s="771"/>
      <c r="AA3841" s="771"/>
      <c r="AB3841" s="771"/>
      <c r="AC3841" s="771"/>
      <c r="AD3841" s="771"/>
      <c r="AE3841" s="771"/>
      <c r="AF3841" s="771"/>
      <c r="AG3841" s="771"/>
      <c r="AH3841" s="771"/>
      <c r="AI3841" s="771"/>
      <c r="AJ3841" s="771"/>
      <c r="AK3841" s="771"/>
      <c r="AL3841" s="771"/>
      <c r="AM3841" s="771"/>
      <c r="AN3841" s="771"/>
      <c r="AO3841" s="771"/>
      <c r="AP3841" s="771"/>
      <c r="AQ3841" s="771"/>
      <c r="AR3841" s="771"/>
      <c r="AS3841" s="771"/>
      <c r="AT3841" s="771"/>
      <c r="AU3841" s="771"/>
    </row>
    <row r="3842" spans="1:47" s="15" customFormat="1" outlineLevel="1" x14ac:dyDescent="0.2">
      <c r="A3842" s="8"/>
      <c r="B3842" s="8"/>
      <c r="C3842" s="1989" t="s">
        <v>5001</v>
      </c>
      <c r="D3842" s="1989" t="s">
        <v>7000</v>
      </c>
      <c r="E3842" s="1989">
        <v>6.82</v>
      </c>
      <c r="F3842" s="1546">
        <f t="shared" si="58"/>
        <v>554.61085679999997</v>
      </c>
      <c r="G3842" s="1547"/>
      <c r="H3842" s="8"/>
      <c r="I3842" s="8"/>
      <c r="J3842" s="8"/>
      <c r="K3842" s="8"/>
      <c r="L3842" s="8"/>
      <c r="M3842" s="8"/>
      <c r="N3842" s="8"/>
      <c r="O3842" s="8"/>
      <c r="P3842" s="8"/>
      <c r="Q3842" s="8"/>
      <c r="R3842" s="8"/>
      <c r="S3842" s="8"/>
      <c r="T3842" s="8"/>
      <c r="U3842" s="8"/>
      <c r="V3842" s="8"/>
      <c r="W3842" s="8"/>
      <c r="X3842" s="771"/>
      <c r="Y3842" s="771"/>
      <c r="Z3842" s="771"/>
      <c r="AA3842" s="771"/>
      <c r="AB3842" s="771"/>
      <c r="AC3842" s="771"/>
      <c r="AD3842" s="771"/>
      <c r="AE3842" s="771"/>
      <c r="AF3842" s="771"/>
      <c r="AG3842" s="771"/>
      <c r="AH3842" s="771"/>
      <c r="AI3842" s="771"/>
      <c r="AJ3842" s="771"/>
      <c r="AK3842" s="771"/>
      <c r="AL3842" s="771"/>
      <c r="AM3842" s="771"/>
      <c r="AN3842" s="771"/>
      <c r="AO3842" s="771"/>
      <c r="AP3842" s="771"/>
      <c r="AQ3842" s="771"/>
      <c r="AR3842" s="771"/>
      <c r="AS3842" s="771"/>
      <c r="AT3842" s="771"/>
      <c r="AU3842" s="771"/>
    </row>
    <row r="3843" spans="1:47" s="15" customFormat="1" outlineLevel="1" x14ac:dyDescent="0.2">
      <c r="A3843" s="8"/>
      <c r="B3843" s="8"/>
      <c r="C3843" s="1989" t="s">
        <v>7001</v>
      </c>
      <c r="D3843" s="1989" t="s">
        <v>7002</v>
      </c>
      <c r="E3843" s="1989">
        <v>9.6199999999999992</v>
      </c>
      <c r="F3843" s="1546">
        <f t="shared" si="58"/>
        <v>782.31032879999998</v>
      </c>
      <c r="G3843" s="1547"/>
      <c r="H3843" s="8"/>
      <c r="I3843" s="8"/>
      <c r="J3843" s="8"/>
      <c r="K3843" s="8"/>
      <c r="L3843" s="8"/>
      <c r="M3843" s="8"/>
      <c r="N3843" s="8"/>
      <c r="O3843" s="8"/>
      <c r="P3843" s="8"/>
      <c r="Q3843" s="8"/>
      <c r="R3843" s="8"/>
      <c r="S3843" s="8"/>
      <c r="T3843" s="8"/>
      <c r="U3843" s="8"/>
      <c r="V3843" s="8"/>
      <c r="W3843" s="8"/>
      <c r="X3843" s="771"/>
      <c r="Y3843" s="771"/>
      <c r="Z3843" s="771"/>
      <c r="AA3843" s="771"/>
      <c r="AB3843" s="771"/>
      <c r="AC3843" s="771"/>
      <c r="AD3843" s="771"/>
      <c r="AE3843" s="771"/>
      <c r="AF3843" s="771"/>
      <c r="AG3843" s="771"/>
      <c r="AH3843" s="771"/>
      <c r="AI3843" s="771"/>
      <c r="AJ3843" s="771"/>
      <c r="AK3843" s="771"/>
      <c r="AL3843" s="771"/>
      <c r="AM3843" s="771"/>
      <c r="AN3843" s="771"/>
      <c r="AO3843" s="771"/>
      <c r="AP3843" s="771"/>
      <c r="AQ3843" s="771"/>
      <c r="AR3843" s="771"/>
      <c r="AS3843" s="771"/>
      <c r="AT3843" s="771"/>
      <c r="AU3843" s="771"/>
    </row>
    <row r="3844" spans="1:47" s="15" customFormat="1" outlineLevel="1" x14ac:dyDescent="0.2">
      <c r="A3844" s="8"/>
      <c r="B3844" s="8"/>
      <c r="C3844" s="1989" t="s">
        <v>7003</v>
      </c>
      <c r="D3844" s="1989" t="s">
        <v>7004</v>
      </c>
      <c r="E3844" s="1989">
        <v>9.6199999999999992</v>
      </c>
      <c r="F3844" s="1546">
        <f t="shared" si="58"/>
        <v>782.31032879999998</v>
      </c>
      <c r="G3844" s="1547"/>
      <c r="H3844" s="8"/>
      <c r="I3844" s="8"/>
      <c r="J3844" s="8"/>
      <c r="K3844" s="8"/>
      <c r="L3844" s="8"/>
      <c r="M3844" s="8"/>
      <c r="N3844" s="8"/>
      <c r="O3844" s="8"/>
      <c r="P3844" s="8"/>
      <c r="Q3844" s="8"/>
      <c r="R3844" s="8"/>
      <c r="S3844" s="8"/>
      <c r="T3844" s="8"/>
      <c r="U3844" s="8"/>
      <c r="V3844" s="8"/>
      <c r="W3844" s="8"/>
      <c r="X3844" s="771"/>
      <c r="Y3844" s="771"/>
      <c r="Z3844" s="771"/>
      <c r="AA3844" s="771"/>
      <c r="AB3844" s="771"/>
      <c r="AC3844" s="771"/>
      <c r="AD3844" s="771"/>
      <c r="AE3844" s="771"/>
      <c r="AF3844" s="771"/>
      <c r="AG3844" s="771"/>
      <c r="AH3844" s="771"/>
      <c r="AI3844" s="771"/>
      <c r="AJ3844" s="771"/>
      <c r="AK3844" s="771"/>
      <c r="AL3844" s="771"/>
      <c r="AM3844" s="771"/>
      <c r="AN3844" s="771"/>
      <c r="AO3844" s="771"/>
      <c r="AP3844" s="771"/>
      <c r="AQ3844" s="771"/>
      <c r="AR3844" s="771"/>
      <c r="AS3844" s="771"/>
      <c r="AT3844" s="771"/>
      <c r="AU3844" s="771"/>
    </row>
    <row r="3845" spans="1:47" s="15" customFormat="1" outlineLevel="1" x14ac:dyDescent="0.2">
      <c r="A3845" s="8"/>
      <c r="B3845" s="8"/>
      <c r="C3845" s="1989" t="s">
        <v>7005</v>
      </c>
      <c r="D3845" s="1989" t="s">
        <v>7006</v>
      </c>
      <c r="E3845" s="1989">
        <v>9.6199999999999992</v>
      </c>
      <c r="F3845" s="1546">
        <f t="shared" si="58"/>
        <v>782.31032879999998</v>
      </c>
      <c r="G3845" s="1547"/>
      <c r="H3845" s="8"/>
      <c r="I3845" s="8"/>
      <c r="J3845" s="8"/>
      <c r="K3845" s="8"/>
      <c r="L3845" s="8"/>
      <c r="M3845" s="8"/>
      <c r="N3845" s="8"/>
      <c r="O3845" s="8"/>
      <c r="P3845" s="8"/>
      <c r="Q3845" s="8"/>
      <c r="R3845" s="8"/>
      <c r="S3845" s="8"/>
      <c r="T3845" s="8"/>
      <c r="U3845" s="8"/>
      <c r="V3845" s="8"/>
      <c r="W3845" s="8"/>
      <c r="X3845" s="771"/>
      <c r="Y3845" s="771"/>
      <c r="Z3845" s="771"/>
      <c r="AA3845" s="771"/>
      <c r="AB3845" s="771"/>
      <c r="AC3845" s="771"/>
      <c r="AD3845" s="771"/>
      <c r="AE3845" s="771"/>
      <c r="AF3845" s="771"/>
      <c r="AG3845" s="771"/>
      <c r="AH3845" s="771"/>
      <c r="AI3845" s="771"/>
      <c r="AJ3845" s="771"/>
      <c r="AK3845" s="771"/>
      <c r="AL3845" s="771"/>
      <c r="AM3845" s="771"/>
      <c r="AN3845" s="771"/>
      <c r="AO3845" s="771"/>
      <c r="AP3845" s="771"/>
      <c r="AQ3845" s="771"/>
      <c r="AR3845" s="771"/>
      <c r="AS3845" s="771"/>
      <c r="AT3845" s="771"/>
      <c r="AU3845" s="771"/>
    </row>
    <row r="3846" spans="1:47" s="15" customFormat="1" outlineLevel="1" x14ac:dyDescent="0.2">
      <c r="A3846" s="8"/>
      <c r="B3846" s="8"/>
      <c r="C3846" s="1989" t="s">
        <v>5002</v>
      </c>
      <c r="D3846" s="1989" t="s">
        <v>8684</v>
      </c>
      <c r="E3846" s="1989">
        <v>8.8699999999999992</v>
      </c>
      <c r="F3846" s="1546">
        <f t="shared" si="58"/>
        <v>721.31939879999993</v>
      </c>
      <c r="G3846" s="1547"/>
      <c r="H3846" s="8"/>
      <c r="I3846" s="8"/>
      <c r="J3846" s="8"/>
      <c r="K3846" s="8"/>
      <c r="L3846" s="8"/>
      <c r="M3846" s="8"/>
      <c r="N3846" s="8"/>
      <c r="O3846" s="8"/>
      <c r="P3846" s="8"/>
      <c r="Q3846" s="8"/>
      <c r="R3846" s="8"/>
      <c r="S3846" s="8"/>
      <c r="T3846" s="8"/>
      <c r="U3846" s="8"/>
      <c r="V3846" s="8"/>
      <c r="W3846" s="8"/>
      <c r="X3846" s="771"/>
      <c r="Y3846" s="771"/>
      <c r="Z3846" s="771"/>
      <c r="AA3846" s="771"/>
      <c r="AB3846" s="771"/>
      <c r="AC3846" s="771"/>
      <c r="AD3846" s="771"/>
      <c r="AE3846" s="771"/>
      <c r="AF3846" s="771"/>
      <c r="AG3846" s="771"/>
      <c r="AH3846" s="771"/>
      <c r="AI3846" s="771"/>
      <c r="AJ3846" s="771"/>
      <c r="AK3846" s="771"/>
      <c r="AL3846" s="771"/>
      <c r="AM3846" s="771"/>
      <c r="AN3846" s="771"/>
      <c r="AO3846" s="771"/>
      <c r="AP3846" s="771"/>
      <c r="AQ3846" s="771"/>
      <c r="AR3846" s="771"/>
      <c r="AS3846" s="771"/>
      <c r="AT3846" s="771"/>
      <c r="AU3846" s="771"/>
    </row>
    <row r="3847" spans="1:47" s="15" customFormat="1" outlineLevel="1" x14ac:dyDescent="0.2">
      <c r="A3847" s="8"/>
      <c r="B3847" s="8"/>
      <c r="C3847" s="1989" t="s">
        <v>7007</v>
      </c>
      <c r="D3847" s="1989" t="s">
        <v>8685</v>
      </c>
      <c r="E3847" s="1989">
        <v>8.8699999999999992</v>
      </c>
      <c r="F3847" s="1546">
        <f t="shared" si="58"/>
        <v>721.31939879999993</v>
      </c>
      <c r="G3847" s="1547"/>
      <c r="H3847" s="8"/>
      <c r="I3847" s="8"/>
      <c r="J3847" s="8"/>
      <c r="K3847" s="8"/>
      <c r="L3847" s="8"/>
      <c r="M3847" s="8"/>
      <c r="N3847" s="8"/>
      <c r="O3847" s="8"/>
      <c r="P3847" s="8"/>
      <c r="Q3847" s="8"/>
      <c r="R3847" s="8"/>
      <c r="S3847" s="8"/>
      <c r="T3847" s="8"/>
      <c r="U3847" s="8"/>
      <c r="V3847" s="8"/>
      <c r="W3847" s="8"/>
      <c r="X3847" s="771"/>
      <c r="Y3847" s="771"/>
      <c r="Z3847" s="771"/>
      <c r="AA3847" s="771"/>
      <c r="AB3847" s="771"/>
      <c r="AC3847" s="771"/>
      <c r="AD3847" s="771"/>
      <c r="AE3847" s="771"/>
      <c r="AF3847" s="771"/>
      <c r="AG3847" s="771"/>
      <c r="AH3847" s="771"/>
      <c r="AI3847" s="771"/>
      <c r="AJ3847" s="771"/>
      <c r="AK3847" s="771"/>
      <c r="AL3847" s="771"/>
      <c r="AM3847" s="771"/>
      <c r="AN3847" s="771"/>
      <c r="AO3847" s="771"/>
      <c r="AP3847" s="771"/>
      <c r="AQ3847" s="771"/>
      <c r="AR3847" s="771"/>
      <c r="AS3847" s="771"/>
      <c r="AT3847" s="771"/>
      <c r="AU3847" s="771"/>
    </row>
    <row r="3848" spans="1:47" s="15" customFormat="1" outlineLevel="1" x14ac:dyDescent="0.2">
      <c r="A3848" s="8"/>
      <c r="B3848" s="8"/>
      <c r="C3848" s="1989" t="s">
        <v>5003</v>
      </c>
      <c r="D3848" s="1989" t="s">
        <v>8686</v>
      </c>
      <c r="E3848" s="1989">
        <v>8.8699999999999992</v>
      </c>
      <c r="F3848" s="1546">
        <f t="shared" si="58"/>
        <v>721.31939879999993</v>
      </c>
      <c r="G3848" s="1547"/>
      <c r="H3848" s="8"/>
      <c r="I3848" s="8"/>
      <c r="J3848" s="8"/>
      <c r="K3848" s="8"/>
      <c r="L3848" s="8"/>
      <c r="M3848" s="8"/>
      <c r="N3848" s="8"/>
      <c r="O3848" s="8"/>
      <c r="P3848" s="8"/>
      <c r="Q3848" s="8"/>
      <c r="R3848" s="8"/>
      <c r="S3848" s="8"/>
      <c r="T3848" s="8"/>
      <c r="U3848" s="8"/>
      <c r="V3848" s="8"/>
      <c r="W3848" s="8"/>
      <c r="X3848" s="771"/>
      <c r="Y3848" s="771"/>
      <c r="Z3848" s="771"/>
      <c r="AA3848" s="771"/>
      <c r="AB3848" s="771"/>
      <c r="AC3848" s="771"/>
      <c r="AD3848" s="771"/>
      <c r="AE3848" s="771"/>
      <c r="AF3848" s="771"/>
      <c r="AG3848" s="771"/>
      <c r="AH3848" s="771"/>
      <c r="AI3848" s="771"/>
      <c r="AJ3848" s="771"/>
      <c r="AK3848" s="771"/>
      <c r="AL3848" s="771"/>
      <c r="AM3848" s="771"/>
      <c r="AN3848" s="771"/>
      <c r="AO3848" s="771"/>
      <c r="AP3848" s="771"/>
      <c r="AQ3848" s="771"/>
      <c r="AR3848" s="771"/>
      <c r="AS3848" s="771"/>
      <c r="AT3848" s="771"/>
      <c r="AU3848" s="771"/>
    </row>
    <row r="3849" spans="1:47" s="15" customFormat="1" outlineLevel="1" x14ac:dyDescent="0.2">
      <c r="A3849" s="8"/>
      <c r="B3849" s="8"/>
      <c r="C3849" s="1989" t="s">
        <v>5004</v>
      </c>
      <c r="D3849" s="1989" t="s">
        <v>7008</v>
      </c>
      <c r="E3849" s="1989">
        <v>8.8699999999999992</v>
      </c>
      <c r="F3849" s="1546">
        <f t="shared" si="58"/>
        <v>721.31939879999993</v>
      </c>
      <c r="G3849" s="1547"/>
      <c r="H3849" s="8"/>
      <c r="I3849" s="8"/>
      <c r="J3849" s="8"/>
      <c r="K3849" s="8"/>
      <c r="L3849" s="8"/>
      <c r="M3849" s="8"/>
      <c r="N3849" s="8"/>
      <c r="O3849" s="8"/>
      <c r="P3849" s="8"/>
      <c r="Q3849" s="8"/>
      <c r="R3849" s="8"/>
      <c r="S3849" s="8"/>
      <c r="T3849" s="8"/>
      <c r="U3849" s="8"/>
      <c r="V3849" s="8"/>
      <c r="W3849" s="8"/>
      <c r="X3849" s="771"/>
      <c r="Y3849" s="771"/>
      <c r="Z3849" s="771"/>
      <c r="AA3849" s="771"/>
      <c r="AB3849" s="771"/>
      <c r="AC3849" s="771"/>
      <c r="AD3849" s="771"/>
      <c r="AE3849" s="771"/>
      <c r="AF3849" s="771"/>
      <c r="AG3849" s="771"/>
      <c r="AH3849" s="771"/>
      <c r="AI3849" s="771"/>
      <c r="AJ3849" s="771"/>
      <c r="AK3849" s="771"/>
      <c r="AL3849" s="771"/>
      <c r="AM3849" s="771"/>
      <c r="AN3849" s="771"/>
      <c r="AO3849" s="771"/>
      <c r="AP3849" s="771"/>
      <c r="AQ3849" s="771"/>
      <c r="AR3849" s="771"/>
      <c r="AS3849" s="771"/>
      <c r="AT3849" s="771"/>
      <c r="AU3849" s="771"/>
    </row>
    <row r="3850" spans="1:47" s="15" customFormat="1" outlineLevel="1" x14ac:dyDescent="0.2">
      <c r="A3850" s="8"/>
      <c r="B3850" s="8"/>
      <c r="C3850" s="1989" t="s">
        <v>423</v>
      </c>
      <c r="D3850" s="1989" t="s">
        <v>8687</v>
      </c>
      <c r="E3850" s="1989">
        <v>4.96</v>
      </c>
      <c r="F3850" s="1546">
        <f t="shared" si="58"/>
        <v>403.35335040000001</v>
      </c>
      <c r="G3850" s="1547"/>
      <c r="H3850" s="8"/>
      <c r="I3850" s="8"/>
      <c r="J3850" s="8"/>
      <c r="K3850" s="8"/>
      <c r="L3850" s="8"/>
      <c r="M3850" s="8"/>
      <c r="N3850" s="8"/>
      <c r="O3850" s="8"/>
      <c r="P3850" s="8"/>
      <c r="Q3850" s="8"/>
      <c r="R3850" s="8"/>
      <c r="S3850" s="8"/>
      <c r="T3850" s="8"/>
      <c r="U3850" s="8"/>
      <c r="V3850" s="8"/>
      <c r="W3850" s="8"/>
      <c r="X3850" s="771"/>
      <c r="Y3850" s="771"/>
      <c r="Z3850" s="771"/>
      <c r="AA3850" s="771"/>
      <c r="AB3850" s="771"/>
      <c r="AC3850" s="771"/>
      <c r="AD3850" s="771"/>
      <c r="AE3850" s="771"/>
      <c r="AF3850" s="771"/>
      <c r="AG3850" s="771"/>
      <c r="AH3850" s="771"/>
      <c r="AI3850" s="771"/>
      <c r="AJ3850" s="771"/>
      <c r="AK3850" s="771"/>
      <c r="AL3850" s="771"/>
      <c r="AM3850" s="771"/>
      <c r="AN3850" s="771"/>
      <c r="AO3850" s="771"/>
      <c r="AP3850" s="771"/>
      <c r="AQ3850" s="771"/>
      <c r="AR3850" s="771"/>
      <c r="AS3850" s="771"/>
      <c r="AT3850" s="771"/>
      <c r="AU3850" s="771"/>
    </row>
    <row r="3851" spans="1:47" s="15" customFormat="1" outlineLevel="1" x14ac:dyDescent="0.2">
      <c r="A3851" s="8"/>
      <c r="B3851" s="8"/>
      <c r="C3851" s="1989" t="s">
        <v>424</v>
      </c>
      <c r="D3851" s="1989" t="s">
        <v>8688</v>
      </c>
      <c r="E3851" s="1989">
        <v>3.8</v>
      </c>
      <c r="F3851" s="1546">
        <f t="shared" si="58"/>
        <v>309.020712</v>
      </c>
      <c r="G3851" s="1547"/>
      <c r="H3851" s="8"/>
      <c r="I3851" s="8"/>
      <c r="J3851" s="8"/>
      <c r="K3851" s="8"/>
      <c r="L3851" s="8"/>
      <c r="M3851" s="8"/>
      <c r="N3851" s="8"/>
      <c r="O3851" s="8"/>
      <c r="P3851" s="8"/>
      <c r="Q3851" s="8"/>
      <c r="R3851" s="8"/>
      <c r="S3851" s="8"/>
      <c r="T3851" s="8"/>
      <c r="U3851" s="8"/>
      <c r="V3851" s="8"/>
      <c r="W3851" s="8"/>
      <c r="X3851" s="771"/>
      <c r="Y3851" s="771"/>
      <c r="Z3851" s="771"/>
      <c r="AA3851" s="771"/>
      <c r="AB3851" s="771"/>
      <c r="AC3851" s="771"/>
      <c r="AD3851" s="771"/>
      <c r="AE3851" s="771"/>
      <c r="AF3851" s="771"/>
      <c r="AG3851" s="771"/>
      <c r="AH3851" s="771"/>
      <c r="AI3851" s="771"/>
      <c r="AJ3851" s="771"/>
      <c r="AK3851" s="771"/>
      <c r="AL3851" s="771"/>
      <c r="AM3851" s="771"/>
      <c r="AN3851" s="771"/>
      <c r="AO3851" s="771"/>
      <c r="AP3851" s="771"/>
      <c r="AQ3851" s="771"/>
      <c r="AR3851" s="771"/>
      <c r="AS3851" s="771"/>
      <c r="AT3851" s="771"/>
      <c r="AU3851" s="771"/>
    </row>
    <row r="3852" spans="1:47" s="15" customFormat="1" outlineLevel="1" x14ac:dyDescent="0.2">
      <c r="A3852" s="8"/>
      <c r="B3852" s="8"/>
      <c r="C3852" s="1989" t="s">
        <v>425</v>
      </c>
      <c r="D3852" s="1989" t="s">
        <v>8689</v>
      </c>
      <c r="E3852" s="1989">
        <v>3.8</v>
      </c>
      <c r="F3852" s="1546">
        <f t="shared" si="58"/>
        <v>309.020712</v>
      </c>
      <c r="G3852" s="1547"/>
      <c r="H3852" s="8"/>
      <c r="I3852" s="8"/>
      <c r="J3852" s="8"/>
      <c r="K3852" s="8"/>
      <c r="L3852" s="8"/>
      <c r="M3852" s="8"/>
      <c r="N3852" s="8"/>
      <c r="O3852" s="8"/>
      <c r="P3852" s="8"/>
      <c r="Q3852" s="8"/>
      <c r="R3852" s="8"/>
      <c r="S3852" s="8"/>
      <c r="T3852" s="8"/>
      <c r="U3852" s="8"/>
      <c r="V3852" s="8"/>
      <c r="W3852" s="8"/>
      <c r="X3852" s="771"/>
      <c r="Y3852" s="771"/>
      <c r="Z3852" s="771"/>
      <c r="AA3852" s="771"/>
      <c r="AB3852" s="771"/>
      <c r="AC3852" s="771"/>
      <c r="AD3852" s="771"/>
      <c r="AE3852" s="771"/>
      <c r="AF3852" s="771"/>
      <c r="AG3852" s="771"/>
      <c r="AH3852" s="771"/>
      <c r="AI3852" s="771"/>
      <c r="AJ3852" s="771"/>
      <c r="AK3852" s="771"/>
      <c r="AL3852" s="771"/>
      <c r="AM3852" s="771"/>
      <c r="AN3852" s="771"/>
      <c r="AO3852" s="771"/>
      <c r="AP3852" s="771"/>
      <c r="AQ3852" s="771"/>
      <c r="AR3852" s="771"/>
      <c r="AS3852" s="771"/>
      <c r="AT3852" s="771"/>
      <c r="AU3852" s="771"/>
    </row>
    <row r="3853" spans="1:47" s="15" customFormat="1" outlineLevel="1" x14ac:dyDescent="0.2">
      <c r="A3853" s="8"/>
      <c r="B3853" s="8"/>
      <c r="C3853" s="1989" t="s">
        <v>426</v>
      </c>
      <c r="D3853" s="1989" t="s">
        <v>8690</v>
      </c>
      <c r="E3853" s="1989">
        <v>5.84</v>
      </c>
      <c r="F3853" s="1546">
        <f t="shared" si="58"/>
        <v>474.91604160000003</v>
      </c>
      <c r="G3853" s="1547"/>
      <c r="H3853" s="8"/>
      <c r="I3853" s="8"/>
      <c r="J3853" s="8"/>
      <c r="K3853" s="8"/>
      <c r="L3853" s="8"/>
      <c r="M3853" s="8"/>
      <c r="N3853" s="8"/>
      <c r="O3853" s="8"/>
      <c r="P3853" s="8"/>
      <c r="Q3853" s="8"/>
      <c r="R3853" s="8"/>
      <c r="S3853" s="8"/>
      <c r="T3853" s="8"/>
      <c r="U3853" s="8"/>
      <c r="V3853" s="8"/>
      <c r="W3853" s="8"/>
      <c r="X3853" s="771"/>
      <c r="Y3853" s="771"/>
      <c r="Z3853" s="771"/>
      <c r="AA3853" s="771"/>
      <c r="AB3853" s="771"/>
      <c r="AC3853" s="771"/>
      <c r="AD3853" s="771"/>
      <c r="AE3853" s="771"/>
      <c r="AF3853" s="771"/>
      <c r="AG3853" s="771"/>
      <c r="AH3853" s="771"/>
      <c r="AI3853" s="771"/>
      <c r="AJ3853" s="771"/>
      <c r="AK3853" s="771"/>
      <c r="AL3853" s="771"/>
      <c r="AM3853" s="771"/>
      <c r="AN3853" s="771"/>
      <c r="AO3853" s="771"/>
      <c r="AP3853" s="771"/>
      <c r="AQ3853" s="771"/>
      <c r="AR3853" s="771"/>
      <c r="AS3853" s="771"/>
      <c r="AT3853" s="771"/>
      <c r="AU3853" s="771"/>
    </row>
    <row r="3854" spans="1:47" s="15" customFormat="1" outlineLevel="1" x14ac:dyDescent="0.2">
      <c r="A3854" s="8"/>
      <c r="B3854" s="8"/>
      <c r="C3854" s="1989" t="s">
        <v>427</v>
      </c>
      <c r="D3854" s="1989" t="s">
        <v>8691</v>
      </c>
      <c r="E3854" s="1989">
        <v>4.38</v>
      </c>
      <c r="F3854" s="1546">
        <f t="shared" si="58"/>
        <v>356.18703119999998</v>
      </c>
      <c r="G3854" s="1547"/>
      <c r="H3854" s="8"/>
      <c r="I3854" s="8"/>
      <c r="J3854" s="8"/>
      <c r="K3854" s="8"/>
      <c r="L3854" s="8"/>
      <c r="M3854" s="8"/>
      <c r="N3854" s="8"/>
      <c r="O3854" s="8"/>
      <c r="P3854" s="8"/>
      <c r="Q3854" s="8"/>
      <c r="R3854" s="8"/>
      <c r="S3854" s="8"/>
      <c r="T3854" s="8"/>
      <c r="U3854" s="8"/>
      <c r="V3854" s="8"/>
      <c r="W3854" s="8"/>
      <c r="X3854" s="771"/>
      <c r="Y3854" s="771"/>
      <c r="Z3854" s="771"/>
      <c r="AA3854" s="771"/>
      <c r="AB3854" s="771"/>
      <c r="AC3854" s="771"/>
      <c r="AD3854" s="771"/>
      <c r="AE3854" s="771"/>
      <c r="AF3854" s="771"/>
      <c r="AG3854" s="771"/>
      <c r="AH3854" s="771"/>
      <c r="AI3854" s="771"/>
      <c r="AJ3854" s="771"/>
      <c r="AK3854" s="771"/>
      <c r="AL3854" s="771"/>
      <c r="AM3854" s="771"/>
      <c r="AN3854" s="771"/>
      <c r="AO3854" s="771"/>
      <c r="AP3854" s="771"/>
      <c r="AQ3854" s="771"/>
      <c r="AR3854" s="771"/>
      <c r="AS3854" s="771"/>
      <c r="AT3854" s="771"/>
      <c r="AU3854" s="771"/>
    </row>
    <row r="3855" spans="1:47" s="15" customFormat="1" outlineLevel="1" x14ac:dyDescent="0.2">
      <c r="A3855" s="8"/>
      <c r="B3855" s="8"/>
      <c r="C3855" s="1989" t="s">
        <v>428</v>
      </c>
      <c r="D3855" s="1989" t="s">
        <v>8692</v>
      </c>
      <c r="E3855" s="1989">
        <v>4.38</v>
      </c>
      <c r="F3855" s="1546">
        <f t="shared" si="58"/>
        <v>356.18703119999998</v>
      </c>
      <c r="G3855" s="1547"/>
      <c r="H3855" s="8"/>
      <c r="I3855" s="8"/>
      <c r="J3855" s="8"/>
      <c r="K3855" s="8"/>
      <c r="L3855" s="8"/>
      <c r="M3855" s="8"/>
      <c r="N3855" s="8"/>
      <c r="O3855" s="8"/>
      <c r="P3855" s="8"/>
      <c r="Q3855" s="8"/>
      <c r="R3855" s="8"/>
      <c r="S3855" s="8"/>
      <c r="T3855" s="8"/>
      <c r="U3855" s="8"/>
      <c r="V3855" s="8"/>
      <c r="W3855" s="8"/>
      <c r="X3855" s="771"/>
      <c r="Y3855" s="771"/>
      <c r="Z3855" s="771"/>
      <c r="AA3855" s="771"/>
      <c r="AB3855" s="771"/>
      <c r="AC3855" s="771"/>
      <c r="AD3855" s="771"/>
      <c r="AE3855" s="771"/>
      <c r="AF3855" s="771"/>
      <c r="AG3855" s="771"/>
      <c r="AH3855" s="771"/>
      <c r="AI3855" s="771"/>
      <c r="AJ3855" s="771"/>
      <c r="AK3855" s="771"/>
      <c r="AL3855" s="771"/>
      <c r="AM3855" s="771"/>
      <c r="AN3855" s="771"/>
      <c r="AO3855" s="771"/>
      <c r="AP3855" s="771"/>
      <c r="AQ3855" s="771"/>
      <c r="AR3855" s="771"/>
      <c r="AS3855" s="771"/>
      <c r="AT3855" s="771"/>
      <c r="AU3855" s="771"/>
    </row>
    <row r="3856" spans="1:47" s="15" customFormat="1" outlineLevel="1" x14ac:dyDescent="0.2">
      <c r="A3856" s="8"/>
      <c r="B3856" s="8"/>
      <c r="C3856" s="1989" t="s">
        <v>429</v>
      </c>
      <c r="D3856" s="1989" t="s">
        <v>8693</v>
      </c>
      <c r="E3856" s="1989">
        <v>6.42</v>
      </c>
      <c r="F3856" s="1546">
        <f t="shared" si="58"/>
        <v>522.08236080000006</v>
      </c>
      <c r="G3856" s="1547"/>
      <c r="H3856" s="8"/>
      <c r="I3856" s="8"/>
      <c r="J3856" s="8"/>
      <c r="K3856" s="8"/>
      <c r="L3856" s="8"/>
      <c r="M3856" s="8"/>
      <c r="N3856" s="8"/>
      <c r="O3856" s="8"/>
      <c r="P3856" s="8"/>
      <c r="Q3856" s="8"/>
      <c r="R3856" s="8"/>
      <c r="S3856" s="8"/>
      <c r="T3856" s="8"/>
      <c r="U3856" s="8"/>
      <c r="V3856" s="8"/>
      <c r="W3856" s="8"/>
      <c r="X3856" s="771"/>
      <c r="Y3856" s="771"/>
      <c r="Z3856" s="771"/>
      <c r="AA3856" s="771"/>
      <c r="AB3856" s="771"/>
      <c r="AC3856" s="771"/>
      <c r="AD3856" s="771"/>
      <c r="AE3856" s="771"/>
      <c r="AF3856" s="771"/>
      <c r="AG3856" s="771"/>
      <c r="AH3856" s="771"/>
      <c r="AI3856" s="771"/>
      <c r="AJ3856" s="771"/>
      <c r="AK3856" s="771"/>
      <c r="AL3856" s="771"/>
      <c r="AM3856" s="771"/>
      <c r="AN3856" s="771"/>
      <c r="AO3856" s="771"/>
      <c r="AP3856" s="771"/>
      <c r="AQ3856" s="771"/>
      <c r="AR3856" s="771"/>
      <c r="AS3856" s="771"/>
      <c r="AT3856" s="771"/>
      <c r="AU3856" s="771"/>
    </row>
    <row r="3857" spans="1:47" s="15" customFormat="1" outlineLevel="1" x14ac:dyDescent="0.2">
      <c r="A3857" s="8"/>
      <c r="B3857" s="8"/>
      <c r="C3857" s="1989" t="s">
        <v>430</v>
      </c>
      <c r="D3857" s="1989" t="s">
        <v>8694</v>
      </c>
      <c r="E3857" s="1989">
        <v>4.96</v>
      </c>
      <c r="F3857" s="1546">
        <f t="shared" si="58"/>
        <v>403.35335040000001</v>
      </c>
      <c r="G3857" s="1547"/>
      <c r="H3857" s="8"/>
      <c r="I3857" s="8"/>
      <c r="J3857" s="8"/>
      <c r="K3857" s="8"/>
      <c r="L3857" s="8"/>
      <c r="M3857" s="8"/>
      <c r="N3857" s="8"/>
      <c r="O3857" s="8"/>
      <c r="P3857" s="8"/>
      <c r="Q3857" s="8"/>
      <c r="R3857" s="8"/>
      <c r="S3857" s="8"/>
      <c r="T3857" s="8"/>
      <c r="U3857" s="8"/>
      <c r="V3857" s="8"/>
      <c r="W3857" s="8"/>
      <c r="X3857" s="771"/>
      <c r="Y3857" s="771"/>
      <c r="Z3857" s="771"/>
      <c r="AA3857" s="771"/>
      <c r="AB3857" s="771"/>
      <c r="AC3857" s="771"/>
      <c r="AD3857" s="771"/>
      <c r="AE3857" s="771"/>
      <c r="AF3857" s="771"/>
      <c r="AG3857" s="771"/>
      <c r="AH3857" s="771"/>
      <c r="AI3857" s="771"/>
      <c r="AJ3857" s="771"/>
      <c r="AK3857" s="771"/>
      <c r="AL3857" s="771"/>
      <c r="AM3857" s="771"/>
      <c r="AN3857" s="771"/>
      <c r="AO3857" s="771"/>
      <c r="AP3857" s="771"/>
      <c r="AQ3857" s="771"/>
      <c r="AR3857" s="771"/>
      <c r="AS3857" s="771"/>
      <c r="AT3857" s="771"/>
      <c r="AU3857" s="771"/>
    </row>
    <row r="3858" spans="1:47" s="15" customFormat="1" outlineLevel="1" x14ac:dyDescent="0.2">
      <c r="A3858" s="8"/>
      <c r="B3858" s="8"/>
      <c r="C3858" s="1989" t="s">
        <v>431</v>
      </c>
      <c r="D3858" s="1989" t="s">
        <v>8695</v>
      </c>
      <c r="E3858" s="1989">
        <v>4.96</v>
      </c>
      <c r="F3858" s="1546">
        <f t="shared" si="58"/>
        <v>403.35335040000001</v>
      </c>
      <c r="G3858" s="1547"/>
      <c r="H3858" s="8"/>
      <c r="I3858" s="8"/>
      <c r="J3858" s="8"/>
      <c r="K3858" s="8"/>
      <c r="L3858" s="8"/>
      <c r="M3858" s="8"/>
      <c r="N3858" s="8"/>
      <c r="O3858" s="8"/>
      <c r="P3858" s="8"/>
      <c r="Q3858" s="8"/>
      <c r="R3858" s="8"/>
      <c r="S3858" s="8"/>
      <c r="T3858" s="8"/>
      <c r="U3858" s="8"/>
      <c r="V3858" s="8"/>
      <c r="W3858" s="8"/>
      <c r="X3858" s="771"/>
      <c r="Y3858" s="771"/>
      <c r="Z3858" s="771"/>
      <c r="AA3858" s="771"/>
      <c r="AB3858" s="771"/>
      <c r="AC3858" s="771"/>
      <c r="AD3858" s="771"/>
      <c r="AE3858" s="771"/>
      <c r="AF3858" s="771"/>
      <c r="AG3858" s="771"/>
      <c r="AH3858" s="771"/>
      <c r="AI3858" s="771"/>
      <c r="AJ3858" s="771"/>
      <c r="AK3858" s="771"/>
      <c r="AL3858" s="771"/>
      <c r="AM3858" s="771"/>
      <c r="AN3858" s="771"/>
      <c r="AO3858" s="771"/>
      <c r="AP3858" s="771"/>
      <c r="AQ3858" s="771"/>
      <c r="AR3858" s="771"/>
      <c r="AS3858" s="771"/>
      <c r="AT3858" s="771"/>
      <c r="AU3858" s="771"/>
    </row>
    <row r="3859" spans="1:47" s="15" customFormat="1" outlineLevel="1" x14ac:dyDescent="0.2">
      <c r="A3859" s="8"/>
      <c r="B3859" s="8"/>
      <c r="C3859" s="1989" t="s">
        <v>432</v>
      </c>
      <c r="D3859" s="1989" t="s">
        <v>8696</v>
      </c>
      <c r="E3859" s="1989">
        <v>6.71</v>
      </c>
      <c r="F3859" s="1546">
        <f t="shared" si="58"/>
        <v>545.66552039999999</v>
      </c>
      <c r="G3859" s="1547"/>
      <c r="H3859" s="8"/>
      <c r="I3859" s="8"/>
      <c r="J3859" s="8"/>
      <c r="K3859" s="8"/>
      <c r="L3859" s="8"/>
      <c r="M3859" s="8"/>
      <c r="N3859" s="8"/>
      <c r="O3859" s="8"/>
      <c r="P3859" s="8"/>
      <c r="Q3859" s="8"/>
      <c r="R3859" s="8"/>
      <c r="S3859" s="8"/>
      <c r="T3859" s="8"/>
      <c r="U3859" s="8"/>
      <c r="V3859" s="8"/>
      <c r="W3859" s="8"/>
      <c r="X3859" s="771"/>
      <c r="Y3859" s="771"/>
      <c r="Z3859" s="771"/>
      <c r="AA3859" s="771"/>
      <c r="AB3859" s="771"/>
      <c r="AC3859" s="771"/>
      <c r="AD3859" s="771"/>
      <c r="AE3859" s="771"/>
      <c r="AF3859" s="771"/>
      <c r="AG3859" s="771"/>
      <c r="AH3859" s="771"/>
      <c r="AI3859" s="771"/>
      <c r="AJ3859" s="771"/>
      <c r="AK3859" s="771"/>
      <c r="AL3859" s="771"/>
      <c r="AM3859" s="771"/>
      <c r="AN3859" s="771"/>
      <c r="AO3859" s="771"/>
      <c r="AP3859" s="771"/>
      <c r="AQ3859" s="771"/>
      <c r="AR3859" s="771"/>
      <c r="AS3859" s="771"/>
      <c r="AT3859" s="771"/>
      <c r="AU3859" s="771"/>
    </row>
    <row r="3860" spans="1:47" s="15" customFormat="1" outlineLevel="1" x14ac:dyDescent="0.2">
      <c r="A3860" s="8"/>
      <c r="B3860" s="8"/>
      <c r="C3860" s="1989" t="s">
        <v>433</v>
      </c>
      <c r="D3860" s="1989" t="s">
        <v>8697</v>
      </c>
      <c r="E3860" s="1989">
        <v>5.55</v>
      </c>
      <c r="F3860" s="1546">
        <f t="shared" si="58"/>
        <v>451.33288199999998</v>
      </c>
      <c r="G3860" s="1547"/>
      <c r="H3860" s="8"/>
      <c r="I3860" s="8"/>
      <c r="J3860" s="8"/>
      <c r="K3860" s="8"/>
      <c r="L3860" s="8"/>
      <c r="M3860" s="8"/>
      <c r="N3860" s="8"/>
      <c r="O3860" s="8"/>
      <c r="P3860" s="8"/>
      <c r="Q3860" s="8"/>
      <c r="R3860" s="8"/>
      <c r="S3860" s="8"/>
      <c r="T3860" s="8"/>
      <c r="U3860" s="8"/>
      <c r="V3860" s="8"/>
      <c r="W3860" s="8"/>
      <c r="X3860" s="771"/>
      <c r="Y3860" s="771"/>
      <c r="Z3860" s="771"/>
      <c r="AA3860" s="771"/>
      <c r="AB3860" s="771"/>
      <c r="AC3860" s="771"/>
      <c r="AD3860" s="771"/>
      <c r="AE3860" s="771"/>
      <c r="AF3860" s="771"/>
      <c r="AG3860" s="771"/>
      <c r="AH3860" s="771"/>
      <c r="AI3860" s="771"/>
      <c r="AJ3860" s="771"/>
      <c r="AK3860" s="771"/>
      <c r="AL3860" s="771"/>
      <c r="AM3860" s="771"/>
      <c r="AN3860" s="771"/>
      <c r="AO3860" s="771"/>
      <c r="AP3860" s="771"/>
      <c r="AQ3860" s="771"/>
      <c r="AR3860" s="771"/>
      <c r="AS3860" s="771"/>
      <c r="AT3860" s="771"/>
      <c r="AU3860" s="771"/>
    </row>
    <row r="3861" spans="1:47" s="15" customFormat="1" outlineLevel="1" x14ac:dyDescent="0.2">
      <c r="A3861" s="8"/>
      <c r="B3861" s="8"/>
      <c r="C3861" s="1989" t="s">
        <v>452</v>
      </c>
      <c r="D3861" s="1989" t="s">
        <v>8698</v>
      </c>
      <c r="E3861" s="1989">
        <v>5.55</v>
      </c>
      <c r="F3861" s="1546">
        <f t="shared" si="58"/>
        <v>451.33288199999998</v>
      </c>
      <c r="G3861" s="1547"/>
      <c r="H3861" s="8"/>
      <c r="I3861" s="8"/>
      <c r="J3861" s="8"/>
      <c r="K3861" s="8"/>
      <c r="L3861" s="8"/>
      <c r="M3861" s="8"/>
      <c r="N3861" s="8"/>
      <c r="O3861" s="8"/>
      <c r="P3861" s="8"/>
      <c r="Q3861" s="8"/>
      <c r="R3861" s="8"/>
      <c r="S3861" s="8"/>
      <c r="T3861" s="8"/>
      <c r="U3861" s="8"/>
      <c r="V3861" s="8"/>
      <c r="W3861" s="8"/>
      <c r="X3861" s="771"/>
      <c r="Y3861" s="771"/>
      <c r="Z3861" s="771"/>
      <c r="AA3861" s="771"/>
      <c r="AB3861" s="771"/>
      <c r="AC3861" s="771"/>
      <c r="AD3861" s="771"/>
      <c r="AE3861" s="771"/>
      <c r="AF3861" s="771"/>
      <c r="AG3861" s="771"/>
      <c r="AH3861" s="771"/>
      <c r="AI3861" s="771"/>
      <c r="AJ3861" s="771"/>
      <c r="AK3861" s="771"/>
      <c r="AL3861" s="771"/>
      <c r="AM3861" s="771"/>
      <c r="AN3861" s="771"/>
      <c r="AO3861" s="771"/>
      <c r="AP3861" s="771"/>
      <c r="AQ3861" s="771"/>
      <c r="AR3861" s="771"/>
      <c r="AS3861" s="771"/>
      <c r="AT3861" s="771"/>
      <c r="AU3861" s="771"/>
    </row>
    <row r="3862" spans="1:47" s="15" customFormat="1" outlineLevel="1" x14ac:dyDescent="0.2">
      <c r="A3862" s="8"/>
      <c r="B3862" s="8"/>
      <c r="C3862" s="1989" t="s">
        <v>459</v>
      </c>
      <c r="D3862" s="1989" t="s">
        <v>8699</v>
      </c>
      <c r="E3862" s="1989">
        <v>7.59</v>
      </c>
      <c r="F3862" s="1546">
        <f>E3862*$G$4*$J$4</f>
        <v>617.22821160000001</v>
      </c>
      <c r="G3862" s="1547"/>
      <c r="H3862" s="8"/>
      <c r="I3862" s="8"/>
      <c r="J3862" s="8"/>
      <c r="K3862" s="8"/>
      <c r="L3862" s="8"/>
      <c r="M3862" s="8"/>
      <c r="N3862" s="8"/>
      <c r="O3862" s="8"/>
      <c r="P3862" s="8"/>
      <c r="Q3862" s="8"/>
      <c r="R3862" s="8"/>
      <c r="S3862" s="8"/>
      <c r="T3862" s="8"/>
      <c r="U3862" s="8"/>
      <c r="V3862" s="8"/>
      <c r="W3862" s="8"/>
      <c r="X3862" s="771"/>
      <c r="Y3862" s="771"/>
      <c r="Z3862" s="771"/>
      <c r="AA3862" s="771"/>
      <c r="AB3862" s="771"/>
      <c r="AC3862" s="771"/>
      <c r="AD3862" s="771"/>
      <c r="AE3862" s="771"/>
      <c r="AF3862" s="771"/>
      <c r="AG3862" s="771"/>
      <c r="AH3862" s="771"/>
      <c r="AI3862" s="771"/>
      <c r="AJ3862" s="771"/>
      <c r="AK3862" s="771"/>
      <c r="AL3862" s="771"/>
      <c r="AM3862" s="771"/>
      <c r="AN3862" s="771"/>
      <c r="AO3862" s="771"/>
      <c r="AP3862" s="771"/>
      <c r="AQ3862" s="771"/>
      <c r="AR3862" s="771"/>
      <c r="AS3862" s="771"/>
      <c r="AT3862" s="771"/>
      <c r="AU3862" s="771"/>
    </row>
    <row r="3863" spans="1:47" s="15" customFormat="1" outlineLevel="1" x14ac:dyDescent="0.2">
      <c r="A3863" s="8"/>
      <c r="B3863" s="8"/>
      <c r="C3863" s="1989" t="s">
        <v>456</v>
      </c>
      <c r="D3863" s="1989" t="s">
        <v>8700</v>
      </c>
      <c r="E3863" s="1989">
        <v>6.12</v>
      </c>
      <c r="F3863" s="1546">
        <f t="shared" ref="F3863:F3926" si="59">E3863*$G$4*$J$4</f>
        <v>497.68598880000002</v>
      </c>
      <c r="G3863" s="1547"/>
      <c r="H3863" s="8"/>
      <c r="I3863" s="8"/>
      <c r="J3863" s="8"/>
      <c r="K3863" s="8"/>
      <c r="L3863" s="8"/>
      <c r="M3863" s="8"/>
      <c r="N3863" s="8"/>
      <c r="O3863" s="8"/>
      <c r="P3863" s="8"/>
      <c r="Q3863" s="8"/>
      <c r="R3863" s="8"/>
      <c r="S3863" s="8"/>
      <c r="T3863" s="8"/>
      <c r="U3863" s="8"/>
      <c r="V3863" s="8"/>
      <c r="W3863" s="8"/>
      <c r="X3863" s="771"/>
      <c r="Y3863" s="771"/>
      <c r="Z3863" s="771"/>
      <c r="AA3863" s="771"/>
      <c r="AB3863" s="771"/>
      <c r="AC3863" s="771"/>
      <c r="AD3863" s="771"/>
      <c r="AE3863" s="771"/>
      <c r="AF3863" s="771"/>
      <c r="AG3863" s="771"/>
      <c r="AH3863" s="771"/>
      <c r="AI3863" s="771"/>
      <c r="AJ3863" s="771"/>
      <c r="AK3863" s="771"/>
      <c r="AL3863" s="771"/>
      <c r="AM3863" s="771"/>
      <c r="AN3863" s="771"/>
      <c r="AO3863" s="771"/>
      <c r="AP3863" s="771"/>
      <c r="AQ3863" s="771"/>
      <c r="AR3863" s="771"/>
      <c r="AS3863" s="771"/>
      <c r="AT3863" s="771"/>
      <c r="AU3863" s="771"/>
    </row>
    <row r="3864" spans="1:47" s="15" customFormat="1" outlineLevel="1" x14ac:dyDescent="0.2">
      <c r="A3864" s="8"/>
      <c r="B3864" s="8"/>
      <c r="C3864" s="1989" t="s">
        <v>453</v>
      </c>
      <c r="D3864" s="1989" t="s">
        <v>8701</v>
      </c>
      <c r="E3864" s="1989">
        <v>6.12</v>
      </c>
      <c r="F3864" s="1546">
        <f t="shared" si="59"/>
        <v>497.68598880000002</v>
      </c>
      <c r="G3864" s="1547"/>
      <c r="H3864" s="8"/>
      <c r="I3864" s="8"/>
      <c r="J3864" s="8"/>
      <c r="K3864" s="8"/>
      <c r="L3864" s="8"/>
      <c r="M3864" s="8"/>
      <c r="N3864" s="8"/>
      <c r="O3864" s="8"/>
      <c r="P3864" s="8"/>
      <c r="Q3864" s="8"/>
      <c r="R3864" s="8"/>
      <c r="S3864" s="8"/>
      <c r="T3864" s="8"/>
      <c r="U3864" s="8"/>
      <c r="V3864" s="8"/>
      <c r="W3864" s="8"/>
      <c r="X3864" s="771"/>
      <c r="Y3864" s="771"/>
      <c r="Z3864" s="771"/>
      <c r="AA3864" s="771"/>
      <c r="AB3864" s="771"/>
      <c r="AC3864" s="771"/>
      <c r="AD3864" s="771"/>
      <c r="AE3864" s="771"/>
      <c r="AF3864" s="771"/>
      <c r="AG3864" s="771"/>
      <c r="AH3864" s="771"/>
      <c r="AI3864" s="771"/>
      <c r="AJ3864" s="771"/>
      <c r="AK3864" s="771"/>
      <c r="AL3864" s="771"/>
      <c r="AM3864" s="771"/>
      <c r="AN3864" s="771"/>
      <c r="AO3864" s="771"/>
      <c r="AP3864" s="771"/>
      <c r="AQ3864" s="771"/>
      <c r="AR3864" s="771"/>
      <c r="AS3864" s="771"/>
      <c r="AT3864" s="771"/>
      <c r="AU3864" s="771"/>
    </row>
    <row r="3865" spans="1:47" s="15" customFormat="1" outlineLevel="1" x14ac:dyDescent="0.2">
      <c r="A3865" s="8"/>
      <c r="B3865" s="8"/>
      <c r="C3865" s="1989" t="s">
        <v>7009</v>
      </c>
      <c r="D3865" s="1989" t="s">
        <v>8702</v>
      </c>
      <c r="E3865" s="1989">
        <v>12</v>
      </c>
      <c r="F3865" s="1546">
        <f t="shared" si="59"/>
        <v>975.85487999999998</v>
      </c>
      <c r="G3865" s="1547"/>
      <c r="H3865" s="8"/>
      <c r="I3865" s="8"/>
      <c r="J3865" s="8"/>
      <c r="K3865" s="8"/>
      <c r="L3865" s="8"/>
      <c r="M3865" s="8"/>
      <c r="N3865" s="8"/>
      <c r="O3865" s="8"/>
      <c r="P3865" s="8"/>
      <c r="Q3865" s="8"/>
      <c r="R3865" s="8"/>
      <c r="S3865" s="8"/>
      <c r="T3865" s="8"/>
      <c r="U3865" s="8"/>
      <c r="V3865" s="8"/>
      <c r="W3865" s="8"/>
      <c r="X3865" s="771"/>
      <c r="Y3865" s="771"/>
      <c r="Z3865" s="771"/>
      <c r="AA3865" s="771"/>
      <c r="AB3865" s="771"/>
      <c r="AC3865" s="771"/>
      <c r="AD3865" s="771"/>
      <c r="AE3865" s="771"/>
      <c r="AF3865" s="771"/>
      <c r="AG3865" s="771"/>
      <c r="AH3865" s="771"/>
      <c r="AI3865" s="771"/>
      <c r="AJ3865" s="771"/>
      <c r="AK3865" s="771"/>
      <c r="AL3865" s="771"/>
      <c r="AM3865" s="771"/>
      <c r="AN3865" s="771"/>
      <c r="AO3865" s="771"/>
      <c r="AP3865" s="771"/>
      <c r="AQ3865" s="771"/>
      <c r="AR3865" s="771"/>
      <c r="AS3865" s="771"/>
      <c r="AT3865" s="771"/>
      <c r="AU3865" s="771"/>
    </row>
    <row r="3866" spans="1:47" s="15" customFormat="1" outlineLevel="1" x14ac:dyDescent="0.2">
      <c r="A3866" s="8"/>
      <c r="B3866" s="8"/>
      <c r="C3866" s="1989" t="s">
        <v>7010</v>
      </c>
      <c r="D3866" s="1989" t="s">
        <v>8703</v>
      </c>
      <c r="E3866" s="1989">
        <v>9.51</v>
      </c>
      <c r="F3866" s="1546">
        <f t="shared" si="59"/>
        <v>773.36499240000001</v>
      </c>
      <c r="G3866" s="1547"/>
      <c r="H3866" s="8"/>
      <c r="I3866" s="8"/>
      <c r="J3866" s="8"/>
      <c r="K3866" s="8"/>
      <c r="L3866" s="8"/>
      <c r="M3866" s="8"/>
      <c r="N3866" s="8"/>
      <c r="O3866" s="8"/>
      <c r="P3866" s="8"/>
      <c r="Q3866" s="8"/>
      <c r="R3866" s="8"/>
      <c r="S3866" s="8"/>
      <c r="T3866" s="8"/>
      <c r="U3866" s="8"/>
      <c r="V3866" s="8"/>
      <c r="W3866" s="8"/>
      <c r="X3866" s="771"/>
      <c r="Y3866" s="771"/>
      <c r="Z3866" s="771"/>
      <c r="AA3866" s="771"/>
      <c r="AB3866" s="771"/>
      <c r="AC3866" s="771"/>
      <c r="AD3866" s="771"/>
      <c r="AE3866" s="771"/>
      <c r="AF3866" s="771"/>
      <c r="AG3866" s="771"/>
      <c r="AH3866" s="771"/>
      <c r="AI3866" s="771"/>
      <c r="AJ3866" s="771"/>
      <c r="AK3866" s="771"/>
      <c r="AL3866" s="771"/>
      <c r="AM3866" s="771"/>
      <c r="AN3866" s="771"/>
      <c r="AO3866" s="771"/>
      <c r="AP3866" s="771"/>
      <c r="AQ3866" s="771"/>
      <c r="AR3866" s="771"/>
      <c r="AS3866" s="771"/>
      <c r="AT3866" s="771"/>
      <c r="AU3866" s="771"/>
    </row>
    <row r="3867" spans="1:47" s="15" customFormat="1" outlineLevel="1" x14ac:dyDescent="0.2">
      <c r="A3867" s="8"/>
      <c r="B3867" s="8"/>
      <c r="C3867" s="1989" t="s">
        <v>7011</v>
      </c>
      <c r="D3867" s="1989" t="s">
        <v>8704</v>
      </c>
      <c r="E3867" s="1989">
        <v>9.51</v>
      </c>
      <c r="F3867" s="1546">
        <f t="shared" si="59"/>
        <v>773.36499240000001</v>
      </c>
      <c r="G3867" s="1547"/>
      <c r="H3867" s="8"/>
      <c r="I3867" s="8"/>
      <c r="J3867" s="8"/>
      <c r="K3867" s="8"/>
      <c r="L3867" s="8"/>
      <c r="M3867" s="8"/>
      <c r="N3867" s="8"/>
      <c r="O3867" s="8"/>
      <c r="P3867" s="8"/>
      <c r="Q3867" s="8"/>
      <c r="R3867" s="8"/>
      <c r="S3867" s="8"/>
      <c r="T3867" s="8"/>
      <c r="U3867" s="8"/>
      <c r="V3867" s="8"/>
      <c r="W3867" s="8"/>
      <c r="X3867" s="771"/>
      <c r="Y3867" s="771"/>
      <c r="Z3867" s="771"/>
      <c r="AA3867" s="771"/>
      <c r="AB3867" s="771"/>
      <c r="AC3867" s="771"/>
      <c r="AD3867" s="771"/>
      <c r="AE3867" s="771"/>
      <c r="AF3867" s="771"/>
      <c r="AG3867" s="771"/>
      <c r="AH3867" s="771"/>
      <c r="AI3867" s="771"/>
      <c r="AJ3867" s="771"/>
      <c r="AK3867" s="771"/>
      <c r="AL3867" s="771"/>
      <c r="AM3867" s="771"/>
      <c r="AN3867" s="771"/>
      <c r="AO3867" s="771"/>
      <c r="AP3867" s="771"/>
      <c r="AQ3867" s="771"/>
      <c r="AR3867" s="771"/>
      <c r="AS3867" s="771"/>
      <c r="AT3867" s="771"/>
      <c r="AU3867" s="771"/>
    </row>
    <row r="3868" spans="1:47" s="15" customFormat="1" outlineLevel="1" x14ac:dyDescent="0.2">
      <c r="A3868" s="8"/>
      <c r="B3868" s="8"/>
      <c r="C3868" s="1989" t="s">
        <v>460</v>
      </c>
      <c r="D3868" s="1989" t="s">
        <v>8705</v>
      </c>
      <c r="E3868" s="1989">
        <v>12.84</v>
      </c>
      <c r="F3868" s="1546">
        <f t="shared" si="59"/>
        <v>1044.1647216000001</v>
      </c>
      <c r="G3868" s="1547"/>
      <c r="H3868" s="8"/>
      <c r="I3868" s="8"/>
      <c r="J3868" s="8"/>
      <c r="K3868" s="8"/>
      <c r="L3868" s="8"/>
      <c r="M3868" s="8"/>
      <c r="N3868" s="8"/>
      <c r="O3868" s="8"/>
      <c r="P3868" s="8"/>
      <c r="Q3868" s="8"/>
      <c r="R3868" s="8"/>
      <c r="S3868" s="8"/>
      <c r="T3868" s="8"/>
      <c r="U3868" s="8"/>
      <c r="V3868" s="8"/>
      <c r="W3868" s="8"/>
      <c r="X3868" s="771"/>
      <c r="Y3868" s="771"/>
      <c r="Z3868" s="771"/>
      <c r="AA3868" s="771"/>
      <c r="AB3868" s="771"/>
      <c r="AC3868" s="771"/>
      <c r="AD3868" s="771"/>
      <c r="AE3868" s="771"/>
      <c r="AF3868" s="771"/>
      <c r="AG3868" s="771"/>
      <c r="AH3868" s="771"/>
      <c r="AI3868" s="771"/>
      <c r="AJ3868" s="771"/>
      <c r="AK3868" s="771"/>
      <c r="AL3868" s="771"/>
      <c r="AM3868" s="771"/>
      <c r="AN3868" s="771"/>
      <c r="AO3868" s="771"/>
      <c r="AP3868" s="771"/>
      <c r="AQ3868" s="771"/>
      <c r="AR3868" s="771"/>
      <c r="AS3868" s="771"/>
      <c r="AT3868" s="771"/>
      <c r="AU3868" s="771"/>
    </row>
    <row r="3869" spans="1:47" s="15" customFormat="1" outlineLevel="1" x14ac:dyDescent="0.2">
      <c r="A3869" s="8"/>
      <c r="B3869" s="8"/>
      <c r="C3869" s="1989" t="s">
        <v>457</v>
      </c>
      <c r="D3869" s="1989" t="s">
        <v>8706</v>
      </c>
      <c r="E3869" s="1989">
        <v>10.220000000000001</v>
      </c>
      <c r="F3869" s="1546">
        <f t="shared" si="59"/>
        <v>831.10307280000018</v>
      </c>
      <c r="G3869" s="1547"/>
      <c r="H3869" s="8"/>
      <c r="I3869" s="8"/>
      <c r="J3869" s="8"/>
      <c r="K3869" s="8"/>
      <c r="L3869" s="8"/>
      <c r="M3869" s="8"/>
      <c r="N3869" s="8"/>
      <c r="O3869" s="8"/>
      <c r="P3869" s="8"/>
      <c r="Q3869" s="8"/>
      <c r="R3869" s="8"/>
      <c r="S3869" s="8"/>
      <c r="T3869" s="8"/>
      <c r="U3869" s="8"/>
      <c r="V3869" s="8"/>
      <c r="W3869" s="8"/>
      <c r="X3869" s="771"/>
      <c r="Y3869" s="771"/>
      <c r="Z3869" s="771"/>
      <c r="AA3869" s="771"/>
      <c r="AB3869" s="771"/>
      <c r="AC3869" s="771"/>
      <c r="AD3869" s="771"/>
      <c r="AE3869" s="771"/>
      <c r="AF3869" s="771"/>
      <c r="AG3869" s="771"/>
      <c r="AH3869" s="771"/>
      <c r="AI3869" s="771"/>
      <c r="AJ3869" s="771"/>
      <c r="AK3869" s="771"/>
      <c r="AL3869" s="771"/>
      <c r="AM3869" s="771"/>
      <c r="AN3869" s="771"/>
      <c r="AO3869" s="771"/>
      <c r="AP3869" s="771"/>
      <c r="AQ3869" s="771"/>
      <c r="AR3869" s="771"/>
      <c r="AS3869" s="771"/>
      <c r="AT3869" s="771"/>
      <c r="AU3869" s="771"/>
    </row>
    <row r="3870" spans="1:47" s="15" customFormat="1" outlineLevel="1" x14ac:dyDescent="0.2">
      <c r="A3870" s="8"/>
      <c r="B3870" s="8"/>
      <c r="C3870" s="1989" t="s">
        <v>454</v>
      </c>
      <c r="D3870" s="1989" t="s">
        <v>8707</v>
      </c>
      <c r="E3870" s="1989">
        <v>10.220000000000001</v>
      </c>
      <c r="F3870" s="1546">
        <f t="shared" si="59"/>
        <v>831.10307280000018</v>
      </c>
      <c r="G3870" s="1547"/>
      <c r="H3870" s="8"/>
      <c r="I3870" s="8"/>
      <c r="J3870" s="8"/>
      <c r="K3870" s="8"/>
      <c r="L3870" s="8"/>
      <c r="M3870" s="8"/>
      <c r="N3870" s="8"/>
      <c r="O3870" s="8"/>
      <c r="P3870" s="8"/>
      <c r="Q3870" s="8"/>
      <c r="R3870" s="8"/>
      <c r="S3870" s="8"/>
      <c r="T3870" s="8"/>
      <c r="U3870" s="8"/>
      <c r="V3870" s="8"/>
      <c r="W3870" s="8"/>
      <c r="X3870" s="771"/>
      <c r="Y3870" s="771"/>
      <c r="Z3870" s="771"/>
      <c r="AA3870" s="771"/>
      <c r="AB3870" s="771"/>
      <c r="AC3870" s="771"/>
      <c r="AD3870" s="771"/>
      <c r="AE3870" s="771"/>
      <c r="AF3870" s="771"/>
      <c r="AG3870" s="771"/>
      <c r="AH3870" s="771"/>
      <c r="AI3870" s="771"/>
      <c r="AJ3870" s="771"/>
      <c r="AK3870" s="771"/>
      <c r="AL3870" s="771"/>
      <c r="AM3870" s="771"/>
      <c r="AN3870" s="771"/>
      <c r="AO3870" s="771"/>
      <c r="AP3870" s="771"/>
      <c r="AQ3870" s="771"/>
      <c r="AR3870" s="771"/>
      <c r="AS3870" s="771"/>
      <c r="AT3870" s="771"/>
      <c r="AU3870" s="771"/>
    </row>
    <row r="3871" spans="1:47" s="15" customFormat="1" outlineLevel="1" x14ac:dyDescent="0.2">
      <c r="A3871" s="8"/>
      <c r="B3871" s="8"/>
      <c r="C3871" s="1989" t="s">
        <v>461</v>
      </c>
      <c r="D3871" s="1989" t="s">
        <v>8708</v>
      </c>
      <c r="E3871" s="1989">
        <v>15.17</v>
      </c>
      <c r="F3871" s="1546">
        <f t="shared" si="59"/>
        <v>1233.6432108000001</v>
      </c>
      <c r="G3871" s="1547"/>
      <c r="H3871" s="8"/>
      <c r="I3871" s="8"/>
      <c r="J3871" s="8"/>
      <c r="K3871" s="8"/>
      <c r="L3871" s="8"/>
      <c r="M3871" s="8"/>
      <c r="N3871" s="8"/>
      <c r="O3871" s="8"/>
      <c r="P3871" s="8"/>
      <c r="Q3871" s="8"/>
      <c r="R3871" s="8"/>
      <c r="S3871" s="8"/>
      <c r="T3871" s="8"/>
      <c r="U3871" s="8"/>
      <c r="V3871" s="8"/>
      <c r="W3871" s="8"/>
      <c r="X3871" s="771"/>
      <c r="Y3871" s="771"/>
      <c r="Z3871" s="771"/>
      <c r="AA3871" s="771"/>
      <c r="AB3871" s="771"/>
      <c r="AC3871" s="771"/>
      <c r="AD3871" s="771"/>
      <c r="AE3871" s="771"/>
      <c r="AF3871" s="771"/>
      <c r="AG3871" s="771"/>
      <c r="AH3871" s="771"/>
      <c r="AI3871" s="771"/>
      <c r="AJ3871" s="771"/>
      <c r="AK3871" s="771"/>
      <c r="AL3871" s="771"/>
      <c r="AM3871" s="771"/>
      <c r="AN3871" s="771"/>
      <c r="AO3871" s="771"/>
      <c r="AP3871" s="771"/>
      <c r="AQ3871" s="771"/>
      <c r="AR3871" s="771"/>
      <c r="AS3871" s="771"/>
      <c r="AT3871" s="771"/>
      <c r="AU3871" s="771"/>
    </row>
    <row r="3872" spans="1:47" s="15" customFormat="1" outlineLevel="1" x14ac:dyDescent="0.2">
      <c r="A3872" s="8"/>
      <c r="B3872" s="8"/>
      <c r="C3872" s="1989" t="s">
        <v>458</v>
      </c>
      <c r="D3872" s="1989" t="s">
        <v>8709</v>
      </c>
      <c r="E3872" s="1989">
        <v>12.26</v>
      </c>
      <c r="F3872" s="1546">
        <f t="shared" si="59"/>
        <v>996.99840240000003</v>
      </c>
      <c r="G3872" s="1547"/>
      <c r="H3872" s="8"/>
      <c r="I3872" s="8"/>
      <c r="J3872" s="8"/>
      <c r="K3872" s="8"/>
      <c r="L3872" s="8"/>
      <c r="M3872" s="8"/>
      <c r="N3872" s="8"/>
      <c r="O3872" s="8"/>
      <c r="P3872" s="8"/>
      <c r="Q3872" s="8"/>
      <c r="R3872" s="8"/>
      <c r="S3872" s="8"/>
      <c r="T3872" s="8"/>
      <c r="U3872" s="8"/>
      <c r="V3872" s="8"/>
      <c r="W3872" s="8"/>
      <c r="X3872" s="771"/>
      <c r="Y3872" s="771"/>
      <c r="Z3872" s="771"/>
      <c r="AA3872" s="771"/>
      <c r="AB3872" s="771"/>
      <c r="AC3872" s="771"/>
      <c r="AD3872" s="771"/>
      <c r="AE3872" s="771"/>
      <c r="AF3872" s="771"/>
      <c r="AG3872" s="771"/>
      <c r="AH3872" s="771"/>
      <c r="AI3872" s="771"/>
      <c r="AJ3872" s="771"/>
      <c r="AK3872" s="771"/>
      <c r="AL3872" s="771"/>
      <c r="AM3872" s="771"/>
      <c r="AN3872" s="771"/>
      <c r="AO3872" s="771"/>
      <c r="AP3872" s="771"/>
      <c r="AQ3872" s="771"/>
      <c r="AR3872" s="771"/>
      <c r="AS3872" s="771"/>
      <c r="AT3872" s="771"/>
      <c r="AU3872" s="771"/>
    </row>
    <row r="3873" spans="1:47" s="15" customFormat="1" outlineLevel="1" x14ac:dyDescent="0.2">
      <c r="A3873" s="8"/>
      <c r="B3873" s="8"/>
      <c r="C3873" s="1989" t="s">
        <v>455</v>
      </c>
      <c r="D3873" s="1989" t="s">
        <v>8710</v>
      </c>
      <c r="E3873" s="1989">
        <v>12.26</v>
      </c>
      <c r="F3873" s="1546">
        <f t="shared" si="59"/>
        <v>996.99840240000003</v>
      </c>
      <c r="G3873" s="1547"/>
      <c r="H3873" s="8"/>
      <c r="I3873" s="8"/>
      <c r="J3873" s="8"/>
      <c r="K3873" s="8"/>
      <c r="L3873" s="8"/>
      <c r="M3873" s="8"/>
      <c r="N3873" s="8"/>
      <c r="O3873" s="8"/>
      <c r="P3873" s="8"/>
      <c r="Q3873" s="8"/>
      <c r="R3873" s="8"/>
      <c r="S3873" s="8"/>
      <c r="T3873" s="8"/>
      <c r="U3873" s="8"/>
      <c r="V3873" s="8"/>
      <c r="W3873" s="8"/>
      <c r="X3873" s="771"/>
      <c r="Y3873" s="771"/>
      <c r="Z3873" s="771"/>
      <c r="AA3873" s="771"/>
      <c r="AB3873" s="771"/>
      <c r="AC3873" s="771"/>
      <c r="AD3873" s="771"/>
      <c r="AE3873" s="771"/>
      <c r="AF3873" s="771"/>
      <c r="AG3873" s="771"/>
      <c r="AH3873" s="771"/>
      <c r="AI3873" s="771"/>
      <c r="AJ3873" s="771"/>
      <c r="AK3873" s="771"/>
      <c r="AL3873" s="771"/>
      <c r="AM3873" s="771"/>
      <c r="AN3873" s="771"/>
      <c r="AO3873" s="771"/>
      <c r="AP3873" s="771"/>
      <c r="AQ3873" s="771"/>
      <c r="AR3873" s="771"/>
      <c r="AS3873" s="771"/>
      <c r="AT3873" s="771"/>
      <c r="AU3873" s="771"/>
    </row>
    <row r="3874" spans="1:47" s="15" customFormat="1" outlineLevel="1" x14ac:dyDescent="0.2">
      <c r="A3874" s="8"/>
      <c r="B3874" s="8"/>
      <c r="C3874" s="1989" t="s">
        <v>446</v>
      </c>
      <c r="D3874" s="1989" t="s">
        <v>8711</v>
      </c>
      <c r="E3874" s="1989">
        <v>4.96</v>
      </c>
      <c r="F3874" s="1546">
        <f t="shared" si="59"/>
        <v>403.35335040000001</v>
      </c>
      <c r="G3874" s="1547"/>
      <c r="H3874" s="8"/>
      <c r="I3874" s="8"/>
      <c r="J3874" s="8"/>
      <c r="K3874" s="8"/>
      <c r="L3874" s="8"/>
      <c r="M3874" s="8"/>
      <c r="N3874" s="8"/>
      <c r="O3874" s="8"/>
      <c r="P3874" s="8"/>
      <c r="Q3874" s="8"/>
      <c r="R3874" s="8"/>
      <c r="S3874" s="8"/>
      <c r="T3874" s="8"/>
      <c r="U3874" s="8"/>
      <c r="V3874" s="8"/>
      <c r="W3874" s="8"/>
      <c r="X3874" s="771"/>
      <c r="Y3874" s="771"/>
      <c r="Z3874" s="771"/>
      <c r="AA3874" s="771"/>
      <c r="AB3874" s="771"/>
      <c r="AC3874" s="771"/>
      <c r="AD3874" s="771"/>
      <c r="AE3874" s="771"/>
      <c r="AF3874" s="771"/>
      <c r="AG3874" s="771"/>
      <c r="AH3874" s="771"/>
      <c r="AI3874" s="771"/>
      <c r="AJ3874" s="771"/>
      <c r="AK3874" s="771"/>
      <c r="AL3874" s="771"/>
      <c r="AM3874" s="771"/>
      <c r="AN3874" s="771"/>
      <c r="AO3874" s="771"/>
      <c r="AP3874" s="771"/>
      <c r="AQ3874" s="771"/>
      <c r="AR3874" s="771"/>
      <c r="AS3874" s="771"/>
      <c r="AT3874" s="771"/>
      <c r="AU3874" s="771"/>
    </row>
    <row r="3875" spans="1:47" s="15" customFormat="1" outlineLevel="1" x14ac:dyDescent="0.2">
      <c r="A3875" s="8"/>
      <c r="B3875" s="8"/>
      <c r="C3875" s="1989" t="s">
        <v>440</v>
      </c>
      <c r="D3875" s="1989" t="s">
        <v>8712</v>
      </c>
      <c r="E3875" s="1989">
        <v>3.8</v>
      </c>
      <c r="F3875" s="1546">
        <f t="shared" si="59"/>
        <v>309.020712</v>
      </c>
      <c r="G3875" s="1547"/>
      <c r="H3875" s="8"/>
      <c r="I3875" s="8"/>
      <c r="J3875" s="8"/>
      <c r="K3875" s="8"/>
      <c r="L3875" s="8"/>
      <c r="M3875" s="8"/>
      <c r="N3875" s="8"/>
      <c r="O3875" s="8"/>
      <c r="P3875" s="8"/>
      <c r="Q3875" s="8"/>
      <c r="R3875" s="8"/>
      <c r="S3875" s="8"/>
      <c r="T3875" s="8"/>
      <c r="U3875" s="8"/>
      <c r="V3875" s="8"/>
      <c r="W3875" s="8"/>
      <c r="X3875" s="771"/>
      <c r="Y3875" s="771"/>
      <c r="Z3875" s="771"/>
      <c r="AA3875" s="771"/>
      <c r="AB3875" s="771"/>
      <c r="AC3875" s="771"/>
      <c r="AD3875" s="771"/>
      <c r="AE3875" s="771"/>
      <c r="AF3875" s="771"/>
      <c r="AG3875" s="771"/>
      <c r="AH3875" s="771"/>
      <c r="AI3875" s="771"/>
      <c r="AJ3875" s="771"/>
      <c r="AK3875" s="771"/>
      <c r="AL3875" s="771"/>
      <c r="AM3875" s="771"/>
      <c r="AN3875" s="771"/>
      <c r="AO3875" s="771"/>
      <c r="AP3875" s="771"/>
      <c r="AQ3875" s="771"/>
      <c r="AR3875" s="771"/>
      <c r="AS3875" s="771"/>
      <c r="AT3875" s="771"/>
      <c r="AU3875" s="771"/>
    </row>
    <row r="3876" spans="1:47" s="15" customFormat="1" outlineLevel="1" x14ac:dyDescent="0.2">
      <c r="A3876" s="8"/>
      <c r="B3876" s="8"/>
      <c r="C3876" s="1989" t="s">
        <v>434</v>
      </c>
      <c r="D3876" s="1989" t="s">
        <v>8713</v>
      </c>
      <c r="E3876" s="1989">
        <v>3.8</v>
      </c>
      <c r="F3876" s="1546">
        <f t="shared" si="59"/>
        <v>309.020712</v>
      </c>
      <c r="G3876" s="1547"/>
      <c r="H3876" s="8"/>
      <c r="I3876" s="8"/>
      <c r="J3876" s="8"/>
      <c r="K3876" s="8"/>
      <c r="L3876" s="8"/>
      <c r="M3876" s="8"/>
      <c r="N3876" s="8"/>
      <c r="O3876" s="8"/>
      <c r="P3876" s="8"/>
      <c r="Q3876" s="8"/>
      <c r="R3876" s="8"/>
      <c r="S3876" s="8"/>
      <c r="T3876" s="8"/>
      <c r="U3876" s="8"/>
      <c r="V3876" s="8"/>
      <c r="W3876" s="8"/>
      <c r="X3876" s="771"/>
      <c r="Y3876" s="771"/>
      <c r="Z3876" s="771"/>
      <c r="AA3876" s="771"/>
      <c r="AB3876" s="771"/>
      <c r="AC3876" s="771"/>
      <c r="AD3876" s="771"/>
      <c r="AE3876" s="771"/>
      <c r="AF3876" s="771"/>
      <c r="AG3876" s="771"/>
      <c r="AH3876" s="771"/>
      <c r="AI3876" s="771"/>
      <c r="AJ3876" s="771"/>
      <c r="AK3876" s="771"/>
      <c r="AL3876" s="771"/>
      <c r="AM3876" s="771"/>
      <c r="AN3876" s="771"/>
      <c r="AO3876" s="771"/>
      <c r="AP3876" s="771"/>
      <c r="AQ3876" s="771"/>
      <c r="AR3876" s="771"/>
      <c r="AS3876" s="771"/>
      <c r="AT3876" s="771"/>
      <c r="AU3876" s="771"/>
    </row>
    <row r="3877" spans="1:47" s="15" customFormat="1" outlineLevel="1" x14ac:dyDescent="0.2">
      <c r="A3877" s="8"/>
      <c r="B3877" s="8"/>
      <c r="C3877" s="1989" t="s">
        <v>7012</v>
      </c>
      <c r="D3877" s="1989" t="s">
        <v>8714</v>
      </c>
      <c r="E3877" s="1989">
        <v>4.08</v>
      </c>
      <c r="F3877" s="1546">
        <f t="shared" si="59"/>
        <v>331.79065919999999</v>
      </c>
      <c r="G3877" s="1547"/>
      <c r="H3877" s="8"/>
      <c r="I3877" s="8"/>
      <c r="J3877" s="8"/>
      <c r="K3877" s="8"/>
      <c r="L3877" s="8"/>
      <c r="M3877" s="8"/>
      <c r="N3877" s="8"/>
      <c r="O3877" s="8"/>
      <c r="P3877" s="8"/>
      <c r="Q3877" s="8"/>
      <c r="R3877" s="8"/>
      <c r="S3877" s="8"/>
      <c r="T3877" s="8"/>
      <c r="U3877" s="8"/>
      <c r="V3877" s="8"/>
      <c r="W3877" s="8"/>
      <c r="X3877" s="771"/>
      <c r="Y3877" s="771"/>
      <c r="Z3877" s="771"/>
      <c r="AA3877" s="771"/>
      <c r="AB3877" s="771"/>
      <c r="AC3877" s="771"/>
      <c r="AD3877" s="771"/>
      <c r="AE3877" s="771"/>
      <c r="AF3877" s="771"/>
      <c r="AG3877" s="771"/>
      <c r="AH3877" s="771"/>
      <c r="AI3877" s="771"/>
      <c r="AJ3877" s="771"/>
      <c r="AK3877" s="771"/>
      <c r="AL3877" s="771"/>
      <c r="AM3877" s="771"/>
      <c r="AN3877" s="771"/>
      <c r="AO3877" s="771"/>
      <c r="AP3877" s="771"/>
      <c r="AQ3877" s="771"/>
      <c r="AR3877" s="771"/>
      <c r="AS3877" s="771"/>
      <c r="AT3877" s="771"/>
      <c r="AU3877" s="771"/>
    </row>
    <row r="3878" spans="1:47" s="15" customFormat="1" outlineLevel="1" x14ac:dyDescent="0.2">
      <c r="A3878" s="8"/>
      <c r="B3878" s="8"/>
      <c r="C3878" s="1989" t="s">
        <v>447</v>
      </c>
      <c r="D3878" s="1989" t="s">
        <v>8715</v>
      </c>
      <c r="E3878" s="1989">
        <v>5.84</v>
      </c>
      <c r="F3878" s="1546">
        <f t="shared" si="59"/>
        <v>474.91604160000003</v>
      </c>
      <c r="G3878" s="1547"/>
      <c r="H3878" s="8"/>
      <c r="I3878" s="8"/>
      <c r="J3878" s="8"/>
      <c r="K3878" s="8"/>
      <c r="L3878" s="8"/>
      <c r="M3878" s="8"/>
      <c r="N3878" s="8"/>
      <c r="O3878" s="8"/>
      <c r="P3878" s="8"/>
      <c r="Q3878" s="8"/>
      <c r="R3878" s="8"/>
      <c r="S3878" s="8"/>
      <c r="T3878" s="8"/>
      <c r="U3878" s="8"/>
      <c r="V3878" s="8"/>
      <c r="W3878" s="8"/>
      <c r="X3878" s="771"/>
      <c r="Y3878" s="771"/>
      <c r="Z3878" s="771"/>
      <c r="AA3878" s="771"/>
      <c r="AB3878" s="771"/>
      <c r="AC3878" s="771"/>
      <c r="AD3878" s="771"/>
      <c r="AE3878" s="771"/>
      <c r="AF3878" s="771"/>
      <c r="AG3878" s="771"/>
      <c r="AH3878" s="771"/>
      <c r="AI3878" s="771"/>
      <c r="AJ3878" s="771"/>
      <c r="AK3878" s="771"/>
      <c r="AL3878" s="771"/>
      <c r="AM3878" s="771"/>
      <c r="AN3878" s="771"/>
      <c r="AO3878" s="771"/>
      <c r="AP3878" s="771"/>
      <c r="AQ3878" s="771"/>
      <c r="AR3878" s="771"/>
      <c r="AS3878" s="771"/>
      <c r="AT3878" s="771"/>
      <c r="AU3878" s="771"/>
    </row>
    <row r="3879" spans="1:47" s="15" customFormat="1" outlineLevel="1" x14ac:dyDescent="0.2">
      <c r="A3879" s="8"/>
      <c r="B3879" s="8"/>
      <c r="C3879" s="1989" t="s">
        <v>441</v>
      </c>
      <c r="D3879" s="1989" t="s">
        <v>8716</v>
      </c>
      <c r="E3879" s="1989">
        <v>4.38</v>
      </c>
      <c r="F3879" s="1546">
        <f t="shared" si="59"/>
        <v>356.18703119999998</v>
      </c>
      <c r="G3879" s="1547"/>
      <c r="H3879" s="8"/>
      <c r="I3879" s="8"/>
      <c r="J3879" s="8"/>
      <c r="K3879" s="8"/>
      <c r="L3879" s="8"/>
      <c r="M3879" s="8"/>
      <c r="N3879" s="8"/>
      <c r="O3879" s="8"/>
      <c r="P3879" s="8"/>
      <c r="Q3879" s="8"/>
      <c r="R3879" s="8"/>
      <c r="S3879" s="8"/>
      <c r="T3879" s="8"/>
      <c r="U3879" s="8"/>
      <c r="V3879" s="8"/>
      <c r="W3879" s="8"/>
      <c r="X3879" s="771"/>
      <c r="Y3879" s="771"/>
      <c r="Z3879" s="771"/>
      <c r="AA3879" s="771"/>
      <c r="AB3879" s="771"/>
      <c r="AC3879" s="771"/>
      <c r="AD3879" s="771"/>
      <c r="AE3879" s="771"/>
      <c r="AF3879" s="771"/>
      <c r="AG3879" s="771"/>
      <c r="AH3879" s="771"/>
      <c r="AI3879" s="771"/>
      <c r="AJ3879" s="771"/>
      <c r="AK3879" s="771"/>
      <c r="AL3879" s="771"/>
      <c r="AM3879" s="771"/>
      <c r="AN3879" s="771"/>
      <c r="AO3879" s="771"/>
      <c r="AP3879" s="771"/>
      <c r="AQ3879" s="771"/>
      <c r="AR3879" s="771"/>
      <c r="AS3879" s="771"/>
      <c r="AT3879" s="771"/>
      <c r="AU3879" s="771"/>
    </row>
    <row r="3880" spans="1:47" s="15" customFormat="1" outlineLevel="1" x14ac:dyDescent="0.2">
      <c r="A3880" s="8"/>
      <c r="B3880" s="8"/>
      <c r="C3880" s="1989" t="s">
        <v>435</v>
      </c>
      <c r="D3880" s="1989" t="s">
        <v>8717</v>
      </c>
      <c r="E3880" s="1989">
        <v>4.38</v>
      </c>
      <c r="F3880" s="1546">
        <f t="shared" si="59"/>
        <v>356.18703119999998</v>
      </c>
      <c r="G3880" s="1547"/>
      <c r="H3880" s="8"/>
      <c r="I3880" s="8"/>
      <c r="J3880" s="8"/>
      <c r="K3880" s="8"/>
      <c r="L3880" s="8"/>
      <c r="M3880" s="8"/>
      <c r="N3880" s="8"/>
      <c r="O3880" s="8"/>
      <c r="P3880" s="8"/>
      <c r="Q3880" s="8"/>
      <c r="R3880" s="8"/>
      <c r="S3880" s="8"/>
      <c r="T3880" s="8"/>
      <c r="U3880" s="8"/>
      <c r="V3880" s="8"/>
      <c r="W3880" s="8"/>
      <c r="X3880" s="771"/>
      <c r="Y3880" s="771"/>
      <c r="Z3880" s="771"/>
      <c r="AA3880" s="771"/>
      <c r="AB3880" s="771"/>
      <c r="AC3880" s="771"/>
      <c r="AD3880" s="771"/>
      <c r="AE3880" s="771"/>
      <c r="AF3880" s="771"/>
      <c r="AG3880" s="771"/>
      <c r="AH3880" s="771"/>
      <c r="AI3880" s="771"/>
      <c r="AJ3880" s="771"/>
      <c r="AK3880" s="771"/>
      <c r="AL3880" s="771"/>
      <c r="AM3880" s="771"/>
      <c r="AN3880" s="771"/>
      <c r="AO3880" s="771"/>
      <c r="AP3880" s="771"/>
      <c r="AQ3880" s="771"/>
      <c r="AR3880" s="771"/>
      <c r="AS3880" s="771"/>
      <c r="AT3880" s="771"/>
      <c r="AU3880" s="771"/>
    </row>
    <row r="3881" spans="1:47" s="15" customFormat="1" outlineLevel="1" x14ac:dyDescent="0.2">
      <c r="A3881" s="8"/>
      <c r="B3881" s="8"/>
      <c r="C3881" s="1989" t="s">
        <v>448</v>
      </c>
      <c r="D3881" s="1989" t="s">
        <v>8718</v>
      </c>
      <c r="E3881" s="1989">
        <v>6.42</v>
      </c>
      <c r="F3881" s="1546">
        <f t="shared" si="59"/>
        <v>522.08236080000006</v>
      </c>
      <c r="G3881" s="1547"/>
      <c r="H3881" s="8"/>
      <c r="I3881" s="8"/>
      <c r="J3881" s="8"/>
      <c r="K3881" s="8"/>
      <c r="L3881" s="8"/>
      <c r="M3881" s="8"/>
      <c r="N3881" s="8"/>
      <c r="O3881" s="8"/>
      <c r="P3881" s="8"/>
      <c r="Q3881" s="8"/>
      <c r="R3881" s="8"/>
      <c r="S3881" s="8"/>
      <c r="T3881" s="8"/>
      <c r="U3881" s="8"/>
      <c r="V3881" s="8"/>
      <c r="W3881" s="8"/>
      <c r="X3881" s="771"/>
      <c r="Y3881" s="771"/>
      <c r="Z3881" s="771"/>
      <c r="AA3881" s="771"/>
      <c r="AB3881" s="771"/>
      <c r="AC3881" s="771"/>
      <c r="AD3881" s="771"/>
      <c r="AE3881" s="771"/>
      <c r="AF3881" s="771"/>
      <c r="AG3881" s="771"/>
      <c r="AH3881" s="771"/>
      <c r="AI3881" s="771"/>
      <c r="AJ3881" s="771"/>
      <c r="AK3881" s="771"/>
      <c r="AL3881" s="771"/>
      <c r="AM3881" s="771"/>
      <c r="AN3881" s="771"/>
      <c r="AO3881" s="771"/>
      <c r="AP3881" s="771"/>
      <c r="AQ3881" s="771"/>
      <c r="AR3881" s="771"/>
      <c r="AS3881" s="771"/>
      <c r="AT3881" s="771"/>
      <c r="AU3881" s="771"/>
    </row>
    <row r="3882" spans="1:47" s="15" customFormat="1" outlineLevel="1" x14ac:dyDescent="0.2">
      <c r="A3882" s="8"/>
      <c r="B3882" s="8"/>
      <c r="C3882" s="1989" t="s">
        <v>442</v>
      </c>
      <c r="D3882" s="1989" t="s">
        <v>8719</v>
      </c>
      <c r="E3882" s="1989">
        <v>4.96</v>
      </c>
      <c r="F3882" s="1546">
        <f t="shared" si="59"/>
        <v>403.35335040000001</v>
      </c>
      <c r="G3882" s="1547"/>
      <c r="H3882" s="8"/>
      <c r="I3882" s="8"/>
      <c r="J3882" s="8"/>
      <c r="K3882" s="8"/>
      <c r="L3882" s="8"/>
      <c r="M3882" s="8"/>
      <c r="N3882" s="8"/>
      <c r="O3882" s="8"/>
      <c r="P3882" s="8"/>
      <c r="Q3882" s="8"/>
      <c r="R3882" s="8"/>
      <c r="S3882" s="8"/>
      <c r="T3882" s="8"/>
      <c r="U3882" s="8"/>
      <c r="V3882" s="8"/>
      <c r="W3882" s="8"/>
      <c r="X3882" s="771"/>
      <c r="Y3882" s="771"/>
      <c r="Z3882" s="771"/>
      <c r="AA3882" s="771"/>
      <c r="AB3882" s="771"/>
      <c r="AC3882" s="771"/>
      <c r="AD3882" s="771"/>
      <c r="AE3882" s="771"/>
      <c r="AF3882" s="771"/>
      <c r="AG3882" s="771"/>
      <c r="AH3882" s="771"/>
      <c r="AI3882" s="771"/>
      <c r="AJ3882" s="771"/>
      <c r="AK3882" s="771"/>
      <c r="AL3882" s="771"/>
      <c r="AM3882" s="771"/>
      <c r="AN3882" s="771"/>
      <c r="AO3882" s="771"/>
      <c r="AP3882" s="771"/>
      <c r="AQ3882" s="771"/>
      <c r="AR3882" s="771"/>
      <c r="AS3882" s="771"/>
      <c r="AT3882" s="771"/>
      <c r="AU3882" s="771"/>
    </row>
    <row r="3883" spans="1:47" s="15" customFormat="1" outlineLevel="1" x14ac:dyDescent="0.2">
      <c r="A3883" s="8"/>
      <c r="B3883" s="8"/>
      <c r="C3883" s="1989" t="s">
        <v>436</v>
      </c>
      <c r="D3883" s="1989" t="s">
        <v>8720</v>
      </c>
      <c r="E3883" s="1989">
        <v>4.96</v>
      </c>
      <c r="F3883" s="1546">
        <f t="shared" si="59"/>
        <v>403.35335040000001</v>
      </c>
      <c r="G3883" s="1547"/>
      <c r="H3883" s="8"/>
      <c r="I3883" s="8"/>
      <c r="J3883" s="8"/>
      <c r="K3883" s="8"/>
      <c r="L3883" s="8"/>
      <c r="M3883" s="8"/>
      <c r="N3883" s="8"/>
      <c r="O3883" s="8"/>
      <c r="P3883" s="8"/>
      <c r="Q3883" s="8"/>
      <c r="R3883" s="8"/>
      <c r="S3883" s="8"/>
      <c r="T3883" s="8"/>
      <c r="U3883" s="8"/>
      <c r="V3883" s="8"/>
      <c r="W3883" s="8"/>
      <c r="X3883" s="771"/>
      <c r="Y3883" s="771"/>
      <c r="Z3883" s="771"/>
      <c r="AA3883" s="771"/>
      <c r="AB3883" s="771"/>
      <c r="AC3883" s="771"/>
      <c r="AD3883" s="771"/>
      <c r="AE3883" s="771"/>
      <c r="AF3883" s="771"/>
      <c r="AG3883" s="771"/>
      <c r="AH3883" s="771"/>
      <c r="AI3883" s="771"/>
      <c r="AJ3883" s="771"/>
      <c r="AK3883" s="771"/>
      <c r="AL3883" s="771"/>
      <c r="AM3883" s="771"/>
      <c r="AN3883" s="771"/>
      <c r="AO3883" s="771"/>
      <c r="AP3883" s="771"/>
      <c r="AQ3883" s="771"/>
      <c r="AR3883" s="771"/>
      <c r="AS3883" s="771"/>
      <c r="AT3883" s="771"/>
      <c r="AU3883" s="771"/>
    </row>
    <row r="3884" spans="1:47" s="15" customFormat="1" outlineLevel="1" x14ac:dyDescent="0.2">
      <c r="A3884" s="8"/>
      <c r="B3884" s="8"/>
      <c r="C3884" s="1989" t="s">
        <v>449</v>
      </c>
      <c r="D3884" s="1989" t="s">
        <v>8721</v>
      </c>
      <c r="E3884" s="1989">
        <v>6.71</v>
      </c>
      <c r="F3884" s="1546">
        <f t="shared" si="59"/>
        <v>545.66552039999999</v>
      </c>
      <c r="G3884" s="1547"/>
      <c r="H3884" s="8"/>
      <c r="I3884" s="8"/>
      <c r="J3884" s="8"/>
      <c r="K3884" s="8"/>
      <c r="L3884" s="8"/>
      <c r="M3884" s="8"/>
      <c r="N3884" s="8"/>
      <c r="O3884" s="8"/>
      <c r="P3884" s="8"/>
      <c r="Q3884" s="8"/>
      <c r="R3884" s="8"/>
      <c r="S3884" s="8"/>
      <c r="T3884" s="8"/>
      <c r="U3884" s="8"/>
      <c r="V3884" s="8"/>
      <c r="W3884" s="8"/>
      <c r="X3884" s="771"/>
      <c r="Y3884" s="771"/>
      <c r="Z3884" s="771"/>
      <c r="AA3884" s="771"/>
      <c r="AB3884" s="771"/>
      <c r="AC3884" s="771"/>
      <c r="AD3884" s="771"/>
      <c r="AE3884" s="771"/>
      <c r="AF3884" s="771"/>
      <c r="AG3884" s="771"/>
      <c r="AH3884" s="771"/>
      <c r="AI3884" s="771"/>
      <c r="AJ3884" s="771"/>
      <c r="AK3884" s="771"/>
      <c r="AL3884" s="771"/>
      <c r="AM3884" s="771"/>
      <c r="AN3884" s="771"/>
      <c r="AO3884" s="771"/>
      <c r="AP3884" s="771"/>
      <c r="AQ3884" s="771"/>
      <c r="AR3884" s="771"/>
      <c r="AS3884" s="771"/>
      <c r="AT3884" s="771"/>
      <c r="AU3884" s="771"/>
    </row>
    <row r="3885" spans="1:47" s="15" customFormat="1" outlineLevel="1" x14ac:dyDescent="0.2">
      <c r="A3885" s="8"/>
      <c r="B3885" s="8"/>
      <c r="C3885" s="1989" t="s">
        <v>443</v>
      </c>
      <c r="D3885" s="1989" t="s">
        <v>8722</v>
      </c>
      <c r="E3885" s="1989">
        <v>5.55</v>
      </c>
      <c r="F3885" s="1546">
        <f t="shared" si="59"/>
        <v>451.33288199999998</v>
      </c>
      <c r="G3885" s="1547"/>
      <c r="H3885" s="8"/>
      <c r="I3885" s="8"/>
      <c r="J3885" s="8"/>
      <c r="K3885" s="8"/>
      <c r="L3885" s="8"/>
      <c r="M3885" s="8"/>
      <c r="N3885" s="8"/>
      <c r="O3885" s="8"/>
      <c r="P3885" s="8"/>
      <c r="Q3885" s="8"/>
      <c r="R3885" s="8"/>
      <c r="S3885" s="8"/>
      <c r="T3885" s="8"/>
      <c r="U3885" s="8"/>
      <c r="V3885" s="8"/>
      <c r="W3885" s="8"/>
      <c r="X3885" s="771"/>
      <c r="Y3885" s="771"/>
      <c r="Z3885" s="771"/>
      <c r="AA3885" s="771"/>
      <c r="AB3885" s="771"/>
      <c r="AC3885" s="771"/>
      <c r="AD3885" s="771"/>
      <c r="AE3885" s="771"/>
      <c r="AF3885" s="771"/>
      <c r="AG3885" s="771"/>
      <c r="AH3885" s="771"/>
      <c r="AI3885" s="771"/>
      <c r="AJ3885" s="771"/>
      <c r="AK3885" s="771"/>
      <c r="AL3885" s="771"/>
      <c r="AM3885" s="771"/>
      <c r="AN3885" s="771"/>
      <c r="AO3885" s="771"/>
      <c r="AP3885" s="771"/>
      <c r="AQ3885" s="771"/>
      <c r="AR3885" s="771"/>
      <c r="AS3885" s="771"/>
      <c r="AT3885" s="771"/>
      <c r="AU3885" s="771"/>
    </row>
    <row r="3886" spans="1:47" s="15" customFormat="1" outlineLevel="1" x14ac:dyDescent="0.2">
      <c r="A3886" s="8"/>
      <c r="B3886" s="8"/>
      <c r="C3886" s="1989" t="s">
        <v>437</v>
      </c>
      <c r="D3886" s="1989" t="s">
        <v>8723</v>
      </c>
      <c r="E3886" s="1989">
        <v>5.55</v>
      </c>
      <c r="F3886" s="1546">
        <f t="shared" si="59"/>
        <v>451.33288199999998</v>
      </c>
      <c r="G3886" s="1547"/>
      <c r="H3886" s="8"/>
      <c r="I3886" s="8"/>
      <c r="J3886" s="8"/>
      <c r="K3886" s="8"/>
      <c r="L3886" s="8"/>
      <c r="M3886" s="8"/>
      <c r="N3886" s="8"/>
      <c r="O3886" s="8"/>
      <c r="P3886" s="8"/>
      <c r="Q3886" s="8"/>
      <c r="R3886" s="8"/>
      <c r="S3886" s="8"/>
      <c r="T3886" s="8"/>
      <c r="U3886" s="8"/>
      <c r="V3886" s="8"/>
      <c r="W3886" s="8"/>
      <c r="X3886" s="771"/>
      <c r="Y3886" s="771"/>
      <c r="Z3886" s="771"/>
      <c r="AA3886" s="771"/>
      <c r="AB3886" s="771"/>
      <c r="AC3886" s="771"/>
      <c r="AD3886" s="771"/>
      <c r="AE3886" s="771"/>
      <c r="AF3886" s="771"/>
      <c r="AG3886" s="771"/>
      <c r="AH3886" s="771"/>
      <c r="AI3886" s="771"/>
      <c r="AJ3886" s="771"/>
      <c r="AK3886" s="771"/>
      <c r="AL3886" s="771"/>
      <c r="AM3886" s="771"/>
      <c r="AN3886" s="771"/>
      <c r="AO3886" s="771"/>
      <c r="AP3886" s="771"/>
      <c r="AQ3886" s="771"/>
      <c r="AR3886" s="771"/>
      <c r="AS3886" s="771"/>
      <c r="AT3886" s="771"/>
      <c r="AU3886" s="771"/>
    </row>
    <row r="3887" spans="1:47" s="15" customFormat="1" outlineLevel="1" x14ac:dyDescent="0.2">
      <c r="A3887" s="8"/>
      <c r="B3887" s="8"/>
      <c r="C3887" s="1989" t="s">
        <v>450</v>
      </c>
      <c r="D3887" s="1989" t="s">
        <v>8724</v>
      </c>
      <c r="E3887" s="1989">
        <v>7.59</v>
      </c>
      <c r="F3887" s="1546">
        <f t="shared" si="59"/>
        <v>617.22821160000001</v>
      </c>
      <c r="G3887" s="1547"/>
      <c r="H3887" s="8"/>
      <c r="I3887" s="8"/>
      <c r="J3887" s="8"/>
      <c r="K3887" s="8"/>
      <c r="L3887" s="8"/>
      <c r="M3887" s="8"/>
      <c r="N3887" s="8"/>
      <c r="O3887" s="8"/>
      <c r="P3887" s="8"/>
      <c r="Q3887" s="8"/>
      <c r="R3887" s="8"/>
      <c r="S3887" s="8"/>
      <c r="T3887" s="8"/>
      <c r="U3887" s="8"/>
      <c r="V3887" s="8"/>
      <c r="W3887" s="8"/>
      <c r="X3887" s="771"/>
      <c r="Y3887" s="771"/>
      <c r="Z3887" s="771"/>
      <c r="AA3887" s="771"/>
      <c r="AB3887" s="771"/>
      <c r="AC3887" s="771"/>
      <c r="AD3887" s="771"/>
      <c r="AE3887" s="771"/>
      <c r="AF3887" s="771"/>
      <c r="AG3887" s="771"/>
      <c r="AH3887" s="771"/>
      <c r="AI3887" s="771"/>
      <c r="AJ3887" s="771"/>
      <c r="AK3887" s="771"/>
      <c r="AL3887" s="771"/>
      <c r="AM3887" s="771"/>
      <c r="AN3887" s="771"/>
      <c r="AO3887" s="771"/>
      <c r="AP3887" s="771"/>
      <c r="AQ3887" s="771"/>
      <c r="AR3887" s="771"/>
      <c r="AS3887" s="771"/>
      <c r="AT3887" s="771"/>
      <c r="AU3887" s="771"/>
    </row>
    <row r="3888" spans="1:47" s="15" customFormat="1" outlineLevel="1" x14ac:dyDescent="0.2">
      <c r="A3888" s="8"/>
      <c r="B3888" s="8"/>
      <c r="C3888" s="1989" t="s">
        <v>444</v>
      </c>
      <c r="D3888" s="1989" t="s">
        <v>8725</v>
      </c>
      <c r="E3888" s="1989">
        <v>6.12</v>
      </c>
      <c r="F3888" s="1546">
        <f t="shared" si="59"/>
        <v>497.68598880000002</v>
      </c>
      <c r="G3888" s="1547"/>
      <c r="H3888" s="8"/>
      <c r="I3888" s="8"/>
      <c r="J3888" s="8"/>
      <c r="K3888" s="8"/>
      <c r="L3888" s="8"/>
      <c r="M3888" s="8"/>
      <c r="N3888" s="8"/>
      <c r="O3888" s="8"/>
      <c r="P3888" s="8"/>
      <c r="Q3888" s="8"/>
      <c r="R3888" s="8"/>
      <c r="S3888" s="8"/>
      <c r="T3888" s="8"/>
      <c r="U3888" s="8"/>
      <c r="V3888" s="8"/>
      <c r="W3888" s="8"/>
      <c r="X3888" s="771"/>
      <c r="Y3888" s="771"/>
      <c r="Z3888" s="771"/>
      <c r="AA3888" s="771"/>
      <c r="AB3888" s="771"/>
      <c r="AC3888" s="771"/>
      <c r="AD3888" s="771"/>
      <c r="AE3888" s="771"/>
      <c r="AF3888" s="771"/>
      <c r="AG3888" s="771"/>
      <c r="AH3888" s="771"/>
      <c r="AI3888" s="771"/>
      <c r="AJ3888" s="771"/>
      <c r="AK3888" s="771"/>
      <c r="AL3888" s="771"/>
      <c r="AM3888" s="771"/>
      <c r="AN3888" s="771"/>
      <c r="AO3888" s="771"/>
      <c r="AP3888" s="771"/>
      <c r="AQ3888" s="771"/>
      <c r="AR3888" s="771"/>
      <c r="AS3888" s="771"/>
      <c r="AT3888" s="771"/>
      <c r="AU3888" s="771"/>
    </row>
    <row r="3889" spans="1:47" s="15" customFormat="1" outlineLevel="1" x14ac:dyDescent="0.2">
      <c r="A3889" s="8"/>
      <c r="B3889" s="8"/>
      <c r="C3889" s="1989" t="s">
        <v>438</v>
      </c>
      <c r="D3889" s="1989" t="s">
        <v>8726</v>
      </c>
      <c r="E3889" s="1989">
        <v>6.12</v>
      </c>
      <c r="F3889" s="1546">
        <f t="shared" si="59"/>
        <v>497.68598880000002</v>
      </c>
      <c r="G3889" s="1547"/>
      <c r="H3889" s="8"/>
      <c r="I3889" s="8"/>
      <c r="J3889" s="8"/>
      <c r="K3889" s="8"/>
      <c r="L3889" s="8"/>
      <c r="M3889" s="8"/>
      <c r="N3889" s="8"/>
      <c r="O3889" s="8"/>
      <c r="P3889" s="8"/>
      <c r="Q3889" s="8"/>
      <c r="R3889" s="8"/>
      <c r="S3889" s="8"/>
      <c r="T3889" s="8"/>
      <c r="U3889" s="8"/>
      <c r="V3889" s="8"/>
      <c r="W3889" s="8"/>
      <c r="X3889" s="771"/>
      <c r="Y3889" s="771"/>
      <c r="Z3889" s="771"/>
      <c r="AA3889" s="771"/>
      <c r="AB3889" s="771"/>
      <c r="AC3889" s="771"/>
      <c r="AD3889" s="771"/>
      <c r="AE3889" s="771"/>
      <c r="AF3889" s="771"/>
      <c r="AG3889" s="771"/>
      <c r="AH3889" s="771"/>
      <c r="AI3889" s="771"/>
      <c r="AJ3889" s="771"/>
      <c r="AK3889" s="771"/>
      <c r="AL3889" s="771"/>
      <c r="AM3889" s="771"/>
      <c r="AN3889" s="771"/>
      <c r="AO3889" s="771"/>
      <c r="AP3889" s="771"/>
      <c r="AQ3889" s="771"/>
      <c r="AR3889" s="771"/>
      <c r="AS3889" s="771"/>
      <c r="AT3889" s="771"/>
      <c r="AU3889" s="771"/>
    </row>
    <row r="3890" spans="1:47" s="15" customFormat="1" outlineLevel="1" x14ac:dyDescent="0.2">
      <c r="A3890" s="8"/>
      <c r="B3890" s="8"/>
      <c r="C3890" s="1989" t="s">
        <v>7013</v>
      </c>
      <c r="D3890" s="1989" t="s">
        <v>8727</v>
      </c>
      <c r="E3890" s="1989">
        <v>11.97</v>
      </c>
      <c r="F3890" s="1546">
        <f t="shared" si="59"/>
        <v>973.4152428000001</v>
      </c>
      <c r="G3890" s="1547"/>
      <c r="H3890" s="8"/>
      <c r="I3890" s="8"/>
      <c r="J3890" s="8"/>
      <c r="K3890" s="8"/>
      <c r="L3890" s="8"/>
      <c r="M3890" s="8"/>
      <c r="N3890" s="8"/>
      <c r="O3890" s="8"/>
      <c r="P3890" s="8"/>
      <c r="Q3890" s="8"/>
      <c r="R3890" s="8"/>
      <c r="S3890" s="8"/>
      <c r="T3890" s="8"/>
      <c r="U3890" s="8"/>
      <c r="V3890" s="8"/>
      <c r="W3890" s="8"/>
      <c r="X3890" s="771"/>
      <c r="Y3890" s="771"/>
      <c r="Z3890" s="771"/>
      <c r="AA3890" s="771"/>
      <c r="AB3890" s="771"/>
      <c r="AC3890" s="771"/>
      <c r="AD3890" s="771"/>
      <c r="AE3890" s="771"/>
      <c r="AF3890" s="771"/>
      <c r="AG3890" s="771"/>
      <c r="AH3890" s="771"/>
      <c r="AI3890" s="771"/>
      <c r="AJ3890" s="771"/>
      <c r="AK3890" s="771"/>
      <c r="AL3890" s="771"/>
      <c r="AM3890" s="771"/>
      <c r="AN3890" s="771"/>
      <c r="AO3890" s="771"/>
      <c r="AP3890" s="771"/>
      <c r="AQ3890" s="771"/>
      <c r="AR3890" s="771"/>
      <c r="AS3890" s="771"/>
      <c r="AT3890" s="771"/>
      <c r="AU3890" s="771"/>
    </row>
    <row r="3891" spans="1:47" s="15" customFormat="1" outlineLevel="1" x14ac:dyDescent="0.2">
      <c r="A3891" s="8"/>
      <c r="B3891" s="8"/>
      <c r="C3891" s="1989" t="s">
        <v>7014</v>
      </c>
      <c r="D3891" s="1989" t="s">
        <v>8728</v>
      </c>
      <c r="E3891" s="1989">
        <v>9.35</v>
      </c>
      <c r="F3891" s="1546">
        <f t="shared" si="59"/>
        <v>760.35359399999993</v>
      </c>
      <c r="G3891" s="1547"/>
      <c r="H3891" s="8"/>
      <c r="I3891" s="8"/>
      <c r="J3891" s="8"/>
      <c r="K3891" s="8"/>
      <c r="L3891" s="8"/>
      <c r="M3891" s="8"/>
      <c r="N3891" s="8"/>
      <c r="O3891" s="8"/>
      <c r="P3891" s="8"/>
      <c r="Q3891" s="8"/>
      <c r="R3891" s="8"/>
      <c r="S3891" s="8"/>
      <c r="T3891" s="8"/>
      <c r="U3891" s="8"/>
      <c r="V3891" s="8"/>
      <c r="W3891" s="8"/>
      <c r="X3891" s="771"/>
      <c r="Y3891" s="771"/>
      <c r="Z3891" s="771"/>
      <c r="AA3891" s="771"/>
      <c r="AB3891" s="771"/>
      <c r="AC3891" s="771"/>
      <c r="AD3891" s="771"/>
      <c r="AE3891" s="771"/>
      <c r="AF3891" s="771"/>
      <c r="AG3891" s="771"/>
      <c r="AH3891" s="771"/>
      <c r="AI3891" s="771"/>
      <c r="AJ3891" s="771"/>
      <c r="AK3891" s="771"/>
      <c r="AL3891" s="771"/>
      <c r="AM3891" s="771"/>
      <c r="AN3891" s="771"/>
      <c r="AO3891" s="771"/>
      <c r="AP3891" s="771"/>
      <c r="AQ3891" s="771"/>
      <c r="AR3891" s="771"/>
      <c r="AS3891" s="771"/>
      <c r="AT3891" s="771"/>
      <c r="AU3891" s="771"/>
    </row>
    <row r="3892" spans="1:47" s="15" customFormat="1" outlineLevel="1" x14ac:dyDescent="0.2">
      <c r="A3892" s="8"/>
      <c r="B3892" s="8"/>
      <c r="C3892" s="1989" t="s">
        <v>7015</v>
      </c>
      <c r="D3892" s="1989" t="s">
        <v>8729</v>
      </c>
      <c r="E3892" s="1989">
        <v>9.35</v>
      </c>
      <c r="F3892" s="1546">
        <f t="shared" si="59"/>
        <v>760.35359399999993</v>
      </c>
      <c r="G3892" s="1547"/>
      <c r="H3892" s="8"/>
      <c r="I3892" s="8"/>
      <c r="J3892" s="8"/>
      <c r="K3892" s="8"/>
      <c r="L3892" s="8"/>
      <c r="M3892" s="8"/>
      <c r="N3892" s="8"/>
      <c r="O3892" s="8"/>
      <c r="P3892" s="8"/>
      <c r="Q3892" s="8"/>
      <c r="R3892" s="8"/>
      <c r="S3892" s="8"/>
      <c r="T3892" s="8"/>
      <c r="U3892" s="8"/>
      <c r="V3892" s="8"/>
      <c r="W3892" s="8"/>
      <c r="X3892" s="771"/>
      <c r="Y3892" s="771"/>
      <c r="Z3892" s="771"/>
      <c r="AA3892" s="771"/>
      <c r="AB3892" s="771"/>
      <c r="AC3892" s="771"/>
      <c r="AD3892" s="771"/>
      <c r="AE3892" s="771"/>
      <c r="AF3892" s="771"/>
      <c r="AG3892" s="771"/>
      <c r="AH3892" s="771"/>
      <c r="AI3892" s="771"/>
      <c r="AJ3892" s="771"/>
      <c r="AK3892" s="771"/>
      <c r="AL3892" s="771"/>
      <c r="AM3892" s="771"/>
      <c r="AN3892" s="771"/>
      <c r="AO3892" s="771"/>
      <c r="AP3892" s="771"/>
      <c r="AQ3892" s="771"/>
      <c r="AR3892" s="771"/>
      <c r="AS3892" s="771"/>
      <c r="AT3892" s="771"/>
      <c r="AU3892" s="771"/>
    </row>
    <row r="3893" spans="1:47" s="15" customFormat="1" outlineLevel="1" x14ac:dyDescent="0.2">
      <c r="A3893" s="8"/>
      <c r="B3893" s="8"/>
      <c r="C3893" s="1989" t="s">
        <v>451</v>
      </c>
      <c r="D3893" s="1989" t="s">
        <v>8730</v>
      </c>
      <c r="E3893" s="1989">
        <v>12.84</v>
      </c>
      <c r="F3893" s="1546">
        <f t="shared" si="59"/>
        <v>1044.1647216000001</v>
      </c>
      <c r="G3893" s="1547"/>
      <c r="H3893" s="8"/>
      <c r="I3893" s="8"/>
      <c r="J3893" s="8"/>
      <c r="K3893" s="8"/>
      <c r="L3893" s="8"/>
      <c r="M3893" s="8"/>
      <c r="N3893" s="8"/>
      <c r="O3893" s="8"/>
      <c r="P3893" s="8"/>
      <c r="Q3893" s="8"/>
      <c r="R3893" s="8"/>
      <c r="S3893" s="8"/>
      <c r="T3893" s="8"/>
      <c r="U3893" s="8"/>
      <c r="V3893" s="8"/>
      <c r="W3893" s="8"/>
      <c r="X3893" s="771"/>
      <c r="Y3893" s="771"/>
      <c r="Z3893" s="771"/>
      <c r="AA3893" s="771"/>
      <c r="AB3893" s="771"/>
      <c r="AC3893" s="771"/>
      <c r="AD3893" s="771"/>
      <c r="AE3893" s="771"/>
      <c r="AF3893" s="771"/>
      <c r="AG3893" s="771"/>
      <c r="AH3893" s="771"/>
      <c r="AI3893" s="771"/>
      <c r="AJ3893" s="771"/>
      <c r="AK3893" s="771"/>
      <c r="AL3893" s="771"/>
      <c r="AM3893" s="771"/>
      <c r="AN3893" s="771"/>
      <c r="AO3893" s="771"/>
      <c r="AP3893" s="771"/>
      <c r="AQ3893" s="771"/>
      <c r="AR3893" s="771"/>
      <c r="AS3893" s="771"/>
      <c r="AT3893" s="771"/>
      <c r="AU3893" s="771"/>
    </row>
    <row r="3894" spans="1:47" s="15" customFormat="1" outlineLevel="1" x14ac:dyDescent="0.2">
      <c r="A3894" s="8"/>
      <c r="B3894" s="8"/>
      <c r="C3894" s="1989" t="s">
        <v>445</v>
      </c>
      <c r="D3894" s="1989" t="s">
        <v>8731</v>
      </c>
      <c r="E3894" s="1989">
        <v>10.220000000000001</v>
      </c>
      <c r="F3894" s="1546">
        <f t="shared" si="59"/>
        <v>831.10307280000018</v>
      </c>
      <c r="G3894" s="1547"/>
      <c r="H3894" s="8"/>
      <c r="I3894" s="8"/>
      <c r="J3894" s="8"/>
      <c r="K3894" s="8"/>
      <c r="L3894" s="8"/>
      <c r="M3894" s="8"/>
      <c r="N3894" s="8"/>
      <c r="O3894" s="8"/>
      <c r="P3894" s="8"/>
      <c r="Q3894" s="8"/>
      <c r="R3894" s="8"/>
      <c r="S3894" s="8"/>
      <c r="T3894" s="8"/>
      <c r="U3894" s="8"/>
      <c r="V3894" s="8"/>
      <c r="W3894" s="8"/>
      <c r="X3894" s="771"/>
      <c r="Y3894" s="771"/>
      <c r="Z3894" s="771"/>
      <c r="AA3894" s="771"/>
      <c r="AB3894" s="771"/>
      <c r="AC3894" s="771"/>
      <c r="AD3894" s="771"/>
      <c r="AE3894" s="771"/>
      <c r="AF3894" s="771"/>
      <c r="AG3894" s="771"/>
      <c r="AH3894" s="771"/>
      <c r="AI3894" s="771"/>
      <c r="AJ3894" s="771"/>
      <c r="AK3894" s="771"/>
      <c r="AL3894" s="771"/>
      <c r="AM3894" s="771"/>
      <c r="AN3894" s="771"/>
      <c r="AO3894" s="771"/>
      <c r="AP3894" s="771"/>
      <c r="AQ3894" s="771"/>
      <c r="AR3894" s="771"/>
      <c r="AS3894" s="771"/>
      <c r="AT3894" s="771"/>
      <c r="AU3894" s="771"/>
    </row>
    <row r="3895" spans="1:47" s="15" customFormat="1" outlineLevel="1" x14ac:dyDescent="0.2">
      <c r="A3895" s="8"/>
      <c r="B3895" s="8"/>
      <c r="C3895" s="1989" t="s">
        <v>439</v>
      </c>
      <c r="D3895" s="1989" t="s">
        <v>8732</v>
      </c>
      <c r="E3895" s="1989">
        <v>10.220000000000001</v>
      </c>
      <c r="F3895" s="1546">
        <f t="shared" si="59"/>
        <v>831.10307280000018</v>
      </c>
      <c r="G3895" s="1547"/>
      <c r="H3895" s="8"/>
      <c r="I3895" s="8"/>
      <c r="J3895" s="8"/>
      <c r="K3895" s="8"/>
      <c r="L3895" s="8"/>
      <c r="M3895" s="8"/>
      <c r="N3895" s="8"/>
      <c r="O3895" s="8"/>
      <c r="P3895" s="8"/>
      <c r="Q3895" s="8"/>
      <c r="R3895" s="8"/>
      <c r="S3895" s="8"/>
      <c r="T3895" s="8"/>
      <c r="U3895" s="8"/>
      <c r="V3895" s="8"/>
      <c r="W3895" s="8"/>
      <c r="X3895" s="771"/>
      <c r="Y3895" s="771"/>
      <c r="Z3895" s="771"/>
      <c r="AA3895" s="771"/>
      <c r="AB3895" s="771"/>
      <c r="AC3895" s="771"/>
      <c r="AD3895" s="771"/>
      <c r="AE3895" s="771"/>
      <c r="AF3895" s="771"/>
      <c r="AG3895" s="771"/>
      <c r="AH3895" s="771"/>
      <c r="AI3895" s="771"/>
      <c r="AJ3895" s="771"/>
      <c r="AK3895" s="771"/>
      <c r="AL3895" s="771"/>
      <c r="AM3895" s="771"/>
      <c r="AN3895" s="771"/>
      <c r="AO3895" s="771"/>
      <c r="AP3895" s="771"/>
      <c r="AQ3895" s="771"/>
      <c r="AR3895" s="771"/>
      <c r="AS3895" s="771"/>
      <c r="AT3895" s="771"/>
      <c r="AU3895" s="771"/>
    </row>
    <row r="3896" spans="1:47" s="15" customFormat="1" outlineLevel="1" x14ac:dyDescent="0.2">
      <c r="A3896" s="8"/>
      <c r="B3896" s="8"/>
      <c r="C3896" s="1989" t="s">
        <v>464</v>
      </c>
      <c r="D3896" s="1989" t="s">
        <v>8733</v>
      </c>
      <c r="E3896" s="1989">
        <v>15.17</v>
      </c>
      <c r="F3896" s="1546">
        <f t="shared" si="59"/>
        <v>1233.6432108000001</v>
      </c>
      <c r="G3896" s="1547"/>
      <c r="H3896" s="8"/>
      <c r="I3896" s="8"/>
      <c r="J3896" s="8"/>
      <c r="K3896" s="8"/>
      <c r="L3896" s="8"/>
      <c r="M3896" s="8"/>
      <c r="N3896" s="8"/>
      <c r="O3896" s="8"/>
      <c r="P3896" s="8"/>
      <c r="Q3896" s="8"/>
      <c r="R3896" s="8"/>
      <c r="S3896" s="8"/>
      <c r="T3896" s="8"/>
      <c r="U3896" s="8"/>
      <c r="V3896" s="8"/>
      <c r="W3896" s="8"/>
      <c r="X3896" s="771"/>
      <c r="Y3896" s="771"/>
      <c r="Z3896" s="771"/>
      <c r="AA3896" s="771"/>
      <c r="AB3896" s="771"/>
      <c r="AC3896" s="771"/>
      <c r="AD3896" s="771"/>
      <c r="AE3896" s="771"/>
      <c r="AF3896" s="771"/>
      <c r="AG3896" s="771"/>
      <c r="AH3896" s="771"/>
      <c r="AI3896" s="771"/>
      <c r="AJ3896" s="771"/>
      <c r="AK3896" s="771"/>
      <c r="AL3896" s="771"/>
      <c r="AM3896" s="771"/>
      <c r="AN3896" s="771"/>
      <c r="AO3896" s="771"/>
      <c r="AP3896" s="771"/>
      <c r="AQ3896" s="771"/>
      <c r="AR3896" s="771"/>
      <c r="AS3896" s="771"/>
      <c r="AT3896" s="771"/>
      <c r="AU3896" s="771"/>
    </row>
    <row r="3897" spans="1:47" s="15" customFormat="1" outlineLevel="1" x14ac:dyDescent="0.2">
      <c r="A3897" s="8"/>
      <c r="B3897" s="8"/>
      <c r="C3897" s="1989" t="s">
        <v>463</v>
      </c>
      <c r="D3897" s="1989" t="s">
        <v>8734</v>
      </c>
      <c r="E3897" s="1989">
        <v>12.26</v>
      </c>
      <c r="F3897" s="1546">
        <f t="shared" si="59"/>
        <v>996.99840240000003</v>
      </c>
      <c r="G3897" s="1547"/>
      <c r="H3897" s="8"/>
      <c r="I3897" s="8"/>
      <c r="J3897" s="8"/>
      <c r="K3897" s="8"/>
      <c r="L3897" s="8"/>
      <c r="M3897" s="8"/>
      <c r="N3897" s="8"/>
      <c r="O3897" s="8"/>
      <c r="P3897" s="8"/>
      <c r="Q3897" s="8"/>
      <c r="R3897" s="8"/>
      <c r="S3897" s="8"/>
      <c r="T3897" s="8"/>
      <c r="U3897" s="8"/>
      <c r="V3897" s="8"/>
      <c r="W3897" s="8"/>
      <c r="X3897" s="771"/>
      <c r="Y3897" s="771"/>
      <c r="Z3897" s="771"/>
      <c r="AA3897" s="771"/>
      <c r="AB3897" s="771"/>
      <c r="AC3897" s="771"/>
      <c r="AD3897" s="771"/>
      <c r="AE3897" s="771"/>
      <c r="AF3897" s="771"/>
      <c r="AG3897" s="771"/>
      <c r="AH3897" s="771"/>
      <c r="AI3897" s="771"/>
      <c r="AJ3897" s="771"/>
      <c r="AK3897" s="771"/>
      <c r="AL3897" s="771"/>
      <c r="AM3897" s="771"/>
      <c r="AN3897" s="771"/>
      <c r="AO3897" s="771"/>
      <c r="AP3897" s="771"/>
      <c r="AQ3897" s="771"/>
      <c r="AR3897" s="771"/>
      <c r="AS3897" s="771"/>
      <c r="AT3897" s="771"/>
      <c r="AU3897" s="771"/>
    </row>
    <row r="3898" spans="1:47" s="15" customFormat="1" outlineLevel="1" x14ac:dyDescent="0.2">
      <c r="A3898" s="8"/>
      <c r="B3898" s="8"/>
      <c r="C3898" s="1989" t="s">
        <v>462</v>
      </c>
      <c r="D3898" s="1989" t="s">
        <v>8735</v>
      </c>
      <c r="E3898" s="1989">
        <v>12.26</v>
      </c>
      <c r="F3898" s="1546">
        <f t="shared" si="59"/>
        <v>996.99840240000003</v>
      </c>
      <c r="G3898" s="1547"/>
      <c r="H3898" s="8"/>
      <c r="I3898" s="8"/>
      <c r="J3898" s="8"/>
      <c r="K3898" s="8"/>
      <c r="L3898" s="8"/>
      <c r="M3898" s="8"/>
      <c r="N3898" s="8"/>
      <c r="O3898" s="8"/>
      <c r="P3898" s="8"/>
      <c r="Q3898" s="8"/>
      <c r="R3898" s="8"/>
      <c r="S3898" s="8"/>
      <c r="T3898" s="8"/>
      <c r="U3898" s="8"/>
      <c r="V3898" s="8"/>
      <c r="W3898" s="8"/>
      <c r="X3898" s="771"/>
      <c r="Y3898" s="771"/>
      <c r="Z3898" s="771"/>
      <c r="AA3898" s="771"/>
      <c r="AB3898" s="771"/>
      <c r="AC3898" s="771"/>
      <c r="AD3898" s="771"/>
      <c r="AE3898" s="771"/>
      <c r="AF3898" s="771"/>
      <c r="AG3898" s="771"/>
      <c r="AH3898" s="771"/>
      <c r="AI3898" s="771"/>
      <c r="AJ3898" s="771"/>
      <c r="AK3898" s="771"/>
      <c r="AL3898" s="771"/>
      <c r="AM3898" s="771"/>
      <c r="AN3898" s="771"/>
      <c r="AO3898" s="771"/>
      <c r="AP3898" s="771"/>
      <c r="AQ3898" s="771"/>
      <c r="AR3898" s="771"/>
      <c r="AS3898" s="771"/>
      <c r="AT3898" s="771"/>
      <c r="AU3898" s="771"/>
    </row>
    <row r="3899" spans="1:47" s="15" customFormat="1" outlineLevel="1" x14ac:dyDescent="0.2">
      <c r="A3899" s="8"/>
      <c r="B3899" s="8"/>
      <c r="C3899" s="1989" t="s">
        <v>7016</v>
      </c>
      <c r="D3899" s="1989" t="s">
        <v>7017</v>
      </c>
      <c r="E3899" s="1989">
        <v>7.08</v>
      </c>
      <c r="F3899" s="1546">
        <f t="shared" si="59"/>
        <v>575.75437920000002</v>
      </c>
      <c r="G3899" s="1547"/>
      <c r="H3899" s="8"/>
      <c r="I3899" s="8"/>
      <c r="J3899" s="8"/>
      <c r="K3899" s="8"/>
      <c r="L3899" s="8"/>
      <c r="M3899" s="8"/>
      <c r="N3899" s="8"/>
      <c r="O3899" s="8"/>
      <c r="P3899" s="8"/>
      <c r="Q3899" s="8"/>
      <c r="R3899" s="8"/>
      <c r="S3899" s="8"/>
      <c r="T3899" s="8"/>
      <c r="U3899" s="8"/>
      <c r="V3899" s="8"/>
      <c r="W3899" s="8"/>
      <c r="X3899" s="771"/>
      <c r="Y3899" s="771"/>
      <c r="Z3899" s="771"/>
      <c r="AA3899" s="771"/>
      <c r="AB3899" s="771"/>
      <c r="AC3899" s="771"/>
      <c r="AD3899" s="771"/>
      <c r="AE3899" s="771"/>
      <c r="AF3899" s="771"/>
      <c r="AG3899" s="771"/>
      <c r="AH3899" s="771"/>
      <c r="AI3899" s="771"/>
      <c r="AJ3899" s="771"/>
      <c r="AK3899" s="771"/>
      <c r="AL3899" s="771"/>
      <c r="AM3899" s="771"/>
      <c r="AN3899" s="771"/>
      <c r="AO3899" s="771"/>
      <c r="AP3899" s="771"/>
      <c r="AQ3899" s="771"/>
      <c r="AR3899" s="771"/>
      <c r="AS3899" s="771"/>
      <c r="AT3899" s="771"/>
      <c r="AU3899" s="771"/>
    </row>
    <row r="3900" spans="1:47" s="15" customFormat="1" outlineLevel="1" x14ac:dyDescent="0.2">
      <c r="A3900" s="8"/>
      <c r="B3900" s="8"/>
      <c r="C3900" s="1989" t="s">
        <v>7026</v>
      </c>
      <c r="D3900" s="1989" t="s">
        <v>8736</v>
      </c>
      <c r="E3900" s="1989">
        <v>0</v>
      </c>
      <c r="F3900" s="1546">
        <f t="shared" si="59"/>
        <v>0</v>
      </c>
      <c r="G3900" s="1547"/>
      <c r="H3900" s="8"/>
      <c r="I3900" s="8"/>
      <c r="J3900" s="8"/>
      <c r="K3900" s="8"/>
      <c r="L3900" s="8"/>
      <c r="M3900" s="8"/>
      <c r="N3900" s="8"/>
      <c r="O3900" s="8"/>
      <c r="P3900" s="8"/>
      <c r="Q3900" s="8"/>
      <c r="R3900" s="8"/>
      <c r="S3900" s="8"/>
      <c r="T3900" s="8"/>
      <c r="U3900" s="8"/>
      <c r="V3900" s="8"/>
      <c r="W3900" s="8"/>
      <c r="X3900" s="771"/>
      <c r="Y3900" s="771"/>
      <c r="Z3900" s="771"/>
      <c r="AA3900" s="771"/>
      <c r="AB3900" s="771"/>
      <c r="AC3900" s="771"/>
      <c r="AD3900" s="771"/>
      <c r="AE3900" s="771"/>
      <c r="AF3900" s="771"/>
      <c r="AG3900" s="771"/>
      <c r="AH3900" s="771"/>
      <c r="AI3900" s="771"/>
      <c r="AJ3900" s="771"/>
      <c r="AK3900" s="771"/>
      <c r="AL3900" s="771"/>
      <c r="AM3900" s="771"/>
      <c r="AN3900" s="771"/>
      <c r="AO3900" s="771"/>
      <c r="AP3900" s="771"/>
      <c r="AQ3900" s="771"/>
      <c r="AR3900" s="771"/>
      <c r="AS3900" s="771"/>
      <c r="AT3900" s="771"/>
      <c r="AU3900" s="771"/>
    </row>
    <row r="3901" spans="1:47" s="15" customFormat="1" outlineLevel="1" x14ac:dyDescent="0.2">
      <c r="A3901" s="8"/>
      <c r="B3901" s="8"/>
      <c r="C3901" s="1989" t="s">
        <v>7027</v>
      </c>
      <c r="D3901" s="1989" t="s">
        <v>8737</v>
      </c>
      <c r="E3901" s="1989">
        <v>0</v>
      </c>
      <c r="F3901" s="1546">
        <f t="shared" si="59"/>
        <v>0</v>
      </c>
      <c r="G3901" s="1547"/>
      <c r="H3901" s="8"/>
      <c r="I3901" s="8"/>
      <c r="J3901" s="8"/>
      <c r="K3901" s="8"/>
      <c r="L3901" s="8"/>
      <c r="M3901" s="8"/>
      <c r="N3901" s="8"/>
      <c r="O3901" s="8"/>
      <c r="P3901" s="8"/>
      <c r="Q3901" s="8"/>
      <c r="R3901" s="8"/>
      <c r="S3901" s="8"/>
      <c r="T3901" s="8"/>
      <c r="U3901" s="8"/>
      <c r="V3901" s="8"/>
      <c r="W3901" s="8"/>
      <c r="X3901" s="771"/>
      <c r="Y3901" s="771"/>
      <c r="Z3901" s="771"/>
      <c r="AA3901" s="771"/>
      <c r="AB3901" s="771"/>
      <c r="AC3901" s="771"/>
      <c r="AD3901" s="771"/>
      <c r="AE3901" s="771"/>
      <c r="AF3901" s="771"/>
      <c r="AG3901" s="771"/>
      <c r="AH3901" s="771"/>
      <c r="AI3901" s="771"/>
      <c r="AJ3901" s="771"/>
      <c r="AK3901" s="771"/>
      <c r="AL3901" s="771"/>
      <c r="AM3901" s="771"/>
      <c r="AN3901" s="771"/>
      <c r="AO3901" s="771"/>
      <c r="AP3901" s="771"/>
      <c r="AQ3901" s="771"/>
      <c r="AR3901" s="771"/>
      <c r="AS3901" s="771"/>
      <c r="AT3901" s="771"/>
      <c r="AU3901" s="771"/>
    </row>
    <row r="3902" spans="1:47" s="15" customFormat="1" outlineLevel="1" x14ac:dyDescent="0.2">
      <c r="A3902" s="8"/>
      <c r="B3902" s="8"/>
      <c r="C3902" s="1989" t="s">
        <v>7028</v>
      </c>
      <c r="D3902" s="1989" t="s">
        <v>8738</v>
      </c>
      <c r="E3902" s="1989">
        <v>0</v>
      </c>
      <c r="F3902" s="1546">
        <f t="shared" si="59"/>
        <v>0</v>
      </c>
      <c r="G3902" s="1547"/>
      <c r="H3902" s="8"/>
      <c r="I3902" s="8"/>
      <c r="J3902" s="8"/>
      <c r="K3902" s="8"/>
      <c r="L3902" s="8"/>
      <c r="M3902" s="8"/>
      <c r="N3902" s="8"/>
      <c r="O3902" s="8"/>
      <c r="P3902" s="8"/>
      <c r="Q3902" s="8"/>
      <c r="R3902" s="8"/>
      <c r="S3902" s="8"/>
      <c r="T3902" s="8"/>
      <c r="U3902" s="8"/>
      <c r="V3902" s="8"/>
      <c r="W3902" s="8"/>
      <c r="X3902" s="771"/>
      <c r="Y3902" s="771"/>
      <c r="Z3902" s="771"/>
      <c r="AA3902" s="771"/>
      <c r="AB3902" s="771"/>
      <c r="AC3902" s="771"/>
      <c r="AD3902" s="771"/>
      <c r="AE3902" s="771"/>
      <c r="AF3902" s="771"/>
      <c r="AG3902" s="771"/>
      <c r="AH3902" s="771"/>
      <c r="AI3902" s="771"/>
      <c r="AJ3902" s="771"/>
      <c r="AK3902" s="771"/>
      <c r="AL3902" s="771"/>
      <c r="AM3902" s="771"/>
      <c r="AN3902" s="771"/>
      <c r="AO3902" s="771"/>
      <c r="AP3902" s="771"/>
      <c r="AQ3902" s="771"/>
      <c r="AR3902" s="771"/>
      <c r="AS3902" s="771"/>
      <c r="AT3902" s="771"/>
      <c r="AU3902" s="771"/>
    </row>
    <row r="3903" spans="1:47" s="15" customFormat="1" outlineLevel="1" x14ac:dyDescent="0.2">
      <c r="A3903" s="8"/>
      <c r="B3903" s="8"/>
      <c r="C3903" s="1989" t="s">
        <v>7029</v>
      </c>
      <c r="D3903" s="1989" t="s">
        <v>8739</v>
      </c>
      <c r="E3903" s="1989">
        <v>0</v>
      </c>
      <c r="F3903" s="1546">
        <f t="shared" si="59"/>
        <v>0</v>
      </c>
      <c r="G3903" s="1547"/>
      <c r="H3903" s="8"/>
      <c r="I3903" s="8"/>
      <c r="J3903" s="8"/>
      <c r="K3903" s="8"/>
      <c r="L3903" s="8"/>
      <c r="M3903" s="8"/>
      <c r="N3903" s="8"/>
      <c r="O3903" s="8"/>
      <c r="P3903" s="8"/>
      <c r="Q3903" s="8"/>
      <c r="R3903" s="8"/>
      <c r="S3903" s="8"/>
      <c r="T3903" s="8"/>
      <c r="U3903" s="8"/>
      <c r="V3903" s="8"/>
      <c r="W3903" s="8"/>
      <c r="X3903" s="771"/>
      <c r="Y3903" s="771"/>
      <c r="Z3903" s="771"/>
      <c r="AA3903" s="771"/>
      <c r="AB3903" s="771"/>
      <c r="AC3903" s="771"/>
      <c r="AD3903" s="771"/>
      <c r="AE3903" s="771"/>
      <c r="AF3903" s="771"/>
      <c r="AG3903" s="771"/>
      <c r="AH3903" s="771"/>
      <c r="AI3903" s="771"/>
      <c r="AJ3903" s="771"/>
      <c r="AK3903" s="771"/>
      <c r="AL3903" s="771"/>
      <c r="AM3903" s="771"/>
      <c r="AN3903" s="771"/>
      <c r="AO3903" s="771"/>
      <c r="AP3903" s="771"/>
      <c r="AQ3903" s="771"/>
      <c r="AR3903" s="771"/>
      <c r="AS3903" s="771"/>
      <c r="AT3903" s="771"/>
      <c r="AU3903" s="771"/>
    </row>
    <row r="3904" spans="1:47" s="15" customFormat="1" outlineLevel="1" x14ac:dyDescent="0.2">
      <c r="A3904" s="8"/>
      <c r="B3904" s="8"/>
      <c r="C3904" s="1989" t="s">
        <v>7030</v>
      </c>
      <c r="D3904" s="1989" t="s">
        <v>8740</v>
      </c>
      <c r="E3904" s="1989">
        <v>0</v>
      </c>
      <c r="F3904" s="1546">
        <f t="shared" si="59"/>
        <v>0</v>
      </c>
      <c r="G3904" s="1547"/>
      <c r="H3904" s="8"/>
      <c r="I3904" s="8"/>
      <c r="J3904" s="8"/>
      <c r="K3904" s="8"/>
      <c r="L3904" s="8"/>
      <c r="M3904" s="8"/>
      <c r="N3904" s="8"/>
      <c r="O3904" s="8"/>
      <c r="P3904" s="8"/>
      <c r="Q3904" s="8"/>
      <c r="R3904" s="8"/>
      <c r="S3904" s="8"/>
      <c r="T3904" s="8"/>
      <c r="U3904" s="8"/>
      <c r="V3904" s="8"/>
      <c r="W3904" s="8"/>
      <c r="X3904" s="771"/>
      <c r="Y3904" s="771"/>
      <c r="Z3904" s="771"/>
      <c r="AA3904" s="771"/>
      <c r="AB3904" s="771"/>
      <c r="AC3904" s="771"/>
      <c r="AD3904" s="771"/>
      <c r="AE3904" s="771"/>
      <c r="AF3904" s="771"/>
      <c r="AG3904" s="771"/>
      <c r="AH3904" s="771"/>
      <c r="AI3904" s="771"/>
      <c r="AJ3904" s="771"/>
      <c r="AK3904" s="771"/>
      <c r="AL3904" s="771"/>
      <c r="AM3904" s="771"/>
      <c r="AN3904" s="771"/>
      <c r="AO3904" s="771"/>
      <c r="AP3904" s="771"/>
      <c r="AQ3904" s="771"/>
      <c r="AR3904" s="771"/>
      <c r="AS3904" s="771"/>
      <c r="AT3904" s="771"/>
      <c r="AU3904" s="771"/>
    </row>
    <row r="3905" spans="1:47" s="15" customFormat="1" outlineLevel="1" x14ac:dyDescent="0.2">
      <c r="A3905" s="8"/>
      <c r="B3905" s="8"/>
      <c r="C3905" s="1989" t="s">
        <v>7031</v>
      </c>
      <c r="D3905" s="1989" t="s">
        <v>8739</v>
      </c>
      <c r="E3905" s="1989">
        <v>0</v>
      </c>
      <c r="F3905" s="1546">
        <f t="shared" si="59"/>
        <v>0</v>
      </c>
      <c r="G3905" s="1547"/>
      <c r="H3905" s="8"/>
      <c r="I3905" s="8"/>
      <c r="J3905" s="8"/>
      <c r="K3905" s="8"/>
      <c r="L3905" s="8"/>
      <c r="M3905" s="8"/>
      <c r="N3905" s="8"/>
      <c r="O3905" s="8"/>
      <c r="P3905" s="8"/>
      <c r="Q3905" s="8"/>
      <c r="R3905" s="8"/>
      <c r="S3905" s="8"/>
      <c r="T3905" s="8"/>
      <c r="U3905" s="8"/>
      <c r="V3905" s="8"/>
      <c r="W3905" s="8"/>
      <c r="X3905" s="771"/>
      <c r="Y3905" s="771"/>
      <c r="Z3905" s="771"/>
      <c r="AA3905" s="771"/>
      <c r="AB3905" s="771"/>
      <c r="AC3905" s="771"/>
      <c r="AD3905" s="771"/>
      <c r="AE3905" s="771"/>
      <c r="AF3905" s="771"/>
      <c r="AG3905" s="771"/>
      <c r="AH3905" s="771"/>
      <c r="AI3905" s="771"/>
      <c r="AJ3905" s="771"/>
      <c r="AK3905" s="771"/>
      <c r="AL3905" s="771"/>
      <c r="AM3905" s="771"/>
      <c r="AN3905" s="771"/>
      <c r="AO3905" s="771"/>
      <c r="AP3905" s="771"/>
      <c r="AQ3905" s="771"/>
      <c r="AR3905" s="771"/>
      <c r="AS3905" s="771"/>
      <c r="AT3905" s="771"/>
      <c r="AU3905" s="771"/>
    </row>
    <row r="3906" spans="1:47" s="15" customFormat="1" outlineLevel="1" x14ac:dyDescent="0.2">
      <c r="A3906" s="8"/>
      <c r="B3906" s="8"/>
      <c r="C3906" s="1989" t="s">
        <v>7032</v>
      </c>
      <c r="D3906" s="1989" t="s">
        <v>8739</v>
      </c>
      <c r="E3906" s="1989">
        <v>0</v>
      </c>
      <c r="F3906" s="1546">
        <f t="shared" si="59"/>
        <v>0</v>
      </c>
      <c r="G3906" s="1547"/>
      <c r="H3906" s="8"/>
      <c r="I3906" s="8"/>
      <c r="J3906" s="8"/>
      <c r="K3906" s="8"/>
      <c r="L3906" s="8"/>
      <c r="M3906" s="8"/>
      <c r="N3906" s="8"/>
      <c r="O3906" s="8"/>
      <c r="P3906" s="8"/>
      <c r="Q3906" s="8"/>
      <c r="R3906" s="8"/>
      <c r="S3906" s="8"/>
      <c r="T3906" s="8"/>
      <c r="U3906" s="8"/>
      <c r="V3906" s="8"/>
      <c r="W3906" s="8"/>
      <c r="X3906" s="771"/>
      <c r="Y3906" s="771"/>
      <c r="Z3906" s="771"/>
      <c r="AA3906" s="771"/>
      <c r="AB3906" s="771"/>
      <c r="AC3906" s="771"/>
      <c r="AD3906" s="771"/>
      <c r="AE3906" s="771"/>
      <c r="AF3906" s="771"/>
      <c r="AG3906" s="771"/>
      <c r="AH3906" s="771"/>
      <c r="AI3906" s="771"/>
      <c r="AJ3906" s="771"/>
      <c r="AK3906" s="771"/>
      <c r="AL3906" s="771"/>
      <c r="AM3906" s="771"/>
      <c r="AN3906" s="771"/>
      <c r="AO3906" s="771"/>
      <c r="AP3906" s="771"/>
      <c r="AQ3906" s="771"/>
      <c r="AR3906" s="771"/>
      <c r="AS3906" s="771"/>
      <c r="AT3906" s="771"/>
      <c r="AU3906" s="771"/>
    </row>
    <row r="3907" spans="1:47" s="15" customFormat="1" outlineLevel="1" x14ac:dyDescent="0.2">
      <c r="A3907" s="8"/>
      <c r="B3907" s="8"/>
      <c r="C3907" s="1989" t="s">
        <v>7033</v>
      </c>
      <c r="D3907" s="1989" t="s">
        <v>8739</v>
      </c>
      <c r="E3907" s="1989">
        <v>0</v>
      </c>
      <c r="F3907" s="1546">
        <f t="shared" si="59"/>
        <v>0</v>
      </c>
      <c r="G3907" s="1547"/>
      <c r="H3907" s="8"/>
      <c r="I3907" s="8"/>
      <c r="J3907" s="8"/>
      <c r="K3907" s="8"/>
      <c r="L3907" s="8"/>
      <c r="M3907" s="8"/>
      <c r="N3907" s="8"/>
      <c r="O3907" s="8"/>
      <c r="P3907" s="8"/>
      <c r="Q3907" s="8"/>
      <c r="R3907" s="8"/>
      <c r="S3907" s="8"/>
      <c r="T3907" s="8"/>
      <c r="U3907" s="8"/>
      <c r="V3907" s="8"/>
      <c r="W3907" s="8"/>
      <c r="X3907" s="771"/>
      <c r="Y3907" s="771"/>
      <c r="Z3907" s="771"/>
      <c r="AA3907" s="771"/>
      <c r="AB3907" s="771"/>
      <c r="AC3907" s="771"/>
      <c r="AD3907" s="771"/>
      <c r="AE3907" s="771"/>
      <c r="AF3907" s="771"/>
      <c r="AG3907" s="771"/>
      <c r="AH3907" s="771"/>
      <c r="AI3907" s="771"/>
      <c r="AJ3907" s="771"/>
      <c r="AK3907" s="771"/>
      <c r="AL3907" s="771"/>
      <c r="AM3907" s="771"/>
      <c r="AN3907" s="771"/>
      <c r="AO3907" s="771"/>
      <c r="AP3907" s="771"/>
      <c r="AQ3907" s="771"/>
      <c r="AR3907" s="771"/>
      <c r="AS3907" s="771"/>
      <c r="AT3907" s="771"/>
      <c r="AU3907" s="771"/>
    </row>
    <row r="3908" spans="1:47" s="15" customFormat="1" outlineLevel="1" x14ac:dyDescent="0.2">
      <c r="A3908" s="8"/>
      <c r="B3908" s="8"/>
      <c r="C3908" s="1989" t="s">
        <v>8741</v>
      </c>
      <c r="D3908" s="1989" t="s">
        <v>8742</v>
      </c>
      <c r="E3908" s="1989">
        <v>1.3</v>
      </c>
      <c r="F3908" s="1546">
        <f t="shared" si="59"/>
        <v>105.71761200000002</v>
      </c>
      <c r="G3908" s="1547"/>
      <c r="H3908" s="8"/>
      <c r="I3908" s="8"/>
      <c r="J3908" s="8"/>
      <c r="K3908" s="8"/>
      <c r="L3908" s="8"/>
      <c r="M3908" s="8"/>
      <c r="N3908" s="8"/>
      <c r="O3908" s="8"/>
      <c r="P3908" s="8"/>
      <c r="Q3908" s="8"/>
      <c r="R3908" s="8"/>
      <c r="S3908" s="8"/>
      <c r="T3908" s="8"/>
      <c r="U3908" s="8"/>
      <c r="V3908" s="8"/>
      <c r="W3908" s="8"/>
      <c r="X3908" s="771"/>
      <c r="Y3908" s="771"/>
      <c r="Z3908" s="771"/>
      <c r="AA3908" s="771"/>
      <c r="AB3908" s="771"/>
      <c r="AC3908" s="771"/>
      <c r="AD3908" s="771"/>
      <c r="AE3908" s="771"/>
      <c r="AF3908" s="771"/>
      <c r="AG3908" s="771"/>
      <c r="AH3908" s="771"/>
      <c r="AI3908" s="771"/>
      <c r="AJ3908" s="771"/>
      <c r="AK3908" s="771"/>
      <c r="AL3908" s="771"/>
      <c r="AM3908" s="771"/>
      <c r="AN3908" s="771"/>
      <c r="AO3908" s="771"/>
      <c r="AP3908" s="771"/>
      <c r="AQ3908" s="771"/>
      <c r="AR3908" s="771"/>
      <c r="AS3908" s="771"/>
      <c r="AT3908" s="771"/>
      <c r="AU3908" s="771"/>
    </row>
    <row r="3909" spans="1:47" s="15" customFormat="1" outlineLevel="1" x14ac:dyDescent="0.2">
      <c r="A3909" s="8"/>
      <c r="B3909" s="8"/>
      <c r="C3909" s="1989" t="s">
        <v>8743</v>
      </c>
      <c r="D3909" s="1989" t="s">
        <v>8744</v>
      </c>
      <c r="E3909" s="1989">
        <v>1.3</v>
      </c>
      <c r="F3909" s="1546">
        <f t="shared" si="59"/>
        <v>105.71761200000002</v>
      </c>
      <c r="G3909" s="1547"/>
      <c r="H3909" s="8"/>
      <c r="I3909" s="8"/>
      <c r="J3909" s="8"/>
      <c r="K3909" s="8"/>
      <c r="L3909" s="8"/>
      <c r="M3909" s="8"/>
      <c r="N3909" s="8"/>
      <c r="O3909" s="8"/>
      <c r="P3909" s="8"/>
      <c r="Q3909" s="8"/>
      <c r="R3909" s="8"/>
      <c r="S3909" s="8"/>
      <c r="T3909" s="8"/>
      <c r="U3909" s="8"/>
      <c r="V3909" s="8"/>
      <c r="W3909" s="8"/>
      <c r="X3909" s="771"/>
      <c r="Y3909" s="771"/>
      <c r="Z3909" s="771"/>
      <c r="AA3909" s="771"/>
      <c r="AB3909" s="771"/>
      <c r="AC3909" s="771"/>
      <c r="AD3909" s="771"/>
      <c r="AE3909" s="771"/>
      <c r="AF3909" s="771"/>
      <c r="AG3909" s="771"/>
      <c r="AH3909" s="771"/>
      <c r="AI3909" s="771"/>
      <c r="AJ3909" s="771"/>
      <c r="AK3909" s="771"/>
      <c r="AL3909" s="771"/>
      <c r="AM3909" s="771"/>
      <c r="AN3909" s="771"/>
      <c r="AO3909" s="771"/>
      <c r="AP3909" s="771"/>
      <c r="AQ3909" s="771"/>
      <c r="AR3909" s="771"/>
      <c r="AS3909" s="771"/>
      <c r="AT3909" s="771"/>
      <c r="AU3909" s="771"/>
    </row>
    <row r="3910" spans="1:47" s="15" customFormat="1" outlineLevel="1" x14ac:dyDescent="0.2">
      <c r="A3910" s="8"/>
      <c r="B3910" s="8"/>
      <c r="C3910" s="1989" t="s">
        <v>8745</v>
      </c>
      <c r="D3910" s="1989" t="s">
        <v>8746</v>
      </c>
      <c r="E3910" s="1989">
        <v>1.3</v>
      </c>
      <c r="F3910" s="1546">
        <f t="shared" si="59"/>
        <v>105.71761200000002</v>
      </c>
      <c r="G3910" s="1547"/>
      <c r="H3910" s="8"/>
      <c r="I3910" s="8"/>
      <c r="J3910" s="8"/>
      <c r="K3910" s="8"/>
      <c r="L3910" s="8"/>
      <c r="M3910" s="8"/>
      <c r="N3910" s="8"/>
      <c r="O3910" s="8"/>
      <c r="P3910" s="8"/>
      <c r="Q3910" s="8"/>
      <c r="R3910" s="8"/>
      <c r="S3910" s="8"/>
      <c r="T3910" s="8"/>
      <c r="U3910" s="8"/>
      <c r="V3910" s="8"/>
      <c r="W3910" s="8"/>
      <c r="X3910" s="771"/>
      <c r="Y3910" s="771"/>
      <c r="Z3910" s="771"/>
      <c r="AA3910" s="771"/>
      <c r="AB3910" s="771"/>
      <c r="AC3910" s="771"/>
      <c r="AD3910" s="771"/>
      <c r="AE3910" s="771"/>
      <c r="AF3910" s="771"/>
      <c r="AG3910" s="771"/>
      <c r="AH3910" s="771"/>
      <c r="AI3910" s="771"/>
      <c r="AJ3910" s="771"/>
      <c r="AK3910" s="771"/>
      <c r="AL3910" s="771"/>
      <c r="AM3910" s="771"/>
      <c r="AN3910" s="771"/>
      <c r="AO3910" s="771"/>
      <c r="AP3910" s="771"/>
      <c r="AQ3910" s="771"/>
      <c r="AR3910" s="771"/>
      <c r="AS3910" s="771"/>
      <c r="AT3910" s="771"/>
      <c r="AU3910" s="771"/>
    </row>
    <row r="3911" spans="1:47" s="15" customFormat="1" outlineLevel="1" x14ac:dyDescent="0.2">
      <c r="A3911" s="8"/>
      <c r="B3911" s="8"/>
      <c r="C3911" s="1989" t="s">
        <v>8747</v>
      </c>
      <c r="D3911" s="1989" t="s">
        <v>8748</v>
      </c>
      <c r="E3911" s="1989">
        <v>2.4500000000000002</v>
      </c>
      <c r="F3911" s="1546">
        <f t="shared" si="59"/>
        <v>199.23703800000001</v>
      </c>
      <c r="G3911" s="1547"/>
      <c r="H3911" s="8"/>
      <c r="I3911" s="8"/>
      <c r="J3911" s="8"/>
      <c r="K3911" s="8"/>
      <c r="L3911" s="8"/>
      <c r="M3911" s="8"/>
      <c r="N3911" s="8"/>
      <c r="O3911" s="8"/>
      <c r="P3911" s="8"/>
      <c r="Q3911" s="8"/>
      <c r="R3911" s="8"/>
      <c r="S3911" s="8"/>
      <c r="T3911" s="8"/>
      <c r="U3911" s="8"/>
      <c r="V3911" s="8"/>
      <c r="W3911" s="8"/>
      <c r="X3911" s="771"/>
      <c r="Y3911" s="771"/>
      <c r="Z3911" s="771"/>
      <c r="AA3911" s="771"/>
      <c r="AB3911" s="771"/>
      <c r="AC3911" s="771"/>
      <c r="AD3911" s="771"/>
      <c r="AE3911" s="771"/>
      <c r="AF3911" s="771"/>
      <c r="AG3911" s="771"/>
      <c r="AH3911" s="771"/>
      <c r="AI3911" s="771"/>
      <c r="AJ3911" s="771"/>
      <c r="AK3911" s="771"/>
      <c r="AL3911" s="771"/>
      <c r="AM3911" s="771"/>
      <c r="AN3911" s="771"/>
      <c r="AO3911" s="771"/>
      <c r="AP3911" s="771"/>
      <c r="AQ3911" s="771"/>
      <c r="AR3911" s="771"/>
      <c r="AS3911" s="771"/>
      <c r="AT3911" s="771"/>
      <c r="AU3911" s="771"/>
    </row>
    <row r="3912" spans="1:47" s="15" customFormat="1" outlineLevel="1" x14ac:dyDescent="0.2">
      <c r="A3912" s="8"/>
      <c r="B3912" s="8"/>
      <c r="C3912" s="1989" t="s">
        <v>8749</v>
      </c>
      <c r="D3912" s="1989" t="s">
        <v>8750</v>
      </c>
      <c r="E3912" s="1989">
        <v>8.2100000000000009</v>
      </c>
      <c r="F3912" s="1546">
        <f t="shared" si="59"/>
        <v>667.64738040000009</v>
      </c>
      <c r="G3912" s="1547"/>
      <c r="H3912" s="8"/>
      <c r="I3912" s="8"/>
      <c r="J3912" s="8"/>
      <c r="K3912" s="8"/>
      <c r="L3912" s="8"/>
      <c r="M3912" s="8"/>
      <c r="N3912" s="8"/>
      <c r="O3912" s="8"/>
      <c r="P3912" s="8"/>
      <c r="Q3912" s="8"/>
      <c r="R3912" s="8"/>
      <c r="S3912" s="8"/>
      <c r="T3912" s="8"/>
      <c r="U3912" s="8"/>
      <c r="V3912" s="8"/>
      <c r="W3912" s="8"/>
      <c r="X3912" s="771"/>
      <c r="Y3912" s="771"/>
      <c r="Z3912" s="771"/>
      <c r="AA3912" s="771"/>
      <c r="AB3912" s="771"/>
      <c r="AC3912" s="771"/>
      <c r="AD3912" s="771"/>
      <c r="AE3912" s="771"/>
      <c r="AF3912" s="771"/>
      <c r="AG3912" s="771"/>
      <c r="AH3912" s="771"/>
      <c r="AI3912" s="771"/>
      <c r="AJ3912" s="771"/>
      <c r="AK3912" s="771"/>
      <c r="AL3912" s="771"/>
      <c r="AM3912" s="771"/>
      <c r="AN3912" s="771"/>
      <c r="AO3912" s="771"/>
      <c r="AP3912" s="771"/>
      <c r="AQ3912" s="771"/>
      <c r="AR3912" s="771"/>
      <c r="AS3912" s="771"/>
      <c r="AT3912" s="771"/>
      <c r="AU3912" s="771"/>
    </row>
    <row r="3913" spans="1:47" s="15" customFormat="1" outlineLevel="1" x14ac:dyDescent="0.2">
      <c r="A3913" s="8"/>
      <c r="B3913" s="8"/>
      <c r="C3913" s="1989" t="s">
        <v>8751</v>
      </c>
      <c r="D3913" s="1989" t="s">
        <v>8752</v>
      </c>
      <c r="E3913" s="1989">
        <v>1.3</v>
      </c>
      <c r="F3913" s="1546">
        <f t="shared" si="59"/>
        <v>105.71761200000002</v>
      </c>
      <c r="G3913" s="1547"/>
      <c r="H3913" s="8"/>
      <c r="I3913" s="8"/>
      <c r="J3913" s="8"/>
      <c r="K3913" s="8"/>
      <c r="L3913" s="8"/>
      <c r="M3913" s="8"/>
      <c r="N3913" s="8"/>
      <c r="O3913" s="8"/>
      <c r="P3913" s="8"/>
      <c r="Q3913" s="8"/>
      <c r="R3913" s="8"/>
      <c r="S3913" s="8"/>
      <c r="T3913" s="8"/>
      <c r="U3913" s="8"/>
      <c r="V3913" s="8"/>
      <c r="W3913" s="8"/>
      <c r="X3913" s="771"/>
      <c r="Y3913" s="771"/>
      <c r="Z3913" s="771"/>
      <c r="AA3913" s="771"/>
      <c r="AB3913" s="771"/>
      <c r="AC3913" s="771"/>
      <c r="AD3913" s="771"/>
      <c r="AE3913" s="771"/>
      <c r="AF3913" s="771"/>
      <c r="AG3913" s="771"/>
      <c r="AH3913" s="771"/>
      <c r="AI3913" s="771"/>
      <c r="AJ3913" s="771"/>
      <c r="AK3913" s="771"/>
      <c r="AL3913" s="771"/>
      <c r="AM3913" s="771"/>
      <c r="AN3913" s="771"/>
      <c r="AO3913" s="771"/>
      <c r="AP3913" s="771"/>
      <c r="AQ3913" s="771"/>
      <c r="AR3913" s="771"/>
      <c r="AS3913" s="771"/>
      <c r="AT3913" s="771"/>
      <c r="AU3913" s="771"/>
    </row>
    <row r="3914" spans="1:47" s="15" customFormat="1" outlineLevel="1" x14ac:dyDescent="0.2">
      <c r="A3914" s="8"/>
      <c r="B3914" s="8"/>
      <c r="C3914" s="1989" t="s">
        <v>8753</v>
      </c>
      <c r="D3914" s="1989" t="s">
        <v>8754</v>
      </c>
      <c r="E3914" s="1989">
        <v>2.4500000000000002</v>
      </c>
      <c r="F3914" s="1546">
        <f t="shared" si="59"/>
        <v>199.23703800000001</v>
      </c>
      <c r="G3914" s="1547"/>
      <c r="H3914" s="8"/>
      <c r="I3914" s="8"/>
      <c r="J3914" s="8"/>
      <c r="K3914" s="8"/>
      <c r="L3914" s="8"/>
      <c r="M3914" s="8"/>
      <c r="N3914" s="8"/>
      <c r="O3914" s="8"/>
      <c r="P3914" s="8"/>
      <c r="Q3914" s="8"/>
      <c r="R3914" s="8"/>
      <c r="S3914" s="8"/>
      <c r="T3914" s="8"/>
      <c r="U3914" s="8"/>
      <c r="V3914" s="8"/>
      <c r="W3914" s="8"/>
      <c r="X3914" s="771"/>
      <c r="Y3914" s="771"/>
      <c r="Z3914" s="771"/>
      <c r="AA3914" s="771"/>
      <c r="AB3914" s="771"/>
      <c r="AC3914" s="771"/>
      <c r="AD3914" s="771"/>
      <c r="AE3914" s="771"/>
      <c r="AF3914" s="771"/>
      <c r="AG3914" s="771"/>
      <c r="AH3914" s="771"/>
      <c r="AI3914" s="771"/>
      <c r="AJ3914" s="771"/>
      <c r="AK3914" s="771"/>
      <c r="AL3914" s="771"/>
      <c r="AM3914" s="771"/>
      <c r="AN3914" s="771"/>
      <c r="AO3914" s="771"/>
      <c r="AP3914" s="771"/>
      <c r="AQ3914" s="771"/>
      <c r="AR3914" s="771"/>
      <c r="AS3914" s="771"/>
      <c r="AT3914" s="771"/>
      <c r="AU3914" s="771"/>
    </row>
    <row r="3915" spans="1:47" s="15" customFormat="1" outlineLevel="1" x14ac:dyDescent="0.2">
      <c r="A3915" s="8"/>
      <c r="B3915" s="8"/>
      <c r="C3915" s="1989" t="s">
        <v>8755</v>
      </c>
      <c r="D3915" s="1989" t="s">
        <v>8756</v>
      </c>
      <c r="E3915" s="1989">
        <v>1.3</v>
      </c>
      <c r="F3915" s="1546">
        <f t="shared" si="59"/>
        <v>105.71761200000002</v>
      </c>
      <c r="G3915" s="1547"/>
      <c r="H3915" s="8"/>
      <c r="I3915" s="8"/>
      <c r="J3915" s="8"/>
      <c r="K3915" s="8"/>
      <c r="L3915" s="8"/>
      <c r="M3915" s="8"/>
      <c r="N3915" s="8"/>
      <c r="O3915" s="8"/>
      <c r="P3915" s="8"/>
      <c r="Q3915" s="8"/>
      <c r="R3915" s="8"/>
      <c r="S3915" s="8"/>
      <c r="T3915" s="8"/>
      <c r="U3915" s="8"/>
      <c r="V3915" s="8"/>
      <c r="W3915" s="8"/>
      <c r="X3915" s="771"/>
      <c r="Y3915" s="771"/>
      <c r="Z3915" s="771"/>
      <c r="AA3915" s="771"/>
      <c r="AB3915" s="771"/>
      <c r="AC3915" s="771"/>
      <c r="AD3915" s="771"/>
      <c r="AE3915" s="771"/>
      <c r="AF3915" s="771"/>
      <c r="AG3915" s="771"/>
      <c r="AH3915" s="771"/>
      <c r="AI3915" s="771"/>
      <c r="AJ3915" s="771"/>
      <c r="AK3915" s="771"/>
      <c r="AL3915" s="771"/>
      <c r="AM3915" s="771"/>
      <c r="AN3915" s="771"/>
      <c r="AO3915" s="771"/>
      <c r="AP3915" s="771"/>
      <c r="AQ3915" s="771"/>
      <c r="AR3915" s="771"/>
      <c r="AS3915" s="771"/>
      <c r="AT3915" s="771"/>
      <c r="AU3915" s="771"/>
    </row>
    <row r="3916" spans="1:47" s="15" customFormat="1" outlineLevel="1" x14ac:dyDescent="0.2">
      <c r="A3916" s="8"/>
      <c r="B3916" s="8"/>
      <c r="C3916" s="1989" t="s">
        <v>8757</v>
      </c>
      <c r="D3916" s="1989" t="s">
        <v>8758</v>
      </c>
      <c r="E3916" s="1989">
        <v>1.77</v>
      </c>
      <c r="F3916" s="1546">
        <f t="shared" si="59"/>
        <v>143.9385948</v>
      </c>
      <c r="G3916" s="1547"/>
      <c r="H3916" s="8"/>
      <c r="I3916" s="8"/>
      <c r="J3916" s="8"/>
      <c r="K3916" s="8"/>
      <c r="L3916" s="8"/>
      <c r="M3916" s="8"/>
      <c r="N3916" s="8"/>
      <c r="O3916" s="8"/>
      <c r="P3916" s="8"/>
      <c r="Q3916" s="8"/>
      <c r="R3916" s="8"/>
      <c r="S3916" s="8"/>
      <c r="T3916" s="8"/>
      <c r="U3916" s="8"/>
      <c r="V3916" s="8"/>
      <c r="W3916" s="8"/>
      <c r="X3916" s="771"/>
      <c r="Y3916" s="771"/>
      <c r="Z3916" s="771"/>
      <c r="AA3916" s="771"/>
      <c r="AB3916" s="771"/>
      <c r="AC3916" s="771"/>
      <c r="AD3916" s="771"/>
      <c r="AE3916" s="771"/>
      <c r="AF3916" s="771"/>
      <c r="AG3916" s="771"/>
      <c r="AH3916" s="771"/>
      <c r="AI3916" s="771"/>
      <c r="AJ3916" s="771"/>
      <c r="AK3916" s="771"/>
      <c r="AL3916" s="771"/>
      <c r="AM3916" s="771"/>
      <c r="AN3916" s="771"/>
      <c r="AO3916" s="771"/>
      <c r="AP3916" s="771"/>
      <c r="AQ3916" s="771"/>
      <c r="AR3916" s="771"/>
      <c r="AS3916" s="771"/>
      <c r="AT3916" s="771"/>
      <c r="AU3916" s="771"/>
    </row>
    <row r="3917" spans="1:47" s="15" customFormat="1" outlineLevel="1" x14ac:dyDescent="0.2">
      <c r="A3917" s="8"/>
      <c r="B3917" s="8"/>
      <c r="C3917" s="1989" t="s">
        <v>8759</v>
      </c>
      <c r="D3917" s="1989" t="s">
        <v>8760</v>
      </c>
      <c r="E3917" s="1989">
        <v>0.91</v>
      </c>
      <c r="F3917" s="1546">
        <f t="shared" si="59"/>
        <v>74.00232840000001</v>
      </c>
      <c r="G3917" s="1547"/>
      <c r="H3917" s="8"/>
      <c r="I3917" s="8"/>
      <c r="J3917" s="8"/>
      <c r="K3917" s="8"/>
      <c r="L3917" s="8"/>
      <c r="M3917" s="8"/>
      <c r="N3917" s="8"/>
      <c r="O3917" s="8"/>
      <c r="P3917" s="8"/>
      <c r="Q3917" s="8"/>
      <c r="R3917" s="8"/>
      <c r="S3917" s="8"/>
      <c r="T3917" s="8"/>
      <c r="U3917" s="8"/>
      <c r="V3917" s="8"/>
      <c r="W3917" s="8"/>
      <c r="X3917" s="771"/>
      <c r="Y3917" s="771"/>
      <c r="Z3917" s="771"/>
      <c r="AA3917" s="771"/>
      <c r="AB3917" s="771"/>
      <c r="AC3917" s="771"/>
      <c r="AD3917" s="771"/>
      <c r="AE3917" s="771"/>
      <c r="AF3917" s="771"/>
      <c r="AG3917" s="771"/>
      <c r="AH3917" s="771"/>
      <c r="AI3917" s="771"/>
      <c r="AJ3917" s="771"/>
      <c r="AK3917" s="771"/>
      <c r="AL3917" s="771"/>
      <c r="AM3917" s="771"/>
      <c r="AN3917" s="771"/>
      <c r="AO3917" s="771"/>
      <c r="AP3917" s="771"/>
      <c r="AQ3917" s="771"/>
      <c r="AR3917" s="771"/>
      <c r="AS3917" s="771"/>
      <c r="AT3917" s="771"/>
      <c r="AU3917" s="771"/>
    </row>
    <row r="3918" spans="1:47" s="15" customFormat="1" outlineLevel="1" x14ac:dyDescent="0.2">
      <c r="A3918" s="8"/>
      <c r="B3918" s="8"/>
      <c r="C3918" s="1989" t="s">
        <v>8761</v>
      </c>
      <c r="D3918" s="1989" t="s">
        <v>8762</v>
      </c>
      <c r="E3918" s="1989">
        <v>50.07</v>
      </c>
      <c r="F3918" s="1546">
        <f t="shared" si="59"/>
        <v>4071.7544868</v>
      </c>
      <c r="G3918" s="1547"/>
      <c r="H3918" s="8"/>
      <c r="I3918" s="8"/>
      <c r="J3918" s="8"/>
      <c r="K3918" s="8"/>
      <c r="L3918" s="8"/>
      <c r="M3918" s="8"/>
      <c r="N3918" s="8"/>
      <c r="O3918" s="8"/>
      <c r="P3918" s="8"/>
      <c r="Q3918" s="8"/>
      <c r="R3918" s="8"/>
      <c r="S3918" s="8"/>
      <c r="T3918" s="8"/>
      <c r="U3918" s="8"/>
      <c r="V3918" s="8"/>
      <c r="W3918" s="8"/>
      <c r="X3918" s="771"/>
      <c r="Y3918" s="771"/>
      <c r="Z3918" s="771"/>
      <c r="AA3918" s="771"/>
      <c r="AB3918" s="771"/>
      <c r="AC3918" s="771"/>
      <c r="AD3918" s="771"/>
      <c r="AE3918" s="771"/>
      <c r="AF3918" s="771"/>
      <c r="AG3918" s="771"/>
      <c r="AH3918" s="771"/>
      <c r="AI3918" s="771"/>
      <c r="AJ3918" s="771"/>
      <c r="AK3918" s="771"/>
      <c r="AL3918" s="771"/>
      <c r="AM3918" s="771"/>
      <c r="AN3918" s="771"/>
      <c r="AO3918" s="771"/>
      <c r="AP3918" s="771"/>
      <c r="AQ3918" s="771"/>
      <c r="AR3918" s="771"/>
      <c r="AS3918" s="771"/>
      <c r="AT3918" s="771"/>
      <c r="AU3918" s="771"/>
    </row>
    <row r="3919" spans="1:47" s="15" customFormat="1" outlineLevel="1" x14ac:dyDescent="0.2">
      <c r="A3919" s="8"/>
      <c r="B3919" s="8"/>
      <c r="C3919" s="1989" t="s">
        <v>8763</v>
      </c>
      <c r="D3919" s="1989" t="s">
        <v>8764</v>
      </c>
      <c r="E3919" s="1989">
        <v>58.41</v>
      </c>
      <c r="F3919" s="1546">
        <f t="shared" si="59"/>
        <v>4749.9736284000001</v>
      </c>
      <c r="G3919" s="1547"/>
      <c r="H3919" s="8"/>
      <c r="I3919" s="8"/>
      <c r="J3919" s="8"/>
      <c r="K3919" s="8"/>
      <c r="L3919" s="8"/>
      <c r="M3919" s="8"/>
      <c r="N3919" s="8"/>
      <c r="O3919" s="8"/>
      <c r="P3919" s="8"/>
      <c r="Q3919" s="8"/>
      <c r="R3919" s="8"/>
      <c r="S3919" s="8"/>
      <c r="T3919" s="8"/>
      <c r="U3919" s="8"/>
      <c r="V3919" s="8"/>
      <c r="W3919" s="8"/>
      <c r="X3919" s="771"/>
      <c r="Y3919" s="771"/>
      <c r="Z3919" s="771"/>
      <c r="AA3919" s="771"/>
      <c r="AB3919" s="771"/>
      <c r="AC3919" s="771"/>
      <c r="AD3919" s="771"/>
      <c r="AE3919" s="771"/>
      <c r="AF3919" s="771"/>
      <c r="AG3919" s="771"/>
      <c r="AH3919" s="771"/>
      <c r="AI3919" s="771"/>
      <c r="AJ3919" s="771"/>
      <c r="AK3919" s="771"/>
      <c r="AL3919" s="771"/>
      <c r="AM3919" s="771"/>
      <c r="AN3919" s="771"/>
      <c r="AO3919" s="771"/>
      <c r="AP3919" s="771"/>
      <c r="AQ3919" s="771"/>
      <c r="AR3919" s="771"/>
      <c r="AS3919" s="771"/>
      <c r="AT3919" s="771"/>
      <c r="AU3919" s="771"/>
    </row>
    <row r="3920" spans="1:47" s="15" customFormat="1" outlineLevel="1" x14ac:dyDescent="0.2">
      <c r="A3920" s="8"/>
      <c r="B3920" s="8"/>
      <c r="C3920" s="1989" t="s">
        <v>8765</v>
      </c>
      <c r="D3920" s="1989" t="s">
        <v>8766</v>
      </c>
      <c r="E3920" s="1989">
        <v>7.08</v>
      </c>
      <c r="F3920" s="1546">
        <f t="shared" si="59"/>
        <v>575.75437920000002</v>
      </c>
      <c r="G3920" s="1547"/>
      <c r="H3920" s="8"/>
      <c r="I3920" s="8"/>
      <c r="J3920" s="8"/>
      <c r="K3920" s="8"/>
      <c r="L3920" s="8"/>
      <c r="M3920" s="8"/>
      <c r="N3920" s="8"/>
      <c r="O3920" s="8"/>
      <c r="P3920" s="8"/>
      <c r="Q3920" s="8"/>
      <c r="R3920" s="8"/>
      <c r="S3920" s="8"/>
      <c r="T3920" s="8"/>
      <c r="U3920" s="8"/>
      <c r="V3920" s="8"/>
      <c r="W3920" s="8"/>
      <c r="X3920" s="771"/>
      <c r="Y3920" s="771"/>
      <c r="Z3920" s="771"/>
      <c r="AA3920" s="771"/>
      <c r="AB3920" s="771"/>
      <c r="AC3920" s="771"/>
      <c r="AD3920" s="771"/>
      <c r="AE3920" s="771"/>
      <c r="AF3920" s="771"/>
      <c r="AG3920" s="771"/>
      <c r="AH3920" s="771"/>
      <c r="AI3920" s="771"/>
      <c r="AJ3920" s="771"/>
      <c r="AK3920" s="771"/>
      <c r="AL3920" s="771"/>
      <c r="AM3920" s="771"/>
      <c r="AN3920" s="771"/>
      <c r="AO3920" s="771"/>
      <c r="AP3920" s="771"/>
      <c r="AQ3920" s="771"/>
      <c r="AR3920" s="771"/>
      <c r="AS3920" s="771"/>
      <c r="AT3920" s="771"/>
      <c r="AU3920" s="771"/>
    </row>
    <row r="3921" spans="1:47" s="15" customFormat="1" outlineLevel="1" x14ac:dyDescent="0.2">
      <c r="A3921" s="8"/>
      <c r="B3921" s="8"/>
      <c r="C3921" s="1989" t="s">
        <v>8767</v>
      </c>
      <c r="D3921" s="1989" t="s">
        <v>8768</v>
      </c>
      <c r="E3921" s="1989">
        <v>7.08</v>
      </c>
      <c r="F3921" s="1546">
        <f t="shared" si="59"/>
        <v>575.75437920000002</v>
      </c>
      <c r="G3921" s="1547"/>
      <c r="H3921" s="8"/>
      <c r="I3921" s="8"/>
      <c r="J3921" s="8"/>
      <c r="K3921" s="8"/>
      <c r="L3921" s="8"/>
      <c r="M3921" s="8"/>
      <c r="N3921" s="8"/>
      <c r="O3921" s="8"/>
      <c r="P3921" s="8"/>
      <c r="Q3921" s="8"/>
      <c r="R3921" s="8"/>
      <c r="S3921" s="8"/>
      <c r="T3921" s="8"/>
      <c r="U3921" s="8"/>
      <c r="V3921" s="8"/>
      <c r="W3921" s="8"/>
      <c r="X3921" s="771"/>
      <c r="Y3921" s="771"/>
      <c r="Z3921" s="771"/>
      <c r="AA3921" s="771"/>
      <c r="AB3921" s="771"/>
      <c r="AC3921" s="771"/>
      <c r="AD3921" s="771"/>
      <c r="AE3921" s="771"/>
      <c r="AF3921" s="771"/>
      <c r="AG3921" s="771"/>
      <c r="AH3921" s="771"/>
      <c r="AI3921" s="771"/>
      <c r="AJ3921" s="771"/>
      <c r="AK3921" s="771"/>
      <c r="AL3921" s="771"/>
      <c r="AM3921" s="771"/>
      <c r="AN3921" s="771"/>
      <c r="AO3921" s="771"/>
      <c r="AP3921" s="771"/>
      <c r="AQ3921" s="771"/>
      <c r="AR3921" s="771"/>
      <c r="AS3921" s="771"/>
      <c r="AT3921" s="771"/>
      <c r="AU3921" s="771"/>
    </row>
    <row r="3922" spans="1:47" s="15" customFormat="1" outlineLevel="1" x14ac:dyDescent="0.2">
      <c r="A3922" s="8"/>
      <c r="B3922" s="8"/>
      <c r="C3922" s="1989" t="s">
        <v>8769</v>
      </c>
      <c r="D3922" s="1989" t="s">
        <v>8770</v>
      </c>
      <c r="E3922" s="1989">
        <v>0</v>
      </c>
      <c r="F3922" s="1546">
        <f t="shared" si="59"/>
        <v>0</v>
      </c>
      <c r="G3922" s="1547"/>
      <c r="H3922" s="8"/>
      <c r="I3922" s="8"/>
      <c r="J3922" s="8"/>
      <c r="K3922" s="8"/>
      <c r="L3922" s="8"/>
      <c r="M3922" s="8"/>
      <c r="N3922" s="8"/>
      <c r="O3922" s="8"/>
      <c r="P3922" s="8"/>
      <c r="Q3922" s="8"/>
      <c r="R3922" s="8"/>
      <c r="S3922" s="8"/>
      <c r="T3922" s="8"/>
      <c r="U3922" s="8"/>
      <c r="V3922" s="8"/>
      <c r="W3922" s="8"/>
      <c r="X3922" s="771"/>
      <c r="Y3922" s="771"/>
      <c r="Z3922" s="771"/>
      <c r="AA3922" s="771"/>
      <c r="AB3922" s="771"/>
      <c r="AC3922" s="771"/>
      <c r="AD3922" s="771"/>
      <c r="AE3922" s="771"/>
      <c r="AF3922" s="771"/>
      <c r="AG3922" s="771"/>
      <c r="AH3922" s="771"/>
      <c r="AI3922" s="771"/>
      <c r="AJ3922" s="771"/>
      <c r="AK3922" s="771"/>
      <c r="AL3922" s="771"/>
      <c r="AM3922" s="771"/>
      <c r="AN3922" s="771"/>
      <c r="AO3922" s="771"/>
      <c r="AP3922" s="771"/>
      <c r="AQ3922" s="771"/>
      <c r="AR3922" s="771"/>
      <c r="AS3922" s="771"/>
      <c r="AT3922" s="771"/>
      <c r="AU3922" s="771"/>
    </row>
    <row r="3923" spans="1:47" s="15" customFormat="1" outlineLevel="1" x14ac:dyDescent="0.2">
      <c r="A3923" s="8"/>
      <c r="B3923" s="8"/>
      <c r="C3923" s="1989" t="s">
        <v>8771</v>
      </c>
      <c r="D3923" s="1989" t="s">
        <v>8772</v>
      </c>
      <c r="E3923" s="1989">
        <v>7.08</v>
      </c>
      <c r="F3923" s="1546">
        <f t="shared" si="59"/>
        <v>575.75437920000002</v>
      </c>
      <c r="G3923" s="1547"/>
      <c r="H3923" s="8"/>
      <c r="I3923" s="8"/>
      <c r="J3923" s="8"/>
      <c r="K3923" s="8"/>
      <c r="L3923" s="8"/>
      <c r="M3923" s="8"/>
      <c r="N3923" s="8"/>
      <c r="O3923" s="8"/>
      <c r="P3923" s="8"/>
      <c r="Q3923" s="8"/>
      <c r="R3923" s="8"/>
      <c r="S3923" s="8"/>
      <c r="T3923" s="8"/>
      <c r="U3923" s="8"/>
      <c r="V3923" s="8"/>
      <c r="W3923" s="8"/>
      <c r="X3923" s="771"/>
      <c r="Y3923" s="771"/>
      <c r="Z3923" s="771"/>
      <c r="AA3923" s="771"/>
      <c r="AB3923" s="771"/>
      <c r="AC3923" s="771"/>
      <c r="AD3923" s="771"/>
      <c r="AE3923" s="771"/>
      <c r="AF3923" s="771"/>
      <c r="AG3923" s="771"/>
      <c r="AH3923" s="771"/>
      <c r="AI3923" s="771"/>
      <c r="AJ3923" s="771"/>
      <c r="AK3923" s="771"/>
      <c r="AL3923" s="771"/>
      <c r="AM3923" s="771"/>
      <c r="AN3923" s="771"/>
      <c r="AO3923" s="771"/>
      <c r="AP3923" s="771"/>
      <c r="AQ3923" s="771"/>
      <c r="AR3923" s="771"/>
      <c r="AS3923" s="771"/>
      <c r="AT3923" s="771"/>
      <c r="AU3923" s="771"/>
    </row>
    <row r="3924" spans="1:47" s="15" customFormat="1" outlineLevel="1" x14ac:dyDescent="0.2">
      <c r="A3924" s="8"/>
      <c r="B3924" s="8"/>
      <c r="C3924" s="1989" t="s">
        <v>8773</v>
      </c>
      <c r="D3924" s="1989" t="s">
        <v>8774</v>
      </c>
      <c r="E3924" s="1989">
        <v>7.48</v>
      </c>
      <c r="F3924" s="1546">
        <f t="shared" si="59"/>
        <v>608.28287520000015</v>
      </c>
      <c r="G3924" s="1547"/>
      <c r="H3924" s="8"/>
      <c r="I3924" s="8"/>
      <c r="J3924" s="8"/>
      <c r="K3924" s="8"/>
      <c r="L3924" s="8"/>
      <c r="M3924" s="8"/>
      <c r="N3924" s="8"/>
      <c r="O3924" s="8"/>
      <c r="P3924" s="8"/>
      <c r="Q3924" s="8"/>
      <c r="R3924" s="8"/>
      <c r="S3924" s="8"/>
      <c r="T3924" s="8"/>
      <c r="U3924" s="8"/>
      <c r="V3924" s="8"/>
      <c r="W3924" s="8"/>
      <c r="X3924" s="771"/>
      <c r="Y3924" s="771"/>
      <c r="Z3924" s="771"/>
      <c r="AA3924" s="771"/>
      <c r="AB3924" s="771"/>
      <c r="AC3924" s="771"/>
      <c r="AD3924" s="771"/>
      <c r="AE3924" s="771"/>
      <c r="AF3924" s="771"/>
      <c r="AG3924" s="771"/>
      <c r="AH3924" s="771"/>
      <c r="AI3924" s="771"/>
      <c r="AJ3924" s="771"/>
      <c r="AK3924" s="771"/>
      <c r="AL3924" s="771"/>
      <c r="AM3924" s="771"/>
      <c r="AN3924" s="771"/>
      <c r="AO3924" s="771"/>
      <c r="AP3924" s="771"/>
      <c r="AQ3924" s="771"/>
      <c r="AR3924" s="771"/>
      <c r="AS3924" s="771"/>
      <c r="AT3924" s="771"/>
      <c r="AU3924" s="771"/>
    </row>
    <row r="3925" spans="1:47" s="15" customFormat="1" outlineLevel="1" x14ac:dyDescent="0.2">
      <c r="A3925" s="8"/>
      <c r="B3925" s="8"/>
      <c r="C3925" s="1989" t="s">
        <v>8775</v>
      </c>
      <c r="D3925" s="1989" t="s">
        <v>8776</v>
      </c>
      <c r="E3925" s="1989">
        <v>7.08</v>
      </c>
      <c r="F3925" s="1546">
        <f t="shared" si="59"/>
        <v>575.75437920000002</v>
      </c>
      <c r="G3925" s="1547"/>
      <c r="H3925" s="8"/>
      <c r="I3925" s="8"/>
      <c r="J3925" s="8"/>
      <c r="K3925" s="8"/>
      <c r="L3925" s="8"/>
      <c r="M3925" s="8"/>
      <c r="N3925" s="8"/>
      <c r="O3925" s="8"/>
      <c r="P3925" s="8"/>
      <c r="Q3925" s="8"/>
      <c r="R3925" s="8"/>
      <c r="S3925" s="8"/>
      <c r="T3925" s="8"/>
      <c r="U3925" s="8"/>
      <c r="V3925" s="8"/>
      <c r="W3925" s="8"/>
      <c r="X3925" s="771"/>
      <c r="Y3925" s="771"/>
      <c r="Z3925" s="771"/>
      <c r="AA3925" s="771"/>
      <c r="AB3925" s="771"/>
      <c r="AC3925" s="771"/>
      <c r="AD3925" s="771"/>
      <c r="AE3925" s="771"/>
      <c r="AF3925" s="771"/>
      <c r="AG3925" s="771"/>
      <c r="AH3925" s="771"/>
      <c r="AI3925" s="771"/>
      <c r="AJ3925" s="771"/>
      <c r="AK3925" s="771"/>
      <c r="AL3925" s="771"/>
      <c r="AM3925" s="771"/>
      <c r="AN3925" s="771"/>
      <c r="AO3925" s="771"/>
      <c r="AP3925" s="771"/>
      <c r="AQ3925" s="771"/>
      <c r="AR3925" s="771"/>
      <c r="AS3925" s="771"/>
      <c r="AT3925" s="771"/>
      <c r="AU3925" s="771"/>
    </row>
    <row r="3926" spans="1:47" s="15" customFormat="1" outlineLevel="1" x14ac:dyDescent="0.2">
      <c r="A3926" s="8"/>
      <c r="B3926" s="8"/>
      <c r="C3926" s="1989" t="s">
        <v>8777</v>
      </c>
      <c r="D3926" s="1989" t="s">
        <v>8778</v>
      </c>
      <c r="E3926" s="1989">
        <v>7.08</v>
      </c>
      <c r="F3926" s="1546">
        <f t="shared" si="59"/>
        <v>575.75437920000002</v>
      </c>
      <c r="G3926" s="1547"/>
      <c r="H3926" s="8"/>
      <c r="I3926" s="8"/>
      <c r="J3926" s="8"/>
      <c r="K3926" s="8"/>
      <c r="L3926" s="8"/>
      <c r="M3926" s="8"/>
      <c r="N3926" s="8"/>
      <c r="O3926" s="8"/>
      <c r="P3926" s="8"/>
      <c r="Q3926" s="8"/>
      <c r="R3926" s="8"/>
      <c r="S3926" s="8"/>
      <c r="T3926" s="8"/>
      <c r="U3926" s="8"/>
      <c r="V3926" s="8"/>
      <c r="W3926" s="8"/>
      <c r="X3926" s="771"/>
      <c r="Y3926" s="771"/>
      <c r="Z3926" s="771"/>
      <c r="AA3926" s="771"/>
      <c r="AB3926" s="771"/>
      <c r="AC3926" s="771"/>
      <c r="AD3926" s="771"/>
      <c r="AE3926" s="771"/>
      <c r="AF3926" s="771"/>
      <c r="AG3926" s="771"/>
      <c r="AH3926" s="771"/>
      <c r="AI3926" s="771"/>
      <c r="AJ3926" s="771"/>
      <c r="AK3926" s="771"/>
      <c r="AL3926" s="771"/>
      <c r="AM3926" s="771"/>
      <c r="AN3926" s="771"/>
      <c r="AO3926" s="771"/>
      <c r="AP3926" s="771"/>
      <c r="AQ3926" s="771"/>
      <c r="AR3926" s="771"/>
      <c r="AS3926" s="771"/>
      <c r="AT3926" s="771"/>
      <c r="AU3926" s="771"/>
    </row>
    <row r="3927" spans="1:47" s="15" customFormat="1" outlineLevel="1" x14ac:dyDescent="0.2">
      <c r="A3927" s="8"/>
      <c r="B3927" s="8"/>
      <c r="C3927" s="1989" t="s">
        <v>8779</v>
      </c>
      <c r="D3927" s="1989" t="s">
        <v>8780</v>
      </c>
      <c r="E3927" s="1989">
        <v>7.25</v>
      </c>
      <c r="F3927" s="1546">
        <f t="shared" ref="F3927:F3990" si="60">E3927*$G$4*$J$4</f>
        <v>589.57898999999998</v>
      </c>
      <c r="G3927" s="1547"/>
      <c r="H3927" s="8"/>
      <c r="I3927" s="8"/>
      <c r="J3927" s="8"/>
      <c r="K3927" s="8"/>
      <c r="L3927" s="8"/>
      <c r="M3927" s="8"/>
      <c r="N3927" s="8"/>
      <c r="O3927" s="8"/>
      <c r="P3927" s="8"/>
      <c r="Q3927" s="8"/>
      <c r="R3927" s="8"/>
      <c r="S3927" s="8"/>
      <c r="T3927" s="8"/>
      <c r="U3927" s="8"/>
      <c r="V3927" s="8"/>
      <c r="W3927" s="8"/>
      <c r="X3927" s="771"/>
      <c r="Y3927" s="771"/>
      <c r="Z3927" s="771"/>
      <c r="AA3927" s="771"/>
      <c r="AB3927" s="771"/>
      <c r="AC3927" s="771"/>
      <c r="AD3927" s="771"/>
      <c r="AE3927" s="771"/>
      <c r="AF3927" s="771"/>
      <c r="AG3927" s="771"/>
      <c r="AH3927" s="771"/>
      <c r="AI3927" s="771"/>
      <c r="AJ3927" s="771"/>
      <c r="AK3927" s="771"/>
      <c r="AL3927" s="771"/>
      <c r="AM3927" s="771"/>
      <c r="AN3927" s="771"/>
      <c r="AO3927" s="771"/>
      <c r="AP3927" s="771"/>
      <c r="AQ3927" s="771"/>
      <c r="AR3927" s="771"/>
      <c r="AS3927" s="771"/>
      <c r="AT3927" s="771"/>
      <c r="AU3927" s="771"/>
    </row>
    <row r="3928" spans="1:47" s="15" customFormat="1" outlineLevel="1" x14ac:dyDescent="0.2">
      <c r="A3928" s="8"/>
      <c r="B3928" s="8"/>
      <c r="C3928" s="1989" t="s">
        <v>8781</v>
      </c>
      <c r="D3928" s="1989" t="s">
        <v>8782</v>
      </c>
      <c r="E3928" s="1989">
        <v>7.25</v>
      </c>
      <c r="F3928" s="1546">
        <f t="shared" si="60"/>
        <v>589.57898999999998</v>
      </c>
      <c r="G3928" s="1547"/>
      <c r="H3928" s="8"/>
      <c r="I3928" s="8"/>
      <c r="J3928" s="8"/>
      <c r="K3928" s="8"/>
      <c r="L3928" s="8"/>
      <c r="M3928" s="8"/>
      <c r="N3928" s="8"/>
      <c r="O3928" s="8"/>
      <c r="P3928" s="8"/>
      <c r="Q3928" s="8"/>
      <c r="R3928" s="8"/>
      <c r="S3928" s="8"/>
      <c r="T3928" s="8"/>
      <c r="U3928" s="8"/>
      <c r="V3928" s="8"/>
      <c r="W3928" s="8"/>
      <c r="X3928" s="771"/>
      <c r="Y3928" s="771"/>
      <c r="Z3928" s="771"/>
      <c r="AA3928" s="771"/>
      <c r="AB3928" s="771"/>
      <c r="AC3928" s="771"/>
      <c r="AD3928" s="771"/>
      <c r="AE3928" s="771"/>
      <c r="AF3928" s="771"/>
      <c r="AG3928" s="771"/>
      <c r="AH3928" s="771"/>
      <c r="AI3928" s="771"/>
      <c r="AJ3928" s="771"/>
      <c r="AK3928" s="771"/>
      <c r="AL3928" s="771"/>
      <c r="AM3928" s="771"/>
      <c r="AN3928" s="771"/>
      <c r="AO3928" s="771"/>
      <c r="AP3928" s="771"/>
      <c r="AQ3928" s="771"/>
      <c r="AR3928" s="771"/>
      <c r="AS3928" s="771"/>
      <c r="AT3928" s="771"/>
      <c r="AU3928" s="771"/>
    </row>
    <row r="3929" spans="1:47" s="15" customFormat="1" outlineLevel="1" x14ac:dyDescent="0.2">
      <c r="A3929" s="8"/>
      <c r="B3929" s="8"/>
      <c r="C3929" s="1989" t="s">
        <v>8783</v>
      </c>
      <c r="D3929" s="1989" t="s">
        <v>8784</v>
      </c>
      <c r="E3929" s="1989">
        <v>6.48</v>
      </c>
      <c r="F3929" s="1546">
        <f t="shared" si="60"/>
        <v>526.96163520000005</v>
      </c>
      <c r="G3929" s="1547"/>
      <c r="H3929" s="8"/>
      <c r="I3929" s="8"/>
      <c r="J3929" s="8"/>
      <c r="K3929" s="8"/>
      <c r="L3929" s="8"/>
      <c r="M3929" s="8"/>
      <c r="N3929" s="8"/>
      <c r="O3929" s="8"/>
      <c r="P3929" s="8"/>
      <c r="Q3929" s="8"/>
      <c r="R3929" s="8"/>
      <c r="S3929" s="8"/>
      <c r="T3929" s="8"/>
      <c r="U3929" s="8"/>
      <c r="V3929" s="8"/>
      <c r="W3929" s="8"/>
      <c r="X3929" s="771"/>
      <c r="Y3929" s="771"/>
      <c r="Z3929" s="771"/>
      <c r="AA3929" s="771"/>
      <c r="AB3929" s="771"/>
      <c r="AC3929" s="771"/>
      <c r="AD3929" s="771"/>
      <c r="AE3929" s="771"/>
      <c r="AF3929" s="771"/>
      <c r="AG3929" s="771"/>
      <c r="AH3929" s="771"/>
      <c r="AI3929" s="771"/>
      <c r="AJ3929" s="771"/>
      <c r="AK3929" s="771"/>
      <c r="AL3929" s="771"/>
      <c r="AM3929" s="771"/>
      <c r="AN3929" s="771"/>
      <c r="AO3929" s="771"/>
      <c r="AP3929" s="771"/>
      <c r="AQ3929" s="771"/>
      <c r="AR3929" s="771"/>
      <c r="AS3929" s="771"/>
      <c r="AT3929" s="771"/>
      <c r="AU3929" s="771"/>
    </row>
    <row r="3930" spans="1:47" s="15" customFormat="1" outlineLevel="1" x14ac:dyDescent="0.2">
      <c r="A3930" s="8"/>
      <c r="B3930" s="8"/>
      <c r="C3930" s="1989" t="s">
        <v>8785</v>
      </c>
      <c r="D3930" s="1989" t="s">
        <v>8786</v>
      </c>
      <c r="E3930" s="1989">
        <v>6.48</v>
      </c>
      <c r="F3930" s="1546">
        <f t="shared" si="60"/>
        <v>526.96163520000005</v>
      </c>
      <c r="G3930" s="1547"/>
      <c r="H3930" s="8"/>
      <c r="I3930" s="8"/>
      <c r="J3930" s="8"/>
      <c r="K3930" s="8"/>
      <c r="L3930" s="8"/>
      <c r="M3930" s="8"/>
      <c r="N3930" s="8"/>
      <c r="O3930" s="8"/>
      <c r="P3930" s="8"/>
      <c r="Q3930" s="8"/>
      <c r="R3930" s="8"/>
      <c r="S3930" s="8"/>
      <c r="T3930" s="8"/>
      <c r="U3930" s="8"/>
      <c r="V3930" s="8"/>
      <c r="W3930" s="8"/>
      <c r="X3930" s="771"/>
      <c r="Y3930" s="771"/>
      <c r="Z3930" s="771"/>
      <c r="AA3930" s="771"/>
      <c r="AB3930" s="771"/>
      <c r="AC3930" s="771"/>
      <c r="AD3930" s="771"/>
      <c r="AE3930" s="771"/>
      <c r="AF3930" s="771"/>
      <c r="AG3930" s="771"/>
      <c r="AH3930" s="771"/>
      <c r="AI3930" s="771"/>
      <c r="AJ3930" s="771"/>
      <c r="AK3930" s="771"/>
      <c r="AL3930" s="771"/>
      <c r="AM3930" s="771"/>
      <c r="AN3930" s="771"/>
      <c r="AO3930" s="771"/>
      <c r="AP3930" s="771"/>
      <c r="AQ3930" s="771"/>
      <c r="AR3930" s="771"/>
      <c r="AS3930" s="771"/>
      <c r="AT3930" s="771"/>
      <c r="AU3930" s="771"/>
    </row>
    <row r="3931" spans="1:47" s="15" customFormat="1" outlineLevel="1" x14ac:dyDescent="0.2">
      <c r="A3931" s="8"/>
      <c r="B3931" s="8"/>
      <c r="C3931" s="1989" t="s">
        <v>8787</v>
      </c>
      <c r="D3931" s="1989" t="s">
        <v>8788</v>
      </c>
      <c r="E3931" s="1989">
        <v>7.25</v>
      </c>
      <c r="F3931" s="1546">
        <f t="shared" si="60"/>
        <v>589.57898999999998</v>
      </c>
      <c r="G3931" s="1547"/>
      <c r="H3931" s="8"/>
      <c r="I3931" s="8"/>
      <c r="J3931" s="8"/>
      <c r="K3931" s="8"/>
      <c r="L3931" s="8"/>
      <c r="M3931" s="8"/>
      <c r="N3931" s="8"/>
      <c r="O3931" s="8"/>
      <c r="P3931" s="8"/>
      <c r="Q3931" s="8"/>
      <c r="R3931" s="8"/>
      <c r="S3931" s="8"/>
      <c r="T3931" s="8"/>
      <c r="U3931" s="8"/>
      <c r="V3931" s="8"/>
      <c r="W3931" s="8"/>
      <c r="X3931" s="771"/>
      <c r="Y3931" s="771"/>
      <c r="Z3931" s="771"/>
      <c r="AA3931" s="771"/>
      <c r="AB3931" s="771"/>
      <c r="AC3931" s="771"/>
      <c r="AD3931" s="771"/>
      <c r="AE3931" s="771"/>
      <c r="AF3931" s="771"/>
      <c r="AG3931" s="771"/>
      <c r="AH3931" s="771"/>
      <c r="AI3931" s="771"/>
      <c r="AJ3931" s="771"/>
      <c r="AK3931" s="771"/>
      <c r="AL3931" s="771"/>
      <c r="AM3931" s="771"/>
      <c r="AN3931" s="771"/>
      <c r="AO3931" s="771"/>
      <c r="AP3931" s="771"/>
      <c r="AQ3931" s="771"/>
      <c r="AR3931" s="771"/>
      <c r="AS3931" s="771"/>
      <c r="AT3931" s="771"/>
      <c r="AU3931" s="771"/>
    </row>
    <row r="3932" spans="1:47" s="15" customFormat="1" outlineLevel="1" x14ac:dyDescent="0.2">
      <c r="A3932" s="8"/>
      <c r="B3932" s="8"/>
      <c r="C3932" s="1989" t="s">
        <v>8789</v>
      </c>
      <c r="D3932" s="1989" t="s">
        <v>8790</v>
      </c>
      <c r="E3932" s="1989">
        <v>6.48</v>
      </c>
      <c r="F3932" s="1546">
        <f t="shared" si="60"/>
        <v>526.96163520000005</v>
      </c>
      <c r="G3932" s="1547"/>
      <c r="H3932" s="8"/>
      <c r="I3932" s="8"/>
      <c r="J3932" s="8"/>
      <c r="K3932" s="8"/>
      <c r="L3932" s="8"/>
      <c r="M3932" s="8"/>
      <c r="N3932" s="8"/>
      <c r="O3932" s="8"/>
      <c r="P3932" s="8"/>
      <c r="Q3932" s="8"/>
      <c r="R3932" s="8"/>
      <c r="S3932" s="8"/>
      <c r="T3932" s="8"/>
      <c r="U3932" s="8"/>
      <c r="V3932" s="8"/>
      <c r="W3932" s="8"/>
      <c r="X3932" s="771"/>
      <c r="Y3932" s="771"/>
      <c r="Z3932" s="771"/>
      <c r="AA3932" s="771"/>
      <c r="AB3932" s="771"/>
      <c r="AC3932" s="771"/>
      <c r="AD3932" s="771"/>
      <c r="AE3932" s="771"/>
      <c r="AF3932" s="771"/>
      <c r="AG3932" s="771"/>
      <c r="AH3932" s="771"/>
      <c r="AI3932" s="771"/>
      <c r="AJ3932" s="771"/>
      <c r="AK3932" s="771"/>
      <c r="AL3932" s="771"/>
      <c r="AM3932" s="771"/>
      <c r="AN3932" s="771"/>
      <c r="AO3932" s="771"/>
      <c r="AP3932" s="771"/>
      <c r="AQ3932" s="771"/>
      <c r="AR3932" s="771"/>
      <c r="AS3932" s="771"/>
      <c r="AT3932" s="771"/>
      <c r="AU3932" s="771"/>
    </row>
    <row r="3933" spans="1:47" s="15" customFormat="1" outlineLevel="1" x14ac:dyDescent="0.2">
      <c r="A3933" s="8"/>
      <c r="B3933" s="8"/>
      <c r="C3933" s="1989" t="s">
        <v>8791</v>
      </c>
      <c r="D3933" s="1989" t="s">
        <v>8792</v>
      </c>
      <c r="E3933" s="1989">
        <v>364.86</v>
      </c>
      <c r="F3933" s="1546">
        <f t="shared" si="60"/>
        <v>29670.867626400002</v>
      </c>
      <c r="G3933" s="1547"/>
      <c r="H3933" s="8"/>
      <c r="I3933" s="8"/>
      <c r="J3933" s="8"/>
      <c r="K3933" s="8"/>
      <c r="L3933" s="8"/>
      <c r="M3933" s="8"/>
      <c r="N3933" s="8"/>
      <c r="O3933" s="8"/>
      <c r="P3933" s="8"/>
      <c r="Q3933" s="8"/>
      <c r="R3933" s="8"/>
      <c r="S3933" s="8"/>
      <c r="T3933" s="8"/>
      <c r="U3933" s="8"/>
      <c r="V3933" s="8"/>
      <c r="W3933" s="8"/>
      <c r="X3933" s="771"/>
      <c r="Y3933" s="771"/>
      <c r="Z3933" s="771"/>
      <c r="AA3933" s="771"/>
      <c r="AB3933" s="771"/>
      <c r="AC3933" s="771"/>
      <c r="AD3933" s="771"/>
      <c r="AE3933" s="771"/>
      <c r="AF3933" s="771"/>
      <c r="AG3933" s="771"/>
      <c r="AH3933" s="771"/>
      <c r="AI3933" s="771"/>
      <c r="AJ3933" s="771"/>
      <c r="AK3933" s="771"/>
      <c r="AL3933" s="771"/>
      <c r="AM3933" s="771"/>
      <c r="AN3933" s="771"/>
      <c r="AO3933" s="771"/>
      <c r="AP3933" s="771"/>
      <c r="AQ3933" s="771"/>
      <c r="AR3933" s="771"/>
      <c r="AS3933" s="771"/>
      <c r="AT3933" s="771"/>
      <c r="AU3933" s="771"/>
    </row>
    <row r="3934" spans="1:47" s="15" customFormat="1" outlineLevel="1" x14ac:dyDescent="0.2">
      <c r="A3934" s="8"/>
      <c r="B3934" s="8"/>
      <c r="C3934" s="1989" t="s">
        <v>8793</v>
      </c>
      <c r="D3934" s="1989" t="s">
        <v>8794</v>
      </c>
      <c r="E3934" s="1989">
        <v>41.22</v>
      </c>
      <c r="F3934" s="1546">
        <f t="shared" si="60"/>
        <v>3352.0615127999999</v>
      </c>
      <c r="G3934" s="1547"/>
      <c r="H3934" s="8"/>
      <c r="I3934" s="8"/>
      <c r="J3934" s="8"/>
      <c r="K3934" s="8"/>
      <c r="L3934" s="8"/>
      <c r="M3934" s="8"/>
      <c r="N3934" s="8"/>
      <c r="O3934" s="8"/>
      <c r="P3934" s="8"/>
      <c r="Q3934" s="8"/>
      <c r="R3934" s="8"/>
      <c r="S3934" s="8"/>
      <c r="T3934" s="8"/>
      <c r="U3934" s="8"/>
      <c r="V3934" s="8"/>
      <c r="W3934" s="8"/>
      <c r="X3934" s="771"/>
      <c r="Y3934" s="771"/>
      <c r="Z3934" s="771"/>
      <c r="AA3934" s="771"/>
      <c r="AB3934" s="771"/>
      <c r="AC3934" s="771"/>
      <c r="AD3934" s="771"/>
      <c r="AE3934" s="771"/>
      <c r="AF3934" s="771"/>
      <c r="AG3934" s="771"/>
      <c r="AH3934" s="771"/>
      <c r="AI3934" s="771"/>
      <c r="AJ3934" s="771"/>
      <c r="AK3934" s="771"/>
      <c r="AL3934" s="771"/>
      <c r="AM3934" s="771"/>
      <c r="AN3934" s="771"/>
      <c r="AO3934" s="771"/>
      <c r="AP3934" s="771"/>
      <c r="AQ3934" s="771"/>
      <c r="AR3934" s="771"/>
      <c r="AS3934" s="771"/>
      <c r="AT3934" s="771"/>
      <c r="AU3934" s="771"/>
    </row>
    <row r="3935" spans="1:47" s="15" customFormat="1" outlineLevel="1" x14ac:dyDescent="0.2">
      <c r="A3935" s="8"/>
      <c r="B3935" s="8"/>
      <c r="C3935" s="1989" t="s">
        <v>8795</v>
      </c>
      <c r="D3935" s="1989" t="s">
        <v>8796</v>
      </c>
      <c r="E3935" s="1989">
        <v>5.51</v>
      </c>
      <c r="F3935" s="1546">
        <f t="shared" si="60"/>
        <v>448.08003239999999</v>
      </c>
      <c r="G3935" s="1547"/>
      <c r="H3935" s="8"/>
      <c r="I3935" s="8"/>
      <c r="J3935" s="8"/>
      <c r="K3935" s="8"/>
      <c r="L3935" s="8"/>
      <c r="M3935" s="8"/>
      <c r="N3935" s="8"/>
      <c r="O3935" s="8"/>
      <c r="P3935" s="8"/>
      <c r="Q3935" s="8"/>
      <c r="R3935" s="8"/>
      <c r="S3935" s="8"/>
      <c r="T3935" s="8"/>
      <c r="U3935" s="8"/>
      <c r="V3935" s="8"/>
      <c r="W3935" s="8"/>
      <c r="X3935" s="771"/>
      <c r="Y3935" s="771"/>
      <c r="Z3935" s="771"/>
      <c r="AA3935" s="771"/>
      <c r="AB3935" s="771"/>
      <c r="AC3935" s="771"/>
      <c r="AD3935" s="771"/>
      <c r="AE3935" s="771"/>
      <c r="AF3935" s="771"/>
      <c r="AG3935" s="771"/>
      <c r="AH3935" s="771"/>
      <c r="AI3935" s="771"/>
      <c r="AJ3935" s="771"/>
      <c r="AK3935" s="771"/>
      <c r="AL3935" s="771"/>
      <c r="AM3935" s="771"/>
      <c r="AN3935" s="771"/>
      <c r="AO3935" s="771"/>
      <c r="AP3935" s="771"/>
      <c r="AQ3935" s="771"/>
      <c r="AR3935" s="771"/>
      <c r="AS3935" s="771"/>
      <c r="AT3935" s="771"/>
      <c r="AU3935" s="771"/>
    </row>
    <row r="3936" spans="1:47" s="15" customFormat="1" outlineLevel="1" x14ac:dyDescent="0.2">
      <c r="A3936" s="8"/>
      <c r="B3936" s="8"/>
      <c r="C3936" s="1989" t="s">
        <v>8797</v>
      </c>
      <c r="D3936" s="1989" t="s">
        <v>8798</v>
      </c>
      <c r="E3936" s="1989">
        <v>5.45</v>
      </c>
      <c r="F3936" s="1546">
        <f t="shared" si="60"/>
        <v>443.20075800000001</v>
      </c>
      <c r="G3936" s="1547"/>
      <c r="H3936" s="8"/>
      <c r="I3936" s="8"/>
      <c r="J3936" s="8"/>
      <c r="K3936" s="8"/>
      <c r="L3936" s="8"/>
      <c r="M3936" s="8"/>
      <c r="N3936" s="8"/>
      <c r="O3936" s="8"/>
      <c r="P3936" s="8"/>
      <c r="Q3936" s="8"/>
      <c r="R3936" s="8"/>
      <c r="S3936" s="8"/>
      <c r="T3936" s="8"/>
      <c r="U3936" s="8"/>
      <c r="V3936" s="8"/>
      <c r="W3936" s="8"/>
      <c r="X3936" s="771"/>
      <c r="Y3936" s="771"/>
      <c r="Z3936" s="771"/>
      <c r="AA3936" s="771"/>
      <c r="AB3936" s="771"/>
      <c r="AC3936" s="771"/>
      <c r="AD3936" s="771"/>
      <c r="AE3936" s="771"/>
      <c r="AF3936" s="771"/>
      <c r="AG3936" s="771"/>
      <c r="AH3936" s="771"/>
      <c r="AI3936" s="771"/>
      <c r="AJ3936" s="771"/>
      <c r="AK3936" s="771"/>
      <c r="AL3936" s="771"/>
      <c r="AM3936" s="771"/>
      <c r="AN3936" s="771"/>
      <c r="AO3936" s="771"/>
      <c r="AP3936" s="771"/>
      <c r="AQ3936" s="771"/>
      <c r="AR3936" s="771"/>
      <c r="AS3936" s="771"/>
      <c r="AT3936" s="771"/>
      <c r="AU3936" s="771"/>
    </row>
    <row r="3937" spans="1:47" s="15" customFormat="1" outlineLevel="1" x14ac:dyDescent="0.2">
      <c r="A3937" s="8"/>
      <c r="B3937" s="8"/>
      <c r="C3937" s="1989" t="s">
        <v>8799</v>
      </c>
      <c r="D3937" s="1989" t="s">
        <v>8800</v>
      </c>
      <c r="E3937" s="1989">
        <v>5.88</v>
      </c>
      <c r="F3937" s="1546">
        <f t="shared" si="60"/>
        <v>478.16889120000002</v>
      </c>
      <c r="G3937" s="1547"/>
      <c r="H3937" s="8"/>
      <c r="I3937" s="8"/>
      <c r="J3937" s="8"/>
      <c r="K3937" s="8"/>
      <c r="L3937" s="8"/>
      <c r="M3937" s="8"/>
      <c r="N3937" s="8"/>
      <c r="O3937" s="8"/>
      <c r="P3937" s="8"/>
      <c r="Q3937" s="8"/>
      <c r="R3937" s="8"/>
      <c r="S3937" s="8"/>
      <c r="T3937" s="8"/>
      <c r="U3937" s="8"/>
      <c r="V3937" s="8"/>
      <c r="W3937" s="8"/>
      <c r="X3937" s="771"/>
      <c r="Y3937" s="771"/>
      <c r="Z3937" s="771"/>
      <c r="AA3937" s="771"/>
      <c r="AB3937" s="771"/>
      <c r="AC3937" s="771"/>
      <c r="AD3937" s="771"/>
      <c r="AE3937" s="771"/>
      <c r="AF3937" s="771"/>
      <c r="AG3937" s="771"/>
      <c r="AH3937" s="771"/>
      <c r="AI3937" s="771"/>
      <c r="AJ3937" s="771"/>
      <c r="AK3937" s="771"/>
      <c r="AL3937" s="771"/>
      <c r="AM3937" s="771"/>
      <c r="AN3937" s="771"/>
      <c r="AO3937" s="771"/>
      <c r="AP3937" s="771"/>
      <c r="AQ3937" s="771"/>
      <c r="AR3937" s="771"/>
      <c r="AS3937" s="771"/>
      <c r="AT3937" s="771"/>
      <c r="AU3937" s="771"/>
    </row>
    <row r="3938" spans="1:47" s="15" customFormat="1" outlineLevel="1" x14ac:dyDescent="0.2">
      <c r="A3938" s="8"/>
      <c r="B3938" s="8"/>
      <c r="C3938" s="1989" t="s">
        <v>8801</v>
      </c>
      <c r="D3938" s="1989" t="s">
        <v>8802</v>
      </c>
      <c r="E3938" s="1989">
        <v>6.31</v>
      </c>
      <c r="F3938" s="1546">
        <f t="shared" si="60"/>
        <v>513.13702439999997</v>
      </c>
      <c r="G3938" s="1547"/>
      <c r="H3938" s="8"/>
      <c r="I3938" s="8"/>
      <c r="J3938" s="8"/>
      <c r="K3938" s="8"/>
      <c r="L3938" s="8"/>
      <c r="M3938" s="8"/>
      <c r="N3938" s="8"/>
      <c r="O3938" s="8"/>
      <c r="P3938" s="8"/>
      <c r="Q3938" s="8"/>
      <c r="R3938" s="8"/>
      <c r="S3938" s="8"/>
      <c r="T3938" s="8"/>
      <c r="U3938" s="8"/>
      <c r="V3938" s="8"/>
      <c r="W3938" s="8"/>
      <c r="X3938" s="771"/>
      <c r="Y3938" s="771"/>
      <c r="Z3938" s="771"/>
      <c r="AA3938" s="771"/>
      <c r="AB3938" s="771"/>
      <c r="AC3938" s="771"/>
      <c r="AD3938" s="771"/>
      <c r="AE3938" s="771"/>
      <c r="AF3938" s="771"/>
      <c r="AG3938" s="771"/>
      <c r="AH3938" s="771"/>
      <c r="AI3938" s="771"/>
      <c r="AJ3938" s="771"/>
      <c r="AK3938" s="771"/>
      <c r="AL3938" s="771"/>
      <c r="AM3938" s="771"/>
      <c r="AN3938" s="771"/>
      <c r="AO3938" s="771"/>
      <c r="AP3938" s="771"/>
      <c r="AQ3938" s="771"/>
      <c r="AR3938" s="771"/>
      <c r="AS3938" s="771"/>
      <c r="AT3938" s="771"/>
      <c r="AU3938" s="771"/>
    </row>
    <row r="3939" spans="1:47" s="15" customFormat="1" outlineLevel="1" x14ac:dyDescent="0.2">
      <c r="A3939" s="8"/>
      <c r="B3939" s="8"/>
      <c r="C3939" s="1989" t="s">
        <v>8803</v>
      </c>
      <c r="D3939" s="1989" t="s">
        <v>8804</v>
      </c>
      <c r="E3939" s="1989">
        <v>7.4</v>
      </c>
      <c r="F3939" s="1546">
        <f t="shared" si="60"/>
        <v>601.77717600000005</v>
      </c>
      <c r="G3939" s="1547"/>
      <c r="H3939" s="8"/>
      <c r="I3939" s="8"/>
      <c r="J3939" s="8"/>
      <c r="K3939" s="8"/>
      <c r="L3939" s="8"/>
      <c r="M3939" s="8"/>
      <c r="N3939" s="8"/>
      <c r="O3939" s="8"/>
      <c r="P3939" s="8"/>
      <c r="Q3939" s="8"/>
      <c r="R3939" s="8"/>
      <c r="S3939" s="8"/>
      <c r="T3939" s="8"/>
      <c r="U3939" s="8"/>
      <c r="V3939" s="8"/>
      <c r="W3939" s="8"/>
      <c r="X3939" s="771"/>
      <c r="Y3939" s="771"/>
      <c r="Z3939" s="771"/>
      <c r="AA3939" s="771"/>
      <c r="AB3939" s="771"/>
      <c r="AC3939" s="771"/>
      <c r="AD3939" s="771"/>
      <c r="AE3939" s="771"/>
      <c r="AF3939" s="771"/>
      <c r="AG3939" s="771"/>
      <c r="AH3939" s="771"/>
      <c r="AI3939" s="771"/>
      <c r="AJ3939" s="771"/>
      <c r="AK3939" s="771"/>
      <c r="AL3939" s="771"/>
      <c r="AM3939" s="771"/>
      <c r="AN3939" s="771"/>
      <c r="AO3939" s="771"/>
      <c r="AP3939" s="771"/>
      <c r="AQ3939" s="771"/>
      <c r="AR3939" s="771"/>
      <c r="AS3939" s="771"/>
      <c r="AT3939" s="771"/>
      <c r="AU3939" s="771"/>
    </row>
    <row r="3940" spans="1:47" s="15" customFormat="1" outlineLevel="1" x14ac:dyDescent="0.2">
      <c r="A3940" s="8"/>
      <c r="B3940" s="8"/>
      <c r="C3940" s="1989" t="s">
        <v>8805</v>
      </c>
      <c r="D3940" s="1989" t="s">
        <v>8806</v>
      </c>
      <c r="E3940" s="1989">
        <v>7.4</v>
      </c>
      <c r="F3940" s="1546">
        <f t="shared" si="60"/>
        <v>601.77717600000005</v>
      </c>
      <c r="G3940" s="1547"/>
      <c r="H3940" s="8"/>
      <c r="I3940" s="8"/>
      <c r="J3940" s="8"/>
      <c r="K3940" s="8"/>
      <c r="L3940" s="8"/>
      <c r="M3940" s="8"/>
      <c r="N3940" s="8"/>
      <c r="O3940" s="8"/>
      <c r="P3940" s="8"/>
      <c r="Q3940" s="8"/>
      <c r="R3940" s="8"/>
      <c r="S3940" s="8"/>
      <c r="T3940" s="8"/>
      <c r="U3940" s="8"/>
      <c r="V3940" s="8"/>
      <c r="W3940" s="8"/>
      <c r="X3940" s="771"/>
      <c r="Y3940" s="771"/>
      <c r="Z3940" s="771"/>
      <c r="AA3940" s="771"/>
      <c r="AB3940" s="771"/>
      <c r="AC3940" s="771"/>
      <c r="AD3940" s="771"/>
      <c r="AE3940" s="771"/>
      <c r="AF3940" s="771"/>
      <c r="AG3940" s="771"/>
      <c r="AH3940" s="771"/>
      <c r="AI3940" s="771"/>
      <c r="AJ3940" s="771"/>
      <c r="AK3940" s="771"/>
      <c r="AL3940" s="771"/>
      <c r="AM3940" s="771"/>
      <c r="AN3940" s="771"/>
      <c r="AO3940" s="771"/>
      <c r="AP3940" s="771"/>
      <c r="AQ3940" s="771"/>
      <c r="AR3940" s="771"/>
      <c r="AS3940" s="771"/>
      <c r="AT3940" s="771"/>
      <c r="AU3940" s="771"/>
    </row>
    <row r="3941" spans="1:47" s="15" customFormat="1" outlineLevel="1" x14ac:dyDescent="0.2">
      <c r="A3941" s="8"/>
      <c r="B3941" s="8"/>
      <c r="C3941" s="1989" t="s">
        <v>8807</v>
      </c>
      <c r="D3941" s="1989" t="s">
        <v>8808</v>
      </c>
      <c r="E3941" s="1989">
        <v>5.45</v>
      </c>
      <c r="F3941" s="1546">
        <f t="shared" si="60"/>
        <v>443.20075800000001</v>
      </c>
      <c r="G3941" s="1547"/>
      <c r="H3941" s="8"/>
      <c r="I3941" s="8"/>
      <c r="J3941" s="8"/>
      <c r="K3941" s="8"/>
      <c r="L3941" s="8"/>
      <c r="M3941" s="8"/>
      <c r="N3941" s="8"/>
      <c r="O3941" s="8"/>
      <c r="P3941" s="8"/>
      <c r="Q3941" s="8"/>
      <c r="R3941" s="8"/>
      <c r="S3941" s="8"/>
      <c r="T3941" s="8"/>
      <c r="U3941" s="8"/>
      <c r="V3941" s="8"/>
      <c r="W3941" s="8"/>
      <c r="X3941" s="771"/>
      <c r="Y3941" s="771"/>
      <c r="Z3941" s="771"/>
      <c r="AA3941" s="771"/>
      <c r="AB3941" s="771"/>
      <c r="AC3941" s="771"/>
      <c r="AD3941" s="771"/>
      <c r="AE3941" s="771"/>
      <c r="AF3941" s="771"/>
      <c r="AG3941" s="771"/>
      <c r="AH3941" s="771"/>
      <c r="AI3941" s="771"/>
      <c r="AJ3941" s="771"/>
      <c r="AK3941" s="771"/>
      <c r="AL3941" s="771"/>
      <c r="AM3941" s="771"/>
      <c r="AN3941" s="771"/>
      <c r="AO3941" s="771"/>
      <c r="AP3941" s="771"/>
      <c r="AQ3941" s="771"/>
      <c r="AR3941" s="771"/>
      <c r="AS3941" s="771"/>
      <c r="AT3941" s="771"/>
      <c r="AU3941" s="771"/>
    </row>
    <row r="3942" spans="1:47" s="15" customFormat="1" outlineLevel="1" x14ac:dyDescent="0.2">
      <c r="A3942" s="8"/>
      <c r="B3942" s="8"/>
      <c r="C3942" s="1989" t="s">
        <v>8809</v>
      </c>
      <c r="D3942" s="1989" t="s">
        <v>8810</v>
      </c>
      <c r="E3942" s="1989">
        <v>5.45</v>
      </c>
      <c r="F3942" s="1546">
        <f t="shared" si="60"/>
        <v>443.20075800000001</v>
      </c>
      <c r="G3942" s="1547"/>
      <c r="H3942" s="8"/>
      <c r="I3942" s="8"/>
      <c r="J3942" s="8"/>
      <c r="K3942" s="8"/>
      <c r="L3942" s="8"/>
      <c r="M3942" s="8"/>
      <c r="N3942" s="8"/>
      <c r="O3942" s="8"/>
      <c r="P3942" s="8"/>
      <c r="Q3942" s="8"/>
      <c r="R3942" s="8"/>
      <c r="S3942" s="8"/>
      <c r="T3942" s="8"/>
      <c r="U3942" s="8"/>
      <c r="V3942" s="8"/>
      <c r="W3942" s="8"/>
      <c r="X3942" s="771"/>
      <c r="Y3942" s="771"/>
      <c r="Z3942" s="771"/>
      <c r="AA3942" s="771"/>
      <c r="AB3942" s="771"/>
      <c r="AC3942" s="771"/>
      <c r="AD3942" s="771"/>
      <c r="AE3942" s="771"/>
      <c r="AF3942" s="771"/>
      <c r="AG3942" s="771"/>
      <c r="AH3942" s="771"/>
      <c r="AI3942" s="771"/>
      <c r="AJ3942" s="771"/>
      <c r="AK3942" s="771"/>
      <c r="AL3942" s="771"/>
      <c r="AM3942" s="771"/>
      <c r="AN3942" s="771"/>
      <c r="AO3942" s="771"/>
      <c r="AP3942" s="771"/>
      <c r="AQ3942" s="771"/>
      <c r="AR3942" s="771"/>
      <c r="AS3942" s="771"/>
      <c r="AT3942" s="771"/>
      <c r="AU3942" s="771"/>
    </row>
    <row r="3943" spans="1:47" s="15" customFormat="1" outlineLevel="1" x14ac:dyDescent="0.2">
      <c r="A3943" s="8"/>
      <c r="B3943" s="8"/>
      <c r="C3943" s="1989" t="s">
        <v>8811</v>
      </c>
      <c r="D3943" s="1989" t="s">
        <v>8812</v>
      </c>
      <c r="E3943" s="1989">
        <v>5.88</v>
      </c>
      <c r="F3943" s="1546">
        <f t="shared" si="60"/>
        <v>478.16889120000002</v>
      </c>
      <c r="G3943" s="1547"/>
      <c r="H3943" s="8"/>
      <c r="I3943" s="8"/>
      <c r="J3943" s="8"/>
      <c r="K3943" s="8"/>
      <c r="L3943" s="8"/>
      <c r="M3943" s="8"/>
      <c r="N3943" s="8"/>
      <c r="O3943" s="8"/>
      <c r="P3943" s="8"/>
      <c r="Q3943" s="8"/>
      <c r="R3943" s="8"/>
      <c r="S3943" s="8"/>
      <c r="T3943" s="8"/>
      <c r="U3943" s="8"/>
      <c r="V3943" s="8"/>
      <c r="W3943" s="8"/>
      <c r="X3943" s="771"/>
      <c r="Y3943" s="771"/>
      <c r="Z3943" s="771"/>
      <c r="AA3943" s="771"/>
      <c r="AB3943" s="771"/>
      <c r="AC3943" s="771"/>
      <c r="AD3943" s="771"/>
      <c r="AE3943" s="771"/>
      <c r="AF3943" s="771"/>
      <c r="AG3943" s="771"/>
      <c r="AH3943" s="771"/>
      <c r="AI3943" s="771"/>
      <c r="AJ3943" s="771"/>
      <c r="AK3943" s="771"/>
      <c r="AL3943" s="771"/>
      <c r="AM3943" s="771"/>
      <c r="AN3943" s="771"/>
      <c r="AO3943" s="771"/>
      <c r="AP3943" s="771"/>
      <c r="AQ3943" s="771"/>
      <c r="AR3943" s="771"/>
      <c r="AS3943" s="771"/>
      <c r="AT3943" s="771"/>
      <c r="AU3943" s="771"/>
    </row>
    <row r="3944" spans="1:47" s="15" customFormat="1" outlineLevel="1" x14ac:dyDescent="0.2">
      <c r="A3944" s="8"/>
      <c r="B3944" s="8"/>
      <c r="C3944" s="1989" t="s">
        <v>8813</v>
      </c>
      <c r="D3944" s="1989" t="s">
        <v>8814</v>
      </c>
      <c r="E3944" s="1989">
        <v>6.31</v>
      </c>
      <c r="F3944" s="1546">
        <f t="shared" si="60"/>
        <v>513.13702439999997</v>
      </c>
      <c r="G3944" s="1547"/>
      <c r="H3944" s="8"/>
      <c r="I3944" s="8"/>
      <c r="J3944" s="8"/>
      <c r="K3944" s="8"/>
      <c r="L3944" s="8"/>
      <c r="M3944" s="8"/>
      <c r="N3944" s="8"/>
      <c r="O3944" s="8"/>
      <c r="P3944" s="8"/>
      <c r="Q3944" s="8"/>
      <c r="R3944" s="8"/>
      <c r="S3944" s="8"/>
      <c r="T3944" s="8"/>
      <c r="U3944" s="8"/>
      <c r="V3944" s="8"/>
      <c r="W3944" s="8"/>
      <c r="X3944" s="771"/>
      <c r="Y3944" s="771"/>
      <c r="Z3944" s="771"/>
      <c r="AA3944" s="771"/>
      <c r="AB3944" s="771"/>
      <c r="AC3944" s="771"/>
      <c r="AD3944" s="771"/>
      <c r="AE3944" s="771"/>
      <c r="AF3944" s="771"/>
      <c r="AG3944" s="771"/>
      <c r="AH3944" s="771"/>
      <c r="AI3944" s="771"/>
      <c r="AJ3944" s="771"/>
      <c r="AK3944" s="771"/>
      <c r="AL3944" s="771"/>
      <c r="AM3944" s="771"/>
      <c r="AN3944" s="771"/>
      <c r="AO3944" s="771"/>
      <c r="AP3944" s="771"/>
      <c r="AQ3944" s="771"/>
      <c r="AR3944" s="771"/>
      <c r="AS3944" s="771"/>
      <c r="AT3944" s="771"/>
      <c r="AU3944" s="771"/>
    </row>
    <row r="3945" spans="1:47" s="15" customFormat="1" outlineLevel="1" x14ac:dyDescent="0.2">
      <c r="A3945" s="8"/>
      <c r="B3945" s="8"/>
      <c r="C3945" s="1989" t="s">
        <v>8815</v>
      </c>
      <c r="D3945" s="1989" t="s">
        <v>8816</v>
      </c>
      <c r="E3945" s="1989">
        <v>7.4</v>
      </c>
      <c r="F3945" s="1546">
        <f t="shared" si="60"/>
        <v>601.77717600000005</v>
      </c>
      <c r="G3945" s="1547"/>
      <c r="H3945" s="8"/>
      <c r="I3945" s="8"/>
      <c r="J3945" s="8"/>
      <c r="K3945" s="8"/>
      <c r="L3945" s="8"/>
      <c r="M3945" s="8"/>
      <c r="N3945" s="8"/>
      <c r="O3945" s="8"/>
      <c r="P3945" s="8"/>
      <c r="Q3945" s="8"/>
      <c r="R3945" s="8"/>
      <c r="S3945" s="8"/>
      <c r="T3945" s="8"/>
      <c r="U3945" s="8"/>
      <c r="V3945" s="8"/>
      <c r="W3945" s="8"/>
      <c r="X3945" s="771"/>
      <c r="Y3945" s="771"/>
      <c r="Z3945" s="771"/>
      <c r="AA3945" s="771"/>
      <c r="AB3945" s="771"/>
      <c r="AC3945" s="771"/>
      <c r="AD3945" s="771"/>
      <c r="AE3945" s="771"/>
      <c r="AF3945" s="771"/>
      <c r="AG3945" s="771"/>
      <c r="AH3945" s="771"/>
      <c r="AI3945" s="771"/>
      <c r="AJ3945" s="771"/>
      <c r="AK3945" s="771"/>
      <c r="AL3945" s="771"/>
      <c r="AM3945" s="771"/>
      <c r="AN3945" s="771"/>
      <c r="AO3945" s="771"/>
      <c r="AP3945" s="771"/>
      <c r="AQ3945" s="771"/>
      <c r="AR3945" s="771"/>
      <c r="AS3945" s="771"/>
      <c r="AT3945" s="771"/>
      <c r="AU3945" s="771"/>
    </row>
    <row r="3946" spans="1:47" s="15" customFormat="1" outlineLevel="1" x14ac:dyDescent="0.2">
      <c r="A3946" s="8"/>
      <c r="B3946" s="8"/>
      <c r="C3946" s="1989" t="s">
        <v>8817</v>
      </c>
      <c r="D3946" s="1989" t="s">
        <v>8818</v>
      </c>
      <c r="E3946" s="1989">
        <v>7.4</v>
      </c>
      <c r="F3946" s="1546">
        <f t="shared" si="60"/>
        <v>601.77717600000005</v>
      </c>
      <c r="G3946" s="1547"/>
      <c r="H3946" s="8"/>
      <c r="I3946" s="8"/>
      <c r="J3946" s="8"/>
      <c r="K3946" s="8"/>
      <c r="L3946" s="8"/>
      <c r="M3946" s="8"/>
      <c r="N3946" s="8"/>
      <c r="O3946" s="8"/>
      <c r="P3946" s="8"/>
      <c r="Q3946" s="8"/>
      <c r="R3946" s="8"/>
      <c r="S3946" s="8"/>
      <c r="T3946" s="8"/>
      <c r="U3946" s="8"/>
      <c r="V3946" s="8"/>
      <c r="W3946" s="8"/>
      <c r="X3946" s="771"/>
      <c r="Y3946" s="771"/>
      <c r="Z3946" s="771"/>
      <c r="AA3946" s="771"/>
      <c r="AB3946" s="771"/>
      <c r="AC3946" s="771"/>
      <c r="AD3946" s="771"/>
      <c r="AE3946" s="771"/>
      <c r="AF3946" s="771"/>
      <c r="AG3946" s="771"/>
      <c r="AH3946" s="771"/>
      <c r="AI3946" s="771"/>
      <c r="AJ3946" s="771"/>
      <c r="AK3946" s="771"/>
      <c r="AL3946" s="771"/>
      <c r="AM3946" s="771"/>
      <c r="AN3946" s="771"/>
      <c r="AO3946" s="771"/>
      <c r="AP3946" s="771"/>
      <c r="AQ3946" s="771"/>
      <c r="AR3946" s="771"/>
      <c r="AS3946" s="771"/>
      <c r="AT3946" s="771"/>
      <c r="AU3946" s="771"/>
    </row>
    <row r="3947" spans="1:47" s="15" customFormat="1" outlineLevel="1" x14ac:dyDescent="0.2">
      <c r="A3947" s="8"/>
      <c r="B3947" s="8"/>
      <c r="C3947" s="1989" t="s">
        <v>8819</v>
      </c>
      <c r="D3947" s="1989" t="s">
        <v>8820</v>
      </c>
      <c r="E3947" s="1989">
        <v>12.51</v>
      </c>
      <c r="F3947" s="1546">
        <f t="shared" si="60"/>
        <v>1017.3287124</v>
      </c>
      <c r="G3947" s="1547"/>
      <c r="H3947" s="8"/>
      <c r="I3947" s="8"/>
      <c r="J3947" s="8"/>
      <c r="K3947" s="8"/>
      <c r="L3947" s="8"/>
      <c r="M3947" s="8"/>
      <c r="N3947" s="8"/>
      <c r="O3947" s="8"/>
      <c r="P3947" s="8"/>
      <c r="Q3947" s="8"/>
      <c r="R3947" s="8"/>
      <c r="S3947" s="8"/>
      <c r="T3947" s="8"/>
      <c r="U3947" s="8"/>
      <c r="V3947" s="8"/>
      <c r="W3947" s="8"/>
      <c r="X3947" s="771"/>
      <c r="Y3947" s="771"/>
      <c r="Z3947" s="771"/>
      <c r="AA3947" s="771"/>
      <c r="AB3947" s="771"/>
      <c r="AC3947" s="771"/>
      <c r="AD3947" s="771"/>
      <c r="AE3947" s="771"/>
      <c r="AF3947" s="771"/>
      <c r="AG3947" s="771"/>
      <c r="AH3947" s="771"/>
      <c r="AI3947" s="771"/>
      <c r="AJ3947" s="771"/>
      <c r="AK3947" s="771"/>
      <c r="AL3947" s="771"/>
      <c r="AM3947" s="771"/>
      <c r="AN3947" s="771"/>
      <c r="AO3947" s="771"/>
      <c r="AP3947" s="771"/>
      <c r="AQ3947" s="771"/>
      <c r="AR3947" s="771"/>
      <c r="AS3947" s="771"/>
      <c r="AT3947" s="771"/>
      <c r="AU3947" s="771"/>
    </row>
    <row r="3948" spans="1:47" s="15" customFormat="1" outlineLevel="1" x14ac:dyDescent="0.2">
      <c r="A3948" s="8"/>
      <c r="B3948" s="8"/>
      <c r="C3948" s="1989" t="s">
        <v>8821</v>
      </c>
      <c r="D3948" s="1989" t="s">
        <v>8822</v>
      </c>
      <c r="E3948" s="1989">
        <v>15.64</v>
      </c>
      <c r="F3948" s="1546">
        <f t="shared" si="60"/>
        <v>1271.8641936000001</v>
      </c>
      <c r="G3948" s="1547"/>
      <c r="H3948" s="8"/>
      <c r="I3948" s="8"/>
      <c r="J3948" s="8"/>
      <c r="K3948" s="8"/>
      <c r="L3948" s="8"/>
      <c r="M3948" s="8"/>
      <c r="N3948" s="8"/>
      <c r="O3948" s="8"/>
      <c r="P3948" s="8"/>
      <c r="Q3948" s="8"/>
      <c r="R3948" s="8"/>
      <c r="S3948" s="8"/>
      <c r="T3948" s="8"/>
      <c r="U3948" s="8"/>
      <c r="V3948" s="8"/>
      <c r="W3948" s="8"/>
      <c r="X3948" s="771"/>
      <c r="Y3948" s="771"/>
      <c r="Z3948" s="771"/>
      <c r="AA3948" s="771"/>
      <c r="AB3948" s="771"/>
      <c r="AC3948" s="771"/>
      <c r="AD3948" s="771"/>
      <c r="AE3948" s="771"/>
      <c r="AF3948" s="771"/>
      <c r="AG3948" s="771"/>
      <c r="AH3948" s="771"/>
      <c r="AI3948" s="771"/>
      <c r="AJ3948" s="771"/>
      <c r="AK3948" s="771"/>
      <c r="AL3948" s="771"/>
      <c r="AM3948" s="771"/>
      <c r="AN3948" s="771"/>
      <c r="AO3948" s="771"/>
      <c r="AP3948" s="771"/>
      <c r="AQ3948" s="771"/>
      <c r="AR3948" s="771"/>
      <c r="AS3948" s="771"/>
      <c r="AT3948" s="771"/>
      <c r="AU3948" s="771"/>
    </row>
    <row r="3949" spans="1:47" s="15" customFormat="1" outlineLevel="1" x14ac:dyDescent="0.2">
      <c r="A3949" s="8"/>
      <c r="B3949" s="8"/>
      <c r="C3949" s="1989" t="s">
        <v>8823</v>
      </c>
      <c r="D3949" s="1989" t="s">
        <v>8824</v>
      </c>
      <c r="E3949" s="1989">
        <v>15.64</v>
      </c>
      <c r="F3949" s="1546">
        <f t="shared" si="60"/>
        <v>1271.8641936000001</v>
      </c>
      <c r="G3949" s="1547"/>
      <c r="H3949" s="8"/>
      <c r="I3949" s="8"/>
      <c r="J3949" s="8"/>
      <c r="K3949" s="8"/>
      <c r="L3949" s="8"/>
      <c r="M3949" s="8"/>
      <c r="N3949" s="8"/>
      <c r="O3949" s="8"/>
      <c r="P3949" s="8"/>
      <c r="Q3949" s="8"/>
      <c r="R3949" s="8"/>
      <c r="S3949" s="8"/>
      <c r="T3949" s="8"/>
      <c r="U3949" s="8"/>
      <c r="V3949" s="8"/>
      <c r="W3949" s="8"/>
      <c r="X3949" s="771"/>
      <c r="Y3949" s="771"/>
      <c r="Z3949" s="771"/>
      <c r="AA3949" s="771"/>
      <c r="AB3949" s="771"/>
      <c r="AC3949" s="771"/>
      <c r="AD3949" s="771"/>
      <c r="AE3949" s="771"/>
      <c r="AF3949" s="771"/>
      <c r="AG3949" s="771"/>
      <c r="AH3949" s="771"/>
      <c r="AI3949" s="771"/>
      <c r="AJ3949" s="771"/>
      <c r="AK3949" s="771"/>
      <c r="AL3949" s="771"/>
      <c r="AM3949" s="771"/>
      <c r="AN3949" s="771"/>
      <c r="AO3949" s="771"/>
      <c r="AP3949" s="771"/>
      <c r="AQ3949" s="771"/>
      <c r="AR3949" s="771"/>
      <c r="AS3949" s="771"/>
      <c r="AT3949" s="771"/>
      <c r="AU3949" s="771"/>
    </row>
    <row r="3950" spans="1:47" s="15" customFormat="1" outlineLevel="1" x14ac:dyDescent="0.2">
      <c r="A3950" s="8"/>
      <c r="B3950" s="8"/>
      <c r="C3950" s="1989" t="s">
        <v>8825</v>
      </c>
      <c r="D3950" s="1989" t="s">
        <v>8826</v>
      </c>
      <c r="E3950" s="1989">
        <v>15.64</v>
      </c>
      <c r="F3950" s="1546">
        <f t="shared" si="60"/>
        <v>1271.8641936000001</v>
      </c>
      <c r="G3950" s="1547"/>
      <c r="H3950" s="8"/>
      <c r="I3950" s="8"/>
      <c r="J3950" s="8"/>
      <c r="K3950" s="8"/>
      <c r="L3950" s="8"/>
      <c r="M3950" s="8"/>
      <c r="N3950" s="8"/>
      <c r="O3950" s="8"/>
      <c r="P3950" s="8"/>
      <c r="Q3950" s="8"/>
      <c r="R3950" s="8"/>
      <c r="S3950" s="8"/>
      <c r="T3950" s="8"/>
      <c r="U3950" s="8"/>
      <c r="V3950" s="8"/>
      <c r="W3950" s="8"/>
      <c r="X3950" s="771"/>
      <c r="Y3950" s="771"/>
      <c r="Z3950" s="771"/>
      <c r="AA3950" s="771"/>
      <c r="AB3950" s="771"/>
      <c r="AC3950" s="771"/>
      <c r="AD3950" s="771"/>
      <c r="AE3950" s="771"/>
      <c r="AF3950" s="771"/>
      <c r="AG3950" s="771"/>
      <c r="AH3950" s="771"/>
      <c r="AI3950" s="771"/>
      <c r="AJ3950" s="771"/>
      <c r="AK3950" s="771"/>
      <c r="AL3950" s="771"/>
      <c r="AM3950" s="771"/>
      <c r="AN3950" s="771"/>
      <c r="AO3950" s="771"/>
      <c r="AP3950" s="771"/>
      <c r="AQ3950" s="771"/>
      <c r="AR3950" s="771"/>
      <c r="AS3950" s="771"/>
      <c r="AT3950" s="771"/>
      <c r="AU3950" s="771"/>
    </row>
    <row r="3951" spans="1:47" s="15" customFormat="1" outlineLevel="1" x14ac:dyDescent="0.2">
      <c r="A3951" s="8"/>
      <c r="B3951" s="8"/>
      <c r="C3951" s="1989" t="s">
        <v>8827</v>
      </c>
      <c r="D3951" s="1989" t="s">
        <v>8828</v>
      </c>
      <c r="E3951" s="1989">
        <v>5.45</v>
      </c>
      <c r="F3951" s="1546">
        <f t="shared" si="60"/>
        <v>443.20075800000001</v>
      </c>
      <c r="G3951" s="1547"/>
      <c r="H3951" s="8"/>
      <c r="I3951" s="8"/>
      <c r="J3951" s="8"/>
      <c r="K3951" s="8"/>
      <c r="L3951" s="8"/>
      <c r="M3951" s="8"/>
      <c r="N3951" s="8"/>
      <c r="O3951" s="8"/>
      <c r="P3951" s="8"/>
      <c r="Q3951" s="8"/>
      <c r="R3951" s="8"/>
      <c r="S3951" s="8"/>
      <c r="T3951" s="8"/>
      <c r="U3951" s="8"/>
      <c r="V3951" s="8"/>
      <c r="W3951" s="8"/>
      <c r="X3951" s="771"/>
      <c r="Y3951" s="771"/>
      <c r="Z3951" s="771"/>
      <c r="AA3951" s="771"/>
      <c r="AB3951" s="771"/>
      <c r="AC3951" s="771"/>
      <c r="AD3951" s="771"/>
      <c r="AE3951" s="771"/>
      <c r="AF3951" s="771"/>
      <c r="AG3951" s="771"/>
      <c r="AH3951" s="771"/>
      <c r="AI3951" s="771"/>
      <c r="AJ3951" s="771"/>
      <c r="AK3951" s="771"/>
      <c r="AL3951" s="771"/>
      <c r="AM3951" s="771"/>
      <c r="AN3951" s="771"/>
      <c r="AO3951" s="771"/>
      <c r="AP3951" s="771"/>
      <c r="AQ3951" s="771"/>
      <c r="AR3951" s="771"/>
      <c r="AS3951" s="771"/>
      <c r="AT3951" s="771"/>
      <c r="AU3951" s="771"/>
    </row>
    <row r="3952" spans="1:47" s="15" customFormat="1" outlineLevel="1" x14ac:dyDescent="0.2">
      <c r="A3952" s="8"/>
      <c r="B3952" s="8"/>
      <c r="C3952" s="1989" t="s">
        <v>8829</v>
      </c>
      <c r="D3952" s="1989" t="s">
        <v>8830</v>
      </c>
      <c r="E3952" s="1989">
        <v>5.88</v>
      </c>
      <c r="F3952" s="1546">
        <f t="shared" si="60"/>
        <v>478.16889120000002</v>
      </c>
      <c r="G3952" s="1547"/>
      <c r="H3952" s="8"/>
      <c r="I3952" s="8"/>
      <c r="J3952" s="8"/>
      <c r="K3952" s="8"/>
      <c r="L3952" s="8"/>
      <c r="M3952" s="8"/>
      <c r="N3952" s="8"/>
      <c r="O3952" s="8"/>
      <c r="P3952" s="8"/>
      <c r="Q3952" s="8"/>
      <c r="R3952" s="8"/>
      <c r="S3952" s="8"/>
      <c r="T3952" s="8"/>
      <c r="U3952" s="8"/>
      <c r="V3952" s="8"/>
      <c r="W3952" s="8"/>
      <c r="X3952" s="771"/>
      <c r="Y3952" s="771"/>
      <c r="Z3952" s="771"/>
      <c r="AA3952" s="771"/>
      <c r="AB3952" s="771"/>
      <c r="AC3952" s="771"/>
      <c r="AD3952" s="771"/>
      <c r="AE3952" s="771"/>
      <c r="AF3952" s="771"/>
      <c r="AG3952" s="771"/>
      <c r="AH3952" s="771"/>
      <c r="AI3952" s="771"/>
      <c r="AJ3952" s="771"/>
      <c r="AK3952" s="771"/>
      <c r="AL3952" s="771"/>
      <c r="AM3952" s="771"/>
      <c r="AN3952" s="771"/>
      <c r="AO3952" s="771"/>
      <c r="AP3952" s="771"/>
      <c r="AQ3952" s="771"/>
      <c r="AR3952" s="771"/>
      <c r="AS3952" s="771"/>
      <c r="AT3952" s="771"/>
      <c r="AU3952" s="771"/>
    </row>
    <row r="3953" spans="1:47" s="15" customFormat="1" outlineLevel="1" x14ac:dyDescent="0.2">
      <c r="A3953" s="8"/>
      <c r="B3953" s="8"/>
      <c r="C3953" s="1989" t="s">
        <v>8831</v>
      </c>
      <c r="D3953" s="1989" t="s">
        <v>8832</v>
      </c>
      <c r="E3953" s="1989">
        <v>5.88</v>
      </c>
      <c r="F3953" s="1546">
        <f t="shared" si="60"/>
        <v>478.16889120000002</v>
      </c>
      <c r="G3953" s="1547"/>
      <c r="H3953" s="8"/>
      <c r="I3953" s="8"/>
      <c r="J3953" s="8"/>
      <c r="K3953" s="8"/>
      <c r="L3953" s="8"/>
      <c r="M3953" s="8"/>
      <c r="N3953" s="8"/>
      <c r="O3953" s="8"/>
      <c r="P3953" s="8"/>
      <c r="Q3953" s="8"/>
      <c r="R3953" s="8"/>
      <c r="S3953" s="8"/>
      <c r="T3953" s="8"/>
      <c r="U3953" s="8"/>
      <c r="V3953" s="8"/>
      <c r="W3953" s="8"/>
      <c r="X3953" s="771"/>
      <c r="Y3953" s="771"/>
      <c r="Z3953" s="771"/>
      <c r="AA3953" s="771"/>
      <c r="AB3953" s="771"/>
      <c r="AC3953" s="771"/>
      <c r="AD3953" s="771"/>
      <c r="AE3953" s="771"/>
      <c r="AF3953" s="771"/>
      <c r="AG3953" s="771"/>
      <c r="AH3953" s="771"/>
      <c r="AI3953" s="771"/>
      <c r="AJ3953" s="771"/>
      <c r="AK3953" s="771"/>
      <c r="AL3953" s="771"/>
      <c r="AM3953" s="771"/>
      <c r="AN3953" s="771"/>
      <c r="AO3953" s="771"/>
      <c r="AP3953" s="771"/>
      <c r="AQ3953" s="771"/>
      <c r="AR3953" s="771"/>
      <c r="AS3953" s="771"/>
      <c r="AT3953" s="771"/>
      <c r="AU3953" s="771"/>
    </row>
    <row r="3954" spans="1:47" s="15" customFormat="1" outlineLevel="1" x14ac:dyDescent="0.2">
      <c r="A3954" s="8"/>
      <c r="B3954" s="8"/>
      <c r="C3954" s="1989" t="s">
        <v>8833</v>
      </c>
      <c r="D3954" s="1989" t="s">
        <v>8834</v>
      </c>
      <c r="E3954" s="1989">
        <v>6.31</v>
      </c>
      <c r="F3954" s="1546">
        <f t="shared" si="60"/>
        <v>513.13702439999997</v>
      </c>
      <c r="G3954" s="1547"/>
      <c r="H3954" s="8"/>
      <c r="I3954" s="8"/>
      <c r="J3954" s="8"/>
      <c r="K3954" s="8"/>
      <c r="L3954" s="8"/>
      <c r="M3954" s="8"/>
      <c r="N3954" s="8"/>
      <c r="O3954" s="8"/>
      <c r="P3954" s="8"/>
      <c r="Q3954" s="8"/>
      <c r="R3954" s="8"/>
      <c r="S3954" s="8"/>
      <c r="T3954" s="8"/>
      <c r="U3954" s="8"/>
      <c r="V3954" s="8"/>
      <c r="W3954" s="8"/>
      <c r="X3954" s="771"/>
      <c r="Y3954" s="771"/>
      <c r="Z3954" s="771"/>
      <c r="AA3954" s="771"/>
      <c r="AB3954" s="771"/>
      <c r="AC3954" s="771"/>
      <c r="AD3954" s="771"/>
      <c r="AE3954" s="771"/>
      <c r="AF3954" s="771"/>
      <c r="AG3954" s="771"/>
      <c r="AH3954" s="771"/>
      <c r="AI3954" s="771"/>
      <c r="AJ3954" s="771"/>
      <c r="AK3954" s="771"/>
      <c r="AL3954" s="771"/>
      <c r="AM3954" s="771"/>
      <c r="AN3954" s="771"/>
      <c r="AO3954" s="771"/>
      <c r="AP3954" s="771"/>
      <c r="AQ3954" s="771"/>
      <c r="AR3954" s="771"/>
      <c r="AS3954" s="771"/>
      <c r="AT3954" s="771"/>
      <c r="AU3954" s="771"/>
    </row>
    <row r="3955" spans="1:47" s="15" customFormat="1" outlineLevel="1" x14ac:dyDescent="0.2">
      <c r="A3955" s="8"/>
      <c r="B3955" s="8"/>
      <c r="C3955" s="1989" t="s">
        <v>8835</v>
      </c>
      <c r="D3955" s="1989" t="s">
        <v>8836</v>
      </c>
      <c r="E3955" s="1989">
        <v>6.31</v>
      </c>
      <c r="F3955" s="1546">
        <f t="shared" si="60"/>
        <v>513.13702439999997</v>
      </c>
      <c r="G3955" s="1547"/>
      <c r="H3955" s="8"/>
      <c r="I3955" s="8"/>
      <c r="J3955" s="8"/>
      <c r="K3955" s="8"/>
      <c r="L3955" s="8"/>
      <c r="M3955" s="8"/>
      <c r="N3955" s="8"/>
      <c r="O3955" s="8"/>
      <c r="P3955" s="8"/>
      <c r="Q3955" s="8"/>
      <c r="R3955" s="8"/>
      <c r="S3955" s="8"/>
      <c r="T3955" s="8"/>
      <c r="U3955" s="8"/>
      <c r="V3955" s="8"/>
      <c r="W3955" s="8"/>
      <c r="X3955" s="771"/>
      <c r="Y3955" s="771"/>
      <c r="Z3955" s="771"/>
      <c r="AA3955" s="771"/>
      <c r="AB3955" s="771"/>
      <c r="AC3955" s="771"/>
      <c r="AD3955" s="771"/>
      <c r="AE3955" s="771"/>
      <c r="AF3955" s="771"/>
      <c r="AG3955" s="771"/>
      <c r="AH3955" s="771"/>
      <c r="AI3955" s="771"/>
      <c r="AJ3955" s="771"/>
      <c r="AK3955" s="771"/>
      <c r="AL3955" s="771"/>
      <c r="AM3955" s="771"/>
      <c r="AN3955" s="771"/>
      <c r="AO3955" s="771"/>
      <c r="AP3955" s="771"/>
      <c r="AQ3955" s="771"/>
      <c r="AR3955" s="771"/>
      <c r="AS3955" s="771"/>
      <c r="AT3955" s="771"/>
      <c r="AU3955" s="771"/>
    </row>
    <row r="3956" spans="1:47" s="15" customFormat="1" outlineLevel="1" x14ac:dyDescent="0.2">
      <c r="A3956" s="8"/>
      <c r="B3956" s="8"/>
      <c r="C3956" s="1989" t="s">
        <v>8837</v>
      </c>
      <c r="D3956" s="1989" t="s">
        <v>8838</v>
      </c>
      <c r="E3956" s="1989">
        <v>7.4</v>
      </c>
      <c r="F3956" s="1546">
        <f t="shared" si="60"/>
        <v>601.77717600000005</v>
      </c>
      <c r="G3956" s="1547"/>
      <c r="H3956" s="8"/>
      <c r="I3956" s="8"/>
      <c r="J3956" s="8"/>
      <c r="K3956" s="8"/>
      <c r="L3956" s="8"/>
      <c r="M3956" s="8"/>
      <c r="N3956" s="8"/>
      <c r="O3956" s="8"/>
      <c r="P3956" s="8"/>
      <c r="Q3956" s="8"/>
      <c r="R3956" s="8"/>
      <c r="S3956" s="8"/>
      <c r="T3956" s="8"/>
      <c r="U3956" s="8"/>
      <c r="V3956" s="8"/>
      <c r="W3956" s="8"/>
      <c r="X3956" s="771"/>
      <c r="Y3956" s="771"/>
      <c r="Z3956" s="771"/>
      <c r="AA3956" s="771"/>
      <c r="AB3956" s="771"/>
      <c r="AC3956" s="771"/>
      <c r="AD3956" s="771"/>
      <c r="AE3956" s="771"/>
      <c r="AF3956" s="771"/>
      <c r="AG3956" s="771"/>
      <c r="AH3956" s="771"/>
      <c r="AI3956" s="771"/>
      <c r="AJ3956" s="771"/>
      <c r="AK3956" s="771"/>
      <c r="AL3956" s="771"/>
      <c r="AM3956" s="771"/>
      <c r="AN3956" s="771"/>
      <c r="AO3956" s="771"/>
      <c r="AP3956" s="771"/>
      <c r="AQ3956" s="771"/>
      <c r="AR3956" s="771"/>
      <c r="AS3956" s="771"/>
      <c r="AT3956" s="771"/>
      <c r="AU3956" s="771"/>
    </row>
    <row r="3957" spans="1:47" s="15" customFormat="1" outlineLevel="1" x14ac:dyDescent="0.2">
      <c r="A3957" s="8"/>
      <c r="B3957" s="8"/>
      <c r="C3957" s="1989" t="s">
        <v>8839</v>
      </c>
      <c r="D3957" s="1989" t="s">
        <v>8840</v>
      </c>
      <c r="E3957" s="1989">
        <v>4.66</v>
      </c>
      <c r="F3957" s="1546">
        <f t="shared" si="60"/>
        <v>378.95697840000003</v>
      </c>
      <c r="G3957" s="1547"/>
      <c r="H3957" s="8"/>
      <c r="I3957" s="8"/>
      <c r="J3957" s="8"/>
      <c r="K3957" s="8"/>
      <c r="L3957" s="8"/>
      <c r="M3957" s="8"/>
      <c r="N3957" s="8"/>
      <c r="O3957" s="8"/>
      <c r="P3957" s="8"/>
      <c r="Q3957" s="8"/>
      <c r="R3957" s="8"/>
      <c r="S3957" s="8"/>
      <c r="T3957" s="8"/>
      <c r="U3957" s="8"/>
      <c r="V3957" s="8"/>
      <c r="W3957" s="8"/>
      <c r="X3957" s="771"/>
      <c r="Y3957" s="771"/>
      <c r="Z3957" s="771"/>
      <c r="AA3957" s="771"/>
      <c r="AB3957" s="771"/>
      <c r="AC3957" s="771"/>
      <c r="AD3957" s="771"/>
      <c r="AE3957" s="771"/>
      <c r="AF3957" s="771"/>
      <c r="AG3957" s="771"/>
      <c r="AH3957" s="771"/>
      <c r="AI3957" s="771"/>
      <c r="AJ3957" s="771"/>
      <c r="AK3957" s="771"/>
      <c r="AL3957" s="771"/>
      <c r="AM3957" s="771"/>
      <c r="AN3957" s="771"/>
      <c r="AO3957" s="771"/>
      <c r="AP3957" s="771"/>
      <c r="AQ3957" s="771"/>
      <c r="AR3957" s="771"/>
      <c r="AS3957" s="771"/>
      <c r="AT3957" s="771"/>
      <c r="AU3957" s="771"/>
    </row>
    <row r="3958" spans="1:47" s="15" customFormat="1" outlineLevel="1" x14ac:dyDescent="0.2">
      <c r="A3958" s="8"/>
      <c r="B3958" s="8"/>
      <c r="C3958" s="1989" t="s">
        <v>8841</v>
      </c>
      <c r="D3958" s="1989" t="s">
        <v>8842</v>
      </c>
      <c r="E3958" s="1989">
        <v>5.45</v>
      </c>
      <c r="F3958" s="1546">
        <f t="shared" si="60"/>
        <v>443.20075800000001</v>
      </c>
      <c r="G3958" s="1547"/>
      <c r="H3958" s="8"/>
      <c r="I3958" s="8"/>
      <c r="J3958" s="8"/>
      <c r="K3958" s="8"/>
      <c r="L3958" s="8"/>
      <c r="M3958" s="8"/>
      <c r="N3958" s="8"/>
      <c r="O3958" s="8"/>
      <c r="P3958" s="8"/>
      <c r="Q3958" s="8"/>
      <c r="R3958" s="8"/>
      <c r="S3958" s="8"/>
      <c r="T3958" s="8"/>
      <c r="U3958" s="8"/>
      <c r="V3958" s="8"/>
      <c r="W3958" s="8"/>
      <c r="X3958" s="771"/>
      <c r="Y3958" s="771"/>
      <c r="Z3958" s="771"/>
      <c r="AA3958" s="771"/>
      <c r="AB3958" s="771"/>
      <c r="AC3958" s="771"/>
      <c r="AD3958" s="771"/>
      <c r="AE3958" s="771"/>
      <c r="AF3958" s="771"/>
      <c r="AG3958" s="771"/>
      <c r="AH3958" s="771"/>
      <c r="AI3958" s="771"/>
      <c r="AJ3958" s="771"/>
      <c r="AK3958" s="771"/>
      <c r="AL3958" s="771"/>
      <c r="AM3958" s="771"/>
      <c r="AN3958" s="771"/>
      <c r="AO3958" s="771"/>
      <c r="AP3958" s="771"/>
      <c r="AQ3958" s="771"/>
      <c r="AR3958" s="771"/>
      <c r="AS3958" s="771"/>
      <c r="AT3958" s="771"/>
      <c r="AU3958" s="771"/>
    </row>
    <row r="3959" spans="1:47" s="15" customFormat="1" outlineLevel="1" x14ac:dyDescent="0.2">
      <c r="A3959" s="8"/>
      <c r="B3959" s="8"/>
      <c r="C3959" s="1989" t="s">
        <v>8843</v>
      </c>
      <c r="D3959" s="1989" t="s">
        <v>8844</v>
      </c>
      <c r="E3959" s="1989">
        <v>5.88</v>
      </c>
      <c r="F3959" s="1546">
        <f t="shared" si="60"/>
        <v>478.16889120000002</v>
      </c>
      <c r="G3959" s="1547"/>
      <c r="H3959" s="8"/>
      <c r="I3959" s="8"/>
      <c r="J3959" s="8"/>
      <c r="K3959" s="8"/>
      <c r="L3959" s="8"/>
      <c r="M3959" s="8"/>
      <c r="N3959" s="8"/>
      <c r="O3959" s="8"/>
      <c r="P3959" s="8"/>
      <c r="Q3959" s="8"/>
      <c r="R3959" s="8"/>
      <c r="S3959" s="8"/>
      <c r="T3959" s="8"/>
      <c r="U3959" s="8"/>
      <c r="V3959" s="8"/>
      <c r="W3959" s="8"/>
      <c r="X3959" s="771"/>
      <c r="Y3959" s="771"/>
      <c r="Z3959" s="771"/>
      <c r="AA3959" s="771"/>
      <c r="AB3959" s="771"/>
      <c r="AC3959" s="771"/>
      <c r="AD3959" s="771"/>
      <c r="AE3959" s="771"/>
      <c r="AF3959" s="771"/>
      <c r="AG3959" s="771"/>
      <c r="AH3959" s="771"/>
      <c r="AI3959" s="771"/>
      <c r="AJ3959" s="771"/>
      <c r="AK3959" s="771"/>
      <c r="AL3959" s="771"/>
      <c r="AM3959" s="771"/>
      <c r="AN3959" s="771"/>
      <c r="AO3959" s="771"/>
      <c r="AP3959" s="771"/>
      <c r="AQ3959" s="771"/>
      <c r="AR3959" s="771"/>
      <c r="AS3959" s="771"/>
      <c r="AT3959" s="771"/>
      <c r="AU3959" s="771"/>
    </row>
    <row r="3960" spans="1:47" s="15" customFormat="1" outlineLevel="1" x14ac:dyDescent="0.2">
      <c r="A3960" s="8"/>
      <c r="B3960" s="8"/>
      <c r="C3960" s="1989" t="s">
        <v>8845</v>
      </c>
      <c r="D3960" s="1989" t="s">
        <v>8846</v>
      </c>
      <c r="E3960" s="1989">
        <v>5.88</v>
      </c>
      <c r="F3960" s="1546">
        <f t="shared" si="60"/>
        <v>478.16889120000002</v>
      </c>
      <c r="G3960" s="1547"/>
      <c r="H3960" s="8"/>
      <c r="I3960" s="8"/>
      <c r="J3960" s="8"/>
      <c r="K3960" s="8"/>
      <c r="L3960" s="8"/>
      <c r="M3960" s="8"/>
      <c r="N3960" s="8"/>
      <c r="O3960" s="8"/>
      <c r="P3960" s="8"/>
      <c r="Q3960" s="8"/>
      <c r="R3960" s="8"/>
      <c r="S3960" s="8"/>
      <c r="T3960" s="8"/>
      <c r="U3960" s="8"/>
      <c r="V3960" s="8"/>
      <c r="W3960" s="8"/>
      <c r="X3960" s="771"/>
      <c r="Y3960" s="771"/>
      <c r="Z3960" s="771"/>
      <c r="AA3960" s="771"/>
      <c r="AB3960" s="771"/>
      <c r="AC3960" s="771"/>
      <c r="AD3960" s="771"/>
      <c r="AE3960" s="771"/>
      <c r="AF3960" s="771"/>
      <c r="AG3960" s="771"/>
      <c r="AH3960" s="771"/>
      <c r="AI3960" s="771"/>
      <c r="AJ3960" s="771"/>
      <c r="AK3960" s="771"/>
      <c r="AL3960" s="771"/>
      <c r="AM3960" s="771"/>
      <c r="AN3960" s="771"/>
      <c r="AO3960" s="771"/>
      <c r="AP3960" s="771"/>
      <c r="AQ3960" s="771"/>
      <c r="AR3960" s="771"/>
      <c r="AS3960" s="771"/>
      <c r="AT3960" s="771"/>
      <c r="AU3960" s="771"/>
    </row>
    <row r="3961" spans="1:47" s="15" customFormat="1" outlineLevel="1" x14ac:dyDescent="0.2">
      <c r="A3961" s="8"/>
      <c r="B3961" s="8"/>
      <c r="C3961" s="1989" t="s">
        <v>8847</v>
      </c>
      <c r="D3961" s="1989" t="s">
        <v>8848</v>
      </c>
      <c r="E3961" s="1989">
        <v>6.31</v>
      </c>
      <c r="F3961" s="1546">
        <f t="shared" si="60"/>
        <v>513.13702439999997</v>
      </c>
      <c r="G3961" s="1547"/>
      <c r="H3961" s="8"/>
      <c r="I3961" s="8"/>
      <c r="J3961" s="8"/>
      <c r="K3961" s="8"/>
      <c r="L3961" s="8"/>
      <c r="M3961" s="8"/>
      <c r="N3961" s="8"/>
      <c r="O3961" s="8"/>
      <c r="P3961" s="8"/>
      <c r="Q3961" s="8"/>
      <c r="R3961" s="8"/>
      <c r="S3961" s="8"/>
      <c r="T3961" s="8"/>
      <c r="U3961" s="8"/>
      <c r="V3961" s="8"/>
      <c r="W3961" s="8"/>
      <c r="X3961" s="771"/>
      <c r="Y3961" s="771"/>
      <c r="Z3961" s="771"/>
      <c r="AA3961" s="771"/>
      <c r="AB3961" s="771"/>
      <c r="AC3961" s="771"/>
      <c r="AD3961" s="771"/>
      <c r="AE3961" s="771"/>
      <c r="AF3961" s="771"/>
      <c r="AG3961" s="771"/>
      <c r="AH3961" s="771"/>
      <c r="AI3961" s="771"/>
      <c r="AJ3961" s="771"/>
      <c r="AK3961" s="771"/>
      <c r="AL3961" s="771"/>
      <c r="AM3961" s="771"/>
      <c r="AN3961" s="771"/>
      <c r="AO3961" s="771"/>
      <c r="AP3961" s="771"/>
      <c r="AQ3961" s="771"/>
      <c r="AR3961" s="771"/>
      <c r="AS3961" s="771"/>
      <c r="AT3961" s="771"/>
      <c r="AU3961" s="771"/>
    </row>
    <row r="3962" spans="1:47" s="15" customFormat="1" outlineLevel="1" x14ac:dyDescent="0.2">
      <c r="A3962" s="8"/>
      <c r="B3962" s="8"/>
      <c r="C3962" s="1989" t="s">
        <v>8849</v>
      </c>
      <c r="D3962" s="1989" t="s">
        <v>8850</v>
      </c>
      <c r="E3962" s="1989">
        <v>6.31</v>
      </c>
      <c r="F3962" s="1546">
        <f t="shared" si="60"/>
        <v>513.13702439999997</v>
      </c>
      <c r="G3962" s="1547"/>
      <c r="H3962" s="8"/>
      <c r="I3962" s="8"/>
      <c r="J3962" s="8"/>
      <c r="K3962" s="8"/>
      <c r="L3962" s="8"/>
      <c r="M3962" s="8"/>
      <c r="N3962" s="8"/>
      <c r="O3962" s="8"/>
      <c r="P3962" s="8"/>
      <c r="Q3962" s="8"/>
      <c r="R3962" s="8"/>
      <c r="S3962" s="8"/>
      <c r="T3962" s="8"/>
      <c r="U3962" s="8"/>
      <c r="V3962" s="8"/>
      <c r="W3962" s="8"/>
      <c r="X3962" s="771"/>
      <c r="Y3962" s="771"/>
      <c r="Z3962" s="771"/>
      <c r="AA3962" s="771"/>
      <c r="AB3962" s="771"/>
      <c r="AC3962" s="771"/>
      <c r="AD3962" s="771"/>
      <c r="AE3962" s="771"/>
      <c r="AF3962" s="771"/>
      <c r="AG3962" s="771"/>
      <c r="AH3962" s="771"/>
      <c r="AI3962" s="771"/>
      <c r="AJ3962" s="771"/>
      <c r="AK3962" s="771"/>
      <c r="AL3962" s="771"/>
      <c r="AM3962" s="771"/>
      <c r="AN3962" s="771"/>
      <c r="AO3962" s="771"/>
      <c r="AP3962" s="771"/>
      <c r="AQ3962" s="771"/>
      <c r="AR3962" s="771"/>
      <c r="AS3962" s="771"/>
      <c r="AT3962" s="771"/>
      <c r="AU3962" s="771"/>
    </row>
    <row r="3963" spans="1:47" s="15" customFormat="1" outlineLevel="1" x14ac:dyDescent="0.2">
      <c r="A3963" s="8"/>
      <c r="B3963" s="8"/>
      <c r="C3963" s="1989" t="s">
        <v>8851</v>
      </c>
      <c r="D3963" s="1989" t="s">
        <v>8852</v>
      </c>
      <c r="E3963" s="1989">
        <v>7.4</v>
      </c>
      <c r="F3963" s="1546">
        <f t="shared" si="60"/>
        <v>601.77717600000005</v>
      </c>
      <c r="G3963" s="1547"/>
      <c r="H3963" s="8"/>
      <c r="I3963" s="8"/>
      <c r="J3963" s="8"/>
      <c r="K3963" s="8"/>
      <c r="L3963" s="8"/>
      <c r="M3963" s="8"/>
      <c r="N3963" s="8"/>
      <c r="O3963" s="8"/>
      <c r="P3963" s="8"/>
      <c r="Q3963" s="8"/>
      <c r="R3963" s="8"/>
      <c r="S3963" s="8"/>
      <c r="T3963" s="8"/>
      <c r="U3963" s="8"/>
      <c r="V3963" s="8"/>
      <c r="W3963" s="8"/>
      <c r="X3963" s="771"/>
      <c r="Y3963" s="771"/>
      <c r="Z3963" s="771"/>
      <c r="AA3963" s="771"/>
      <c r="AB3963" s="771"/>
      <c r="AC3963" s="771"/>
      <c r="AD3963" s="771"/>
      <c r="AE3963" s="771"/>
      <c r="AF3963" s="771"/>
      <c r="AG3963" s="771"/>
      <c r="AH3963" s="771"/>
      <c r="AI3963" s="771"/>
      <c r="AJ3963" s="771"/>
      <c r="AK3963" s="771"/>
      <c r="AL3963" s="771"/>
      <c r="AM3963" s="771"/>
      <c r="AN3963" s="771"/>
      <c r="AO3963" s="771"/>
      <c r="AP3963" s="771"/>
      <c r="AQ3963" s="771"/>
      <c r="AR3963" s="771"/>
      <c r="AS3963" s="771"/>
      <c r="AT3963" s="771"/>
      <c r="AU3963" s="771"/>
    </row>
    <row r="3964" spans="1:47" s="15" customFormat="1" outlineLevel="1" x14ac:dyDescent="0.2">
      <c r="A3964" s="8"/>
      <c r="B3964" s="8"/>
      <c r="C3964" s="1989" t="s">
        <v>8853</v>
      </c>
      <c r="D3964" s="1989" t="s">
        <v>8854</v>
      </c>
      <c r="E3964" s="1989">
        <v>7.4</v>
      </c>
      <c r="F3964" s="1546">
        <f t="shared" si="60"/>
        <v>601.77717600000005</v>
      </c>
      <c r="G3964" s="1547"/>
      <c r="H3964" s="8"/>
      <c r="I3964" s="8"/>
      <c r="J3964" s="8"/>
      <c r="K3964" s="8"/>
      <c r="L3964" s="8"/>
      <c r="M3964" s="8"/>
      <c r="N3964" s="8"/>
      <c r="O3964" s="8"/>
      <c r="P3964" s="8"/>
      <c r="Q3964" s="8"/>
      <c r="R3964" s="8"/>
      <c r="S3964" s="8"/>
      <c r="T3964" s="8"/>
      <c r="U3964" s="8"/>
      <c r="V3964" s="8"/>
      <c r="W3964" s="8"/>
      <c r="X3964" s="771"/>
      <c r="Y3964" s="771"/>
      <c r="Z3964" s="771"/>
      <c r="AA3964" s="771"/>
      <c r="AB3964" s="771"/>
      <c r="AC3964" s="771"/>
      <c r="AD3964" s="771"/>
      <c r="AE3964" s="771"/>
      <c r="AF3964" s="771"/>
      <c r="AG3964" s="771"/>
      <c r="AH3964" s="771"/>
      <c r="AI3964" s="771"/>
      <c r="AJ3964" s="771"/>
      <c r="AK3964" s="771"/>
      <c r="AL3964" s="771"/>
      <c r="AM3964" s="771"/>
      <c r="AN3964" s="771"/>
      <c r="AO3964" s="771"/>
      <c r="AP3964" s="771"/>
      <c r="AQ3964" s="771"/>
      <c r="AR3964" s="771"/>
      <c r="AS3964" s="771"/>
      <c r="AT3964" s="771"/>
      <c r="AU3964" s="771"/>
    </row>
    <row r="3965" spans="1:47" s="15" customFormat="1" outlineLevel="1" x14ac:dyDescent="0.2">
      <c r="A3965" s="8"/>
      <c r="B3965" s="8"/>
      <c r="C3965" s="1989" t="s">
        <v>8855</v>
      </c>
      <c r="D3965" s="1989" t="s">
        <v>8856</v>
      </c>
      <c r="E3965" s="1989">
        <v>12.51</v>
      </c>
      <c r="F3965" s="1546">
        <f t="shared" si="60"/>
        <v>1017.3287124</v>
      </c>
      <c r="G3965" s="1547"/>
      <c r="H3965" s="8"/>
      <c r="I3965" s="8"/>
      <c r="J3965" s="8"/>
      <c r="K3965" s="8"/>
      <c r="L3965" s="8"/>
      <c r="M3965" s="8"/>
      <c r="N3965" s="8"/>
      <c r="O3965" s="8"/>
      <c r="P3965" s="8"/>
      <c r="Q3965" s="8"/>
      <c r="R3965" s="8"/>
      <c r="S3965" s="8"/>
      <c r="T3965" s="8"/>
      <c r="U3965" s="8"/>
      <c r="V3965" s="8"/>
      <c r="W3965" s="8"/>
      <c r="X3965" s="771"/>
      <c r="Y3965" s="771"/>
      <c r="Z3965" s="771"/>
      <c r="AA3965" s="771"/>
      <c r="AB3965" s="771"/>
      <c r="AC3965" s="771"/>
      <c r="AD3965" s="771"/>
      <c r="AE3965" s="771"/>
      <c r="AF3965" s="771"/>
      <c r="AG3965" s="771"/>
      <c r="AH3965" s="771"/>
      <c r="AI3965" s="771"/>
      <c r="AJ3965" s="771"/>
      <c r="AK3965" s="771"/>
      <c r="AL3965" s="771"/>
      <c r="AM3965" s="771"/>
      <c r="AN3965" s="771"/>
      <c r="AO3965" s="771"/>
      <c r="AP3965" s="771"/>
      <c r="AQ3965" s="771"/>
      <c r="AR3965" s="771"/>
      <c r="AS3965" s="771"/>
      <c r="AT3965" s="771"/>
      <c r="AU3965" s="771"/>
    </row>
    <row r="3966" spans="1:47" s="15" customFormat="1" outlineLevel="1" x14ac:dyDescent="0.2">
      <c r="A3966" s="8"/>
      <c r="B3966" s="8"/>
      <c r="C3966" s="1989" t="s">
        <v>8857</v>
      </c>
      <c r="D3966" s="1989" t="s">
        <v>8858</v>
      </c>
      <c r="E3966" s="1989">
        <v>12.51</v>
      </c>
      <c r="F3966" s="1546">
        <f t="shared" si="60"/>
        <v>1017.3287124</v>
      </c>
      <c r="G3966" s="1547"/>
      <c r="H3966" s="8"/>
      <c r="I3966" s="8"/>
      <c r="J3966" s="8"/>
      <c r="K3966" s="8"/>
      <c r="L3966" s="8"/>
      <c r="M3966" s="8"/>
      <c r="N3966" s="8"/>
      <c r="O3966" s="8"/>
      <c r="P3966" s="8"/>
      <c r="Q3966" s="8"/>
      <c r="R3966" s="8"/>
      <c r="S3966" s="8"/>
      <c r="T3966" s="8"/>
      <c r="U3966" s="8"/>
      <c r="V3966" s="8"/>
      <c r="W3966" s="8"/>
      <c r="X3966" s="771"/>
      <c r="Y3966" s="771"/>
      <c r="Z3966" s="771"/>
      <c r="AA3966" s="771"/>
      <c r="AB3966" s="771"/>
      <c r="AC3966" s="771"/>
      <c r="AD3966" s="771"/>
      <c r="AE3966" s="771"/>
      <c r="AF3966" s="771"/>
      <c r="AG3966" s="771"/>
      <c r="AH3966" s="771"/>
      <c r="AI3966" s="771"/>
      <c r="AJ3966" s="771"/>
      <c r="AK3966" s="771"/>
      <c r="AL3966" s="771"/>
      <c r="AM3966" s="771"/>
      <c r="AN3966" s="771"/>
      <c r="AO3966" s="771"/>
      <c r="AP3966" s="771"/>
      <c r="AQ3966" s="771"/>
      <c r="AR3966" s="771"/>
      <c r="AS3966" s="771"/>
      <c r="AT3966" s="771"/>
      <c r="AU3966" s="771"/>
    </row>
    <row r="3967" spans="1:47" s="15" customFormat="1" outlineLevel="1" x14ac:dyDescent="0.2">
      <c r="A3967" s="8"/>
      <c r="B3967" s="8"/>
      <c r="C3967" s="1989" t="s">
        <v>8859</v>
      </c>
      <c r="D3967" s="1989" t="s">
        <v>8860</v>
      </c>
      <c r="E3967" s="1989">
        <v>12.51</v>
      </c>
      <c r="F3967" s="1546">
        <f t="shared" si="60"/>
        <v>1017.3287124</v>
      </c>
      <c r="G3967" s="1547"/>
      <c r="H3967" s="8"/>
      <c r="I3967" s="8"/>
      <c r="J3967" s="8"/>
      <c r="K3967" s="8"/>
      <c r="L3967" s="8"/>
      <c r="M3967" s="8"/>
      <c r="N3967" s="8"/>
      <c r="O3967" s="8"/>
      <c r="P3967" s="8"/>
      <c r="Q3967" s="8"/>
      <c r="R3967" s="8"/>
      <c r="S3967" s="8"/>
      <c r="T3967" s="8"/>
      <c r="U3967" s="8"/>
      <c r="V3967" s="8"/>
      <c r="W3967" s="8"/>
      <c r="X3967" s="771"/>
      <c r="Y3967" s="771"/>
      <c r="Z3967" s="771"/>
      <c r="AA3967" s="771"/>
      <c r="AB3967" s="771"/>
      <c r="AC3967" s="771"/>
      <c r="AD3967" s="771"/>
      <c r="AE3967" s="771"/>
      <c r="AF3967" s="771"/>
      <c r="AG3967" s="771"/>
      <c r="AH3967" s="771"/>
      <c r="AI3967" s="771"/>
      <c r="AJ3967" s="771"/>
      <c r="AK3967" s="771"/>
      <c r="AL3967" s="771"/>
      <c r="AM3967" s="771"/>
      <c r="AN3967" s="771"/>
      <c r="AO3967" s="771"/>
      <c r="AP3967" s="771"/>
      <c r="AQ3967" s="771"/>
      <c r="AR3967" s="771"/>
      <c r="AS3967" s="771"/>
      <c r="AT3967" s="771"/>
      <c r="AU3967" s="771"/>
    </row>
    <row r="3968" spans="1:47" s="15" customFormat="1" outlineLevel="1" x14ac:dyDescent="0.2">
      <c r="A3968" s="8"/>
      <c r="B3968" s="8"/>
      <c r="C3968" s="1989" t="s">
        <v>8861</v>
      </c>
      <c r="D3968" s="1989" t="s">
        <v>8862</v>
      </c>
      <c r="E3968" s="1989">
        <v>12.51</v>
      </c>
      <c r="F3968" s="1546">
        <f t="shared" si="60"/>
        <v>1017.3287124</v>
      </c>
      <c r="G3968" s="1547"/>
      <c r="H3968" s="8"/>
      <c r="I3968" s="8"/>
      <c r="J3968" s="8"/>
      <c r="K3968" s="8"/>
      <c r="L3968" s="8"/>
      <c r="M3968" s="8"/>
      <c r="N3968" s="8"/>
      <c r="O3968" s="8"/>
      <c r="P3968" s="8"/>
      <c r="Q3968" s="8"/>
      <c r="R3968" s="8"/>
      <c r="S3968" s="8"/>
      <c r="T3968" s="8"/>
      <c r="U3968" s="8"/>
      <c r="V3968" s="8"/>
      <c r="W3968" s="8"/>
      <c r="X3968" s="771"/>
      <c r="Y3968" s="771"/>
      <c r="Z3968" s="771"/>
      <c r="AA3968" s="771"/>
      <c r="AB3968" s="771"/>
      <c r="AC3968" s="771"/>
      <c r="AD3968" s="771"/>
      <c r="AE3968" s="771"/>
      <c r="AF3968" s="771"/>
      <c r="AG3968" s="771"/>
      <c r="AH3968" s="771"/>
      <c r="AI3968" s="771"/>
      <c r="AJ3968" s="771"/>
      <c r="AK3968" s="771"/>
      <c r="AL3968" s="771"/>
      <c r="AM3968" s="771"/>
      <c r="AN3968" s="771"/>
      <c r="AO3968" s="771"/>
      <c r="AP3968" s="771"/>
      <c r="AQ3968" s="771"/>
      <c r="AR3968" s="771"/>
      <c r="AS3968" s="771"/>
      <c r="AT3968" s="771"/>
      <c r="AU3968" s="771"/>
    </row>
    <row r="3969" spans="1:47" s="15" customFormat="1" outlineLevel="1" x14ac:dyDescent="0.2">
      <c r="A3969" s="8"/>
      <c r="B3969" s="8"/>
      <c r="C3969" s="1989" t="s">
        <v>8863</v>
      </c>
      <c r="D3969" s="1989" t="s">
        <v>8864</v>
      </c>
      <c r="E3969" s="1989">
        <v>15.64</v>
      </c>
      <c r="F3969" s="1546">
        <f t="shared" si="60"/>
        <v>1271.8641936000001</v>
      </c>
      <c r="G3969" s="1547"/>
      <c r="H3969" s="8"/>
      <c r="I3969" s="8"/>
      <c r="J3969" s="8"/>
      <c r="K3969" s="8"/>
      <c r="L3969" s="8"/>
      <c r="M3969" s="8"/>
      <c r="N3969" s="8"/>
      <c r="O3969" s="8"/>
      <c r="P3969" s="8"/>
      <c r="Q3969" s="8"/>
      <c r="R3969" s="8"/>
      <c r="S3969" s="8"/>
      <c r="T3969" s="8"/>
      <c r="U3969" s="8"/>
      <c r="V3969" s="8"/>
      <c r="W3969" s="8"/>
      <c r="X3969" s="771"/>
      <c r="Y3969" s="771"/>
      <c r="Z3969" s="771"/>
      <c r="AA3969" s="771"/>
      <c r="AB3969" s="771"/>
      <c r="AC3969" s="771"/>
      <c r="AD3969" s="771"/>
      <c r="AE3969" s="771"/>
      <c r="AF3969" s="771"/>
      <c r="AG3969" s="771"/>
      <c r="AH3969" s="771"/>
      <c r="AI3969" s="771"/>
      <c r="AJ3969" s="771"/>
      <c r="AK3969" s="771"/>
      <c r="AL3969" s="771"/>
      <c r="AM3969" s="771"/>
      <c r="AN3969" s="771"/>
      <c r="AO3969" s="771"/>
      <c r="AP3969" s="771"/>
      <c r="AQ3969" s="771"/>
      <c r="AR3969" s="771"/>
      <c r="AS3969" s="771"/>
      <c r="AT3969" s="771"/>
      <c r="AU3969" s="771"/>
    </row>
    <row r="3970" spans="1:47" s="15" customFormat="1" outlineLevel="1" x14ac:dyDescent="0.2">
      <c r="A3970" s="8"/>
      <c r="B3970" s="8"/>
      <c r="C3970" s="1989" t="s">
        <v>8865</v>
      </c>
      <c r="D3970" s="1989" t="s">
        <v>8866</v>
      </c>
      <c r="E3970" s="1989">
        <v>15.64</v>
      </c>
      <c r="F3970" s="1546">
        <f t="shared" si="60"/>
        <v>1271.8641936000001</v>
      </c>
      <c r="G3970" s="1547"/>
      <c r="H3970" s="8"/>
      <c r="I3970" s="8"/>
      <c r="J3970" s="8"/>
      <c r="K3970" s="8"/>
      <c r="L3970" s="8"/>
      <c r="M3970" s="8"/>
      <c r="N3970" s="8"/>
      <c r="O3970" s="8"/>
      <c r="P3970" s="8"/>
      <c r="Q3970" s="8"/>
      <c r="R3970" s="8"/>
      <c r="S3970" s="8"/>
      <c r="T3970" s="8"/>
      <c r="U3970" s="8"/>
      <c r="V3970" s="8"/>
      <c r="W3970" s="8"/>
      <c r="X3970" s="771"/>
      <c r="Y3970" s="771"/>
      <c r="Z3970" s="771"/>
      <c r="AA3970" s="771"/>
      <c r="AB3970" s="771"/>
      <c r="AC3970" s="771"/>
      <c r="AD3970" s="771"/>
      <c r="AE3970" s="771"/>
      <c r="AF3970" s="771"/>
      <c r="AG3970" s="771"/>
      <c r="AH3970" s="771"/>
      <c r="AI3970" s="771"/>
      <c r="AJ3970" s="771"/>
      <c r="AK3970" s="771"/>
      <c r="AL3970" s="771"/>
      <c r="AM3970" s="771"/>
      <c r="AN3970" s="771"/>
      <c r="AO3970" s="771"/>
      <c r="AP3970" s="771"/>
      <c r="AQ3970" s="771"/>
      <c r="AR3970" s="771"/>
      <c r="AS3970" s="771"/>
      <c r="AT3970" s="771"/>
      <c r="AU3970" s="771"/>
    </row>
    <row r="3971" spans="1:47" s="15" customFormat="1" outlineLevel="1" x14ac:dyDescent="0.2">
      <c r="A3971" s="8"/>
      <c r="B3971" s="8"/>
      <c r="C3971" s="1989" t="s">
        <v>8867</v>
      </c>
      <c r="D3971" s="1989" t="s">
        <v>8868</v>
      </c>
      <c r="E3971" s="1989">
        <v>15.64</v>
      </c>
      <c r="F3971" s="1546">
        <f t="shared" si="60"/>
        <v>1271.8641936000001</v>
      </c>
      <c r="G3971" s="1547"/>
      <c r="H3971" s="8"/>
      <c r="I3971" s="8"/>
      <c r="J3971" s="8"/>
      <c r="K3971" s="8"/>
      <c r="L3971" s="8"/>
      <c r="M3971" s="8"/>
      <c r="N3971" s="8"/>
      <c r="O3971" s="8"/>
      <c r="P3971" s="8"/>
      <c r="Q3971" s="8"/>
      <c r="R3971" s="8"/>
      <c r="S3971" s="8"/>
      <c r="T3971" s="8"/>
      <c r="U3971" s="8"/>
      <c r="V3971" s="8"/>
      <c r="W3971" s="8"/>
      <c r="X3971" s="771"/>
      <c r="Y3971" s="771"/>
      <c r="Z3971" s="771"/>
      <c r="AA3971" s="771"/>
      <c r="AB3971" s="771"/>
      <c r="AC3971" s="771"/>
      <c r="AD3971" s="771"/>
      <c r="AE3971" s="771"/>
      <c r="AF3971" s="771"/>
      <c r="AG3971" s="771"/>
      <c r="AH3971" s="771"/>
      <c r="AI3971" s="771"/>
      <c r="AJ3971" s="771"/>
      <c r="AK3971" s="771"/>
      <c r="AL3971" s="771"/>
      <c r="AM3971" s="771"/>
      <c r="AN3971" s="771"/>
      <c r="AO3971" s="771"/>
      <c r="AP3971" s="771"/>
      <c r="AQ3971" s="771"/>
      <c r="AR3971" s="771"/>
      <c r="AS3971" s="771"/>
      <c r="AT3971" s="771"/>
      <c r="AU3971" s="771"/>
    </row>
    <row r="3972" spans="1:47" s="15" customFormat="1" outlineLevel="1" x14ac:dyDescent="0.2">
      <c r="A3972" s="8"/>
      <c r="B3972" s="8"/>
      <c r="C3972" s="1989" t="s">
        <v>8869</v>
      </c>
      <c r="D3972" s="1989" t="s">
        <v>8870</v>
      </c>
      <c r="E3972" s="1989">
        <v>15.64</v>
      </c>
      <c r="F3972" s="1546">
        <f t="shared" si="60"/>
        <v>1271.8641936000001</v>
      </c>
      <c r="G3972" s="1547"/>
      <c r="H3972" s="8"/>
      <c r="I3972" s="8"/>
      <c r="J3972" s="8"/>
      <c r="K3972" s="8"/>
      <c r="L3972" s="8"/>
      <c r="M3972" s="8"/>
      <c r="N3972" s="8"/>
      <c r="O3972" s="8"/>
      <c r="P3972" s="8"/>
      <c r="Q3972" s="8"/>
      <c r="R3972" s="8"/>
      <c r="S3972" s="8"/>
      <c r="T3972" s="8"/>
      <c r="U3972" s="8"/>
      <c r="V3972" s="8"/>
      <c r="W3972" s="8"/>
      <c r="X3972" s="771"/>
      <c r="Y3972" s="771"/>
      <c r="Z3972" s="771"/>
      <c r="AA3972" s="771"/>
      <c r="AB3972" s="771"/>
      <c r="AC3972" s="771"/>
      <c r="AD3972" s="771"/>
      <c r="AE3972" s="771"/>
      <c r="AF3972" s="771"/>
      <c r="AG3972" s="771"/>
      <c r="AH3972" s="771"/>
      <c r="AI3972" s="771"/>
      <c r="AJ3972" s="771"/>
      <c r="AK3972" s="771"/>
      <c r="AL3972" s="771"/>
      <c r="AM3972" s="771"/>
      <c r="AN3972" s="771"/>
      <c r="AO3972" s="771"/>
      <c r="AP3972" s="771"/>
      <c r="AQ3972" s="771"/>
      <c r="AR3972" s="771"/>
      <c r="AS3972" s="771"/>
      <c r="AT3972" s="771"/>
      <c r="AU3972" s="771"/>
    </row>
    <row r="3973" spans="1:47" s="15" customFormat="1" outlineLevel="1" x14ac:dyDescent="0.2">
      <c r="A3973" s="8"/>
      <c r="B3973" s="8"/>
      <c r="C3973" s="1989" t="s">
        <v>8871</v>
      </c>
      <c r="D3973" s="1989" t="s">
        <v>8872</v>
      </c>
      <c r="E3973" s="1989">
        <v>11.72</v>
      </c>
      <c r="F3973" s="1546">
        <f t="shared" si="60"/>
        <v>953.08493280000005</v>
      </c>
      <c r="G3973" s="1547"/>
      <c r="H3973" s="8"/>
      <c r="I3973" s="8"/>
      <c r="J3973" s="8"/>
      <c r="K3973" s="8"/>
      <c r="L3973" s="8"/>
      <c r="M3973" s="8"/>
      <c r="N3973" s="8"/>
      <c r="O3973" s="8"/>
      <c r="P3973" s="8"/>
      <c r="Q3973" s="8"/>
      <c r="R3973" s="8"/>
      <c r="S3973" s="8"/>
      <c r="T3973" s="8"/>
      <c r="U3973" s="8"/>
      <c r="V3973" s="8"/>
      <c r="W3973" s="8"/>
      <c r="X3973" s="771"/>
      <c r="Y3973" s="771"/>
      <c r="Z3973" s="771"/>
      <c r="AA3973" s="771"/>
      <c r="AB3973" s="771"/>
      <c r="AC3973" s="771"/>
      <c r="AD3973" s="771"/>
      <c r="AE3973" s="771"/>
      <c r="AF3973" s="771"/>
      <c r="AG3973" s="771"/>
      <c r="AH3973" s="771"/>
      <c r="AI3973" s="771"/>
      <c r="AJ3973" s="771"/>
      <c r="AK3973" s="771"/>
      <c r="AL3973" s="771"/>
      <c r="AM3973" s="771"/>
      <c r="AN3973" s="771"/>
      <c r="AO3973" s="771"/>
      <c r="AP3973" s="771"/>
      <c r="AQ3973" s="771"/>
      <c r="AR3973" s="771"/>
      <c r="AS3973" s="771"/>
      <c r="AT3973" s="771"/>
      <c r="AU3973" s="771"/>
    </row>
    <row r="3974" spans="1:47" s="15" customFormat="1" outlineLevel="1" x14ac:dyDescent="0.2">
      <c r="A3974" s="8"/>
      <c r="B3974" s="8"/>
      <c r="C3974" s="1989" t="s">
        <v>8873</v>
      </c>
      <c r="D3974" s="1989" t="s">
        <v>8874</v>
      </c>
      <c r="E3974" s="1989">
        <v>11.72</v>
      </c>
      <c r="F3974" s="1546">
        <f t="shared" si="60"/>
        <v>953.08493280000005</v>
      </c>
      <c r="G3974" s="1547"/>
      <c r="H3974" s="8"/>
      <c r="I3974" s="8"/>
      <c r="J3974" s="8"/>
      <c r="K3974" s="8"/>
      <c r="L3974" s="8"/>
      <c r="M3974" s="8"/>
      <c r="N3974" s="8"/>
      <c r="O3974" s="8"/>
      <c r="P3974" s="8"/>
      <c r="Q3974" s="8"/>
      <c r="R3974" s="8"/>
      <c r="S3974" s="8"/>
      <c r="T3974" s="8"/>
      <c r="U3974" s="8"/>
      <c r="V3974" s="8"/>
      <c r="W3974" s="8"/>
      <c r="X3974" s="771"/>
      <c r="Y3974" s="771"/>
      <c r="Z3974" s="771"/>
      <c r="AA3974" s="771"/>
      <c r="AB3974" s="771"/>
      <c r="AC3974" s="771"/>
      <c r="AD3974" s="771"/>
      <c r="AE3974" s="771"/>
      <c r="AF3974" s="771"/>
      <c r="AG3974" s="771"/>
      <c r="AH3974" s="771"/>
      <c r="AI3974" s="771"/>
      <c r="AJ3974" s="771"/>
      <c r="AK3974" s="771"/>
      <c r="AL3974" s="771"/>
      <c r="AM3974" s="771"/>
      <c r="AN3974" s="771"/>
      <c r="AO3974" s="771"/>
      <c r="AP3974" s="771"/>
      <c r="AQ3974" s="771"/>
      <c r="AR3974" s="771"/>
      <c r="AS3974" s="771"/>
      <c r="AT3974" s="771"/>
      <c r="AU3974" s="771"/>
    </row>
    <row r="3975" spans="1:47" s="15" customFormat="1" outlineLevel="1" x14ac:dyDescent="0.2">
      <c r="A3975" s="8"/>
      <c r="B3975" s="8"/>
      <c r="C3975" s="1989" t="s">
        <v>8875</v>
      </c>
      <c r="D3975" s="1989" t="s">
        <v>8876</v>
      </c>
      <c r="E3975" s="1989">
        <v>11.72</v>
      </c>
      <c r="F3975" s="1546">
        <f t="shared" si="60"/>
        <v>953.08493280000005</v>
      </c>
      <c r="G3975" s="1547"/>
      <c r="H3975" s="8"/>
      <c r="I3975" s="8"/>
      <c r="J3975" s="8"/>
      <c r="K3975" s="8"/>
      <c r="L3975" s="8"/>
      <c r="M3975" s="8"/>
      <c r="N3975" s="8"/>
      <c r="O3975" s="8"/>
      <c r="P3975" s="8"/>
      <c r="Q3975" s="8"/>
      <c r="R3975" s="8"/>
      <c r="S3975" s="8"/>
      <c r="T3975" s="8"/>
      <c r="U3975" s="8"/>
      <c r="V3975" s="8"/>
      <c r="W3975" s="8"/>
      <c r="X3975" s="771"/>
      <c r="Y3975" s="771"/>
      <c r="Z3975" s="771"/>
      <c r="AA3975" s="771"/>
      <c r="AB3975" s="771"/>
      <c r="AC3975" s="771"/>
      <c r="AD3975" s="771"/>
      <c r="AE3975" s="771"/>
      <c r="AF3975" s="771"/>
      <c r="AG3975" s="771"/>
      <c r="AH3975" s="771"/>
      <c r="AI3975" s="771"/>
      <c r="AJ3975" s="771"/>
      <c r="AK3975" s="771"/>
      <c r="AL3975" s="771"/>
      <c r="AM3975" s="771"/>
      <c r="AN3975" s="771"/>
      <c r="AO3975" s="771"/>
      <c r="AP3975" s="771"/>
      <c r="AQ3975" s="771"/>
      <c r="AR3975" s="771"/>
      <c r="AS3975" s="771"/>
      <c r="AT3975" s="771"/>
      <c r="AU3975" s="771"/>
    </row>
    <row r="3976" spans="1:47" s="15" customFormat="1" outlineLevel="1" x14ac:dyDescent="0.2">
      <c r="A3976" s="8"/>
      <c r="B3976" s="8"/>
      <c r="C3976" s="1989" t="s">
        <v>8877</v>
      </c>
      <c r="D3976" s="1989" t="s">
        <v>8878</v>
      </c>
      <c r="E3976" s="1989">
        <v>11.72</v>
      </c>
      <c r="F3976" s="1546">
        <f t="shared" si="60"/>
        <v>953.08493280000005</v>
      </c>
      <c r="G3976" s="1547"/>
      <c r="H3976" s="8"/>
      <c r="I3976" s="8"/>
      <c r="J3976" s="8"/>
      <c r="K3976" s="8"/>
      <c r="L3976" s="8"/>
      <c r="M3976" s="8"/>
      <c r="N3976" s="8"/>
      <c r="O3976" s="8"/>
      <c r="P3976" s="8"/>
      <c r="Q3976" s="8"/>
      <c r="R3976" s="8"/>
      <c r="S3976" s="8"/>
      <c r="T3976" s="8"/>
      <c r="U3976" s="8"/>
      <c r="V3976" s="8"/>
      <c r="W3976" s="8"/>
      <c r="X3976" s="771"/>
      <c r="Y3976" s="771"/>
      <c r="Z3976" s="771"/>
      <c r="AA3976" s="771"/>
      <c r="AB3976" s="771"/>
      <c r="AC3976" s="771"/>
      <c r="AD3976" s="771"/>
      <c r="AE3976" s="771"/>
      <c r="AF3976" s="771"/>
      <c r="AG3976" s="771"/>
      <c r="AH3976" s="771"/>
      <c r="AI3976" s="771"/>
      <c r="AJ3976" s="771"/>
      <c r="AK3976" s="771"/>
      <c r="AL3976" s="771"/>
      <c r="AM3976" s="771"/>
      <c r="AN3976" s="771"/>
      <c r="AO3976" s="771"/>
      <c r="AP3976" s="771"/>
      <c r="AQ3976" s="771"/>
      <c r="AR3976" s="771"/>
      <c r="AS3976" s="771"/>
      <c r="AT3976" s="771"/>
      <c r="AU3976" s="771"/>
    </row>
    <row r="3977" spans="1:47" s="15" customFormat="1" outlineLevel="1" x14ac:dyDescent="0.2">
      <c r="A3977" s="8"/>
      <c r="B3977" s="8"/>
      <c r="C3977" s="1989" t="s">
        <v>8879</v>
      </c>
      <c r="D3977" s="1989" t="s">
        <v>8880</v>
      </c>
      <c r="E3977" s="1989">
        <v>5.45</v>
      </c>
      <c r="F3977" s="1546">
        <f t="shared" si="60"/>
        <v>443.20075800000001</v>
      </c>
      <c r="G3977" s="1547"/>
      <c r="H3977" s="8"/>
      <c r="I3977" s="8"/>
      <c r="J3977" s="8"/>
      <c r="K3977" s="8"/>
      <c r="L3977" s="8"/>
      <c r="M3977" s="8"/>
      <c r="N3977" s="8"/>
      <c r="O3977" s="8"/>
      <c r="P3977" s="8"/>
      <c r="Q3977" s="8"/>
      <c r="R3977" s="8"/>
      <c r="S3977" s="8"/>
      <c r="T3977" s="8"/>
      <c r="U3977" s="8"/>
      <c r="V3977" s="8"/>
      <c r="W3977" s="8"/>
      <c r="X3977" s="771"/>
      <c r="Y3977" s="771"/>
      <c r="Z3977" s="771"/>
      <c r="AA3977" s="771"/>
      <c r="AB3977" s="771"/>
      <c r="AC3977" s="771"/>
      <c r="AD3977" s="771"/>
      <c r="AE3977" s="771"/>
      <c r="AF3977" s="771"/>
      <c r="AG3977" s="771"/>
      <c r="AH3977" s="771"/>
      <c r="AI3977" s="771"/>
      <c r="AJ3977" s="771"/>
      <c r="AK3977" s="771"/>
      <c r="AL3977" s="771"/>
      <c r="AM3977" s="771"/>
      <c r="AN3977" s="771"/>
      <c r="AO3977" s="771"/>
      <c r="AP3977" s="771"/>
      <c r="AQ3977" s="771"/>
      <c r="AR3977" s="771"/>
      <c r="AS3977" s="771"/>
      <c r="AT3977" s="771"/>
      <c r="AU3977" s="771"/>
    </row>
    <row r="3978" spans="1:47" s="15" customFormat="1" outlineLevel="1" x14ac:dyDescent="0.2">
      <c r="A3978" s="8"/>
      <c r="B3978" s="8"/>
      <c r="C3978" s="1989" t="s">
        <v>8881</v>
      </c>
      <c r="D3978" s="1989" t="s">
        <v>8882</v>
      </c>
      <c r="E3978" s="1989">
        <v>6.31</v>
      </c>
      <c r="F3978" s="1546">
        <f t="shared" si="60"/>
        <v>513.13702439999997</v>
      </c>
      <c r="G3978" s="1547"/>
      <c r="H3978" s="8"/>
      <c r="I3978" s="8"/>
      <c r="J3978" s="8"/>
      <c r="K3978" s="8"/>
      <c r="L3978" s="8"/>
      <c r="M3978" s="8"/>
      <c r="N3978" s="8"/>
      <c r="O3978" s="8"/>
      <c r="P3978" s="8"/>
      <c r="Q3978" s="8"/>
      <c r="R3978" s="8"/>
      <c r="S3978" s="8"/>
      <c r="T3978" s="8"/>
      <c r="U3978" s="8"/>
      <c r="V3978" s="8"/>
      <c r="W3978" s="8"/>
      <c r="X3978" s="771"/>
      <c r="Y3978" s="771"/>
      <c r="Z3978" s="771"/>
      <c r="AA3978" s="771"/>
      <c r="AB3978" s="771"/>
      <c r="AC3978" s="771"/>
      <c r="AD3978" s="771"/>
      <c r="AE3978" s="771"/>
      <c r="AF3978" s="771"/>
      <c r="AG3978" s="771"/>
      <c r="AH3978" s="771"/>
      <c r="AI3978" s="771"/>
      <c r="AJ3978" s="771"/>
      <c r="AK3978" s="771"/>
      <c r="AL3978" s="771"/>
      <c r="AM3978" s="771"/>
      <c r="AN3978" s="771"/>
      <c r="AO3978" s="771"/>
      <c r="AP3978" s="771"/>
      <c r="AQ3978" s="771"/>
      <c r="AR3978" s="771"/>
      <c r="AS3978" s="771"/>
      <c r="AT3978" s="771"/>
      <c r="AU3978" s="771"/>
    </row>
    <row r="3979" spans="1:47" s="15" customFormat="1" outlineLevel="1" x14ac:dyDescent="0.2">
      <c r="A3979" s="8"/>
      <c r="B3979" s="8"/>
      <c r="C3979" s="1989" t="s">
        <v>8883</v>
      </c>
      <c r="D3979" s="1989" t="s">
        <v>8884</v>
      </c>
      <c r="E3979" s="1989">
        <v>6.31</v>
      </c>
      <c r="F3979" s="1546">
        <f t="shared" si="60"/>
        <v>513.13702439999997</v>
      </c>
      <c r="G3979" s="1547"/>
      <c r="H3979" s="8"/>
      <c r="I3979" s="8"/>
      <c r="J3979" s="8"/>
      <c r="K3979" s="8"/>
      <c r="L3979" s="8"/>
      <c r="M3979" s="8"/>
      <c r="N3979" s="8"/>
      <c r="O3979" s="8"/>
      <c r="P3979" s="8"/>
      <c r="Q3979" s="8"/>
      <c r="R3979" s="8"/>
      <c r="S3979" s="8"/>
      <c r="T3979" s="8"/>
      <c r="U3979" s="8"/>
      <c r="V3979" s="8"/>
      <c r="W3979" s="8"/>
      <c r="X3979" s="771"/>
      <c r="Y3979" s="771"/>
      <c r="Z3979" s="771"/>
      <c r="AA3979" s="771"/>
      <c r="AB3979" s="771"/>
      <c r="AC3979" s="771"/>
      <c r="AD3979" s="771"/>
      <c r="AE3979" s="771"/>
      <c r="AF3979" s="771"/>
      <c r="AG3979" s="771"/>
      <c r="AH3979" s="771"/>
      <c r="AI3979" s="771"/>
      <c r="AJ3979" s="771"/>
      <c r="AK3979" s="771"/>
      <c r="AL3979" s="771"/>
      <c r="AM3979" s="771"/>
      <c r="AN3979" s="771"/>
      <c r="AO3979" s="771"/>
      <c r="AP3979" s="771"/>
      <c r="AQ3979" s="771"/>
      <c r="AR3979" s="771"/>
      <c r="AS3979" s="771"/>
      <c r="AT3979" s="771"/>
      <c r="AU3979" s="771"/>
    </row>
    <row r="3980" spans="1:47" s="15" customFormat="1" outlineLevel="1" x14ac:dyDescent="0.2">
      <c r="A3980" s="8"/>
      <c r="B3980" s="8"/>
      <c r="C3980" s="1989" t="s">
        <v>8885</v>
      </c>
      <c r="D3980" s="1989" t="s">
        <v>8886</v>
      </c>
      <c r="E3980" s="1989">
        <v>7.4</v>
      </c>
      <c r="F3980" s="1546">
        <f t="shared" si="60"/>
        <v>601.77717600000005</v>
      </c>
      <c r="G3980" s="1547"/>
      <c r="H3980" s="8"/>
      <c r="I3980" s="8"/>
      <c r="J3980" s="8"/>
      <c r="K3980" s="8"/>
      <c r="L3980" s="8"/>
      <c r="M3980" s="8"/>
      <c r="N3980" s="8"/>
      <c r="O3980" s="8"/>
      <c r="P3980" s="8"/>
      <c r="Q3980" s="8"/>
      <c r="R3980" s="8"/>
      <c r="S3980" s="8"/>
      <c r="T3980" s="8"/>
      <c r="U3980" s="8"/>
      <c r="V3980" s="8"/>
      <c r="W3980" s="8"/>
      <c r="X3980" s="771"/>
      <c r="Y3980" s="771"/>
      <c r="Z3980" s="771"/>
      <c r="AA3980" s="771"/>
      <c r="AB3980" s="771"/>
      <c r="AC3980" s="771"/>
      <c r="AD3980" s="771"/>
      <c r="AE3980" s="771"/>
      <c r="AF3980" s="771"/>
      <c r="AG3980" s="771"/>
      <c r="AH3980" s="771"/>
      <c r="AI3980" s="771"/>
      <c r="AJ3980" s="771"/>
      <c r="AK3980" s="771"/>
      <c r="AL3980" s="771"/>
      <c r="AM3980" s="771"/>
      <c r="AN3980" s="771"/>
      <c r="AO3980" s="771"/>
      <c r="AP3980" s="771"/>
      <c r="AQ3980" s="771"/>
      <c r="AR3980" s="771"/>
      <c r="AS3980" s="771"/>
      <c r="AT3980" s="771"/>
      <c r="AU3980" s="771"/>
    </row>
    <row r="3981" spans="1:47" s="15" customFormat="1" outlineLevel="1" x14ac:dyDescent="0.2">
      <c r="A3981" s="8"/>
      <c r="B3981" s="8"/>
      <c r="C3981" s="1989" t="s">
        <v>8887</v>
      </c>
      <c r="D3981" s="1989" t="s">
        <v>8888</v>
      </c>
      <c r="E3981" s="1989">
        <v>4.66</v>
      </c>
      <c r="F3981" s="1546">
        <f t="shared" si="60"/>
        <v>378.95697840000003</v>
      </c>
      <c r="G3981" s="1547"/>
      <c r="H3981" s="8"/>
      <c r="I3981" s="8"/>
      <c r="J3981" s="8"/>
      <c r="K3981" s="8"/>
      <c r="L3981" s="8"/>
      <c r="M3981" s="8"/>
      <c r="N3981" s="8"/>
      <c r="O3981" s="8"/>
      <c r="P3981" s="8"/>
      <c r="Q3981" s="8"/>
      <c r="R3981" s="8"/>
      <c r="S3981" s="8"/>
      <c r="T3981" s="8"/>
      <c r="U3981" s="8"/>
      <c r="V3981" s="8"/>
      <c r="W3981" s="8"/>
      <c r="X3981" s="771"/>
      <c r="Y3981" s="771"/>
      <c r="Z3981" s="771"/>
      <c r="AA3981" s="771"/>
      <c r="AB3981" s="771"/>
      <c r="AC3981" s="771"/>
      <c r="AD3981" s="771"/>
      <c r="AE3981" s="771"/>
      <c r="AF3981" s="771"/>
      <c r="AG3981" s="771"/>
      <c r="AH3981" s="771"/>
      <c r="AI3981" s="771"/>
      <c r="AJ3981" s="771"/>
      <c r="AK3981" s="771"/>
      <c r="AL3981" s="771"/>
      <c r="AM3981" s="771"/>
      <c r="AN3981" s="771"/>
      <c r="AO3981" s="771"/>
      <c r="AP3981" s="771"/>
      <c r="AQ3981" s="771"/>
      <c r="AR3981" s="771"/>
      <c r="AS3981" s="771"/>
      <c r="AT3981" s="771"/>
      <c r="AU3981" s="771"/>
    </row>
    <row r="3982" spans="1:47" s="15" customFormat="1" outlineLevel="1" x14ac:dyDescent="0.2">
      <c r="A3982" s="8"/>
      <c r="B3982" s="8"/>
      <c r="C3982" s="1989" t="s">
        <v>8889</v>
      </c>
      <c r="D3982" s="1989" t="s">
        <v>8890</v>
      </c>
      <c r="E3982" s="1989">
        <v>5.88</v>
      </c>
      <c r="F3982" s="1546">
        <f t="shared" si="60"/>
        <v>478.16889120000002</v>
      </c>
      <c r="G3982" s="1547"/>
      <c r="H3982" s="8"/>
      <c r="I3982" s="8"/>
      <c r="J3982" s="8"/>
      <c r="K3982" s="8"/>
      <c r="L3982" s="8"/>
      <c r="M3982" s="8"/>
      <c r="N3982" s="8"/>
      <c r="O3982" s="8"/>
      <c r="P3982" s="8"/>
      <c r="Q3982" s="8"/>
      <c r="R3982" s="8"/>
      <c r="S3982" s="8"/>
      <c r="T3982" s="8"/>
      <c r="U3982" s="8"/>
      <c r="V3982" s="8"/>
      <c r="W3982" s="8"/>
      <c r="X3982" s="771"/>
      <c r="Y3982" s="771"/>
      <c r="Z3982" s="771"/>
      <c r="AA3982" s="771"/>
      <c r="AB3982" s="771"/>
      <c r="AC3982" s="771"/>
      <c r="AD3982" s="771"/>
      <c r="AE3982" s="771"/>
      <c r="AF3982" s="771"/>
      <c r="AG3982" s="771"/>
      <c r="AH3982" s="771"/>
      <c r="AI3982" s="771"/>
      <c r="AJ3982" s="771"/>
      <c r="AK3982" s="771"/>
      <c r="AL3982" s="771"/>
      <c r="AM3982" s="771"/>
      <c r="AN3982" s="771"/>
      <c r="AO3982" s="771"/>
      <c r="AP3982" s="771"/>
      <c r="AQ3982" s="771"/>
      <c r="AR3982" s="771"/>
      <c r="AS3982" s="771"/>
      <c r="AT3982" s="771"/>
      <c r="AU3982" s="771"/>
    </row>
    <row r="3983" spans="1:47" s="15" customFormat="1" outlineLevel="1" x14ac:dyDescent="0.2">
      <c r="A3983" s="8"/>
      <c r="B3983" s="8"/>
      <c r="C3983" s="1989" t="s">
        <v>8891</v>
      </c>
      <c r="D3983" s="1989" t="s">
        <v>8892</v>
      </c>
      <c r="E3983" s="1989">
        <v>6.31</v>
      </c>
      <c r="F3983" s="1546">
        <f t="shared" si="60"/>
        <v>513.13702439999997</v>
      </c>
      <c r="G3983" s="1547"/>
      <c r="H3983" s="8"/>
      <c r="I3983" s="8"/>
      <c r="J3983" s="8"/>
      <c r="K3983" s="8"/>
      <c r="L3983" s="8"/>
      <c r="M3983" s="8"/>
      <c r="N3983" s="8"/>
      <c r="O3983" s="8"/>
      <c r="P3983" s="8"/>
      <c r="Q3983" s="8"/>
      <c r="R3983" s="8"/>
      <c r="S3983" s="8"/>
      <c r="T3983" s="8"/>
      <c r="U3983" s="8"/>
      <c r="V3983" s="8"/>
      <c r="W3983" s="8"/>
      <c r="X3983" s="771"/>
      <c r="Y3983" s="771"/>
      <c r="Z3983" s="771"/>
      <c r="AA3983" s="771"/>
      <c r="AB3983" s="771"/>
      <c r="AC3983" s="771"/>
      <c r="AD3983" s="771"/>
      <c r="AE3983" s="771"/>
      <c r="AF3983" s="771"/>
      <c r="AG3983" s="771"/>
      <c r="AH3983" s="771"/>
      <c r="AI3983" s="771"/>
      <c r="AJ3983" s="771"/>
      <c r="AK3983" s="771"/>
      <c r="AL3983" s="771"/>
      <c r="AM3983" s="771"/>
      <c r="AN3983" s="771"/>
      <c r="AO3983" s="771"/>
      <c r="AP3983" s="771"/>
      <c r="AQ3983" s="771"/>
      <c r="AR3983" s="771"/>
      <c r="AS3983" s="771"/>
      <c r="AT3983" s="771"/>
      <c r="AU3983" s="771"/>
    </row>
    <row r="3984" spans="1:47" s="15" customFormat="1" outlineLevel="1" x14ac:dyDescent="0.2">
      <c r="A3984" s="8"/>
      <c r="B3984" s="8"/>
      <c r="C3984" s="1989" t="s">
        <v>8893</v>
      </c>
      <c r="D3984" s="1989" t="s">
        <v>8894</v>
      </c>
      <c r="E3984" s="1989">
        <v>7.4</v>
      </c>
      <c r="F3984" s="1546">
        <f t="shared" si="60"/>
        <v>601.77717600000005</v>
      </c>
      <c r="G3984" s="1547"/>
      <c r="H3984" s="8"/>
      <c r="I3984" s="8"/>
      <c r="J3984" s="8"/>
      <c r="K3984" s="8"/>
      <c r="L3984" s="8"/>
      <c r="M3984" s="8"/>
      <c r="N3984" s="8"/>
      <c r="O3984" s="8"/>
      <c r="P3984" s="8"/>
      <c r="Q3984" s="8"/>
      <c r="R3984" s="8"/>
      <c r="S3984" s="8"/>
      <c r="T3984" s="8"/>
      <c r="U3984" s="8"/>
      <c r="V3984" s="8"/>
      <c r="W3984" s="8"/>
      <c r="X3984" s="771"/>
      <c r="Y3984" s="771"/>
      <c r="Z3984" s="771"/>
      <c r="AA3984" s="771"/>
      <c r="AB3984" s="771"/>
      <c r="AC3984" s="771"/>
      <c r="AD3984" s="771"/>
      <c r="AE3984" s="771"/>
      <c r="AF3984" s="771"/>
      <c r="AG3984" s="771"/>
      <c r="AH3984" s="771"/>
      <c r="AI3984" s="771"/>
      <c r="AJ3984" s="771"/>
      <c r="AK3984" s="771"/>
      <c r="AL3984" s="771"/>
      <c r="AM3984" s="771"/>
      <c r="AN3984" s="771"/>
      <c r="AO3984" s="771"/>
      <c r="AP3984" s="771"/>
      <c r="AQ3984" s="771"/>
      <c r="AR3984" s="771"/>
      <c r="AS3984" s="771"/>
      <c r="AT3984" s="771"/>
      <c r="AU3984" s="771"/>
    </row>
    <row r="3985" spans="1:47" s="15" customFormat="1" outlineLevel="1" x14ac:dyDescent="0.2">
      <c r="A3985" s="8"/>
      <c r="B3985" s="8"/>
      <c r="C3985" s="1989" t="s">
        <v>8895</v>
      </c>
      <c r="D3985" s="1989" t="s">
        <v>8896</v>
      </c>
      <c r="E3985" s="1989">
        <v>12.51</v>
      </c>
      <c r="F3985" s="1546">
        <f t="shared" si="60"/>
        <v>1017.3287124</v>
      </c>
      <c r="G3985" s="1547"/>
      <c r="H3985" s="8"/>
      <c r="I3985" s="8"/>
      <c r="J3985" s="8"/>
      <c r="K3985" s="8"/>
      <c r="L3985" s="8"/>
      <c r="M3985" s="8"/>
      <c r="N3985" s="8"/>
      <c r="O3985" s="8"/>
      <c r="P3985" s="8"/>
      <c r="Q3985" s="8"/>
      <c r="R3985" s="8"/>
      <c r="S3985" s="8"/>
      <c r="T3985" s="8"/>
      <c r="U3985" s="8"/>
      <c r="V3985" s="8"/>
      <c r="W3985" s="8"/>
      <c r="X3985" s="771"/>
      <c r="Y3985" s="771"/>
      <c r="Z3985" s="771"/>
      <c r="AA3985" s="771"/>
      <c r="AB3985" s="771"/>
      <c r="AC3985" s="771"/>
      <c r="AD3985" s="771"/>
      <c r="AE3985" s="771"/>
      <c r="AF3985" s="771"/>
      <c r="AG3985" s="771"/>
      <c r="AH3985" s="771"/>
      <c r="AI3985" s="771"/>
      <c r="AJ3985" s="771"/>
      <c r="AK3985" s="771"/>
      <c r="AL3985" s="771"/>
      <c r="AM3985" s="771"/>
      <c r="AN3985" s="771"/>
      <c r="AO3985" s="771"/>
      <c r="AP3985" s="771"/>
      <c r="AQ3985" s="771"/>
      <c r="AR3985" s="771"/>
      <c r="AS3985" s="771"/>
      <c r="AT3985" s="771"/>
      <c r="AU3985" s="771"/>
    </row>
    <row r="3986" spans="1:47" s="15" customFormat="1" outlineLevel="1" x14ac:dyDescent="0.2">
      <c r="A3986" s="8"/>
      <c r="B3986" s="8"/>
      <c r="C3986" s="1989" t="s">
        <v>8897</v>
      </c>
      <c r="D3986" s="1989" t="s">
        <v>8898</v>
      </c>
      <c r="E3986" s="1989">
        <v>12.51</v>
      </c>
      <c r="F3986" s="1546">
        <f t="shared" si="60"/>
        <v>1017.3287124</v>
      </c>
      <c r="G3986" s="1547"/>
      <c r="H3986" s="8"/>
      <c r="I3986" s="8"/>
      <c r="J3986" s="8"/>
      <c r="K3986" s="8"/>
      <c r="L3986" s="8"/>
      <c r="M3986" s="8"/>
      <c r="N3986" s="8"/>
      <c r="O3986" s="8"/>
      <c r="P3986" s="8"/>
      <c r="Q3986" s="8"/>
      <c r="R3986" s="8"/>
      <c r="S3986" s="8"/>
      <c r="T3986" s="8"/>
      <c r="U3986" s="8"/>
      <c r="V3986" s="8"/>
      <c r="W3986" s="8"/>
      <c r="X3986" s="771"/>
      <c r="Y3986" s="771"/>
      <c r="Z3986" s="771"/>
      <c r="AA3986" s="771"/>
      <c r="AB3986" s="771"/>
      <c r="AC3986" s="771"/>
      <c r="AD3986" s="771"/>
      <c r="AE3986" s="771"/>
      <c r="AF3986" s="771"/>
      <c r="AG3986" s="771"/>
      <c r="AH3986" s="771"/>
      <c r="AI3986" s="771"/>
      <c r="AJ3986" s="771"/>
      <c r="AK3986" s="771"/>
      <c r="AL3986" s="771"/>
      <c r="AM3986" s="771"/>
      <c r="AN3986" s="771"/>
      <c r="AO3986" s="771"/>
      <c r="AP3986" s="771"/>
      <c r="AQ3986" s="771"/>
      <c r="AR3986" s="771"/>
      <c r="AS3986" s="771"/>
      <c r="AT3986" s="771"/>
      <c r="AU3986" s="771"/>
    </row>
    <row r="3987" spans="1:47" s="15" customFormat="1" outlineLevel="1" x14ac:dyDescent="0.2">
      <c r="A3987" s="8"/>
      <c r="B3987" s="8"/>
      <c r="C3987" s="1989" t="s">
        <v>8899</v>
      </c>
      <c r="D3987" s="1989" t="s">
        <v>8900</v>
      </c>
      <c r="E3987" s="1989">
        <v>15.64</v>
      </c>
      <c r="F3987" s="1546">
        <f t="shared" si="60"/>
        <v>1271.8641936000001</v>
      </c>
      <c r="G3987" s="1547"/>
      <c r="H3987" s="8"/>
      <c r="I3987" s="8"/>
      <c r="J3987" s="8"/>
      <c r="K3987" s="8"/>
      <c r="L3987" s="8"/>
      <c r="M3987" s="8"/>
      <c r="N3987" s="8"/>
      <c r="O3987" s="8"/>
      <c r="P3987" s="8"/>
      <c r="Q3987" s="8"/>
      <c r="R3987" s="8"/>
      <c r="S3987" s="8"/>
      <c r="T3987" s="8"/>
      <c r="U3987" s="8"/>
      <c r="V3987" s="8"/>
      <c r="W3987" s="8"/>
      <c r="X3987" s="771"/>
      <c r="Y3987" s="771"/>
      <c r="Z3987" s="771"/>
      <c r="AA3987" s="771"/>
      <c r="AB3987" s="771"/>
      <c r="AC3987" s="771"/>
      <c r="AD3987" s="771"/>
      <c r="AE3987" s="771"/>
      <c r="AF3987" s="771"/>
      <c r="AG3987" s="771"/>
      <c r="AH3987" s="771"/>
      <c r="AI3987" s="771"/>
      <c r="AJ3987" s="771"/>
      <c r="AK3987" s="771"/>
      <c r="AL3987" s="771"/>
      <c r="AM3987" s="771"/>
      <c r="AN3987" s="771"/>
      <c r="AO3987" s="771"/>
      <c r="AP3987" s="771"/>
      <c r="AQ3987" s="771"/>
      <c r="AR3987" s="771"/>
      <c r="AS3987" s="771"/>
      <c r="AT3987" s="771"/>
      <c r="AU3987" s="771"/>
    </row>
    <row r="3988" spans="1:47" s="15" customFormat="1" outlineLevel="1" x14ac:dyDescent="0.2">
      <c r="A3988" s="8"/>
      <c r="B3988" s="8"/>
      <c r="C3988" s="1989" t="s">
        <v>8901</v>
      </c>
      <c r="D3988" s="1989" t="s">
        <v>8902</v>
      </c>
      <c r="E3988" s="1989">
        <v>11.72</v>
      </c>
      <c r="F3988" s="1546">
        <f t="shared" si="60"/>
        <v>953.08493280000005</v>
      </c>
      <c r="G3988" s="1547"/>
      <c r="H3988" s="8"/>
      <c r="I3988" s="8"/>
      <c r="J3988" s="8"/>
      <c r="K3988" s="8"/>
      <c r="L3988" s="8"/>
      <c r="M3988" s="8"/>
      <c r="N3988" s="8"/>
      <c r="O3988" s="8"/>
      <c r="P3988" s="8"/>
      <c r="Q3988" s="8"/>
      <c r="R3988" s="8"/>
      <c r="S3988" s="8"/>
      <c r="T3988" s="8"/>
      <c r="U3988" s="8"/>
      <c r="V3988" s="8"/>
      <c r="W3988" s="8"/>
      <c r="X3988" s="771"/>
      <c r="Y3988" s="771"/>
      <c r="Z3988" s="771"/>
      <c r="AA3988" s="771"/>
      <c r="AB3988" s="771"/>
      <c r="AC3988" s="771"/>
      <c r="AD3988" s="771"/>
      <c r="AE3988" s="771"/>
      <c r="AF3988" s="771"/>
      <c r="AG3988" s="771"/>
      <c r="AH3988" s="771"/>
      <c r="AI3988" s="771"/>
      <c r="AJ3988" s="771"/>
      <c r="AK3988" s="771"/>
      <c r="AL3988" s="771"/>
      <c r="AM3988" s="771"/>
      <c r="AN3988" s="771"/>
      <c r="AO3988" s="771"/>
      <c r="AP3988" s="771"/>
      <c r="AQ3988" s="771"/>
      <c r="AR3988" s="771"/>
      <c r="AS3988" s="771"/>
      <c r="AT3988" s="771"/>
      <c r="AU3988" s="771"/>
    </row>
    <row r="3989" spans="1:47" s="15" customFormat="1" outlineLevel="1" x14ac:dyDescent="0.2">
      <c r="A3989" s="8"/>
      <c r="B3989" s="8"/>
      <c r="C3989" s="1989" t="s">
        <v>8903</v>
      </c>
      <c r="D3989" s="1989" t="s">
        <v>8904</v>
      </c>
      <c r="E3989" s="1989">
        <v>11.72</v>
      </c>
      <c r="F3989" s="1546">
        <f t="shared" si="60"/>
        <v>953.08493280000005</v>
      </c>
      <c r="G3989" s="1547"/>
      <c r="H3989" s="8"/>
      <c r="I3989" s="8"/>
      <c r="J3989" s="8"/>
      <c r="K3989" s="8"/>
      <c r="L3989" s="8"/>
      <c r="M3989" s="8"/>
      <c r="N3989" s="8"/>
      <c r="O3989" s="8"/>
      <c r="P3989" s="8"/>
      <c r="Q3989" s="8"/>
      <c r="R3989" s="8"/>
      <c r="S3989" s="8"/>
      <c r="T3989" s="8"/>
      <c r="U3989" s="8"/>
      <c r="V3989" s="8"/>
      <c r="W3989" s="8"/>
      <c r="X3989" s="771"/>
      <c r="Y3989" s="771"/>
      <c r="Z3989" s="771"/>
      <c r="AA3989" s="771"/>
      <c r="AB3989" s="771"/>
      <c r="AC3989" s="771"/>
      <c r="AD3989" s="771"/>
      <c r="AE3989" s="771"/>
      <c r="AF3989" s="771"/>
      <c r="AG3989" s="771"/>
      <c r="AH3989" s="771"/>
      <c r="AI3989" s="771"/>
      <c r="AJ3989" s="771"/>
      <c r="AK3989" s="771"/>
      <c r="AL3989" s="771"/>
      <c r="AM3989" s="771"/>
      <c r="AN3989" s="771"/>
      <c r="AO3989" s="771"/>
      <c r="AP3989" s="771"/>
      <c r="AQ3989" s="771"/>
      <c r="AR3989" s="771"/>
      <c r="AS3989" s="771"/>
      <c r="AT3989" s="771"/>
      <c r="AU3989" s="771"/>
    </row>
    <row r="3990" spans="1:47" s="15" customFormat="1" outlineLevel="1" x14ac:dyDescent="0.2">
      <c r="A3990" s="8"/>
      <c r="B3990" s="8"/>
      <c r="C3990" s="1989" t="s">
        <v>8905</v>
      </c>
      <c r="D3990" s="1989" t="s">
        <v>8906</v>
      </c>
      <c r="E3990" s="1989">
        <v>5.0199999999999996</v>
      </c>
      <c r="F3990" s="1546">
        <f t="shared" si="60"/>
        <v>408.2326248</v>
      </c>
      <c r="G3990" s="1547"/>
      <c r="H3990" s="8"/>
      <c r="I3990" s="8"/>
      <c r="J3990" s="8"/>
      <c r="K3990" s="8"/>
      <c r="L3990" s="8"/>
      <c r="M3990" s="8"/>
      <c r="N3990" s="8"/>
      <c r="O3990" s="8"/>
      <c r="P3990" s="8"/>
      <c r="Q3990" s="8"/>
      <c r="R3990" s="8"/>
      <c r="S3990" s="8"/>
      <c r="T3990" s="8"/>
      <c r="U3990" s="8"/>
      <c r="V3990" s="8"/>
      <c r="W3990" s="8"/>
      <c r="X3990" s="771"/>
      <c r="Y3990" s="771"/>
      <c r="Z3990" s="771"/>
      <c r="AA3990" s="771"/>
      <c r="AB3990" s="771"/>
      <c r="AC3990" s="771"/>
      <c r="AD3990" s="771"/>
      <c r="AE3990" s="771"/>
      <c r="AF3990" s="771"/>
      <c r="AG3990" s="771"/>
      <c r="AH3990" s="771"/>
      <c r="AI3990" s="771"/>
      <c r="AJ3990" s="771"/>
      <c r="AK3990" s="771"/>
      <c r="AL3990" s="771"/>
      <c r="AM3990" s="771"/>
      <c r="AN3990" s="771"/>
      <c r="AO3990" s="771"/>
      <c r="AP3990" s="771"/>
      <c r="AQ3990" s="771"/>
      <c r="AR3990" s="771"/>
      <c r="AS3990" s="771"/>
      <c r="AT3990" s="771"/>
      <c r="AU3990" s="771"/>
    </row>
    <row r="3991" spans="1:47" s="15" customFormat="1" outlineLevel="1" x14ac:dyDescent="0.2">
      <c r="A3991" s="8"/>
      <c r="B3991" s="8"/>
      <c r="C3991" s="1989" t="s">
        <v>8907</v>
      </c>
      <c r="D3991" s="1989" t="s">
        <v>8908</v>
      </c>
      <c r="E3991" s="1989">
        <v>5.85</v>
      </c>
      <c r="F3991" s="1546">
        <f t="shared" ref="F3991:F4054" si="61">E3991*$G$4*$J$4</f>
        <v>475.72925400000003</v>
      </c>
      <c r="G3991" s="1547"/>
      <c r="H3991" s="8"/>
      <c r="I3991" s="8"/>
      <c r="J3991" s="8"/>
      <c r="K3991" s="8"/>
      <c r="L3991" s="8"/>
      <c r="M3991" s="8"/>
      <c r="N3991" s="8"/>
      <c r="O3991" s="8"/>
      <c r="P3991" s="8"/>
      <c r="Q3991" s="8"/>
      <c r="R3991" s="8"/>
      <c r="S3991" s="8"/>
      <c r="T3991" s="8"/>
      <c r="U3991" s="8"/>
      <c r="V3991" s="8"/>
      <c r="W3991" s="8"/>
      <c r="X3991" s="771"/>
      <c r="Y3991" s="771"/>
      <c r="Z3991" s="771"/>
      <c r="AA3991" s="771"/>
      <c r="AB3991" s="771"/>
      <c r="AC3991" s="771"/>
      <c r="AD3991" s="771"/>
      <c r="AE3991" s="771"/>
      <c r="AF3991" s="771"/>
      <c r="AG3991" s="771"/>
      <c r="AH3991" s="771"/>
      <c r="AI3991" s="771"/>
      <c r="AJ3991" s="771"/>
      <c r="AK3991" s="771"/>
      <c r="AL3991" s="771"/>
      <c r="AM3991" s="771"/>
      <c r="AN3991" s="771"/>
      <c r="AO3991" s="771"/>
      <c r="AP3991" s="771"/>
      <c r="AQ3991" s="771"/>
      <c r="AR3991" s="771"/>
      <c r="AS3991" s="771"/>
      <c r="AT3991" s="771"/>
      <c r="AU3991" s="771"/>
    </row>
    <row r="3992" spans="1:47" s="15" customFormat="1" outlineLevel="1" x14ac:dyDescent="0.2">
      <c r="A3992" s="8"/>
      <c r="B3992" s="8"/>
      <c r="C3992" s="1989" t="s">
        <v>8909</v>
      </c>
      <c r="D3992" s="1989" t="s">
        <v>8910</v>
      </c>
      <c r="E3992" s="1989">
        <v>5.85</v>
      </c>
      <c r="F3992" s="1546">
        <f t="shared" si="61"/>
        <v>475.72925400000003</v>
      </c>
      <c r="G3992" s="1547"/>
      <c r="H3992" s="8"/>
      <c r="I3992" s="8"/>
      <c r="J3992" s="8"/>
      <c r="K3992" s="8"/>
      <c r="L3992" s="8"/>
      <c r="M3992" s="8"/>
      <c r="N3992" s="8"/>
      <c r="O3992" s="8"/>
      <c r="P3992" s="8"/>
      <c r="Q3992" s="8"/>
      <c r="R3992" s="8"/>
      <c r="S3992" s="8"/>
      <c r="T3992" s="8"/>
      <c r="U3992" s="8"/>
      <c r="V3992" s="8"/>
      <c r="W3992" s="8"/>
      <c r="X3992" s="771"/>
      <c r="Y3992" s="771"/>
      <c r="Z3992" s="771"/>
      <c r="AA3992" s="771"/>
      <c r="AB3992" s="771"/>
      <c r="AC3992" s="771"/>
      <c r="AD3992" s="771"/>
      <c r="AE3992" s="771"/>
      <c r="AF3992" s="771"/>
      <c r="AG3992" s="771"/>
      <c r="AH3992" s="771"/>
      <c r="AI3992" s="771"/>
      <c r="AJ3992" s="771"/>
      <c r="AK3992" s="771"/>
      <c r="AL3992" s="771"/>
      <c r="AM3992" s="771"/>
      <c r="AN3992" s="771"/>
      <c r="AO3992" s="771"/>
      <c r="AP3992" s="771"/>
      <c r="AQ3992" s="771"/>
      <c r="AR3992" s="771"/>
      <c r="AS3992" s="771"/>
      <c r="AT3992" s="771"/>
      <c r="AU3992" s="771"/>
    </row>
    <row r="3993" spans="1:47" s="15" customFormat="1" outlineLevel="1" x14ac:dyDescent="0.2">
      <c r="A3993" s="8"/>
      <c r="B3993" s="8"/>
      <c r="C3993" s="1989" t="s">
        <v>8911</v>
      </c>
      <c r="D3993" s="1989" t="s">
        <v>8912</v>
      </c>
      <c r="E3993" s="1989">
        <v>6.31</v>
      </c>
      <c r="F3993" s="1546">
        <f t="shared" si="61"/>
        <v>513.13702439999997</v>
      </c>
      <c r="G3993" s="1547"/>
      <c r="H3993" s="8"/>
      <c r="I3993" s="8"/>
      <c r="J3993" s="8"/>
      <c r="K3993" s="8"/>
      <c r="L3993" s="8"/>
      <c r="M3993" s="8"/>
      <c r="N3993" s="8"/>
      <c r="O3993" s="8"/>
      <c r="P3993" s="8"/>
      <c r="Q3993" s="8"/>
      <c r="R3993" s="8"/>
      <c r="S3993" s="8"/>
      <c r="T3993" s="8"/>
      <c r="U3993" s="8"/>
      <c r="V3993" s="8"/>
      <c r="W3993" s="8"/>
      <c r="X3993" s="771"/>
      <c r="Y3993" s="771"/>
      <c r="Z3993" s="771"/>
      <c r="AA3993" s="771"/>
      <c r="AB3993" s="771"/>
      <c r="AC3993" s="771"/>
      <c r="AD3993" s="771"/>
      <c r="AE3993" s="771"/>
      <c r="AF3993" s="771"/>
      <c r="AG3993" s="771"/>
      <c r="AH3993" s="771"/>
      <c r="AI3993" s="771"/>
      <c r="AJ3993" s="771"/>
      <c r="AK3993" s="771"/>
      <c r="AL3993" s="771"/>
      <c r="AM3993" s="771"/>
      <c r="AN3993" s="771"/>
      <c r="AO3993" s="771"/>
      <c r="AP3993" s="771"/>
      <c r="AQ3993" s="771"/>
      <c r="AR3993" s="771"/>
      <c r="AS3993" s="771"/>
      <c r="AT3993" s="771"/>
      <c r="AU3993" s="771"/>
    </row>
    <row r="3994" spans="1:47" s="15" customFormat="1" outlineLevel="1" x14ac:dyDescent="0.2">
      <c r="A3994" s="8"/>
      <c r="B3994" s="8"/>
      <c r="C3994" s="1989" t="s">
        <v>8913</v>
      </c>
      <c r="D3994" s="1989" t="s">
        <v>8914</v>
      </c>
      <c r="E3994" s="1989">
        <v>6.31</v>
      </c>
      <c r="F3994" s="1546">
        <f t="shared" si="61"/>
        <v>513.13702439999997</v>
      </c>
      <c r="G3994" s="1547"/>
      <c r="H3994" s="8"/>
      <c r="I3994" s="8"/>
      <c r="J3994" s="8"/>
      <c r="K3994" s="8"/>
      <c r="L3994" s="8"/>
      <c r="M3994" s="8"/>
      <c r="N3994" s="8"/>
      <c r="O3994" s="8"/>
      <c r="P3994" s="8"/>
      <c r="Q3994" s="8"/>
      <c r="R3994" s="8"/>
      <c r="S3994" s="8"/>
      <c r="T3994" s="8"/>
      <c r="U3994" s="8"/>
      <c r="V3994" s="8"/>
      <c r="W3994" s="8"/>
      <c r="X3994" s="771"/>
      <c r="Y3994" s="771"/>
      <c r="Z3994" s="771"/>
      <c r="AA3994" s="771"/>
      <c r="AB3994" s="771"/>
      <c r="AC3994" s="771"/>
      <c r="AD3994" s="771"/>
      <c r="AE3994" s="771"/>
      <c r="AF3994" s="771"/>
      <c r="AG3994" s="771"/>
      <c r="AH3994" s="771"/>
      <c r="AI3994" s="771"/>
      <c r="AJ3994" s="771"/>
      <c r="AK3994" s="771"/>
      <c r="AL3994" s="771"/>
      <c r="AM3994" s="771"/>
      <c r="AN3994" s="771"/>
      <c r="AO3994" s="771"/>
      <c r="AP3994" s="771"/>
      <c r="AQ3994" s="771"/>
      <c r="AR3994" s="771"/>
      <c r="AS3994" s="771"/>
      <c r="AT3994" s="771"/>
      <c r="AU3994" s="771"/>
    </row>
    <row r="3995" spans="1:47" s="15" customFormat="1" outlineLevel="1" x14ac:dyDescent="0.2">
      <c r="A3995" s="8"/>
      <c r="B3995" s="8"/>
      <c r="C3995" s="1989" t="s">
        <v>8915</v>
      </c>
      <c r="D3995" s="1989" t="s">
        <v>8916</v>
      </c>
      <c r="E3995" s="1989">
        <v>6.79</v>
      </c>
      <c r="F3995" s="1546">
        <f t="shared" si="61"/>
        <v>552.17121959999997</v>
      </c>
      <c r="G3995" s="1547"/>
      <c r="H3995" s="8"/>
      <c r="I3995" s="8"/>
      <c r="J3995" s="8"/>
      <c r="K3995" s="8"/>
      <c r="L3995" s="8"/>
      <c r="M3995" s="8"/>
      <c r="N3995" s="8"/>
      <c r="O3995" s="8"/>
      <c r="P3995" s="8"/>
      <c r="Q3995" s="8"/>
      <c r="R3995" s="8"/>
      <c r="S3995" s="8"/>
      <c r="T3995" s="8"/>
      <c r="U3995" s="8"/>
      <c r="V3995" s="8"/>
      <c r="W3995" s="8"/>
      <c r="X3995" s="771"/>
      <c r="Y3995" s="771"/>
      <c r="Z3995" s="771"/>
      <c r="AA3995" s="771"/>
      <c r="AB3995" s="771"/>
      <c r="AC3995" s="771"/>
      <c r="AD3995" s="771"/>
      <c r="AE3995" s="771"/>
      <c r="AF3995" s="771"/>
      <c r="AG3995" s="771"/>
      <c r="AH3995" s="771"/>
      <c r="AI3995" s="771"/>
      <c r="AJ3995" s="771"/>
      <c r="AK3995" s="771"/>
      <c r="AL3995" s="771"/>
      <c r="AM3995" s="771"/>
      <c r="AN3995" s="771"/>
      <c r="AO3995" s="771"/>
      <c r="AP3995" s="771"/>
      <c r="AQ3995" s="771"/>
      <c r="AR3995" s="771"/>
      <c r="AS3995" s="771"/>
      <c r="AT3995" s="771"/>
      <c r="AU3995" s="771"/>
    </row>
    <row r="3996" spans="1:47" s="15" customFormat="1" outlineLevel="1" x14ac:dyDescent="0.2">
      <c r="A3996" s="8"/>
      <c r="B3996" s="8"/>
      <c r="C3996" s="1989" t="s">
        <v>8917</v>
      </c>
      <c r="D3996" s="1989" t="s">
        <v>8918</v>
      </c>
      <c r="E3996" s="1989">
        <v>6.79</v>
      </c>
      <c r="F3996" s="1546">
        <f t="shared" si="61"/>
        <v>552.17121959999997</v>
      </c>
      <c r="G3996" s="1547"/>
      <c r="H3996" s="8"/>
      <c r="I3996" s="8"/>
      <c r="J3996" s="8"/>
      <c r="K3996" s="8"/>
      <c r="L3996" s="8"/>
      <c r="M3996" s="8"/>
      <c r="N3996" s="8"/>
      <c r="O3996" s="8"/>
      <c r="P3996" s="8"/>
      <c r="Q3996" s="8"/>
      <c r="R3996" s="8"/>
      <c r="S3996" s="8"/>
      <c r="T3996" s="8"/>
      <c r="U3996" s="8"/>
      <c r="V3996" s="8"/>
      <c r="W3996" s="8"/>
      <c r="X3996" s="771"/>
      <c r="Y3996" s="771"/>
      <c r="Z3996" s="771"/>
      <c r="AA3996" s="771"/>
      <c r="AB3996" s="771"/>
      <c r="AC3996" s="771"/>
      <c r="AD3996" s="771"/>
      <c r="AE3996" s="771"/>
      <c r="AF3996" s="771"/>
      <c r="AG3996" s="771"/>
      <c r="AH3996" s="771"/>
      <c r="AI3996" s="771"/>
      <c r="AJ3996" s="771"/>
      <c r="AK3996" s="771"/>
      <c r="AL3996" s="771"/>
      <c r="AM3996" s="771"/>
      <c r="AN3996" s="771"/>
      <c r="AO3996" s="771"/>
      <c r="AP3996" s="771"/>
      <c r="AQ3996" s="771"/>
      <c r="AR3996" s="771"/>
      <c r="AS3996" s="771"/>
      <c r="AT3996" s="771"/>
      <c r="AU3996" s="771"/>
    </row>
    <row r="3997" spans="1:47" s="15" customFormat="1" outlineLevel="1" x14ac:dyDescent="0.2">
      <c r="A3997" s="8"/>
      <c r="B3997" s="8"/>
      <c r="C3997" s="1989" t="s">
        <v>8919</v>
      </c>
      <c r="D3997" s="1989" t="s">
        <v>8920</v>
      </c>
      <c r="E3997" s="1989">
        <v>7.93</v>
      </c>
      <c r="F3997" s="1546">
        <f t="shared" si="61"/>
        <v>644.87743320000004</v>
      </c>
      <c r="G3997" s="1547"/>
      <c r="H3997" s="8"/>
      <c r="I3997" s="8"/>
      <c r="J3997" s="8"/>
      <c r="K3997" s="8"/>
      <c r="L3997" s="8"/>
      <c r="M3997" s="8"/>
      <c r="N3997" s="8"/>
      <c r="O3997" s="8"/>
      <c r="P3997" s="8"/>
      <c r="Q3997" s="8"/>
      <c r="R3997" s="8"/>
      <c r="S3997" s="8"/>
      <c r="T3997" s="8"/>
      <c r="U3997" s="8"/>
      <c r="V3997" s="8"/>
      <c r="W3997" s="8"/>
      <c r="X3997" s="771"/>
      <c r="Y3997" s="771"/>
      <c r="Z3997" s="771"/>
      <c r="AA3997" s="771"/>
      <c r="AB3997" s="771"/>
      <c r="AC3997" s="771"/>
      <c r="AD3997" s="771"/>
      <c r="AE3997" s="771"/>
      <c r="AF3997" s="771"/>
      <c r="AG3997" s="771"/>
      <c r="AH3997" s="771"/>
      <c r="AI3997" s="771"/>
      <c r="AJ3997" s="771"/>
      <c r="AK3997" s="771"/>
      <c r="AL3997" s="771"/>
      <c r="AM3997" s="771"/>
      <c r="AN3997" s="771"/>
      <c r="AO3997" s="771"/>
      <c r="AP3997" s="771"/>
      <c r="AQ3997" s="771"/>
      <c r="AR3997" s="771"/>
      <c r="AS3997" s="771"/>
      <c r="AT3997" s="771"/>
      <c r="AU3997" s="771"/>
    </row>
    <row r="3998" spans="1:47" s="15" customFormat="1" outlineLevel="1" x14ac:dyDescent="0.2">
      <c r="A3998" s="8"/>
      <c r="B3998" s="8"/>
      <c r="C3998" s="1989" t="s">
        <v>8921</v>
      </c>
      <c r="D3998" s="1989" t="s">
        <v>8922</v>
      </c>
      <c r="E3998" s="1989">
        <v>7.93</v>
      </c>
      <c r="F3998" s="1546">
        <f t="shared" si="61"/>
        <v>644.87743320000004</v>
      </c>
      <c r="G3998" s="1547"/>
      <c r="H3998" s="8"/>
      <c r="I3998" s="8"/>
      <c r="J3998" s="8"/>
      <c r="K3998" s="8"/>
      <c r="L3998" s="8"/>
      <c r="M3998" s="8"/>
      <c r="N3998" s="8"/>
      <c r="O3998" s="8"/>
      <c r="P3998" s="8"/>
      <c r="Q3998" s="8"/>
      <c r="R3998" s="8"/>
      <c r="S3998" s="8"/>
      <c r="T3998" s="8"/>
      <c r="U3998" s="8"/>
      <c r="V3998" s="8"/>
      <c r="W3998" s="8"/>
      <c r="X3998" s="771"/>
      <c r="Y3998" s="771"/>
      <c r="Z3998" s="771"/>
      <c r="AA3998" s="771"/>
      <c r="AB3998" s="771"/>
      <c r="AC3998" s="771"/>
      <c r="AD3998" s="771"/>
      <c r="AE3998" s="771"/>
      <c r="AF3998" s="771"/>
      <c r="AG3998" s="771"/>
      <c r="AH3998" s="771"/>
      <c r="AI3998" s="771"/>
      <c r="AJ3998" s="771"/>
      <c r="AK3998" s="771"/>
      <c r="AL3998" s="771"/>
      <c r="AM3998" s="771"/>
      <c r="AN3998" s="771"/>
      <c r="AO3998" s="771"/>
      <c r="AP3998" s="771"/>
      <c r="AQ3998" s="771"/>
      <c r="AR3998" s="771"/>
      <c r="AS3998" s="771"/>
      <c r="AT3998" s="771"/>
      <c r="AU3998" s="771"/>
    </row>
    <row r="3999" spans="1:47" s="15" customFormat="1" outlineLevel="1" x14ac:dyDescent="0.2">
      <c r="A3999" s="8"/>
      <c r="B3999" s="8"/>
      <c r="C3999" s="1989" t="s">
        <v>8923</v>
      </c>
      <c r="D3999" s="1989" t="s">
        <v>8924</v>
      </c>
      <c r="E3999" s="1989">
        <v>5.63</v>
      </c>
      <c r="F3999" s="1546">
        <f t="shared" si="61"/>
        <v>457.83858119999996</v>
      </c>
      <c r="G3999" s="1547"/>
      <c r="H3999" s="8"/>
      <c r="I3999" s="8"/>
      <c r="J3999" s="8"/>
      <c r="K3999" s="8"/>
      <c r="L3999" s="8"/>
      <c r="M3999" s="8"/>
      <c r="N3999" s="8"/>
      <c r="O3999" s="8"/>
      <c r="P3999" s="8"/>
      <c r="Q3999" s="8"/>
      <c r="R3999" s="8"/>
      <c r="S3999" s="8"/>
      <c r="T3999" s="8"/>
      <c r="U3999" s="8"/>
      <c r="V3999" s="8"/>
      <c r="W3999" s="8"/>
      <c r="X3999" s="771"/>
      <c r="Y3999" s="771"/>
      <c r="Z3999" s="771"/>
      <c r="AA3999" s="771"/>
      <c r="AB3999" s="771"/>
      <c r="AC3999" s="771"/>
      <c r="AD3999" s="771"/>
      <c r="AE3999" s="771"/>
      <c r="AF3999" s="771"/>
      <c r="AG3999" s="771"/>
      <c r="AH3999" s="771"/>
      <c r="AI3999" s="771"/>
      <c r="AJ3999" s="771"/>
      <c r="AK3999" s="771"/>
      <c r="AL3999" s="771"/>
      <c r="AM3999" s="771"/>
      <c r="AN3999" s="771"/>
      <c r="AO3999" s="771"/>
      <c r="AP3999" s="771"/>
      <c r="AQ3999" s="771"/>
      <c r="AR3999" s="771"/>
      <c r="AS3999" s="771"/>
      <c r="AT3999" s="771"/>
      <c r="AU3999" s="771"/>
    </row>
    <row r="4000" spans="1:47" s="15" customFormat="1" outlineLevel="1" x14ac:dyDescent="0.2">
      <c r="A4000" s="8"/>
      <c r="B4000" s="8"/>
      <c r="C4000" s="1989" t="s">
        <v>8925</v>
      </c>
      <c r="D4000" s="1989" t="s">
        <v>8926</v>
      </c>
      <c r="E4000" s="1989">
        <v>5.0199999999999996</v>
      </c>
      <c r="F4000" s="1546">
        <f t="shared" si="61"/>
        <v>408.2326248</v>
      </c>
      <c r="G4000" s="1547"/>
      <c r="H4000" s="8"/>
      <c r="I4000" s="8"/>
      <c r="J4000" s="8"/>
      <c r="K4000" s="8"/>
      <c r="L4000" s="8"/>
      <c r="M4000" s="8"/>
      <c r="N4000" s="8"/>
      <c r="O4000" s="8"/>
      <c r="P4000" s="8"/>
      <c r="Q4000" s="8"/>
      <c r="R4000" s="8"/>
      <c r="S4000" s="8"/>
      <c r="T4000" s="8"/>
      <c r="U4000" s="8"/>
      <c r="V4000" s="8"/>
      <c r="W4000" s="8"/>
      <c r="X4000" s="771"/>
      <c r="Y4000" s="771"/>
      <c r="Z4000" s="771"/>
      <c r="AA4000" s="771"/>
      <c r="AB4000" s="771"/>
      <c r="AC4000" s="771"/>
      <c r="AD4000" s="771"/>
      <c r="AE4000" s="771"/>
      <c r="AF4000" s="771"/>
      <c r="AG4000" s="771"/>
      <c r="AH4000" s="771"/>
      <c r="AI4000" s="771"/>
      <c r="AJ4000" s="771"/>
      <c r="AK4000" s="771"/>
      <c r="AL4000" s="771"/>
      <c r="AM4000" s="771"/>
      <c r="AN4000" s="771"/>
      <c r="AO4000" s="771"/>
      <c r="AP4000" s="771"/>
      <c r="AQ4000" s="771"/>
      <c r="AR4000" s="771"/>
      <c r="AS4000" s="771"/>
      <c r="AT4000" s="771"/>
      <c r="AU4000" s="771"/>
    </row>
    <row r="4001" spans="1:47" s="15" customFormat="1" outlineLevel="1" x14ac:dyDescent="0.2">
      <c r="A4001" s="8"/>
      <c r="B4001" s="8"/>
      <c r="C4001" s="1989" t="s">
        <v>8927</v>
      </c>
      <c r="D4001" s="1989" t="s">
        <v>8928</v>
      </c>
      <c r="E4001" s="1989">
        <v>5.85</v>
      </c>
      <c r="F4001" s="1546">
        <f t="shared" si="61"/>
        <v>475.72925400000003</v>
      </c>
      <c r="G4001" s="1547"/>
      <c r="H4001" s="8"/>
      <c r="I4001" s="8"/>
      <c r="J4001" s="8"/>
      <c r="K4001" s="8"/>
      <c r="L4001" s="8"/>
      <c r="M4001" s="8"/>
      <c r="N4001" s="8"/>
      <c r="O4001" s="8"/>
      <c r="P4001" s="8"/>
      <c r="Q4001" s="8"/>
      <c r="R4001" s="8"/>
      <c r="S4001" s="8"/>
      <c r="T4001" s="8"/>
      <c r="U4001" s="8"/>
      <c r="V4001" s="8"/>
      <c r="W4001" s="8"/>
      <c r="X4001" s="771"/>
      <c r="Y4001" s="771"/>
      <c r="Z4001" s="771"/>
      <c r="AA4001" s="771"/>
      <c r="AB4001" s="771"/>
      <c r="AC4001" s="771"/>
      <c r="AD4001" s="771"/>
      <c r="AE4001" s="771"/>
      <c r="AF4001" s="771"/>
      <c r="AG4001" s="771"/>
      <c r="AH4001" s="771"/>
      <c r="AI4001" s="771"/>
      <c r="AJ4001" s="771"/>
      <c r="AK4001" s="771"/>
      <c r="AL4001" s="771"/>
      <c r="AM4001" s="771"/>
      <c r="AN4001" s="771"/>
      <c r="AO4001" s="771"/>
      <c r="AP4001" s="771"/>
      <c r="AQ4001" s="771"/>
      <c r="AR4001" s="771"/>
      <c r="AS4001" s="771"/>
      <c r="AT4001" s="771"/>
      <c r="AU4001" s="771"/>
    </row>
    <row r="4002" spans="1:47" s="15" customFormat="1" outlineLevel="1" x14ac:dyDescent="0.2">
      <c r="A4002" s="8"/>
      <c r="B4002" s="8"/>
      <c r="C4002" s="1989" t="s">
        <v>8929</v>
      </c>
      <c r="D4002" s="1989" t="s">
        <v>8930</v>
      </c>
      <c r="E4002" s="1989">
        <v>5.85</v>
      </c>
      <c r="F4002" s="1546">
        <f t="shared" si="61"/>
        <v>475.72925400000003</v>
      </c>
      <c r="G4002" s="1547"/>
      <c r="H4002" s="8"/>
      <c r="I4002" s="8"/>
      <c r="J4002" s="8"/>
      <c r="K4002" s="8"/>
      <c r="L4002" s="8"/>
      <c r="M4002" s="8"/>
      <c r="N4002" s="8"/>
      <c r="O4002" s="8"/>
      <c r="P4002" s="8"/>
      <c r="Q4002" s="8"/>
      <c r="R4002" s="8"/>
      <c r="S4002" s="8"/>
      <c r="T4002" s="8"/>
      <c r="U4002" s="8"/>
      <c r="V4002" s="8"/>
      <c r="W4002" s="8"/>
      <c r="X4002" s="771"/>
      <c r="Y4002" s="771"/>
      <c r="Z4002" s="771"/>
      <c r="AA4002" s="771"/>
      <c r="AB4002" s="771"/>
      <c r="AC4002" s="771"/>
      <c r="AD4002" s="771"/>
      <c r="AE4002" s="771"/>
      <c r="AF4002" s="771"/>
      <c r="AG4002" s="771"/>
      <c r="AH4002" s="771"/>
      <c r="AI4002" s="771"/>
      <c r="AJ4002" s="771"/>
      <c r="AK4002" s="771"/>
      <c r="AL4002" s="771"/>
      <c r="AM4002" s="771"/>
      <c r="AN4002" s="771"/>
      <c r="AO4002" s="771"/>
      <c r="AP4002" s="771"/>
      <c r="AQ4002" s="771"/>
      <c r="AR4002" s="771"/>
      <c r="AS4002" s="771"/>
      <c r="AT4002" s="771"/>
      <c r="AU4002" s="771"/>
    </row>
    <row r="4003" spans="1:47" s="15" customFormat="1" outlineLevel="1" x14ac:dyDescent="0.2">
      <c r="A4003" s="8"/>
      <c r="B4003" s="8"/>
      <c r="C4003" s="1989" t="s">
        <v>8931</v>
      </c>
      <c r="D4003" s="1989" t="s">
        <v>8932</v>
      </c>
      <c r="E4003" s="1989">
        <v>6.31</v>
      </c>
      <c r="F4003" s="1546">
        <f t="shared" si="61"/>
        <v>513.13702439999997</v>
      </c>
      <c r="G4003" s="1547"/>
      <c r="H4003" s="8"/>
      <c r="I4003" s="8"/>
      <c r="J4003" s="8"/>
      <c r="K4003" s="8"/>
      <c r="L4003" s="8"/>
      <c r="M4003" s="8"/>
      <c r="N4003" s="8"/>
      <c r="O4003" s="8"/>
      <c r="P4003" s="8"/>
      <c r="Q4003" s="8"/>
      <c r="R4003" s="8"/>
      <c r="S4003" s="8"/>
      <c r="T4003" s="8"/>
      <c r="U4003" s="8"/>
      <c r="V4003" s="8"/>
      <c r="W4003" s="8"/>
      <c r="X4003" s="771"/>
      <c r="Y4003" s="771"/>
      <c r="Z4003" s="771"/>
      <c r="AA4003" s="771"/>
      <c r="AB4003" s="771"/>
      <c r="AC4003" s="771"/>
      <c r="AD4003" s="771"/>
      <c r="AE4003" s="771"/>
      <c r="AF4003" s="771"/>
      <c r="AG4003" s="771"/>
      <c r="AH4003" s="771"/>
      <c r="AI4003" s="771"/>
      <c r="AJ4003" s="771"/>
      <c r="AK4003" s="771"/>
      <c r="AL4003" s="771"/>
      <c r="AM4003" s="771"/>
      <c r="AN4003" s="771"/>
      <c r="AO4003" s="771"/>
      <c r="AP4003" s="771"/>
      <c r="AQ4003" s="771"/>
      <c r="AR4003" s="771"/>
      <c r="AS4003" s="771"/>
      <c r="AT4003" s="771"/>
      <c r="AU4003" s="771"/>
    </row>
    <row r="4004" spans="1:47" s="15" customFormat="1" outlineLevel="1" x14ac:dyDescent="0.2">
      <c r="A4004" s="8"/>
      <c r="B4004" s="8"/>
      <c r="C4004" s="1989" t="s">
        <v>8933</v>
      </c>
      <c r="D4004" s="1989" t="s">
        <v>8934</v>
      </c>
      <c r="E4004" s="1989">
        <v>6.31</v>
      </c>
      <c r="F4004" s="1546">
        <f t="shared" si="61"/>
        <v>513.13702439999997</v>
      </c>
      <c r="G4004" s="1547"/>
      <c r="H4004" s="8"/>
      <c r="I4004" s="8"/>
      <c r="J4004" s="8"/>
      <c r="K4004" s="8"/>
      <c r="L4004" s="8"/>
      <c r="M4004" s="8"/>
      <c r="N4004" s="8"/>
      <c r="O4004" s="8"/>
      <c r="P4004" s="8"/>
      <c r="Q4004" s="8"/>
      <c r="R4004" s="8"/>
      <c r="S4004" s="8"/>
      <c r="T4004" s="8"/>
      <c r="U4004" s="8"/>
      <c r="V4004" s="8"/>
      <c r="W4004" s="8"/>
      <c r="X4004" s="771"/>
      <c r="Y4004" s="771"/>
      <c r="Z4004" s="771"/>
      <c r="AA4004" s="771"/>
      <c r="AB4004" s="771"/>
      <c r="AC4004" s="771"/>
      <c r="AD4004" s="771"/>
      <c r="AE4004" s="771"/>
      <c r="AF4004" s="771"/>
      <c r="AG4004" s="771"/>
      <c r="AH4004" s="771"/>
      <c r="AI4004" s="771"/>
      <c r="AJ4004" s="771"/>
      <c r="AK4004" s="771"/>
      <c r="AL4004" s="771"/>
      <c r="AM4004" s="771"/>
      <c r="AN4004" s="771"/>
      <c r="AO4004" s="771"/>
      <c r="AP4004" s="771"/>
      <c r="AQ4004" s="771"/>
      <c r="AR4004" s="771"/>
      <c r="AS4004" s="771"/>
      <c r="AT4004" s="771"/>
      <c r="AU4004" s="771"/>
    </row>
    <row r="4005" spans="1:47" s="15" customFormat="1" outlineLevel="1" x14ac:dyDescent="0.2">
      <c r="A4005" s="8"/>
      <c r="B4005" s="8"/>
      <c r="C4005" s="1989" t="s">
        <v>8935</v>
      </c>
      <c r="D4005" s="1989" t="s">
        <v>8936</v>
      </c>
      <c r="E4005" s="1989">
        <v>6.79</v>
      </c>
      <c r="F4005" s="1546">
        <f t="shared" si="61"/>
        <v>552.17121959999997</v>
      </c>
      <c r="G4005" s="1547"/>
      <c r="H4005" s="8"/>
      <c r="I4005" s="8"/>
      <c r="J4005" s="8"/>
      <c r="K4005" s="8"/>
      <c r="L4005" s="8"/>
      <c r="M4005" s="8"/>
      <c r="N4005" s="8"/>
      <c r="O4005" s="8"/>
      <c r="P4005" s="8"/>
      <c r="Q4005" s="8"/>
      <c r="R4005" s="8"/>
      <c r="S4005" s="8"/>
      <c r="T4005" s="8"/>
      <c r="U4005" s="8"/>
      <c r="V4005" s="8"/>
      <c r="W4005" s="8"/>
      <c r="X4005" s="771"/>
      <c r="Y4005" s="771"/>
      <c r="Z4005" s="771"/>
      <c r="AA4005" s="771"/>
      <c r="AB4005" s="771"/>
      <c r="AC4005" s="771"/>
      <c r="AD4005" s="771"/>
      <c r="AE4005" s="771"/>
      <c r="AF4005" s="771"/>
      <c r="AG4005" s="771"/>
      <c r="AH4005" s="771"/>
      <c r="AI4005" s="771"/>
      <c r="AJ4005" s="771"/>
      <c r="AK4005" s="771"/>
      <c r="AL4005" s="771"/>
      <c r="AM4005" s="771"/>
      <c r="AN4005" s="771"/>
      <c r="AO4005" s="771"/>
      <c r="AP4005" s="771"/>
      <c r="AQ4005" s="771"/>
      <c r="AR4005" s="771"/>
      <c r="AS4005" s="771"/>
      <c r="AT4005" s="771"/>
      <c r="AU4005" s="771"/>
    </row>
    <row r="4006" spans="1:47" s="15" customFormat="1" outlineLevel="1" x14ac:dyDescent="0.2">
      <c r="A4006" s="8"/>
      <c r="B4006" s="8"/>
      <c r="C4006" s="1989" t="s">
        <v>8937</v>
      </c>
      <c r="D4006" s="1989" t="s">
        <v>8938</v>
      </c>
      <c r="E4006" s="1989">
        <v>6.79</v>
      </c>
      <c r="F4006" s="1546">
        <f t="shared" si="61"/>
        <v>552.17121959999997</v>
      </c>
      <c r="G4006" s="1547"/>
      <c r="H4006" s="8"/>
      <c r="I4006" s="8"/>
      <c r="J4006" s="8"/>
      <c r="K4006" s="8"/>
      <c r="L4006" s="8"/>
      <c r="M4006" s="8"/>
      <c r="N4006" s="8"/>
      <c r="O4006" s="8"/>
      <c r="P4006" s="8"/>
      <c r="Q4006" s="8"/>
      <c r="R4006" s="8"/>
      <c r="S4006" s="8"/>
      <c r="T4006" s="8"/>
      <c r="U4006" s="8"/>
      <c r="V4006" s="8"/>
      <c r="W4006" s="8"/>
      <c r="X4006" s="771"/>
      <c r="Y4006" s="771"/>
      <c r="Z4006" s="771"/>
      <c r="AA4006" s="771"/>
      <c r="AB4006" s="771"/>
      <c r="AC4006" s="771"/>
      <c r="AD4006" s="771"/>
      <c r="AE4006" s="771"/>
      <c r="AF4006" s="771"/>
      <c r="AG4006" s="771"/>
      <c r="AH4006" s="771"/>
      <c r="AI4006" s="771"/>
      <c r="AJ4006" s="771"/>
      <c r="AK4006" s="771"/>
      <c r="AL4006" s="771"/>
      <c r="AM4006" s="771"/>
      <c r="AN4006" s="771"/>
      <c r="AO4006" s="771"/>
      <c r="AP4006" s="771"/>
      <c r="AQ4006" s="771"/>
      <c r="AR4006" s="771"/>
      <c r="AS4006" s="771"/>
      <c r="AT4006" s="771"/>
      <c r="AU4006" s="771"/>
    </row>
    <row r="4007" spans="1:47" s="15" customFormat="1" outlineLevel="1" x14ac:dyDescent="0.2">
      <c r="A4007" s="8"/>
      <c r="B4007" s="8"/>
      <c r="C4007" s="1989" t="s">
        <v>8939</v>
      </c>
      <c r="D4007" s="1989" t="s">
        <v>8940</v>
      </c>
      <c r="E4007" s="1989">
        <v>7.93</v>
      </c>
      <c r="F4007" s="1546">
        <f t="shared" si="61"/>
        <v>644.87743320000004</v>
      </c>
      <c r="G4007" s="1547"/>
      <c r="H4007" s="8"/>
      <c r="I4007" s="8"/>
      <c r="J4007" s="8"/>
      <c r="K4007" s="8"/>
      <c r="L4007" s="8"/>
      <c r="M4007" s="8"/>
      <c r="N4007" s="8"/>
      <c r="O4007" s="8"/>
      <c r="P4007" s="8"/>
      <c r="Q4007" s="8"/>
      <c r="R4007" s="8"/>
      <c r="S4007" s="8"/>
      <c r="T4007" s="8"/>
      <c r="U4007" s="8"/>
      <c r="V4007" s="8"/>
      <c r="W4007" s="8"/>
      <c r="X4007" s="771"/>
      <c r="Y4007" s="771"/>
      <c r="Z4007" s="771"/>
      <c r="AA4007" s="771"/>
      <c r="AB4007" s="771"/>
      <c r="AC4007" s="771"/>
      <c r="AD4007" s="771"/>
      <c r="AE4007" s="771"/>
      <c r="AF4007" s="771"/>
      <c r="AG4007" s="771"/>
      <c r="AH4007" s="771"/>
      <c r="AI4007" s="771"/>
      <c r="AJ4007" s="771"/>
      <c r="AK4007" s="771"/>
      <c r="AL4007" s="771"/>
      <c r="AM4007" s="771"/>
      <c r="AN4007" s="771"/>
      <c r="AO4007" s="771"/>
      <c r="AP4007" s="771"/>
      <c r="AQ4007" s="771"/>
      <c r="AR4007" s="771"/>
      <c r="AS4007" s="771"/>
      <c r="AT4007" s="771"/>
      <c r="AU4007" s="771"/>
    </row>
    <row r="4008" spans="1:47" s="15" customFormat="1" outlineLevel="1" x14ac:dyDescent="0.2">
      <c r="A4008" s="8"/>
      <c r="B4008" s="8"/>
      <c r="C4008" s="1989" t="s">
        <v>8941</v>
      </c>
      <c r="D4008" s="1989" t="s">
        <v>8942</v>
      </c>
      <c r="E4008" s="1989">
        <v>7.93</v>
      </c>
      <c r="F4008" s="1546">
        <f t="shared" si="61"/>
        <v>644.87743320000004</v>
      </c>
      <c r="G4008" s="1547"/>
      <c r="H4008" s="8"/>
      <c r="I4008" s="8"/>
      <c r="J4008" s="8"/>
      <c r="K4008" s="8"/>
      <c r="L4008" s="8"/>
      <c r="M4008" s="8"/>
      <c r="N4008" s="8"/>
      <c r="O4008" s="8"/>
      <c r="P4008" s="8"/>
      <c r="Q4008" s="8"/>
      <c r="R4008" s="8"/>
      <c r="S4008" s="8"/>
      <c r="T4008" s="8"/>
      <c r="U4008" s="8"/>
      <c r="V4008" s="8"/>
      <c r="W4008" s="8"/>
      <c r="X4008" s="771"/>
      <c r="Y4008" s="771"/>
      <c r="Z4008" s="771"/>
      <c r="AA4008" s="771"/>
      <c r="AB4008" s="771"/>
      <c r="AC4008" s="771"/>
      <c r="AD4008" s="771"/>
      <c r="AE4008" s="771"/>
      <c r="AF4008" s="771"/>
      <c r="AG4008" s="771"/>
      <c r="AH4008" s="771"/>
      <c r="AI4008" s="771"/>
      <c r="AJ4008" s="771"/>
      <c r="AK4008" s="771"/>
      <c r="AL4008" s="771"/>
      <c r="AM4008" s="771"/>
      <c r="AN4008" s="771"/>
      <c r="AO4008" s="771"/>
      <c r="AP4008" s="771"/>
      <c r="AQ4008" s="771"/>
      <c r="AR4008" s="771"/>
      <c r="AS4008" s="771"/>
      <c r="AT4008" s="771"/>
      <c r="AU4008" s="771"/>
    </row>
    <row r="4009" spans="1:47" s="15" customFormat="1" outlineLevel="1" x14ac:dyDescent="0.2">
      <c r="A4009" s="8"/>
      <c r="B4009" s="8"/>
      <c r="C4009" s="1989" t="s">
        <v>8943</v>
      </c>
      <c r="D4009" s="1989" t="s">
        <v>8944</v>
      </c>
      <c r="E4009" s="1989">
        <v>19.510000000000002</v>
      </c>
      <c r="F4009" s="1546">
        <f t="shared" si="61"/>
        <v>1586.5773924000002</v>
      </c>
      <c r="G4009" s="1547"/>
      <c r="H4009" s="8"/>
      <c r="I4009" s="8"/>
      <c r="J4009" s="8"/>
      <c r="K4009" s="8"/>
      <c r="L4009" s="8"/>
      <c r="M4009" s="8"/>
      <c r="N4009" s="8"/>
      <c r="O4009" s="8"/>
      <c r="P4009" s="8"/>
      <c r="Q4009" s="8"/>
      <c r="R4009" s="8"/>
      <c r="S4009" s="8"/>
      <c r="T4009" s="8"/>
      <c r="U4009" s="8"/>
      <c r="V4009" s="8"/>
      <c r="W4009" s="8"/>
      <c r="X4009" s="771"/>
      <c r="Y4009" s="771"/>
      <c r="Z4009" s="771"/>
      <c r="AA4009" s="771"/>
      <c r="AB4009" s="771"/>
      <c r="AC4009" s="771"/>
      <c r="AD4009" s="771"/>
      <c r="AE4009" s="771"/>
      <c r="AF4009" s="771"/>
      <c r="AG4009" s="771"/>
      <c r="AH4009" s="771"/>
      <c r="AI4009" s="771"/>
      <c r="AJ4009" s="771"/>
      <c r="AK4009" s="771"/>
      <c r="AL4009" s="771"/>
      <c r="AM4009" s="771"/>
      <c r="AN4009" s="771"/>
      <c r="AO4009" s="771"/>
      <c r="AP4009" s="771"/>
      <c r="AQ4009" s="771"/>
      <c r="AR4009" s="771"/>
      <c r="AS4009" s="771"/>
      <c r="AT4009" s="771"/>
      <c r="AU4009" s="771"/>
    </row>
    <row r="4010" spans="1:47" s="15" customFormat="1" outlineLevel="1" x14ac:dyDescent="0.2">
      <c r="A4010" s="8"/>
      <c r="B4010" s="8"/>
      <c r="C4010" s="1989" t="s">
        <v>8945</v>
      </c>
      <c r="D4010" s="1989" t="s">
        <v>8946</v>
      </c>
      <c r="E4010" s="1989">
        <v>19.510000000000002</v>
      </c>
      <c r="F4010" s="1546">
        <f t="shared" si="61"/>
        <v>1586.5773924000002</v>
      </c>
      <c r="G4010" s="1547"/>
      <c r="H4010" s="8"/>
      <c r="I4010" s="8"/>
      <c r="J4010" s="8"/>
      <c r="K4010" s="8"/>
      <c r="L4010" s="8"/>
      <c r="M4010" s="8"/>
      <c r="N4010" s="8"/>
      <c r="O4010" s="8"/>
      <c r="P4010" s="8"/>
      <c r="Q4010" s="8"/>
      <c r="R4010" s="8"/>
      <c r="S4010" s="8"/>
      <c r="T4010" s="8"/>
      <c r="U4010" s="8"/>
      <c r="V4010" s="8"/>
      <c r="W4010" s="8"/>
      <c r="X4010" s="771"/>
      <c r="Y4010" s="771"/>
      <c r="Z4010" s="771"/>
      <c r="AA4010" s="771"/>
      <c r="AB4010" s="771"/>
      <c r="AC4010" s="771"/>
      <c r="AD4010" s="771"/>
      <c r="AE4010" s="771"/>
      <c r="AF4010" s="771"/>
      <c r="AG4010" s="771"/>
      <c r="AH4010" s="771"/>
      <c r="AI4010" s="771"/>
      <c r="AJ4010" s="771"/>
      <c r="AK4010" s="771"/>
      <c r="AL4010" s="771"/>
      <c r="AM4010" s="771"/>
      <c r="AN4010" s="771"/>
      <c r="AO4010" s="771"/>
      <c r="AP4010" s="771"/>
      <c r="AQ4010" s="771"/>
      <c r="AR4010" s="771"/>
      <c r="AS4010" s="771"/>
      <c r="AT4010" s="771"/>
      <c r="AU4010" s="771"/>
    </row>
    <row r="4011" spans="1:47" s="15" customFormat="1" outlineLevel="1" x14ac:dyDescent="0.2">
      <c r="A4011" s="8"/>
      <c r="B4011" s="8"/>
      <c r="C4011" s="1989" t="s">
        <v>8947</v>
      </c>
      <c r="D4011" s="1989" t="s">
        <v>8948</v>
      </c>
      <c r="E4011" s="1989">
        <v>20.57</v>
      </c>
      <c r="F4011" s="1546">
        <f t="shared" si="61"/>
        <v>1672.7779068000002</v>
      </c>
      <c r="G4011" s="1547"/>
      <c r="H4011" s="8"/>
      <c r="I4011" s="8"/>
      <c r="J4011" s="8"/>
      <c r="K4011" s="8"/>
      <c r="L4011" s="8"/>
      <c r="M4011" s="8"/>
      <c r="N4011" s="8"/>
      <c r="O4011" s="8"/>
      <c r="P4011" s="8"/>
      <c r="Q4011" s="8"/>
      <c r="R4011" s="8"/>
      <c r="S4011" s="8"/>
      <c r="T4011" s="8"/>
      <c r="U4011" s="8"/>
      <c r="V4011" s="8"/>
      <c r="W4011" s="8"/>
      <c r="X4011" s="771"/>
      <c r="Y4011" s="771"/>
      <c r="Z4011" s="771"/>
      <c r="AA4011" s="771"/>
      <c r="AB4011" s="771"/>
      <c r="AC4011" s="771"/>
      <c r="AD4011" s="771"/>
      <c r="AE4011" s="771"/>
      <c r="AF4011" s="771"/>
      <c r="AG4011" s="771"/>
      <c r="AH4011" s="771"/>
      <c r="AI4011" s="771"/>
      <c r="AJ4011" s="771"/>
      <c r="AK4011" s="771"/>
      <c r="AL4011" s="771"/>
      <c r="AM4011" s="771"/>
      <c r="AN4011" s="771"/>
      <c r="AO4011" s="771"/>
      <c r="AP4011" s="771"/>
      <c r="AQ4011" s="771"/>
      <c r="AR4011" s="771"/>
      <c r="AS4011" s="771"/>
      <c r="AT4011" s="771"/>
      <c r="AU4011" s="771"/>
    </row>
    <row r="4012" spans="1:47" s="15" customFormat="1" outlineLevel="1" x14ac:dyDescent="0.2">
      <c r="A4012" s="8"/>
      <c r="B4012" s="8"/>
      <c r="C4012" s="1989" t="s">
        <v>8949</v>
      </c>
      <c r="D4012" s="1989" t="s">
        <v>8950</v>
      </c>
      <c r="E4012" s="1989">
        <v>20.57</v>
      </c>
      <c r="F4012" s="1546">
        <f t="shared" si="61"/>
        <v>1672.7779068000002</v>
      </c>
      <c r="G4012" s="1547"/>
      <c r="H4012" s="8"/>
      <c r="I4012" s="8"/>
      <c r="J4012" s="8"/>
      <c r="K4012" s="8"/>
      <c r="L4012" s="8"/>
      <c r="M4012" s="8"/>
      <c r="N4012" s="8"/>
      <c r="O4012" s="8"/>
      <c r="P4012" s="8"/>
      <c r="Q4012" s="8"/>
      <c r="R4012" s="8"/>
      <c r="S4012" s="8"/>
      <c r="T4012" s="8"/>
      <c r="U4012" s="8"/>
      <c r="V4012" s="8"/>
      <c r="W4012" s="8"/>
      <c r="X4012" s="771"/>
      <c r="Y4012" s="771"/>
      <c r="Z4012" s="771"/>
      <c r="AA4012" s="771"/>
      <c r="AB4012" s="771"/>
      <c r="AC4012" s="771"/>
      <c r="AD4012" s="771"/>
      <c r="AE4012" s="771"/>
      <c r="AF4012" s="771"/>
      <c r="AG4012" s="771"/>
      <c r="AH4012" s="771"/>
      <c r="AI4012" s="771"/>
      <c r="AJ4012" s="771"/>
      <c r="AK4012" s="771"/>
      <c r="AL4012" s="771"/>
      <c r="AM4012" s="771"/>
      <c r="AN4012" s="771"/>
      <c r="AO4012" s="771"/>
      <c r="AP4012" s="771"/>
      <c r="AQ4012" s="771"/>
      <c r="AR4012" s="771"/>
      <c r="AS4012" s="771"/>
      <c r="AT4012" s="771"/>
      <c r="AU4012" s="771"/>
    </row>
    <row r="4013" spans="1:47" s="15" customFormat="1" outlineLevel="1" x14ac:dyDescent="0.2">
      <c r="A4013" s="8"/>
      <c r="B4013" s="8"/>
      <c r="C4013" s="1989" t="s">
        <v>8951</v>
      </c>
      <c r="D4013" s="1989" t="s">
        <v>8952</v>
      </c>
      <c r="E4013" s="1989">
        <v>20.57</v>
      </c>
      <c r="F4013" s="1546">
        <f t="shared" si="61"/>
        <v>1672.7779068000002</v>
      </c>
      <c r="G4013" s="1547"/>
      <c r="H4013" s="8"/>
      <c r="I4013" s="8"/>
      <c r="J4013" s="8"/>
      <c r="K4013" s="8"/>
      <c r="L4013" s="8"/>
      <c r="M4013" s="8"/>
      <c r="N4013" s="8"/>
      <c r="O4013" s="8"/>
      <c r="P4013" s="8"/>
      <c r="Q4013" s="8"/>
      <c r="R4013" s="8"/>
      <c r="S4013" s="8"/>
      <c r="T4013" s="8"/>
      <c r="U4013" s="8"/>
      <c r="V4013" s="8"/>
      <c r="W4013" s="8"/>
      <c r="X4013" s="771"/>
      <c r="Y4013" s="771"/>
      <c r="Z4013" s="771"/>
      <c r="AA4013" s="771"/>
      <c r="AB4013" s="771"/>
      <c r="AC4013" s="771"/>
      <c r="AD4013" s="771"/>
      <c r="AE4013" s="771"/>
      <c r="AF4013" s="771"/>
      <c r="AG4013" s="771"/>
      <c r="AH4013" s="771"/>
      <c r="AI4013" s="771"/>
      <c r="AJ4013" s="771"/>
      <c r="AK4013" s="771"/>
      <c r="AL4013" s="771"/>
      <c r="AM4013" s="771"/>
      <c r="AN4013" s="771"/>
      <c r="AO4013" s="771"/>
      <c r="AP4013" s="771"/>
      <c r="AQ4013" s="771"/>
      <c r="AR4013" s="771"/>
      <c r="AS4013" s="771"/>
      <c r="AT4013" s="771"/>
      <c r="AU4013" s="771"/>
    </row>
    <row r="4014" spans="1:47" s="15" customFormat="1" outlineLevel="1" x14ac:dyDescent="0.2">
      <c r="A4014" s="8"/>
      <c r="B4014" s="8"/>
      <c r="C4014" s="1989" t="s">
        <v>8953</v>
      </c>
      <c r="D4014" s="1989" t="s">
        <v>8954</v>
      </c>
      <c r="E4014" s="1989">
        <v>20.57</v>
      </c>
      <c r="F4014" s="1546">
        <f t="shared" si="61"/>
        <v>1672.7779068000002</v>
      </c>
      <c r="G4014" s="1547"/>
      <c r="H4014" s="8"/>
      <c r="I4014" s="8"/>
      <c r="J4014" s="8"/>
      <c r="K4014" s="8"/>
      <c r="L4014" s="8"/>
      <c r="M4014" s="8"/>
      <c r="N4014" s="8"/>
      <c r="O4014" s="8"/>
      <c r="P4014" s="8"/>
      <c r="Q4014" s="8"/>
      <c r="R4014" s="8"/>
      <c r="S4014" s="8"/>
      <c r="T4014" s="8"/>
      <c r="U4014" s="8"/>
      <c r="V4014" s="8"/>
      <c r="W4014" s="8"/>
      <c r="X4014" s="771"/>
      <c r="Y4014" s="771"/>
      <c r="Z4014" s="771"/>
      <c r="AA4014" s="771"/>
      <c r="AB4014" s="771"/>
      <c r="AC4014" s="771"/>
      <c r="AD4014" s="771"/>
      <c r="AE4014" s="771"/>
      <c r="AF4014" s="771"/>
      <c r="AG4014" s="771"/>
      <c r="AH4014" s="771"/>
      <c r="AI4014" s="771"/>
      <c r="AJ4014" s="771"/>
      <c r="AK4014" s="771"/>
      <c r="AL4014" s="771"/>
      <c r="AM4014" s="771"/>
      <c r="AN4014" s="771"/>
      <c r="AO4014" s="771"/>
      <c r="AP4014" s="771"/>
      <c r="AQ4014" s="771"/>
      <c r="AR4014" s="771"/>
      <c r="AS4014" s="771"/>
      <c r="AT4014" s="771"/>
      <c r="AU4014" s="771"/>
    </row>
    <row r="4015" spans="1:47" s="15" customFormat="1" outlineLevel="1" x14ac:dyDescent="0.2">
      <c r="A4015" s="8"/>
      <c r="B4015" s="8"/>
      <c r="C4015" s="1989" t="s">
        <v>8955</v>
      </c>
      <c r="D4015" s="1989" t="s">
        <v>8956</v>
      </c>
      <c r="E4015" s="1989">
        <v>5.85</v>
      </c>
      <c r="F4015" s="1546">
        <f t="shared" si="61"/>
        <v>475.72925400000003</v>
      </c>
      <c r="G4015" s="1547"/>
      <c r="H4015" s="8"/>
      <c r="I4015" s="8"/>
      <c r="J4015" s="8"/>
      <c r="K4015" s="8"/>
      <c r="L4015" s="8"/>
      <c r="M4015" s="8"/>
      <c r="N4015" s="8"/>
      <c r="O4015" s="8"/>
      <c r="P4015" s="8"/>
      <c r="Q4015" s="8"/>
      <c r="R4015" s="8"/>
      <c r="S4015" s="8"/>
      <c r="T4015" s="8"/>
      <c r="U4015" s="8"/>
      <c r="V4015" s="8"/>
      <c r="W4015" s="8"/>
      <c r="X4015" s="771"/>
      <c r="Y4015" s="771"/>
      <c r="Z4015" s="771"/>
      <c r="AA4015" s="771"/>
      <c r="AB4015" s="771"/>
      <c r="AC4015" s="771"/>
      <c r="AD4015" s="771"/>
      <c r="AE4015" s="771"/>
      <c r="AF4015" s="771"/>
      <c r="AG4015" s="771"/>
      <c r="AH4015" s="771"/>
      <c r="AI4015" s="771"/>
      <c r="AJ4015" s="771"/>
      <c r="AK4015" s="771"/>
      <c r="AL4015" s="771"/>
      <c r="AM4015" s="771"/>
      <c r="AN4015" s="771"/>
      <c r="AO4015" s="771"/>
      <c r="AP4015" s="771"/>
      <c r="AQ4015" s="771"/>
      <c r="AR4015" s="771"/>
      <c r="AS4015" s="771"/>
      <c r="AT4015" s="771"/>
      <c r="AU4015" s="771"/>
    </row>
    <row r="4016" spans="1:47" s="15" customFormat="1" outlineLevel="1" x14ac:dyDescent="0.2">
      <c r="A4016" s="8"/>
      <c r="B4016" s="8"/>
      <c r="C4016" s="1989" t="s">
        <v>8957</v>
      </c>
      <c r="D4016" s="1989" t="s">
        <v>8958</v>
      </c>
      <c r="E4016" s="1989">
        <v>6.31</v>
      </c>
      <c r="F4016" s="1546">
        <f t="shared" si="61"/>
        <v>513.13702439999997</v>
      </c>
      <c r="G4016" s="1547"/>
      <c r="H4016" s="8"/>
      <c r="I4016" s="8"/>
      <c r="J4016" s="8"/>
      <c r="K4016" s="8"/>
      <c r="L4016" s="8"/>
      <c r="M4016" s="8"/>
      <c r="N4016" s="8"/>
      <c r="O4016" s="8"/>
      <c r="P4016" s="8"/>
      <c r="Q4016" s="8"/>
      <c r="R4016" s="8"/>
      <c r="S4016" s="8"/>
      <c r="T4016" s="8"/>
      <c r="U4016" s="8"/>
      <c r="V4016" s="8"/>
      <c r="W4016" s="8"/>
      <c r="X4016" s="771"/>
      <c r="Y4016" s="771"/>
      <c r="Z4016" s="771"/>
      <c r="AA4016" s="771"/>
      <c r="AB4016" s="771"/>
      <c r="AC4016" s="771"/>
      <c r="AD4016" s="771"/>
      <c r="AE4016" s="771"/>
      <c r="AF4016" s="771"/>
      <c r="AG4016" s="771"/>
      <c r="AH4016" s="771"/>
      <c r="AI4016" s="771"/>
      <c r="AJ4016" s="771"/>
      <c r="AK4016" s="771"/>
      <c r="AL4016" s="771"/>
      <c r="AM4016" s="771"/>
      <c r="AN4016" s="771"/>
      <c r="AO4016" s="771"/>
      <c r="AP4016" s="771"/>
      <c r="AQ4016" s="771"/>
      <c r="AR4016" s="771"/>
      <c r="AS4016" s="771"/>
      <c r="AT4016" s="771"/>
      <c r="AU4016" s="771"/>
    </row>
    <row r="4017" spans="1:47" s="15" customFormat="1" outlineLevel="1" x14ac:dyDescent="0.2">
      <c r="A4017" s="8"/>
      <c r="B4017" s="8"/>
      <c r="C4017" s="1989" t="s">
        <v>8959</v>
      </c>
      <c r="D4017" s="1989" t="s">
        <v>8960</v>
      </c>
      <c r="E4017" s="1989">
        <v>6.79</v>
      </c>
      <c r="F4017" s="1546">
        <f t="shared" si="61"/>
        <v>552.17121959999997</v>
      </c>
      <c r="G4017" s="1547"/>
      <c r="H4017" s="8"/>
      <c r="I4017" s="8"/>
      <c r="J4017" s="8"/>
      <c r="K4017" s="8"/>
      <c r="L4017" s="8"/>
      <c r="M4017" s="8"/>
      <c r="N4017" s="8"/>
      <c r="O4017" s="8"/>
      <c r="P4017" s="8"/>
      <c r="Q4017" s="8"/>
      <c r="R4017" s="8"/>
      <c r="S4017" s="8"/>
      <c r="T4017" s="8"/>
      <c r="U4017" s="8"/>
      <c r="V4017" s="8"/>
      <c r="W4017" s="8"/>
      <c r="X4017" s="771"/>
      <c r="Y4017" s="771"/>
      <c r="Z4017" s="771"/>
      <c r="AA4017" s="771"/>
      <c r="AB4017" s="771"/>
      <c r="AC4017" s="771"/>
      <c r="AD4017" s="771"/>
      <c r="AE4017" s="771"/>
      <c r="AF4017" s="771"/>
      <c r="AG4017" s="771"/>
      <c r="AH4017" s="771"/>
      <c r="AI4017" s="771"/>
      <c r="AJ4017" s="771"/>
      <c r="AK4017" s="771"/>
      <c r="AL4017" s="771"/>
      <c r="AM4017" s="771"/>
      <c r="AN4017" s="771"/>
      <c r="AO4017" s="771"/>
      <c r="AP4017" s="771"/>
      <c r="AQ4017" s="771"/>
      <c r="AR4017" s="771"/>
      <c r="AS4017" s="771"/>
      <c r="AT4017" s="771"/>
      <c r="AU4017" s="771"/>
    </row>
    <row r="4018" spans="1:47" s="15" customFormat="1" outlineLevel="1" x14ac:dyDescent="0.2">
      <c r="A4018" s="8"/>
      <c r="B4018" s="8"/>
      <c r="C4018" s="1989" t="s">
        <v>8961</v>
      </c>
      <c r="D4018" s="1989" t="s">
        <v>8962</v>
      </c>
      <c r="E4018" s="1989">
        <v>7.93</v>
      </c>
      <c r="F4018" s="1546">
        <f t="shared" si="61"/>
        <v>644.87743320000004</v>
      </c>
      <c r="G4018" s="1547"/>
      <c r="H4018" s="8"/>
      <c r="I4018" s="8"/>
      <c r="J4018" s="8"/>
      <c r="K4018" s="8"/>
      <c r="L4018" s="8"/>
      <c r="M4018" s="8"/>
      <c r="N4018" s="8"/>
      <c r="O4018" s="8"/>
      <c r="P4018" s="8"/>
      <c r="Q4018" s="8"/>
      <c r="R4018" s="8"/>
      <c r="S4018" s="8"/>
      <c r="T4018" s="8"/>
      <c r="U4018" s="8"/>
      <c r="V4018" s="8"/>
      <c r="W4018" s="8"/>
      <c r="X4018" s="771"/>
      <c r="Y4018" s="771"/>
      <c r="Z4018" s="771"/>
      <c r="AA4018" s="771"/>
      <c r="AB4018" s="771"/>
      <c r="AC4018" s="771"/>
      <c r="AD4018" s="771"/>
      <c r="AE4018" s="771"/>
      <c r="AF4018" s="771"/>
      <c r="AG4018" s="771"/>
      <c r="AH4018" s="771"/>
      <c r="AI4018" s="771"/>
      <c r="AJ4018" s="771"/>
      <c r="AK4018" s="771"/>
      <c r="AL4018" s="771"/>
      <c r="AM4018" s="771"/>
      <c r="AN4018" s="771"/>
      <c r="AO4018" s="771"/>
      <c r="AP4018" s="771"/>
      <c r="AQ4018" s="771"/>
      <c r="AR4018" s="771"/>
      <c r="AS4018" s="771"/>
      <c r="AT4018" s="771"/>
      <c r="AU4018" s="771"/>
    </row>
    <row r="4019" spans="1:47" s="15" customFormat="1" outlineLevel="1" x14ac:dyDescent="0.2">
      <c r="A4019" s="8"/>
      <c r="B4019" s="8"/>
      <c r="C4019" s="1989" t="s">
        <v>8963</v>
      </c>
      <c r="D4019" s="1989" t="s">
        <v>8964</v>
      </c>
      <c r="E4019" s="1989">
        <v>5.85</v>
      </c>
      <c r="F4019" s="1546">
        <f t="shared" si="61"/>
        <v>475.72925400000003</v>
      </c>
      <c r="G4019" s="1547"/>
      <c r="H4019" s="8"/>
      <c r="I4019" s="8"/>
      <c r="J4019" s="8"/>
      <c r="K4019" s="8"/>
      <c r="L4019" s="8"/>
      <c r="M4019" s="8"/>
      <c r="N4019" s="8"/>
      <c r="O4019" s="8"/>
      <c r="P4019" s="8"/>
      <c r="Q4019" s="8"/>
      <c r="R4019" s="8"/>
      <c r="S4019" s="8"/>
      <c r="T4019" s="8"/>
      <c r="U4019" s="8"/>
      <c r="V4019" s="8"/>
      <c r="W4019" s="8"/>
      <c r="X4019" s="771"/>
      <c r="Y4019" s="771"/>
      <c r="Z4019" s="771"/>
      <c r="AA4019" s="771"/>
      <c r="AB4019" s="771"/>
      <c r="AC4019" s="771"/>
      <c r="AD4019" s="771"/>
      <c r="AE4019" s="771"/>
      <c r="AF4019" s="771"/>
      <c r="AG4019" s="771"/>
      <c r="AH4019" s="771"/>
      <c r="AI4019" s="771"/>
      <c r="AJ4019" s="771"/>
      <c r="AK4019" s="771"/>
      <c r="AL4019" s="771"/>
      <c r="AM4019" s="771"/>
      <c r="AN4019" s="771"/>
      <c r="AO4019" s="771"/>
      <c r="AP4019" s="771"/>
      <c r="AQ4019" s="771"/>
      <c r="AR4019" s="771"/>
      <c r="AS4019" s="771"/>
      <c r="AT4019" s="771"/>
      <c r="AU4019" s="771"/>
    </row>
    <row r="4020" spans="1:47" s="15" customFormat="1" outlineLevel="1" x14ac:dyDescent="0.2">
      <c r="A4020" s="8"/>
      <c r="B4020" s="8"/>
      <c r="C4020" s="1989" t="s">
        <v>8965</v>
      </c>
      <c r="D4020" s="1989" t="s">
        <v>8966</v>
      </c>
      <c r="E4020" s="1989">
        <v>6.31</v>
      </c>
      <c r="F4020" s="1546">
        <f t="shared" si="61"/>
        <v>513.13702439999997</v>
      </c>
      <c r="G4020" s="1547"/>
      <c r="H4020" s="8"/>
      <c r="I4020" s="8"/>
      <c r="J4020" s="8"/>
      <c r="K4020" s="8"/>
      <c r="L4020" s="8"/>
      <c r="M4020" s="8"/>
      <c r="N4020" s="8"/>
      <c r="O4020" s="8"/>
      <c r="P4020" s="8"/>
      <c r="Q4020" s="8"/>
      <c r="R4020" s="8"/>
      <c r="S4020" s="8"/>
      <c r="T4020" s="8"/>
      <c r="U4020" s="8"/>
      <c r="V4020" s="8"/>
      <c r="W4020" s="8"/>
      <c r="X4020" s="771"/>
      <c r="Y4020" s="771"/>
      <c r="Z4020" s="771"/>
      <c r="AA4020" s="771"/>
      <c r="AB4020" s="771"/>
      <c r="AC4020" s="771"/>
      <c r="AD4020" s="771"/>
      <c r="AE4020" s="771"/>
      <c r="AF4020" s="771"/>
      <c r="AG4020" s="771"/>
      <c r="AH4020" s="771"/>
      <c r="AI4020" s="771"/>
      <c r="AJ4020" s="771"/>
      <c r="AK4020" s="771"/>
      <c r="AL4020" s="771"/>
      <c r="AM4020" s="771"/>
      <c r="AN4020" s="771"/>
      <c r="AO4020" s="771"/>
      <c r="AP4020" s="771"/>
      <c r="AQ4020" s="771"/>
      <c r="AR4020" s="771"/>
      <c r="AS4020" s="771"/>
      <c r="AT4020" s="771"/>
      <c r="AU4020" s="771"/>
    </row>
    <row r="4021" spans="1:47" s="15" customFormat="1" outlineLevel="1" x14ac:dyDescent="0.2">
      <c r="A4021" s="8"/>
      <c r="B4021" s="8"/>
      <c r="C4021" s="1989" t="s">
        <v>8967</v>
      </c>
      <c r="D4021" s="1989" t="s">
        <v>8968</v>
      </c>
      <c r="E4021" s="1989">
        <v>6.79</v>
      </c>
      <c r="F4021" s="1546">
        <f t="shared" si="61"/>
        <v>552.17121959999997</v>
      </c>
      <c r="G4021" s="1547"/>
      <c r="H4021" s="8"/>
      <c r="I4021" s="8"/>
      <c r="J4021" s="8"/>
      <c r="K4021" s="8"/>
      <c r="L4021" s="8"/>
      <c r="M4021" s="8"/>
      <c r="N4021" s="8"/>
      <c r="O4021" s="8"/>
      <c r="P4021" s="8"/>
      <c r="Q4021" s="8"/>
      <c r="R4021" s="8"/>
      <c r="S4021" s="8"/>
      <c r="T4021" s="8"/>
      <c r="U4021" s="8"/>
      <c r="V4021" s="8"/>
      <c r="W4021" s="8"/>
      <c r="X4021" s="771"/>
      <c r="Y4021" s="771"/>
      <c r="Z4021" s="771"/>
      <c r="AA4021" s="771"/>
      <c r="AB4021" s="771"/>
      <c r="AC4021" s="771"/>
      <c r="AD4021" s="771"/>
      <c r="AE4021" s="771"/>
      <c r="AF4021" s="771"/>
      <c r="AG4021" s="771"/>
      <c r="AH4021" s="771"/>
      <c r="AI4021" s="771"/>
      <c r="AJ4021" s="771"/>
      <c r="AK4021" s="771"/>
      <c r="AL4021" s="771"/>
      <c r="AM4021" s="771"/>
      <c r="AN4021" s="771"/>
      <c r="AO4021" s="771"/>
      <c r="AP4021" s="771"/>
      <c r="AQ4021" s="771"/>
      <c r="AR4021" s="771"/>
      <c r="AS4021" s="771"/>
      <c r="AT4021" s="771"/>
      <c r="AU4021" s="771"/>
    </row>
    <row r="4022" spans="1:47" s="15" customFormat="1" outlineLevel="1" x14ac:dyDescent="0.2">
      <c r="A4022" s="8"/>
      <c r="B4022" s="8"/>
      <c r="C4022" s="1989" t="s">
        <v>8969</v>
      </c>
      <c r="D4022" s="1989" t="s">
        <v>8970</v>
      </c>
      <c r="E4022" s="1989">
        <v>7.93</v>
      </c>
      <c r="F4022" s="1546">
        <f t="shared" si="61"/>
        <v>644.87743320000004</v>
      </c>
      <c r="G4022" s="1547"/>
      <c r="H4022" s="8"/>
      <c r="I4022" s="8"/>
      <c r="J4022" s="8"/>
      <c r="K4022" s="8"/>
      <c r="L4022" s="8"/>
      <c r="M4022" s="8"/>
      <c r="N4022" s="8"/>
      <c r="O4022" s="8"/>
      <c r="P4022" s="8"/>
      <c r="Q4022" s="8"/>
      <c r="R4022" s="8"/>
      <c r="S4022" s="8"/>
      <c r="T4022" s="8"/>
      <c r="U4022" s="8"/>
      <c r="V4022" s="8"/>
      <c r="W4022" s="8"/>
      <c r="X4022" s="771"/>
      <c r="Y4022" s="771"/>
      <c r="Z4022" s="771"/>
      <c r="AA4022" s="771"/>
      <c r="AB4022" s="771"/>
      <c r="AC4022" s="771"/>
      <c r="AD4022" s="771"/>
      <c r="AE4022" s="771"/>
      <c r="AF4022" s="771"/>
      <c r="AG4022" s="771"/>
      <c r="AH4022" s="771"/>
      <c r="AI4022" s="771"/>
      <c r="AJ4022" s="771"/>
      <c r="AK4022" s="771"/>
      <c r="AL4022" s="771"/>
      <c r="AM4022" s="771"/>
      <c r="AN4022" s="771"/>
      <c r="AO4022" s="771"/>
      <c r="AP4022" s="771"/>
      <c r="AQ4022" s="771"/>
      <c r="AR4022" s="771"/>
      <c r="AS4022" s="771"/>
      <c r="AT4022" s="771"/>
      <c r="AU4022" s="771"/>
    </row>
    <row r="4023" spans="1:47" s="15" customFormat="1" outlineLevel="1" x14ac:dyDescent="0.2">
      <c r="A4023" s="8"/>
      <c r="B4023" s="8"/>
      <c r="C4023" s="1989" t="s">
        <v>8971</v>
      </c>
      <c r="D4023" s="1989" t="s">
        <v>8972</v>
      </c>
      <c r="E4023" s="1989">
        <v>19.510000000000002</v>
      </c>
      <c r="F4023" s="1546">
        <f t="shared" si="61"/>
        <v>1586.5773924000002</v>
      </c>
      <c r="G4023" s="1547"/>
      <c r="H4023" s="8"/>
      <c r="I4023" s="8"/>
      <c r="J4023" s="8"/>
      <c r="K4023" s="8"/>
      <c r="L4023" s="8"/>
      <c r="M4023" s="8"/>
      <c r="N4023" s="8"/>
      <c r="O4023" s="8"/>
      <c r="P4023" s="8"/>
      <c r="Q4023" s="8"/>
      <c r="R4023" s="8"/>
      <c r="S4023" s="8"/>
      <c r="T4023" s="8"/>
      <c r="U4023" s="8"/>
      <c r="V4023" s="8"/>
      <c r="W4023" s="8"/>
      <c r="X4023" s="771"/>
      <c r="Y4023" s="771"/>
      <c r="Z4023" s="771"/>
      <c r="AA4023" s="771"/>
      <c r="AB4023" s="771"/>
      <c r="AC4023" s="771"/>
      <c r="AD4023" s="771"/>
      <c r="AE4023" s="771"/>
      <c r="AF4023" s="771"/>
      <c r="AG4023" s="771"/>
      <c r="AH4023" s="771"/>
      <c r="AI4023" s="771"/>
      <c r="AJ4023" s="771"/>
      <c r="AK4023" s="771"/>
      <c r="AL4023" s="771"/>
      <c r="AM4023" s="771"/>
      <c r="AN4023" s="771"/>
      <c r="AO4023" s="771"/>
      <c r="AP4023" s="771"/>
      <c r="AQ4023" s="771"/>
      <c r="AR4023" s="771"/>
      <c r="AS4023" s="771"/>
      <c r="AT4023" s="771"/>
      <c r="AU4023" s="771"/>
    </row>
    <row r="4024" spans="1:47" s="15" customFormat="1" outlineLevel="1" x14ac:dyDescent="0.2">
      <c r="A4024" s="8"/>
      <c r="B4024" s="8"/>
      <c r="C4024" s="1989" t="s">
        <v>8973</v>
      </c>
      <c r="D4024" s="1989" t="s">
        <v>8974</v>
      </c>
      <c r="E4024" s="1989">
        <v>20.57</v>
      </c>
      <c r="F4024" s="1546">
        <f t="shared" si="61"/>
        <v>1672.7779068000002</v>
      </c>
      <c r="G4024" s="1547"/>
      <c r="H4024" s="8"/>
      <c r="I4024" s="8"/>
      <c r="J4024" s="8"/>
      <c r="K4024" s="8"/>
      <c r="L4024" s="8"/>
      <c r="M4024" s="8"/>
      <c r="N4024" s="8"/>
      <c r="O4024" s="8"/>
      <c r="P4024" s="8"/>
      <c r="Q4024" s="8"/>
      <c r="R4024" s="8"/>
      <c r="S4024" s="8"/>
      <c r="T4024" s="8"/>
      <c r="U4024" s="8"/>
      <c r="V4024" s="8"/>
      <c r="W4024" s="8"/>
      <c r="X4024" s="771"/>
      <c r="Y4024" s="771"/>
      <c r="Z4024" s="771"/>
      <c r="AA4024" s="771"/>
      <c r="AB4024" s="771"/>
      <c r="AC4024" s="771"/>
      <c r="AD4024" s="771"/>
      <c r="AE4024" s="771"/>
      <c r="AF4024" s="771"/>
      <c r="AG4024" s="771"/>
      <c r="AH4024" s="771"/>
      <c r="AI4024" s="771"/>
      <c r="AJ4024" s="771"/>
      <c r="AK4024" s="771"/>
      <c r="AL4024" s="771"/>
      <c r="AM4024" s="771"/>
      <c r="AN4024" s="771"/>
      <c r="AO4024" s="771"/>
      <c r="AP4024" s="771"/>
      <c r="AQ4024" s="771"/>
      <c r="AR4024" s="771"/>
      <c r="AS4024" s="771"/>
      <c r="AT4024" s="771"/>
      <c r="AU4024" s="771"/>
    </row>
    <row r="4025" spans="1:47" s="15" customFormat="1" outlineLevel="1" x14ac:dyDescent="0.2">
      <c r="A4025" s="8"/>
      <c r="B4025" s="8"/>
      <c r="C4025" s="1989" t="s">
        <v>8975</v>
      </c>
      <c r="D4025" s="1989" t="s">
        <v>8976</v>
      </c>
      <c r="E4025" s="1989">
        <v>20.57</v>
      </c>
      <c r="F4025" s="1546">
        <f t="shared" si="61"/>
        <v>1672.7779068000002</v>
      </c>
      <c r="G4025" s="1547"/>
      <c r="H4025" s="8"/>
      <c r="I4025" s="8"/>
      <c r="J4025" s="8"/>
      <c r="K4025" s="8"/>
      <c r="L4025" s="8"/>
      <c r="M4025" s="8"/>
      <c r="N4025" s="8"/>
      <c r="O4025" s="8"/>
      <c r="P4025" s="8"/>
      <c r="Q4025" s="8"/>
      <c r="R4025" s="8"/>
      <c r="S4025" s="8"/>
      <c r="T4025" s="8"/>
      <c r="U4025" s="8"/>
      <c r="V4025" s="8"/>
      <c r="W4025" s="8"/>
      <c r="X4025" s="771"/>
      <c r="Y4025" s="771"/>
      <c r="Z4025" s="771"/>
      <c r="AA4025" s="771"/>
      <c r="AB4025" s="771"/>
      <c r="AC4025" s="771"/>
      <c r="AD4025" s="771"/>
      <c r="AE4025" s="771"/>
      <c r="AF4025" s="771"/>
      <c r="AG4025" s="771"/>
      <c r="AH4025" s="771"/>
      <c r="AI4025" s="771"/>
      <c r="AJ4025" s="771"/>
      <c r="AK4025" s="771"/>
      <c r="AL4025" s="771"/>
      <c r="AM4025" s="771"/>
      <c r="AN4025" s="771"/>
      <c r="AO4025" s="771"/>
      <c r="AP4025" s="771"/>
      <c r="AQ4025" s="771"/>
      <c r="AR4025" s="771"/>
      <c r="AS4025" s="771"/>
      <c r="AT4025" s="771"/>
      <c r="AU4025" s="771"/>
    </row>
    <row r="4026" spans="1:47" s="15" customFormat="1" outlineLevel="1" x14ac:dyDescent="0.2">
      <c r="A4026" s="8"/>
      <c r="B4026" s="8"/>
      <c r="C4026" s="1989" t="s">
        <v>8977</v>
      </c>
      <c r="D4026" s="1989" t="s">
        <v>8978</v>
      </c>
      <c r="E4026" s="1989">
        <v>12.61</v>
      </c>
      <c r="F4026" s="1546">
        <f t="shared" si="61"/>
        <v>1025.4608363999998</v>
      </c>
      <c r="G4026" s="1547"/>
      <c r="H4026" s="8"/>
      <c r="I4026" s="8"/>
      <c r="J4026" s="8"/>
      <c r="K4026" s="8"/>
      <c r="L4026" s="8"/>
      <c r="M4026" s="8"/>
      <c r="N4026" s="8"/>
      <c r="O4026" s="8"/>
      <c r="P4026" s="8"/>
      <c r="Q4026" s="8"/>
      <c r="R4026" s="8"/>
      <c r="S4026" s="8"/>
      <c r="T4026" s="8"/>
      <c r="U4026" s="8"/>
      <c r="V4026" s="8"/>
      <c r="W4026" s="8"/>
      <c r="X4026" s="771"/>
      <c r="Y4026" s="771"/>
      <c r="Z4026" s="771"/>
      <c r="AA4026" s="771"/>
      <c r="AB4026" s="771"/>
      <c r="AC4026" s="771"/>
      <c r="AD4026" s="771"/>
      <c r="AE4026" s="771"/>
      <c r="AF4026" s="771"/>
      <c r="AG4026" s="771"/>
      <c r="AH4026" s="771"/>
      <c r="AI4026" s="771"/>
      <c r="AJ4026" s="771"/>
      <c r="AK4026" s="771"/>
      <c r="AL4026" s="771"/>
      <c r="AM4026" s="771"/>
      <c r="AN4026" s="771"/>
      <c r="AO4026" s="771"/>
      <c r="AP4026" s="771"/>
      <c r="AQ4026" s="771"/>
      <c r="AR4026" s="771"/>
      <c r="AS4026" s="771"/>
      <c r="AT4026" s="771"/>
      <c r="AU4026" s="771"/>
    </row>
    <row r="4027" spans="1:47" s="15" customFormat="1" outlineLevel="1" x14ac:dyDescent="0.2">
      <c r="A4027" s="8"/>
      <c r="B4027" s="8"/>
      <c r="C4027" s="1989" t="s">
        <v>8979</v>
      </c>
      <c r="D4027" s="1989" t="s">
        <v>8980</v>
      </c>
      <c r="E4027" s="1989">
        <v>13.91</v>
      </c>
      <c r="F4027" s="1546">
        <f t="shared" si="61"/>
        <v>1131.1784484000002</v>
      </c>
      <c r="G4027" s="1547"/>
      <c r="H4027" s="8"/>
      <c r="I4027" s="8"/>
      <c r="J4027" s="8"/>
      <c r="K4027" s="8"/>
      <c r="L4027" s="8"/>
      <c r="M4027" s="8"/>
      <c r="N4027" s="8"/>
      <c r="O4027" s="8"/>
      <c r="P4027" s="8"/>
      <c r="Q4027" s="8"/>
      <c r="R4027" s="8"/>
      <c r="S4027" s="8"/>
      <c r="T4027" s="8"/>
      <c r="U4027" s="8"/>
      <c r="V4027" s="8"/>
      <c r="W4027" s="8"/>
      <c r="X4027" s="771"/>
      <c r="Y4027" s="771"/>
      <c r="Z4027" s="771"/>
      <c r="AA4027" s="771"/>
      <c r="AB4027" s="771"/>
      <c r="AC4027" s="771"/>
      <c r="AD4027" s="771"/>
      <c r="AE4027" s="771"/>
      <c r="AF4027" s="771"/>
      <c r="AG4027" s="771"/>
      <c r="AH4027" s="771"/>
      <c r="AI4027" s="771"/>
      <c r="AJ4027" s="771"/>
      <c r="AK4027" s="771"/>
      <c r="AL4027" s="771"/>
      <c r="AM4027" s="771"/>
      <c r="AN4027" s="771"/>
      <c r="AO4027" s="771"/>
      <c r="AP4027" s="771"/>
      <c r="AQ4027" s="771"/>
      <c r="AR4027" s="771"/>
      <c r="AS4027" s="771"/>
      <c r="AT4027" s="771"/>
      <c r="AU4027" s="771"/>
    </row>
    <row r="4028" spans="1:47" s="15" customFormat="1" outlineLevel="1" x14ac:dyDescent="0.2">
      <c r="A4028" s="8"/>
      <c r="B4028" s="8"/>
      <c r="C4028" s="1989" t="s">
        <v>8981</v>
      </c>
      <c r="D4028" s="1989" t="s">
        <v>8982</v>
      </c>
      <c r="E4028" s="1989">
        <v>5.85</v>
      </c>
      <c r="F4028" s="1546">
        <f t="shared" si="61"/>
        <v>475.72925400000003</v>
      </c>
      <c r="G4028" s="1547"/>
      <c r="H4028" s="8"/>
      <c r="I4028" s="8"/>
      <c r="J4028" s="8"/>
      <c r="K4028" s="8"/>
      <c r="L4028" s="8"/>
      <c r="M4028" s="8"/>
      <c r="N4028" s="8"/>
      <c r="O4028" s="8"/>
      <c r="P4028" s="8"/>
      <c r="Q4028" s="8"/>
      <c r="R4028" s="8"/>
      <c r="S4028" s="8"/>
      <c r="T4028" s="8"/>
      <c r="U4028" s="8"/>
      <c r="V4028" s="8"/>
      <c r="W4028" s="8"/>
      <c r="X4028" s="771"/>
      <c r="Y4028" s="771"/>
      <c r="Z4028" s="771"/>
      <c r="AA4028" s="771"/>
      <c r="AB4028" s="771"/>
      <c r="AC4028" s="771"/>
      <c r="AD4028" s="771"/>
      <c r="AE4028" s="771"/>
      <c r="AF4028" s="771"/>
      <c r="AG4028" s="771"/>
      <c r="AH4028" s="771"/>
      <c r="AI4028" s="771"/>
      <c r="AJ4028" s="771"/>
      <c r="AK4028" s="771"/>
      <c r="AL4028" s="771"/>
      <c r="AM4028" s="771"/>
      <c r="AN4028" s="771"/>
      <c r="AO4028" s="771"/>
      <c r="AP4028" s="771"/>
      <c r="AQ4028" s="771"/>
      <c r="AR4028" s="771"/>
      <c r="AS4028" s="771"/>
      <c r="AT4028" s="771"/>
      <c r="AU4028" s="771"/>
    </row>
    <row r="4029" spans="1:47" s="15" customFormat="1" outlineLevel="1" x14ac:dyDescent="0.2">
      <c r="A4029" s="8"/>
      <c r="B4029" s="8"/>
      <c r="C4029" s="1989" t="s">
        <v>8983</v>
      </c>
      <c r="D4029" s="1989" t="s">
        <v>8984</v>
      </c>
      <c r="E4029" s="1989">
        <v>5.85</v>
      </c>
      <c r="F4029" s="1546">
        <f t="shared" si="61"/>
        <v>475.72925400000003</v>
      </c>
      <c r="G4029" s="1547"/>
      <c r="H4029" s="8"/>
      <c r="I4029" s="8"/>
      <c r="J4029" s="8"/>
      <c r="K4029" s="8"/>
      <c r="L4029" s="8"/>
      <c r="M4029" s="8"/>
      <c r="N4029" s="8"/>
      <c r="O4029" s="8"/>
      <c r="P4029" s="8"/>
      <c r="Q4029" s="8"/>
      <c r="R4029" s="8"/>
      <c r="S4029" s="8"/>
      <c r="T4029" s="8"/>
      <c r="U4029" s="8"/>
      <c r="V4029" s="8"/>
      <c r="W4029" s="8"/>
      <c r="X4029" s="771"/>
      <c r="Y4029" s="771"/>
      <c r="Z4029" s="771"/>
      <c r="AA4029" s="771"/>
      <c r="AB4029" s="771"/>
      <c r="AC4029" s="771"/>
      <c r="AD4029" s="771"/>
      <c r="AE4029" s="771"/>
      <c r="AF4029" s="771"/>
      <c r="AG4029" s="771"/>
      <c r="AH4029" s="771"/>
      <c r="AI4029" s="771"/>
      <c r="AJ4029" s="771"/>
      <c r="AK4029" s="771"/>
      <c r="AL4029" s="771"/>
      <c r="AM4029" s="771"/>
      <c r="AN4029" s="771"/>
      <c r="AO4029" s="771"/>
      <c r="AP4029" s="771"/>
      <c r="AQ4029" s="771"/>
      <c r="AR4029" s="771"/>
      <c r="AS4029" s="771"/>
      <c r="AT4029" s="771"/>
      <c r="AU4029" s="771"/>
    </row>
    <row r="4030" spans="1:47" s="15" customFormat="1" outlineLevel="1" x14ac:dyDescent="0.2">
      <c r="A4030" s="8"/>
      <c r="B4030" s="8"/>
      <c r="C4030" s="1989" t="s">
        <v>8985</v>
      </c>
      <c r="D4030" s="1989" t="s">
        <v>8986</v>
      </c>
      <c r="E4030" s="1989">
        <v>6.31</v>
      </c>
      <c r="F4030" s="1546">
        <f t="shared" si="61"/>
        <v>513.13702439999997</v>
      </c>
      <c r="G4030" s="1547"/>
      <c r="H4030" s="8"/>
      <c r="I4030" s="8"/>
      <c r="J4030" s="8"/>
      <c r="K4030" s="8"/>
      <c r="L4030" s="8"/>
      <c r="M4030" s="8"/>
      <c r="N4030" s="8"/>
      <c r="O4030" s="8"/>
      <c r="P4030" s="8"/>
      <c r="Q4030" s="8"/>
      <c r="R4030" s="8"/>
      <c r="S4030" s="8"/>
      <c r="T4030" s="8"/>
      <c r="U4030" s="8"/>
      <c r="V4030" s="8"/>
      <c r="W4030" s="8"/>
      <c r="X4030" s="771"/>
      <c r="Y4030" s="771"/>
      <c r="Z4030" s="771"/>
      <c r="AA4030" s="771"/>
      <c r="AB4030" s="771"/>
      <c r="AC4030" s="771"/>
      <c r="AD4030" s="771"/>
      <c r="AE4030" s="771"/>
      <c r="AF4030" s="771"/>
      <c r="AG4030" s="771"/>
      <c r="AH4030" s="771"/>
      <c r="AI4030" s="771"/>
      <c r="AJ4030" s="771"/>
      <c r="AK4030" s="771"/>
      <c r="AL4030" s="771"/>
      <c r="AM4030" s="771"/>
      <c r="AN4030" s="771"/>
      <c r="AO4030" s="771"/>
      <c r="AP4030" s="771"/>
      <c r="AQ4030" s="771"/>
      <c r="AR4030" s="771"/>
      <c r="AS4030" s="771"/>
      <c r="AT4030" s="771"/>
      <c r="AU4030" s="771"/>
    </row>
    <row r="4031" spans="1:47" s="15" customFormat="1" outlineLevel="1" x14ac:dyDescent="0.2">
      <c r="A4031" s="8"/>
      <c r="B4031" s="8"/>
      <c r="C4031" s="1989" t="s">
        <v>8987</v>
      </c>
      <c r="D4031" s="1989" t="s">
        <v>8988</v>
      </c>
      <c r="E4031" s="1989">
        <v>6.31</v>
      </c>
      <c r="F4031" s="1546">
        <f t="shared" si="61"/>
        <v>513.13702439999997</v>
      </c>
      <c r="G4031" s="1547"/>
      <c r="H4031" s="8"/>
      <c r="I4031" s="8"/>
      <c r="J4031" s="8"/>
      <c r="K4031" s="8"/>
      <c r="L4031" s="8"/>
      <c r="M4031" s="8"/>
      <c r="N4031" s="8"/>
      <c r="O4031" s="8"/>
      <c r="P4031" s="8"/>
      <c r="Q4031" s="8"/>
      <c r="R4031" s="8"/>
      <c r="S4031" s="8"/>
      <c r="T4031" s="8"/>
      <c r="U4031" s="8"/>
      <c r="V4031" s="8"/>
      <c r="W4031" s="8"/>
      <c r="X4031" s="771"/>
      <c r="Y4031" s="771"/>
      <c r="Z4031" s="771"/>
      <c r="AA4031" s="771"/>
      <c r="AB4031" s="771"/>
      <c r="AC4031" s="771"/>
      <c r="AD4031" s="771"/>
      <c r="AE4031" s="771"/>
      <c r="AF4031" s="771"/>
      <c r="AG4031" s="771"/>
      <c r="AH4031" s="771"/>
      <c r="AI4031" s="771"/>
      <c r="AJ4031" s="771"/>
      <c r="AK4031" s="771"/>
      <c r="AL4031" s="771"/>
      <c r="AM4031" s="771"/>
      <c r="AN4031" s="771"/>
      <c r="AO4031" s="771"/>
      <c r="AP4031" s="771"/>
      <c r="AQ4031" s="771"/>
      <c r="AR4031" s="771"/>
      <c r="AS4031" s="771"/>
      <c r="AT4031" s="771"/>
      <c r="AU4031" s="771"/>
    </row>
    <row r="4032" spans="1:47" s="15" customFormat="1" outlineLevel="1" x14ac:dyDescent="0.2">
      <c r="A4032" s="8"/>
      <c r="B4032" s="8"/>
      <c r="C4032" s="1989" t="s">
        <v>8989</v>
      </c>
      <c r="D4032" s="1989" t="s">
        <v>8990</v>
      </c>
      <c r="E4032" s="1989">
        <v>6.79</v>
      </c>
      <c r="F4032" s="1546">
        <f t="shared" si="61"/>
        <v>552.17121959999997</v>
      </c>
      <c r="G4032" s="1547"/>
      <c r="H4032" s="8"/>
      <c r="I4032" s="8"/>
      <c r="J4032" s="8"/>
      <c r="K4032" s="8"/>
      <c r="L4032" s="8"/>
      <c r="M4032" s="8"/>
      <c r="N4032" s="8"/>
      <c r="O4032" s="8"/>
      <c r="P4032" s="8"/>
      <c r="Q4032" s="8"/>
      <c r="R4032" s="8"/>
      <c r="S4032" s="8"/>
      <c r="T4032" s="8"/>
      <c r="U4032" s="8"/>
      <c r="V4032" s="8"/>
      <c r="W4032" s="8"/>
      <c r="X4032" s="771"/>
      <c r="Y4032" s="771"/>
      <c r="Z4032" s="771"/>
      <c r="AA4032" s="771"/>
      <c r="AB4032" s="771"/>
      <c r="AC4032" s="771"/>
      <c r="AD4032" s="771"/>
      <c r="AE4032" s="771"/>
      <c r="AF4032" s="771"/>
      <c r="AG4032" s="771"/>
      <c r="AH4032" s="771"/>
      <c r="AI4032" s="771"/>
      <c r="AJ4032" s="771"/>
      <c r="AK4032" s="771"/>
      <c r="AL4032" s="771"/>
      <c r="AM4032" s="771"/>
      <c r="AN4032" s="771"/>
      <c r="AO4032" s="771"/>
      <c r="AP4032" s="771"/>
      <c r="AQ4032" s="771"/>
      <c r="AR4032" s="771"/>
      <c r="AS4032" s="771"/>
      <c r="AT4032" s="771"/>
      <c r="AU4032" s="771"/>
    </row>
    <row r="4033" spans="1:47" s="15" customFormat="1" outlineLevel="1" x14ac:dyDescent="0.2">
      <c r="A4033" s="8"/>
      <c r="B4033" s="8"/>
      <c r="C4033" s="1989" t="s">
        <v>8991</v>
      </c>
      <c r="D4033" s="1989" t="s">
        <v>8992</v>
      </c>
      <c r="E4033" s="1989">
        <v>6.79</v>
      </c>
      <c r="F4033" s="1546">
        <f t="shared" si="61"/>
        <v>552.17121959999997</v>
      </c>
      <c r="G4033" s="1547"/>
      <c r="H4033" s="8"/>
      <c r="I4033" s="8"/>
      <c r="J4033" s="8"/>
      <c r="K4033" s="8"/>
      <c r="L4033" s="8"/>
      <c r="M4033" s="8"/>
      <c r="N4033" s="8"/>
      <c r="O4033" s="8"/>
      <c r="P4033" s="8"/>
      <c r="Q4033" s="8"/>
      <c r="R4033" s="8"/>
      <c r="S4033" s="8"/>
      <c r="T4033" s="8"/>
      <c r="U4033" s="8"/>
      <c r="V4033" s="8"/>
      <c r="W4033" s="8"/>
      <c r="X4033" s="771"/>
      <c r="Y4033" s="771"/>
      <c r="Z4033" s="771"/>
      <c r="AA4033" s="771"/>
      <c r="AB4033" s="771"/>
      <c r="AC4033" s="771"/>
      <c r="AD4033" s="771"/>
      <c r="AE4033" s="771"/>
      <c r="AF4033" s="771"/>
      <c r="AG4033" s="771"/>
      <c r="AH4033" s="771"/>
      <c r="AI4033" s="771"/>
      <c r="AJ4033" s="771"/>
      <c r="AK4033" s="771"/>
      <c r="AL4033" s="771"/>
      <c r="AM4033" s="771"/>
      <c r="AN4033" s="771"/>
      <c r="AO4033" s="771"/>
      <c r="AP4033" s="771"/>
      <c r="AQ4033" s="771"/>
      <c r="AR4033" s="771"/>
      <c r="AS4033" s="771"/>
      <c r="AT4033" s="771"/>
      <c r="AU4033" s="771"/>
    </row>
    <row r="4034" spans="1:47" s="15" customFormat="1" outlineLevel="1" x14ac:dyDescent="0.2">
      <c r="A4034" s="8"/>
      <c r="B4034" s="8"/>
      <c r="C4034" s="1989" t="s">
        <v>8993</v>
      </c>
      <c r="D4034" s="1989" t="s">
        <v>8994</v>
      </c>
      <c r="E4034" s="1989">
        <v>7.93</v>
      </c>
      <c r="F4034" s="1546">
        <f t="shared" si="61"/>
        <v>644.87743320000004</v>
      </c>
      <c r="G4034" s="1547"/>
      <c r="H4034" s="8"/>
      <c r="I4034" s="8"/>
      <c r="J4034" s="8"/>
      <c r="K4034" s="8"/>
      <c r="L4034" s="8"/>
      <c r="M4034" s="8"/>
      <c r="N4034" s="8"/>
      <c r="O4034" s="8"/>
      <c r="P4034" s="8"/>
      <c r="Q4034" s="8"/>
      <c r="R4034" s="8"/>
      <c r="S4034" s="8"/>
      <c r="T4034" s="8"/>
      <c r="U4034" s="8"/>
      <c r="V4034" s="8"/>
      <c r="W4034" s="8"/>
      <c r="X4034" s="771"/>
      <c r="Y4034" s="771"/>
      <c r="Z4034" s="771"/>
      <c r="AA4034" s="771"/>
      <c r="AB4034" s="771"/>
      <c r="AC4034" s="771"/>
      <c r="AD4034" s="771"/>
      <c r="AE4034" s="771"/>
      <c r="AF4034" s="771"/>
      <c r="AG4034" s="771"/>
      <c r="AH4034" s="771"/>
      <c r="AI4034" s="771"/>
      <c r="AJ4034" s="771"/>
      <c r="AK4034" s="771"/>
      <c r="AL4034" s="771"/>
      <c r="AM4034" s="771"/>
      <c r="AN4034" s="771"/>
      <c r="AO4034" s="771"/>
      <c r="AP4034" s="771"/>
      <c r="AQ4034" s="771"/>
      <c r="AR4034" s="771"/>
      <c r="AS4034" s="771"/>
      <c r="AT4034" s="771"/>
      <c r="AU4034" s="771"/>
    </row>
    <row r="4035" spans="1:47" s="15" customFormat="1" outlineLevel="1" x14ac:dyDescent="0.2">
      <c r="A4035" s="8"/>
      <c r="B4035" s="8"/>
      <c r="C4035" s="1989" t="s">
        <v>8995</v>
      </c>
      <c r="D4035" s="1989" t="s">
        <v>8996</v>
      </c>
      <c r="E4035" s="1989">
        <v>7.93</v>
      </c>
      <c r="F4035" s="1546">
        <f t="shared" si="61"/>
        <v>644.87743320000004</v>
      </c>
      <c r="G4035" s="1547"/>
      <c r="H4035" s="8"/>
      <c r="I4035" s="8"/>
      <c r="J4035" s="8"/>
      <c r="K4035" s="8"/>
      <c r="L4035" s="8"/>
      <c r="M4035" s="8"/>
      <c r="N4035" s="8"/>
      <c r="O4035" s="8"/>
      <c r="P4035" s="8"/>
      <c r="Q4035" s="8"/>
      <c r="R4035" s="8"/>
      <c r="S4035" s="8"/>
      <c r="T4035" s="8"/>
      <c r="U4035" s="8"/>
      <c r="V4035" s="8"/>
      <c r="W4035" s="8"/>
      <c r="X4035" s="771"/>
      <c r="Y4035" s="771"/>
      <c r="Z4035" s="771"/>
      <c r="AA4035" s="771"/>
      <c r="AB4035" s="771"/>
      <c r="AC4035" s="771"/>
      <c r="AD4035" s="771"/>
      <c r="AE4035" s="771"/>
      <c r="AF4035" s="771"/>
      <c r="AG4035" s="771"/>
      <c r="AH4035" s="771"/>
      <c r="AI4035" s="771"/>
      <c r="AJ4035" s="771"/>
      <c r="AK4035" s="771"/>
      <c r="AL4035" s="771"/>
      <c r="AM4035" s="771"/>
      <c r="AN4035" s="771"/>
      <c r="AO4035" s="771"/>
      <c r="AP4035" s="771"/>
      <c r="AQ4035" s="771"/>
      <c r="AR4035" s="771"/>
      <c r="AS4035" s="771"/>
      <c r="AT4035" s="771"/>
      <c r="AU4035" s="771"/>
    </row>
    <row r="4036" spans="1:47" s="15" customFormat="1" outlineLevel="1" x14ac:dyDescent="0.2">
      <c r="A4036" s="8"/>
      <c r="B4036" s="8"/>
      <c r="C4036" s="1989" t="s">
        <v>8997</v>
      </c>
      <c r="D4036" s="1989" t="s">
        <v>8998</v>
      </c>
      <c r="E4036" s="1989">
        <v>5.85</v>
      </c>
      <c r="F4036" s="1546">
        <f t="shared" si="61"/>
        <v>475.72925400000003</v>
      </c>
      <c r="G4036" s="1547"/>
      <c r="H4036" s="8"/>
      <c r="I4036" s="8"/>
      <c r="J4036" s="8"/>
      <c r="K4036" s="8"/>
      <c r="L4036" s="8"/>
      <c r="M4036" s="8"/>
      <c r="N4036" s="8"/>
      <c r="O4036" s="8"/>
      <c r="P4036" s="8"/>
      <c r="Q4036" s="8"/>
      <c r="R4036" s="8"/>
      <c r="S4036" s="8"/>
      <c r="T4036" s="8"/>
      <c r="U4036" s="8"/>
      <c r="V4036" s="8"/>
      <c r="W4036" s="8"/>
      <c r="X4036" s="771"/>
      <c r="Y4036" s="771"/>
      <c r="Z4036" s="771"/>
      <c r="AA4036" s="771"/>
      <c r="AB4036" s="771"/>
      <c r="AC4036" s="771"/>
      <c r="AD4036" s="771"/>
      <c r="AE4036" s="771"/>
      <c r="AF4036" s="771"/>
      <c r="AG4036" s="771"/>
      <c r="AH4036" s="771"/>
      <c r="AI4036" s="771"/>
      <c r="AJ4036" s="771"/>
      <c r="AK4036" s="771"/>
      <c r="AL4036" s="771"/>
      <c r="AM4036" s="771"/>
      <c r="AN4036" s="771"/>
      <c r="AO4036" s="771"/>
      <c r="AP4036" s="771"/>
      <c r="AQ4036" s="771"/>
      <c r="AR4036" s="771"/>
      <c r="AS4036" s="771"/>
      <c r="AT4036" s="771"/>
      <c r="AU4036" s="771"/>
    </row>
    <row r="4037" spans="1:47" s="15" customFormat="1" outlineLevel="1" x14ac:dyDescent="0.2">
      <c r="A4037" s="8"/>
      <c r="B4037" s="8"/>
      <c r="C4037" s="1989" t="s">
        <v>8999</v>
      </c>
      <c r="D4037" s="1989" t="s">
        <v>9000</v>
      </c>
      <c r="E4037" s="1989">
        <v>5.85</v>
      </c>
      <c r="F4037" s="1546">
        <f t="shared" si="61"/>
        <v>475.72925400000003</v>
      </c>
      <c r="G4037" s="1547"/>
      <c r="H4037" s="8"/>
      <c r="I4037" s="8"/>
      <c r="J4037" s="8"/>
      <c r="K4037" s="8"/>
      <c r="L4037" s="8"/>
      <c r="M4037" s="8"/>
      <c r="N4037" s="8"/>
      <c r="O4037" s="8"/>
      <c r="P4037" s="8"/>
      <c r="Q4037" s="8"/>
      <c r="R4037" s="8"/>
      <c r="S4037" s="8"/>
      <c r="T4037" s="8"/>
      <c r="U4037" s="8"/>
      <c r="V4037" s="8"/>
      <c r="W4037" s="8"/>
      <c r="X4037" s="771"/>
      <c r="Y4037" s="771"/>
      <c r="Z4037" s="771"/>
      <c r="AA4037" s="771"/>
      <c r="AB4037" s="771"/>
      <c r="AC4037" s="771"/>
      <c r="AD4037" s="771"/>
      <c r="AE4037" s="771"/>
      <c r="AF4037" s="771"/>
      <c r="AG4037" s="771"/>
      <c r="AH4037" s="771"/>
      <c r="AI4037" s="771"/>
      <c r="AJ4037" s="771"/>
      <c r="AK4037" s="771"/>
      <c r="AL4037" s="771"/>
      <c r="AM4037" s="771"/>
      <c r="AN4037" s="771"/>
      <c r="AO4037" s="771"/>
      <c r="AP4037" s="771"/>
      <c r="AQ4037" s="771"/>
      <c r="AR4037" s="771"/>
      <c r="AS4037" s="771"/>
      <c r="AT4037" s="771"/>
      <c r="AU4037" s="771"/>
    </row>
    <row r="4038" spans="1:47" s="15" customFormat="1" outlineLevel="1" x14ac:dyDescent="0.2">
      <c r="A4038" s="8"/>
      <c r="B4038" s="8"/>
      <c r="C4038" s="1989" t="s">
        <v>9001</v>
      </c>
      <c r="D4038" s="1989" t="s">
        <v>9002</v>
      </c>
      <c r="E4038" s="1989">
        <v>6.31</v>
      </c>
      <c r="F4038" s="1546">
        <f t="shared" si="61"/>
        <v>513.13702439999997</v>
      </c>
      <c r="G4038" s="1547"/>
      <c r="H4038" s="8"/>
      <c r="I4038" s="8"/>
      <c r="J4038" s="8"/>
      <c r="K4038" s="8"/>
      <c r="L4038" s="8"/>
      <c r="M4038" s="8"/>
      <c r="N4038" s="8"/>
      <c r="O4038" s="8"/>
      <c r="P4038" s="8"/>
      <c r="Q4038" s="8"/>
      <c r="R4038" s="8"/>
      <c r="S4038" s="8"/>
      <c r="T4038" s="8"/>
      <c r="U4038" s="8"/>
      <c r="V4038" s="8"/>
      <c r="W4038" s="8"/>
      <c r="X4038" s="771"/>
      <c r="Y4038" s="771"/>
      <c r="Z4038" s="771"/>
      <c r="AA4038" s="771"/>
      <c r="AB4038" s="771"/>
      <c r="AC4038" s="771"/>
      <c r="AD4038" s="771"/>
      <c r="AE4038" s="771"/>
      <c r="AF4038" s="771"/>
      <c r="AG4038" s="771"/>
      <c r="AH4038" s="771"/>
      <c r="AI4038" s="771"/>
      <c r="AJ4038" s="771"/>
      <c r="AK4038" s="771"/>
      <c r="AL4038" s="771"/>
      <c r="AM4038" s="771"/>
      <c r="AN4038" s="771"/>
      <c r="AO4038" s="771"/>
      <c r="AP4038" s="771"/>
      <c r="AQ4038" s="771"/>
      <c r="AR4038" s="771"/>
      <c r="AS4038" s="771"/>
      <c r="AT4038" s="771"/>
      <c r="AU4038" s="771"/>
    </row>
    <row r="4039" spans="1:47" s="15" customFormat="1" outlineLevel="1" x14ac:dyDescent="0.2">
      <c r="A4039" s="8"/>
      <c r="B4039" s="8"/>
      <c r="C4039" s="1989" t="s">
        <v>9003</v>
      </c>
      <c r="D4039" s="1989" t="s">
        <v>9004</v>
      </c>
      <c r="E4039" s="1989">
        <v>6.31</v>
      </c>
      <c r="F4039" s="1546">
        <f t="shared" si="61"/>
        <v>513.13702439999997</v>
      </c>
      <c r="G4039" s="1547"/>
      <c r="H4039" s="8"/>
      <c r="I4039" s="8"/>
      <c r="J4039" s="8"/>
      <c r="K4039" s="8"/>
      <c r="L4039" s="8"/>
      <c r="M4039" s="8"/>
      <c r="N4039" s="8"/>
      <c r="O4039" s="8"/>
      <c r="P4039" s="8"/>
      <c r="Q4039" s="8"/>
      <c r="R4039" s="8"/>
      <c r="S4039" s="8"/>
      <c r="T4039" s="8"/>
      <c r="U4039" s="8"/>
      <c r="V4039" s="8"/>
      <c r="W4039" s="8"/>
      <c r="X4039" s="771"/>
      <c r="Y4039" s="771"/>
      <c r="Z4039" s="771"/>
      <c r="AA4039" s="771"/>
      <c r="AB4039" s="771"/>
      <c r="AC4039" s="771"/>
      <c r="AD4039" s="771"/>
      <c r="AE4039" s="771"/>
      <c r="AF4039" s="771"/>
      <c r="AG4039" s="771"/>
      <c r="AH4039" s="771"/>
      <c r="AI4039" s="771"/>
      <c r="AJ4039" s="771"/>
      <c r="AK4039" s="771"/>
      <c r="AL4039" s="771"/>
      <c r="AM4039" s="771"/>
      <c r="AN4039" s="771"/>
      <c r="AO4039" s="771"/>
      <c r="AP4039" s="771"/>
      <c r="AQ4039" s="771"/>
      <c r="AR4039" s="771"/>
      <c r="AS4039" s="771"/>
      <c r="AT4039" s="771"/>
      <c r="AU4039" s="771"/>
    </row>
    <row r="4040" spans="1:47" s="15" customFormat="1" outlineLevel="1" x14ac:dyDescent="0.2">
      <c r="A4040" s="8"/>
      <c r="B4040" s="8"/>
      <c r="C4040" s="1989" t="s">
        <v>9005</v>
      </c>
      <c r="D4040" s="1989" t="s">
        <v>9006</v>
      </c>
      <c r="E4040" s="1989">
        <v>6.79</v>
      </c>
      <c r="F4040" s="1546">
        <f t="shared" si="61"/>
        <v>552.17121959999997</v>
      </c>
      <c r="G4040" s="1547"/>
      <c r="H4040" s="8"/>
      <c r="I4040" s="8"/>
      <c r="J4040" s="8"/>
      <c r="K4040" s="8"/>
      <c r="L4040" s="8"/>
      <c r="M4040" s="8"/>
      <c r="N4040" s="8"/>
      <c r="O4040" s="8"/>
      <c r="P4040" s="8"/>
      <c r="Q4040" s="8"/>
      <c r="R4040" s="8"/>
      <c r="S4040" s="8"/>
      <c r="T4040" s="8"/>
      <c r="U4040" s="8"/>
      <c r="V4040" s="8"/>
      <c r="W4040" s="8"/>
      <c r="X4040" s="771"/>
      <c r="Y4040" s="771"/>
      <c r="Z4040" s="771"/>
      <c r="AA4040" s="771"/>
      <c r="AB4040" s="771"/>
      <c r="AC4040" s="771"/>
      <c r="AD4040" s="771"/>
      <c r="AE4040" s="771"/>
      <c r="AF4040" s="771"/>
      <c r="AG4040" s="771"/>
      <c r="AH4040" s="771"/>
      <c r="AI4040" s="771"/>
      <c r="AJ4040" s="771"/>
      <c r="AK4040" s="771"/>
      <c r="AL4040" s="771"/>
      <c r="AM4040" s="771"/>
      <c r="AN4040" s="771"/>
      <c r="AO4040" s="771"/>
      <c r="AP4040" s="771"/>
      <c r="AQ4040" s="771"/>
      <c r="AR4040" s="771"/>
      <c r="AS4040" s="771"/>
      <c r="AT4040" s="771"/>
      <c r="AU4040" s="771"/>
    </row>
    <row r="4041" spans="1:47" s="15" customFormat="1" outlineLevel="1" x14ac:dyDescent="0.2">
      <c r="A4041" s="8"/>
      <c r="B4041" s="8"/>
      <c r="C4041" s="1989" t="s">
        <v>9007</v>
      </c>
      <c r="D4041" s="1989" t="s">
        <v>9008</v>
      </c>
      <c r="E4041" s="1989">
        <v>6.79</v>
      </c>
      <c r="F4041" s="1546">
        <f t="shared" si="61"/>
        <v>552.17121959999997</v>
      </c>
      <c r="G4041" s="1547"/>
      <c r="H4041" s="8"/>
      <c r="I4041" s="8"/>
      <c r="J4041" s="8"/>
      <c r="K4041" s="8"/>
      <c r="L4041" s="8"/>
      <c r="M4041" s="8"/>
      <c r="N4041" s="8"/>
      <c r="O4041" s="8"/>
      <c r="P4041" s="8"/>
      <c r="Q4041" s="8"/>
      <c r="R4041" s="8"/>
      <c r="S4041" s="8"/>
      <c r="T4041" s="8"/>
      <c r="U4041" s="8"/>
      <c r="V4041" s="8"/>
      <c r="W4041" s="8"/>
      <c r="X4041" s="771"/>
      <c r="Y4041" s="771"/>
      <c r="Z4041" s="771"/>
      <c r="AA4041" s="771"/>
      <c r="AB4041" s="771"/>
      <c r="AC4041" s="771"/>
      <c r="AD4041" s="771"/>
      <c r="AE4041" s="771"/>
      <c r="AF4041" s="771"/>
      <c r="AG4041" s="771"/>
      <c r="AH4041" s="771"/>
      <c r="AI4041" s="771"/>
      <c r="AJ4041" s="771"/>
      <c r="AK4041" s="771"/>
      <c r="AL4041" s="771"/>
      <c r="AM4041" s="771"/>
      <c r="AN4041" s="771"/>
      <c r="AO4041" s="771"/>
      <c r="AP4041" s="771"/>
      <c r="AQ4041" s="771"/>
      <c r="AR4041" s="771"/>
      <c r="AS4041" s="771"/>
      <c r="AT4041" s="771"/>
      <c r="AU4041" s="771"/>
    </row>
    <row r="4042" spans="1:47" s="15" customFormat="1" outlineLevel="1" x14ac:dyDescent="0.2">
      <c r="A4042" s="8"/>
      <c r="B4042" s="8"/>
      <c r="C4042" s="1989" t="s">
        <v>9009</v>
      </c>
      <c r="D4042" s="1989" t="s">
        <v>9010</v>
      </c>
      <c r="E4042" s="1989">
        <v>7.93</v>
      </c>
      <c r="F4042" s="1546">
        <f t="shared" si="61"/>
        <v>644.87743320000004</v>
      </c>
      <c r="G4042" s="1547"/>
      <c r="H4042" s="8"/>
      <c r="I4042" s="8"/>
      <c r="J4042" s="8"/>
      <c r="K4042" s="8"/>
      <c r="L4042" s="8"/>
      <c r="M4042" s="8"/>
      <c r="N4042" s="8"/>
      <c r="O4042" s="8"/>
      <c r="P4042" s="8"/>
      <c r="Q4042" s="8"/>
      <c r="R4042" s="8"/>
      <c r="S4042" s="8"/>
      <c r="T4042" s="8"/>
      <c r="U4042" s="8"/>
      <c r="V4042" s="8"/>
      <c r="W4042" s="8"/>
      <c r="X4042" s="771"/>
      <c r="Y4042" s="771"/>
      <c r="Z4042" s="771"/>
      <c r="AA4042" s="771"/>
      <c r="AB4042" s="771"/>
      <c r="AC4042" s="771"/>
      <c r="AD4042" s="771"/>
      <c r="AE4042" s="771"/>
      <c r="AF4042" s="771"/>
      <c r="AG4042" s="771"/>
      <c r="AH4042" s="771"/>
      <c r="AI4042" s="771"/>
      <c r="AJ4042" s="771"/>
      <c r="AK4042" s="771"/>
      <c r="AL4042" s="771"/>
      <c r="AM4042" s="771"/>
      <c r="AN4042" s="771"/>
      <c r="AO4042" s="771"/>
      <c r="AP4042" s="771"/>
      <c r="AQ4042" s="771"/>
      <c r="AR4042" s="771"/>
      <c r="AS4042" s="771"/>
      <c r="AT4042" s="771"/>
      <c r="AU4042" s="771"/>
    </row>
    <row r="4043" spans="1:47" s="15" customFormat="1" outlineLevel="1" x14ac:dyDescent="0.2">
      <c r="A4043" s="8"/>
      <c r="B4043" s="8"/>
      <c r="C4043" s="1989" t="s">
        <v>9011</v>
      </c>
      <c r="D4043" s="1989" t="s">
        <v>9012</v>
      </c>
      <c r="E4043" s="1989">
        <v>7.93</v>
      </c>
      <c r="F4043" s="1546">
        <f t="shared" si="61"/>
        <v>644.87743320000004</v>
      </c>
      <c r="G4043" s="1547"/>
      <c r="H4043" s="8"/>
      <c r="I4043" s="8"/>
      <c r="J4043" s="8"/>
      <c r="K4043" s="8"/>
      <c r="L4043" s="8"/>
      <c r="M4043" s="8"/>
      <c r="N4043" s="8"/>
      <c r="O4043" s="8"/>
      <c r="P4043" s="8"/>
      <c r="Q4043" s="8"/>
      <c r="R4043" s="8"/>
      <c r="S4043" s="8"/>
      <c r="T4043" s="8"/>
      <c r="U4043" s="8"/>
      <c r="V4043" s="8"/>
      <c r="W4043" s="8"/>
      <c r="X4043" s="771"/>
      <c r="Y4043" s="771"/>
      <c r="Z4043" s="771"/>
      <c r="AA4043" s="771"/>
      <c r="AB4043" s="771"/>
      <c r="AC4043" s="771"/>
      <c r="AD4043" s="771"/>
      <c r="AE4043" s="771"/>
      <c r="AF4043" s="771"/>
      <c r="AG4043" s="771"/>
      <c r="AH4043" s="771"/>
      <c r="AI4043" s="771"/>
      <c r="AJ4043" s="771"/>
      <c r="AK4043" s="771"/>
      <c r="AL4043" s="771"/>
      <c r="AM4043" s="771"/>
      <c r="AN4043" s="771"/>
      <c r="AO4043" s="771"/>
      <c r="AP4043" s="771"/>
      <c r="AQ4043" s="771"/>
      <c r="AR4043" s="771"/>
      <c r="AS4043" s="771"/>
      <c r="AT4043" s="771"/>
      <c r="AU4043" s="771"/>
    </row>
    <row r="4044" spans="1:47" s="15" customFormat="1" outlineLevel="1" x14ac:dyDescent="0.2">
      <c r="A4044" s="8"/>
      <c r="B4044" s="8"/>
      <c r="C4044" s="1989" t="s">
        <v>9013</v>
      </c>
      <c r="D4044" s="1989" t="s">
        <v>9014</v>
      </c>
      <c r="E4044" s="1989">
        <v>19.510000000000002</v>
      </c>
      <c r="F4044" s="1546">
        <f t="shared" si="61"/>
        <v>1586.5773924000002</v>
      </c>
      <c r="G4044" s="1547"/>
      <c r="H4044" s="8"/>
      <c r="I4044" s="8"/>
      <c r="J4044" s="8"/>
      <c r="K4044" s="8"/>
      <c r="L4044" s="8"/>
      <c r="M4044" s="8"/>
      <c r="N4044" s="8"/>
      <c r="O4044" s="8"/>
      <c r="P4044" s="8"/>
      <c r="Q4044" s="8"/>
      <c r="R4044" s="8"/>
      <c r="S4044" s="8"/>
      <c r="T4044" s="8"/>
      <c r="U4044" s="8"/>
      <c r="V4044" s="8"/>
      <c r="W4044" s="8"/>
      <c r="X4044" s="771"/>
      <c r="Y4044" s="771"/>
      <c r="Z4044" s="771"/>
      <c r="AA4044" s="771"/>
      <c r="AB4044" s="771"/>
      <c r="AC4044" s="771"/>
      <c r="AD4044" s="771"/>
      <c r="AE4044" s="771"/>
      <c r="AF4044" s="771"/>
      <c r="AG4044" s="771"/>
      <c r="AH4044" s="771"/>
      <c r="AI4044" s="771"/>
      <c r="AJ4044" s="771"/>
      <c r="AK4044" s="771"/>
      <c r="AL4044" s="771"/>
      <c r="AM4044" s="771"/>
      <c r="AN4044" s="771"/>
      <c r="AO4044" s="771"/>
      <c r="AP4044" s="771"/>
      <c r="AQ4044" s="771"/>
      <c r="AR4044" s="771"/>
      <c r="AS4044" s="771"/>
      <c r="AT4044" s="771"/>
      <c r="AU4044" s="771"/>
    </row>
    <row r="4045" spans="1:47" s="15" customFormat="1" outlineLevel="1" x14ac:dyDescent="0.2">
      <c r="A4045" s="8"/>
      <c r="B4045" s="8"/>
      <c r="C4045" s="1989" t="s">
        <v>9015</v>
      </c>
      <c r="D4045" s="1989" t="s">
        <v>9016</v>
      </c>
      <c r="E4045" s="1989">
        <v>19.510000000000002</v>
      </c>
      <c r="F4045" s="1546">
        <f t="shared" si="61"/>
        <v>1586.5773924000002</v>
      </c>
      <c r="G4045" s="1547"/>
      <c r="H4045" s="8"/>
      <c r="I4045" s="8"/>
      <c r="J4045" s="8"/>
      <c r="K4045" s="8"/>
      <c r="L4045" s="8"/>
      <c r="M4045" s="8"/>
      <c r="N4045" s="8"/>
      <c r="O4045" s="8"/>
      <c r="P4045" s="8"/>
      <c r="Q4045" s="8"/>
      <c r="R4045" s="8"/>
      <c r="S4045" s="8"/>
      <c r="T4045" s="8"/>
      <c r="U4045" s="8"/>
      <c r="V4045" s="8"/>
      <c r="W4045" s="8"/>
      <c r="X4045" s="771"/>
      <c r="Y4045" s="771"/>
      <c r="Z4045" s="771"/>
      <c r="AA4045" s="771"/>
      <c r="AB4045" s="771"/>
      <c r="AC4045" s="771"/>
      <c r="AD4045" s="771"/>
      <c r="AE4045" s="771"/>
      <c r="AF4045" s="771"/>
      <c r="AG4045" s="771"/>
      <c r="AH4045" s="771"/>
      <c r="AI4045" s="771"/>
      <c r="AJ4045" s="771"/>
      <c r="AK4045" s="771"/>
      <c r="AL4045" s="771"/>
      <c r="AM4045" s="771"/>
      <c r="AN4045" s="771"/>
      <c r="AO4045" s="771"/>
      <c r="AP4045" s="771"/>
      <c r="AQ4045" s="771"/>
      <c r="AR4045" s="771"/>
      <c r="AS4045" s="771"/>
      <c r="AT4045" s="771"/>
      <c r="AU4045" s="771"/>
    </row>
    <row r="4046" spans="1:47" s="15" customFormat="1" outlineLevel="1" x14ac:dyDescent="0.2">
      <c r="A4046" s="8"/>
      <c r="B4046" s="8"/>
      <c r="C4046" s="1989" t="s">
        <v>9017</v>
      </c>
      <c r="D4046" s="1989" t="s">
        <v>9018</v>
      </c>
      <c r="E4046" s="1989">
        <v>20.57</v>
      </c>
      <c r="F4046" s="1546">
        <f t="shared" si="61"/>
        <v>1672.7779068000002</v>
      </c>
      <c r="G4046" s="1547"/>
      <c r="H4046" s="8"/>
      <c r="I4046" s="8"/>
      <c r="J4046" s="8"/>
      <c r="K4046" s="8"/>
      <c r="L4046" s="8"/>
      <c r="M4046" s="8"/>
      <c r="N4046" s="8"/>
      <c r="O4046" s="8"/>
      <c r="P4046" s="8"/>
      <c r="Q4046" s="8"/>
      <c r="R4046" s="8"/>
      <c r="S4046" s="8"/>
      <c r="T4046" s="8"/>
      <c r="U4046" s="8"/>
      <c r="V4046" s="8"/>
      <c r="W4046" s="8"/>
      <c r="X4046" s="771"/>
      <c r="Y4046" s="771"/>
      <c r="Z4046" s="771"/>
      <c r="AA4046" s="771"/>
      <c r="AB4046" s="771"/>
      <c r="AC4046" s="771"/>
      <c r="AD4046" s="771"/>
      <c r="AE4046" s="771"/>
      <c r="AF4046" s="771"/>
      <c r="AG4046" s="771"/>
      <c r="AH4046" s="771"/>
      <c r="AI4046" s="771"/>
      <c r="AJ4046" s="771"/>
      <c r="AK4046" s="771"/>
      <c r="AL4046" s="771"/>
      <c r="AM4046" s="771"/>
      <c r="AN4046" s="771"/>
      <c r="AO4046" s="771"/>
      <c r="AP4046" s="771"/>
      <c r="AQ4046" s="771"/>
      <c r="AR4046" s="771"/>
      <c r="AS4046" s="771"/>
      <c r="AT4046" s="771"/>
      <c r="AU4046" s="771"/>
    </row>
    <row r="4047" spans="1:47" s="15" customFormat="1" outlineLevel="1" x14ac:dyDescent="0.2">
      <c r="A4047" s="8"/>
      <c r="B4047" s="8"/>
      <c r="C4047" s="1989" t="s">
        <v>9019</v>
      </c>
      <c r="D4047" s="1989" t="s">
        <v>9020</v>
      </c>
      <c r="E4047" s="1989">
        <v>20.57</v>
      </c>
      <c r="F4047" s="1546">
        <f t="shared" si="61"/>
        <v>1672.7779068000002</v>
      </c>
      <c r="G4047" s="1547"/>
      <c r="H4047" s="8"/>
      <c r="I4047" s="8"/>
      <c r="J4047" s="8"/>
      <c r="K4047" s="8"/>
      <c r="L4047" s="8"/>
      <c r="M4047" s="8"/>
      <c r="N4047" s="8"/>
      <c r="O4047" s="8"/>
      <c r="P4047" s="8"/>
      <c r="Q4047" s="8"/>
      <c r="R4047" s="8"/>
      <c r="S4047" s="8"/>
      <c r="T4047" s="8"/>
      <c r="U4047" s="8"/>
      <c r="V4047" s="8"/>
      <c r="W4047" s="8"/>
      <c r="X4047" s="771"/>
      <c r="Y4047" s="771"/>
      <c r="Z4047" s="771"/>
      <c r="AA4047" s="771"/>
      <c r="AB4047" s="771"/>
      <c r="AC4047" s="771"/>
      <c r="AD4047" s="771"/>
      <c r="AE4047" s="771"/>
      <c r="AF4047" s="771"/>
      <c r="AG4047" s="771"/>
      <c r="AH4047" s="771"/>
      <c r="AI4047" s="771"/>
      <c r="AJ4047" s="771"/>
      <c r="AK4047" s="771"/>
      <c r="AL4047" s="771"/>
      <c r="AM4047" s="771"/>
      <c r="AN4047" s="771"/>
      <c r="AO4047" s="771"/>
      <c r="AP4047" s="771"/>
      <c r="AQ4047" s="771"/>
      <c r="AR4047" s="771"/>
      <c r="AS4047" s="771"/>
      <c r="AT4047" s="771"/>
      <c r="AU4047" s="771"/>
    </row>
    <row r="4048" spans="1:47" s="15" customFormat="1" outlineLevel="1" x14ac:dyDescent="0.2">
      <c r="A4048" s="8"/>
      <c r="B4048" s="8"/>
      <c r="C4048" s="1989" t="s">
        <v>9021</v>
      </c>
      <c r="D4048" s="1989" t="s">
        <v>9022</v>
      </c>
      <c r="E4048" s="1989">
        <v>20.57</v>
      </c>
      <c r="F4048" s="1546">
        <f t="shared" si="61"/>
        <v>1672.7779068000002</v>
      </c>
      <c r="G4048" s="1547"/>
      <c r="H4048" s="8"/>
      <c r="I4048" s="8"/>
      <c r="J4048" s="8"/>
      <c r="K4048" s="8"/>
      <c r="L4048" s="8"/>
      <c r="M4048" s="8"/>
      <c r="N4048" s="8"/>
      <c r="O4048" s="8"/>
      <c r="P4048" s="8"/>
      <c r="Q4048" s="8"/>
      <c r="R4048" s="8"/>
      <c r="S4048" s="8"/>
      <c r="T4048" s="8"/>
      <c r="U4048" s="8"/>
      <c r="V4048" s="8"/>
      <c r="W4048" s="8"/>
      <c r="X4048" s="771"/>
      <c r="Y4048" s="771"/>
      <c r="Z4048" s="771"/>
      <c r="AA4048" s="771"/>
      <c r="AB4048" s="771"/>
      <c r="AC4048" s="771"/>
      <c r="AD4048" s="771"/>
      <c r="AE4048" s="771"/>
      <c r="AF4048" s="771"/>
      <c r="AG4048" s="771"/>
      <c r="AH4048" s="771"/>
      <c r="AI4048" s="771"/>
      <c r="AJ4048" s="771"/>
      <c r="AK4048" s="771"/>
      <c r="AL4048" s="771"/>
      <c r="AM4048" s="771"/>
      <c r="AN4048" s="771"/>
      <c r="AO4048" s="771"/>
      <c r="AP4048" s="771"/>
      <c r="AQ4048" s="771"/>
      <c r="AR4048" s="771"/>
      <c r="AS4048" s="771"/>
      <c r="AT4048" s="771"/>
      <c r="AU4048" s="771"/>
    </row>
    <row r="4049" spans="1:47" s="15" customFormat="1" outlineLevel="1" x14ac:dyDescent="0.2">
      <c r="A4049" s="8"/>
      <c r="B4049" s="8"/>
      <c r="C4049" s="1989" t="s">
        <v>9023</v>
      </c>
      <c r="D4049" s="1989" t="s">
        <v>9024</v>
      </c>
      <c r="E4049" s="1989">
        <v>5.85</v>
      </c>
      <c r="F4049" s="1546">
        <f t="shared" si="61"/>
        <v>475.72925400000003</v>
      </c>
      <c r="G4049" s="1547"/>
      <c r="H4049" s="8"/>
      <c r="I4049" s="8"/>
      <c r="J4049" s="8"/>
      <c r="K4049" s="8"/>
      <c r="L4049" s="8"/>
      <c r="M4049" s="8"/>
      <c r="N4049" s="8"/>
      <c r="O4049" s="8"/>
      <c r="P4049" s="8"/>
      <c r="Q4049" s="8"/>
      <c r="R4049" s="8"/>
      <c r="S4049" s="8"/>
      <c r="T4049" s="8"/>
      <c r="U4049" s="8"/>
      <c r="V4049" s="8"/>
      <c r="W4049" s="8"/>
      <c r="X4049" s="771"/>
      <c r="Y4049" s="771"/>
      <c r="Z4049" s="771"/>
      <c r="AA4049" s="771"/>
      <c r="AB4049" s="771"/>
      <c r="AC4049" s="771"/>
      <c r="AD4049" s="771"/>
      <c r="AE4049" s="771"/>
      <c r="AF4049" s="771"/>
      <c r="AG4049" s="771"/>
      <c r="AH4049" s="771"/>
      <c r="AI4049" s="771"/>
      <c r="AJ4049" s="771"/>
      <c r="AK4049" s="771"/>
      <c r="AL4049" s="771"/>
      <c r="AM4049" s="771"/>
      <c r="AN4049" s="771"/>
      <c r="AO4049" s="771"/>
      <c r="AP4049" s="771"/>
      <c r="AQ4049" s="771"/>
      <c r="AR4049" s="771"/>
      <c r="AS4049" s="771"/>
      <c r="AT4049" s="771"/>
      <c r="AU4049" s="771"/>
    </row>
    <row r="4050" spans="1:47" s="15" customFormat="1" outlineLevel="1" x14ac:dyDescent="0.2">
      <c r="A4050" s="8"/>
      <c r="B4050" s="8"/>
      <c r="C4050" s="1989" t="s">
        <v>9025</v>
      </c>
      <c r="D4050" s="1989" t="s">
        <v>9026</v>
      </c>
      <c r="E4050" s="1989">
        <v>6.31</v>
      </c>
      <c r="F4050" s="1546">
        <f t="shared" si="61"/>
        <v>513.13702439999997</v>
      </c>
      <c r="G4050" s="1547"/>
      <c r="H4050" s="8"/>
      <c r="I4050" s="8"/>
      <c r="J4050" s="8"/>
      <c r="K4050" s="8"/>
      <c r="L4050" s="8"/>
      <c r="M4050" s="8"/>
      <c r="N4050" s="8"/>
      <c r="O4050" s="8"/>
      <c r="P4050" s="8"/>
      <c r="Q4050" s="8"/>
      <c r="R4050" s="8"/>
      <c r="S4050" s="8"/>
      <c r="T4050" s="8"/>
      <c r="U4050" s="8"/>
      <c r="V4050" s="8"/>
      <c r="W4050" s="8"/>
      <c r="X4050" s="771"/>
      <c r="Y4050" s="771"/>
      <c r="Z4050" s="771"/>
      <c r="AA4050" s="771"/>
      <c r="AB4050" s="771"/>
      <c r="AC4050" s="771"/>
      <c r="AD4050" s="771"/>
      <c r="AE4050" s="771"/>
      <c r="AF4050" s="771"/>
      <c r="AG4050" s="771"/>
      <c r="AH4050" s="771"/>
      <c r="AI4050" s="771"/>
      <c r="AJ4050" s="771"/>
      <c r="AK4050" s="771"/>
      <c r="AL4050" s="771"/>
      <c r="AM4050" s="771"/>
      <c r="AN4050" s="771"/>
      <c r="AO4050" s="771"/>
      <c r="AP4050" s="771"/>
      <c r="AQ4050" s="771"/>
      <c r="AR4050" s="771"/>
      <c r="AS4050" s="771"/>
      <c r="AT4050" s="771"/>
      <c r="AU4050" s="771"/>
    </row>
    <row r="4051" spans="1:47" s="15" customFormat="1" outlineLevel="1" x14ac:dyDescent="0.2">
      <c r="A4051" s="8"/>
      <c r="B4051" s="8"/>
      <c r="C4051" s="1989" t="s">
        <v>9027</v>
      </c>
      <c r="D4051" s="1989" t="s">
        <v>9028</v>
      </c>
      <c r="E4051" s="1989">
        <v>6.79</v>
      </c>
      <c r="F4051" s="1546">
        <f t="shared" si="61"/>
        <v>552.17121959999997</v>
      </c>
      <c r="G4051" s="1547"/>
      <c r="H4051" s="8"/>
      <c r="I4051" s="8"/>
      <c r="J4051" s="8"/>
      <c r="K4051" s="8"/>
      <c r="L4051" s="8"/>
      <c r="M4051" s="8"/>
      <c r="N4051" s="8"/>
      <c r="O4051" s="8"/>
      <c r="P4051" s="8"/>
      <c r="Q4051" s="8"/>
      <c r="R4051" s="8"/>
      <c r="S4051" s="8"/>
      <c r="T4051" s="8"/>
      <c r="U4051" s="8"/>
      <c r="V4051" s="8"/>
      <c r="W4051" s="8"/>
      <c r="X4051" s="771"/>
      <c r="Y4051" s="771"/>
      <c r="Z4051" s="771"/>
      <c r="AA4051" s="771"/>
      <c r="AB4051" s="771"/>
      <c r="AC4051" s="771"/>
      <c r="AD4051" s="771"/>
      <c r="AE4051" s="771"/>
      <c r="AF4051" s="771"/>
      <c r="AG4051" s="771"/>
      <c r="AH4051" s="771"/>
      <c r="AI4051" s="771"/>
      <c r="AJ4051" s="771"/>
      <c r="AK4051" s="771"/>
      <c r="AL4051" s="771"/>
      <c r="AM4051" s="771"/>
      <c r="AN4051" s="771"/>
      <c r="AO4051" s="771"/>
      <c r="AP4051" s="771"/>
      <c r="AQ4051" s="771"/>
      <c r="AR4051" s="771"/>
      <c r="AS4051" s="771"/>
      <c r="AT4051" s="771"/>
      <c r="AU4051" s="771"/>
    </row>
    <row r="4052" spans="1:47" s="15" customFormat="1" outlineLevel="1" x14ac:dyDescent="0.2">
      <c r="A4052" s="8"/>
      <c r="B4052" s="8"/>
      <c r="C4052" s="1989" t="s">
        <v>9029</v>
      </c>
      <c r="D4052" s="1989" t="s">
        <v>9030</v>
      </c>
      <c r="E4052" s="1989">
        <v>7.93</v>
      </c>
      <c r="F4052" s="1546">
        <f t="shared" si="61"/>
        <v>644.87743320000004</v>
      </c>
      <c r="G4052" s="1547"/>
      <c r="H4052" s="8"/>
      <c r="I4052" s="8"/>
      <c r="J4052" s="8"/>
      <c r="K4052" s="8"/>
      <c r="L4052" s="8"/>
      <c r="M4052" s="8"/>
      <c r="N4052" s="8"/>
      <c r="O4052" s="8"/>
      <c r="P4052" s="8"/>
      <c r="Q4052" s="8"/>
      <c r="R4052" s="8"/>
      <c r="S4052" s="8"/>
      <c r="T4052" s="8"/>
      <c r="U4052" s="8"/>
      <c r="V4052" s="8"/>
      <c r="W4052" s="8"/>
      <c r="X4052" s="771"/>
      <c r="Y4052" s="771"/>
      <c r="Z4052" s="771"/>
      <c r="AA4052" s="771"/>
      <c r="AB4052" s="771"/>
      <c r="AC4052" s="771"/>
      <c r="AD4052" s="771"/>
      <c r="AE4052" s="771"/>
      <c r="AF4052" s="771"/>
      <c r="AG4052" s="771"/>
      <c r="AH4052" s="771"/>
      <c r="AI4052" s="771"/>
      <c r="AJ4052" s="771"/>
      <c r="AK4052" s="771"/>
      <c r="AL4052" s="771"/>
      <c r="AM4052" s="771"/>
      <c r="AN4052" s="771"/>
      <c r="AO4052" s="771"/>
      <c r="AP4052" s="771"/>
      <c r="AQ4052" s="771"/>
      <c r="AR4052" s="771"/>
      <c r="AS4052" s="771"/>
      <c r="AT4052" s="771"/>
      <c r="AU4052" s="771"/>
    </row>
    <row r="4053" spans="1:47" s="15" customFormat="1" outlineLevel="1" x14ac:dyDescent="0.2">
      <c r="A4053" s="8"/>
      <c r="B4053" s="8"/>
      <c r="C4053" s="1989" t="s">
        <v>9031</v>
      </c>
      <c r="D4053" s="1989" t="s">
        <v>9032</v>
      </c>
      <c r="E4053" s="1989">
        <v>5.85</v>
      </c>
      <c r="F4053" s="1546">
        <f t="shared" si="61"/>
        <v>475.72925400000003</v>
      </c>
      <c r="G4053" s="1547"/>
      <c r="H4053" s="8"/>
      <c r="I4053" s="8"/>
      <c r="J4053" s="8"/>
      <c r="K4053" s="8"/>
      <c r="L4053" s="8"/>
      <c r="M4053" s="8"/>
      <c r="N4053" s="8"/>
      <c r="O4053" s="8"/>
      <c r="P4053" s="8"/>
      <c r="Q4053" s="8"/>
      <c r="R4053" s="8"/>
      <c r="S4053" s="8"/>
      <c r="T4053" s="8"/>
      <c r="U4053" s="8"/>
      <c r="V4053" s="8"/>
      <c r="W4053" s="8"/>
      <c r="X4053" s="771"/>
      <c r="Y4053" s="771"/>
      <c r="Z4053" s="771"/>
      <c r="AA4053" s="771"/>
      <c r="AB4053" s="771"/>
      <c r="AC4053" s="771"/>
      <c r="AD4053" s="771"/>
      <c r="AE4053" s="771"/>
      <c r="AF4053" s="771"/>
      <c r="AG4053" s="771"/>
      <c r="AH4053" s="771"/>
      <c r="AI4053" s="771"/>
      <c r="AJ4053" s="771"/>
      <c r="AK4053" s="771"/>
      <c r="AL4053" s="771"/>
      <c r="AM4053" s="771"/>
      <c r="AN4053" s="771"/>
      <c r="AO4053" s="771"/>
      <c r="AP4053" s="771"/>
      <c r="AQ4053" s="771"/>
      <c r="AR4053" s="771"/>
      <c r="AS4053" s="771"/>
      <c r="AT4053" s="771"/>
      <c r="AU4053" s="771"/>
    </row>
    <row r="4054" spans="1:47" s="15" customFormat="1" outlineLevel="1" x14ac:dyDescent="0.2">
      <c r="A4054" s="8"/>
      <c r="B4054" s="8"/>
      <c r="C4054" s="1989" t="s">
        <v>9033</v>
      </c>
      <c r="D4054" s="1989" t="s">
        <v>9034</v>
      </c>
      <c r="E4054" s="1989">
        <v>6.31</v>
      </c>
      <c r="F4054" s="1546">
        <f t="shared" si="61"/>
        <v>513.13702439999997</v>
      </c>
      <c r="G4054" s="1547"/>
      <c r="H4054" s="8"/>
      <c r="I4054" s="8"/>
      <c r="J4054" s="8"/>
      <c r="K4054" s="8"/>
      <c r="L4054" s="8"/>
      <c r="M4054" s="8"/>
      <c r="N4054" s="8"/>
      <c r="O4054" s="8"/>
      <c r="P4054" s="8"/>
      <c r="Q4054" s="8"/>
      <c r="R4054" s="8"/>
      <c r="S4054" s="8"/>
      <c r="T4054" s="8"/>
      <c r="U4054" s="8"/>
      <c r="V4054" s="8"/>
      <c r="W4054" s="8"/>
      <c r="X4054" s="771"/>
      <c r="Y4054" s="771"/>
      <c r="Z4054" s="771"/>
      <c r="AA4054" s="771"/>
      <c r="AB4054" s="771"/>
      <c r="AC4054" s="771"/>
      <c r="AD4054" s="771"/>
      <c r="AE4054" s="771"/>
      <c r="AF4054" s="771"/>
      <c r="AG4054" s="771"/>
      <c r="AH4054" s="771"/>
      <c r="AI4054" s="771"/>
      <c r="AJ4054" s="771"/>
      <c r="AK4054" s="771"/>
      <c r="AL4054" s="771"/>
      <c r="AM4054" s="771"/>
      <c r="AN4054" s="771"/>
      <c r="AO4054" s="771"/>
      <c r="AP4054" s="771"/>
      <c r="AQ4054" s="771"/>
      <c r="AR4054" s="771"/>
      <c r="AS4054" s="771"/>
      <c r="AT4054" s="771"/>
      <c r="AU4054" s="771"/>
    </row>
    <row r="4055" spans="1:47" s="15" customFormat="1" outlineLevel="1" x14ac:dyDescent="0.2">
      <c r="A4055" s="8"/>
      <c r="B4055" s="8"/>
      <c r="C4055" s="1989" t="s">
        <v>9035</v>
      </c>
      <c r="D4055" s="1989" t="s">
        <v>9036</v>
      </c>
      <c r="E4055" s="1989">
        <v>6.79</v>
      </c>
      <c r="F4055" s="1546">
        <f t="shared" ref="F4055:F4059" si="62">E4055*$G$4*$J$4</f>
        <v>552.17121959999997</v>
      </c>
      <c r="G4055" s="1547"/>
      <c r="H4055" s="8"/>
      <c r="I4055" s="8"/>
      <c r="J4055" s="8"/>
      <c r="K4055" s="8"/>
      <c r="L4055" s="8"/>
      <c r="M4055" s="8"/>
      <c r="N4055" s="8"/>
      <c r="O4055" s="8"/>
      <c r="P4055" s="8"/>
      <c r="Q4055" s="8"/>
      <c r="R4055" s="8"/>
      <c r="S4055" s="8"/>
      <c r="T4055" s="8"/>
      <c r="U4055" s="8"/>
      <c r="V4055" s="8"/>
      <c r="W4055" s="8"/>
      <c r="X4055" s="771"/>
      <c r="Y4055" s="771"/>
      <c r="Z4055" s="771"/>
      <c r="AA4055" s="771"/>
      <c r="AB4055" s="771"/>
      <c r="AC4055" s="771"/>
      <c r="AD4055" s="771"/>
      <c r="AE4055" s="771"/>
      <c r="AF4055" s="771"/>
      <c r="AG4055" s="771"/>
      <c r="AH4055" s="771"/>
      <c r="AI4055" s="771"/>
      <c r="AJ4055" s="771"/>
      <c r="AK4055" s="771"/>
      <c r="AL4055" s="771"/>
      <c r="AM4055" s="771"/>
      <c r="AN4055" s="771"/>
      <c r="AO4055" s="771"/>
      <c r="AP4055" s="771"/>
      <c r="AQ4055" s="771"/>
      <c r="AR4055" s="771"/>
      <c r="AS4055" s="771"/>
      <c r="AT4055" s="771"/>
      <c r="AU4055" s="771"/>
    </row>
    <row r="4056" spans="1:47" s="15" customFormat="1" outlineLevel="1" x14ac:dyDescent="0.2">
      <c r="A4056" s="8"/>
      <c r="B4056" s="8"/>
      <c r="C4056" s="1989" t="s">
        <v>9037</v>
      </c>
      <c r="D4056" s="1989" t="s">
        <v>9038</v>
      </c>
      <c r="E4056" s="1989">
        <v>7.93</v>
      </c>
      <c r="F4056" s="1546">
        <f t="shared" si="62"/>
        <v>644.87743320000004</v>
      </c>
      <c r="G4056" s="1547"/>
      <c r="H4056" s="8"/>
      <c r="I4056" s="8"/>
      <c r="J4056" s="8"/>
      <c r="K4056" s="8"/>
      <c r="L4056" s="8"/>
      <c r="M4056" s="8"/>
      <c r="N4056" s="8"/>
      <c r="O4056" s="8"/>
      <c r="P4056" s="8"/>
      <c r="Q4056" s="8"/>
      <c r="R4056" s="8"/>
      <c r="S4056" s="8"/>
      <c r="T4056" s="8"/>
      <c r="U4056" s="8"/>
      <c r="V4056" s="8"/>
      <c r="W4056" s="8"/>
      <c r="X4056" s="771"/>
      <c r="Y4056" s="771"/>
      <c r="Z4056" s="771"/>
      <c r="AA4056" s="771"/>
      <c r="AB4056" s="771"/>
      <c r="AC4056" s="771"/>
      <c r="AD4056" s="771"/>
      <c r="AE4056" s="771"/>
      <c r="AF4056" s="771"/>
      <c r="AG4056" s="771"/>
      <c r="AH4056" s="771"/>
      <c r="AI4056" s="771"/>
      <c r="AJ4056" s="771"/>
      <c r="AK4056" s="771"/>
      <c r="AL4056" s="771"/>
      <c r="AM4056" s="771"/>
      <c r="AN4056" s="771"/>
      <c r="AO4056" s="771"/>
      <c r="AP4056" s="771"/>
      <c r="AQ4056" s="771"/>
      <c r="AR4056" s="771"/>
      <c r="AS4056" s="771"/>
      <c r="AT4056" s="771"/>
      <c r="AU4056" s="771"/>
    </row>
    <row r="4057" spans="1:47" s="15" customFormat="1" outlineLevel="1" x14ac:dyDescent="0.2">
      <c r="A4057" s="8"/>
      <c r="B4057" s="8"/>
      <c r="C4057" s="1989" t="s">
        <v>9039</v>
      </c>
      <c r="D4057" s="1989" t="s">
        <v>9040</v>
      </c>
      <c r="E4057" s="1989">
        <v>19.510000000000002</v>
      </c>
      <c r="F4057" s="1546">
        <f t="shared" si="62"/>
        <v>1586.5773924000002</v>
      </c>
      <c r="G4057" s="1547"/>
      <c r="H4057" s="8"/>
      <c r="I4057" s="8"/>
      <c r="J4057" s="8"/>
      <c r="K4057" s="8"/>
      <c r="L4057" s="8"/>
      <c r="M4057" s="8"/>
      <c r="N4057" s="8"/>
      <c r="O4057" s="8"/>
      <c r="P4057" s="8"/>
      <c r="Q4057" s="8"/>
      <c r="R4057" s="8"/>
      <c r="S4057" s="8"/>
      <c r="T4057" s="8"/>
      <c r="U4057" s="8"/>
      <c r="V4057" s="8"/>
      <c r="W4057" s="8"/>
      <c r="X4057" s="771"/>
      <c r="Y4057" s="771"/>
      <c r="Z4057" s="771"/>
      <c r="AA4057" s="771"/>
      <c r="AB4057" s="771"/>
      <c r="AC4057" s="771"/>
      <c r="AD4057" s="771"/>
      <c r="AE4057" s="771"/>
      <c r="AF4057" s="771"/>
      <c r="AG4057" s="771"/>
      <c r="AH4057" s="771"/>
      <c r="AI4057" s="771"/>
      <c r="AJ4057" s="771"/>
      <c r="AK4057" s="771"/>
      <c r="AL4057" s="771"/>
      <c r="AM4057" s="771"/>
      <c r="AN4057" s="771"/>
      <c r="AO4057" s="771"/>
      <c r="AP4057" s="771"/>
      <c r="AQ4057" s="771"/>
      <c r="AR4057" s="771"/>
      <c r="AS4057" s="771"/>
      <c r="AT4057" s="771"/>
      <c r="AU4057" s="771"/>
    </row>
    <row r="4058" spans="1:47" s="15" customFormat="1" outlineLevel="1" x14ac:dyDescent="0.2">
      <c r="A4058" s="8"/>
      <c r="B4058" s="8"/>
      <c r="C4058" s="1989" t="s">
        <v>9041</v>
      </c>
      <c r="D4058" s="1989" t="s">
        <v>9042</v>
      </c>
      <c r="E4058" s="1989">
        <v>20.57</v>
      </c>
      <c r="F4058" s="1546">
        <f t="shared" si="62"/>
        <v>1672.7779068000002</v>
      </c>
      <c r="G4058" s="1547"/>
      <c r="H4058" s="8"/>
      <c r="I4058" s="8"/>
      <c r="J4058" s="8"/>
      <c r="K4058" s="8"/>
      <c r="L4058" s="8"/>
      <c r="M4058" s="8"/>
      <c r="N4058" s="8"/>
      <c r="O4058" s="8"/>
      <c r="P4058" s="8"/>
      <c r="Q4058" s="8"/>
      <c r="R4058" s="8"/>
      <c r="S4058" s="8"/>
      <c r="T4058" s="8"/>
      <c r="U4058" s="8"/>
      <c r="V4058" s="8"/>
      <c r="W4058" s="8"/>
      <c r="X4058" s="771"/>
      <c r="Y4058" s="771"/>
      <c r="Z4058" s="771"/>
      <c r="AA4058" s="771"/>
      <c r="AB4058" s="771"/>
      <c r="AC4058" s="771"/>
      <c r="AD4058" s="771"/>
      <c r="AE4058" s="771"/>
      <c r="AF4058" s="771"/>
      <c r="AG4058" s="771"/>
      <c r="AH4058" s="771"/>
      <c r="AI4058" s="771"/>
      <c r="AJ4058" s="771"/>
      <c r="AK4058" s="771"/>
      <c r="AL4058" s="771"/>
      <c r="AM4058" s="771"/>
      <c r="AN4058" s="771"/>
      <c r="AO4058" s="771"/>
      <c r="AP4058" s="771"/>
      <c r="AQ4058" s="771"/>
      <c r="AR4058" s="771"/>
      <c r="AS4058" s="771"/>
      <c r="AT4058" s="771"/>
      <c r="AU4058" s="771"/>
    </row>
    <row r="4059" spans="1:47" s="15" customFormat="1" outlineLevel="1" x14ac:dyDescent="0.2">
      <c r="A4059" s="916"/>
      <c r="B4059" s="916"/>
      <c r="C4059" s="1989" t="s">
        <v>9043</v>
      </c>
      <c r="D4059" s="1989" t="s">
        <v>9018</v>
      </c>
      <c r="E4059" s="1989">
        <v>20.57</v>
      </c>
      <c r="F4059" s="1546">
        <f t="shared" si="62"/>
        <v>1672.7779068000002</v>
      </c>
      <c r="G4059" s="1547"/>
      <c r="H4059" s="8"/>
      <c r="I4059" s="8"/>
      <c r="J4059" s="8"/>
      <c r="K4059" s="8"/>
      <c r="L4059" s="8"/>
      <c r="M4059" s="8"/>
      <c r="N4059" s="8"/>
      <c r="O4059" s="8"/>
      <c r="P4059" s="8"/>
      <c r="Q4059" s="8"/>
      <c r="R4059" s="8"/>
      <c r="S4059" s="8"/>
      <c r="T4059" s="8"/>
      <c r="U4059" s="8"/>
      <c r="V4059" s="8"/>
      <c r="W4059" s="8"/>
      <c r="X4059" s="771"/>
      <c r="Y4059" s="771"/>
      <c r="Z4059" s="771"/>
      <c r="AA4059" s="771"/>
      <c r="AB4059" s="771"/>
      <c r="AC4059" s="771"/>
      <c r="AD4059" s="771"/>
      <c r="AE4059" s="771"/>
      <c r="AF4059" s="771"/>
      <c r="AG4059" s="771"/>
      <c r="AH4059" s="771"/>
      <c r="AI4059" s="771"/>
      <c r="AJ4059" s="771"/>
      <c r="AK4059" s="771"/>
      <c r="AL4059" s="771"/>
      <c r="AM4059" s="771"/>
      <c r="AN4059" s="771"/>
      <c r="AO4059" s="771"/>
      <c r="AP4059" s="771"/>
      <c r="AQ4059" s="771"/>
      <c r="AR4059" s="771"/>
      <c r="AS4059" s="771"/>
      <c r="AT4059" s="771"/>
      <c r="AU4059" s="771"/>
    </row>
    <row r="4060" spans="1:47" s="15" customFormat="1" outlineLevel="1" x14ac:dyDescent="0.2">
      <c r="A4060" s="916"/>
      <c r="B4060" s="916"/>
      <c r="C4060" s="1554"/>
      <c r="D4060" s="1071"/>
      <c r="E4060" s="1118"/>
      <c r="F4060" s="1118"/>
      <c r="G4060" s="1547"/>
      <c r="H4060" s="8"/>
      <c r="I4060" s="8"/>
      <c r="J4060" s="8"/>
      <c r="K4060" s="8"/>
      <c r="L4060" s="8"/>
      <c r="M4060" s="8"/>
      <c r="N4060" s="8"/>
      <c r="O4060" s="8"/>
      <c r="P4060" s="8"/>
      <c r="Q4060" s="8"/>
      <c r="R4060" s="8"/>
      <c r="S4060" s="8"/>
      <c r="T4060" s="8"/>
      <c r="U4060" s="8"/>
      <c r="V4060" s="8"/>
      <c r="W4060" s="8"/>
      <c r="X4060" s="771"/>
      <c r="Y4060" s="771"/>
      <c r="Z4060" s="771"/>
      <c r="AA4060" s="771"/>
      <c r="AB4060" s="771"/>
      <c r="AC4060" s="771"/>
      <c r="AD4060" s="771"/>
      <c r="AE4060" s="771"/>
      <c r="AF4060" s="771"/>
      <c r="AG4060" s="771"/>
      <c r="AH4060" s="771"/>
      <c r="AI4060" s="771"/>
      <c r="AJ4060" s="771"/>
      <c r="AK4060" s="771"/>
      <c r="AL4060" s="771"/>
      <c r="AM4060" s="771"/>
      <c r="AN4060" s="771"/>
      <c r="AO4060" s="771"/>
      <c r="AP4060" s="771"/>
      <c r="AQ4060" s="771"/>
      <c r="AR4060" s="771"/>
      <c r="AS4060" s="771"/>
      <c r="AT4060" s="771"/>
      <c r="AU4060" s="771"/>
    </row>
    <row r="4061" spans="1:47" s="15" customFormat="1" outlineLevel="1" x14ac:dyDescent="0.2">
      <c r="A4061" s="916"/>
      <c r="B4061" s="916"/>
      <c r="C4061" s="1554"/>
      <c r="D4061" s="1071"/>
      <c r="E4061" s="1118"/>
      <c r="F4061" s="1118"/>
      <c r="G4061" s="1547"/>
      <c r="H4061" s="8"/>
      <c r="I4061" s="8"/>
      <c r="J4061" s="8"/>
      <c r="K4061" s="8"/>
      <c r="L4061" s="8"/>
      <c r="M4061" s="8"/>
      <c r="N4061" s="8"/>
      <c r="O4061" s="8"/>
      <c r="P4061" s="8"/>
      <c r="Q4061" s="8"/>
      <c r="R4061" s="8"/>
      <c r="S4061" s="8"/>
      <c r="T4061" s="8"/>
      <c r="U4061" s="8"/>
      <c r="V4061" s="8"/>
      <c r="W4061" s="8"/>
      <c r="X4061" s="771"/>
      <c r="Y4061" s="771"/>
      <c r="Z4061" s="771"/>
      <c r="AA4061" s="771"/>
      <c r="AB4061" s="771"/>
      <c r="AC4061" s="771"/>
      <c r="AD4061" s="771"/>
      <c r="AE4061" s="771"/>
      <c r="AF4061" s="771"/>
      <c r="AG4061" s="771"/>
      <c r="AH4061" s="771"/>
      <c r="AI4061" s="771"/>
      <c r="AJ4061" s="771"/>
      <c r="AK4061" s="771"/>
      <c r="AL4061" s="771"/>
      <c r="AM4061" s="771"/>
      <c r="AN4061" s="771"/>
      <c r="AO4061" s="771"/>
      <c r="AP4061" s="771"/>
      <c r="AQ4061" s="771"/>
      <c r="AR4061" s="771"/>
      <c r="AS4061" s="771"/>
      <c r="AT4061" s="771"/>
      <c r="AU4061" s="771"/>
    </row>
    <row r="4062" spans="1:47" s="15" customFormat="1" x14ac:dyDescent="0.2">
      <c r="A4062" s="916"/>
      <c r="B4062" s="916"/>
      <c r="C4062" s="1554"/>
      <c r="D4062" s="1071"/>
      <c r="E4062" s="1118"/>
      <c r="F4062" s="1118"/>
      <c r="G4062" s="1547"/>
      <c r="H4062" s="8"/>
      <c r="I4062" s="8"/>
      <c r="J4062" s="8"/>
      <c r="K4062" s="8"/>
      <c r="L4062" s="8"/>
      <c r="M4062" s="8"/>
      <c r="N4062" s="8"/>
      <c r="O4062" s="8"/>
      <c r="P4062" s="8"/>
      <c r="Q4062" s="8"/>
      <c r="R4062" s="8"/>
      <c r="S4062" s="8"/>
      <c r="T4062" s="8"/>
      <c r="U4062" s="8"/>
      <c r="V4062" s="8"/>
      <c r="W4062" s="8"/>
      <c r="X4062" s="771"/>
      <c r="Y4062" s="771"/>
      <c r="Z4062" s="771"/>
      <c r="AA4062" s="771"/>
      <c r="AB4062" s="771"/>
      <c r="AC4062" s="771"/>
      <c r="AD4062" s="771"/>
      <c r="AE4062" s="771"/>
      <c r="AF4062" s="771"/>
      <c r="AG4062" s="771"/>
      <c r="AH4062" s="771"/>
      <c r="AI4062" s="771"/>
      <c r="AJ4062" s="771"/>
      <c r="AK4062" s="771"/>
      <c r="AL4062" s="771"/>
      <c r="AM4062" s="771"/>
      <c r="AN4062" s="771"/>
      <c r="AO4062" s="771"/>
      <c r="AP4062" s="771"/>
      <c r="AQ4062" s="771"/>
      <c r="AR4062" s="771"/>
      <c r="AS4062" s="771"/>
      <c r="AT4062" s="771"/>
      <c r="AU4062" s="771"/>
    </row>
    <row r="4063" spans="1:47" s="15" customFormat="1" ht="13.5" thickBot="1" x14ac:dyDescent="0.25">
      <c r="A4063" s="916"/>
      <c r="B4063" s="916"/>
      <c r="C4063" s="1555"/>
      <c r="D4063" s="1556"/>
      <c r="E4063" s="1557"/>
      <c r="F4063" s="1557"/>
      <c r="G4063" s="917"/>
      <c r="H4063" s="8"/>
      <c r="I4063" s="8"/>
      <c r="J4063" s="8"/>
      <c r="K4063" s="8"/>
      <c r="L4063" s="8"/>
      <c r="M4063" s="8"/>
      <c r="N4063" s="8"/>
      <c r="O4063" s="8"/>
      <c r="P4063" s="8"/>
      <c r="Q4063" s="8"/>
      <c r="R4063" s="8"/>
      <c r="S4063" s="8"/>
      <c r="T4063" s="8"/>
      <c r="U4063" s="8"/>
      <c r="V4063" s="8"/>
      <c r="W4063" s="8"/>
      <c r="X4063" s="771"/>
      <c r="Y4063" s="771"/>
      <c r="Z4063" s="771"/>
      <c r="AA4063" s="771"/>
      <c r="AB4063" s="771"/>
      <c r="AC4063" s="771"/>
      <c r="AD4063" s="771"/>
      <c r="AE4063" s="771"/>
      <c r="AF4063" s="771"/>
      <c r="AG4063" s="771"/>
      <c r="AH4063" s="771"/>
      <c r="AI4063" s="771"/>
      <c r="AJ4063" s="771"/>
      <c r="AK4063" s="771"/>
      <c r="AL4063" s="771"/>
      <c r="AM4063" s="771"/>
      <c r="AN4063" s="771"/>
      <c r="AO4063" s="771"/>
      <c r="AP4063" s="771"/>
      <c r="AQ4063" s="771"/>
      <c r="AR4063" s="771"/>
      <c r="AS4063" s="771"/>
      <c r="AT4063" s="771"/>
      <c r="AU4063" s="771"/>
    </row>
    <row r="4064" spans="1:47" s="15" customFormat="1" x14ac:dyDescent="0.2">
      <c r="A4064" s="771"/>
      <c r="B4064" s="771"/>
      <c r="C4064" s="771"/>
      <c r="D4064" s="771"/>
      <c r="E4064" s="801"/>
      <c r="F4064" s="801"/>
      <c r="G4064" s="771"/>
      <c r="H4064" s="8"/>
      <c r="I4064" s="8"/>
      <c r="J4064" s="8"/>
      <c r="K4064" s="8"/>
      <c r="L4064" s="8"/>
      <c r="M4064" s="8"/>
      <c r="N4064" s="8"/>
      <c r="O4064" s="8"/>
      <c r="P4064" s="8"/>
      <c r="Q4064" s="8"/>
      <c r="R4064" s="8"/>
      <c r="S4064" s="8"/>
      <c r="T4064" s="8"/>
      <c r="U4064" s="8"/>
      <c r="V4064" s="8"/>
      <c r="W4064" s="8"/>
      <c r="X4064" s="771"/>
      <c r="Y4064" s="771"/>
      <c r="Z4064" s="771"/>
      <c r="AA4064" s="771"/>
      <c r="AB4064" s="771"/>
      <c r="AC4064" s="771"/>
      <c r="AD4064" s="771"/>
      <c r="AE4064" s="771"/>
      <c r="AF4064" s="771"/>
      <c r="AG4064" s="771"/>
      <c r="AH4064" s="771"/>
      <c r="AI4064" s="771"/>
      <c r="AJ4064" s="771"/>
      <c r="AK4064" s="771"/>
      <c r="AL4064" s="771"/>
      <c r="AM4064" s="771"/>
      <c r="AN4064" s="771"/>
      <c r="AO4064" s="771"/>
      <c r="AP4064" s="771"/>
      <c r="AQ4064" s="771"/>
      <c r="AR4064" s="771"/>
      <c r="AS4064" s="771"/>
      <c r="AT4064" s="771"/>
      <c r="AU4064" s="771"/>
    </row>
    <row r="4065" spans="1:47" s="15" customFormat="1" x14ac:dyDescent="0.2">
      <c r="A4065" s="771"/>
      <c r="B4065" s="771"/>
      <c r="C4065" s="771"/>
      <c r="D4065" s="771"/>
      <c r="E4065" s="801"/>
      <c r="F4065" s="801"/>
      <c r="G4065" s="771"/>
      <c r="H4065" s="8"/>
      <c r="I4065" s="8"/>
      <c r="J4065" s="8"/>
      <c r="K4065" s="8"/>
      <c r="L4065" s="8"/>
      <c r="M4065" s="8"/>
      <c r="N4065" s="8"/>
      <c r="O4065" s="8"/>
      <c r="P4065" s="8"/>
      <c r="Q4065" s="8"/>
      <c r="R4065" s="8"/>
      <c r="S4065" s="8"/>
      <c r="T4065" s="8"/>
      <c r="U4065" s="8"/>
      <c r="V4065" s="8"/>
      <c r="W4065" s="8"/>
      <c r="X4065" s="771"/>
      <c r="Y4065" s="771"/>
      <c r="Z4065" s="771"/>
      <c r="AA4065" s="771"/>
      <c r="AB4065" s="771"/>
      <c r="AC4065" s="771"/>
      <c r="AD4065" s="771"/>
      <c r="AE4065" s="771"/>
      <c r="AF4065" s="771"/>
      <c r="AG4065" s="771"/>
      <c r="AH4065" s="771"/>
      <c r="AI4065" s="771"/>
      <c r="AJ4065" s="771"/>
      <c r="AK4065" s="771"/>
      <c r="AL4065" s="771"/>
      <c r="AM4065" s="771"/>
      <c r="AN4065" s="771"/>
      <c r="AO4065" s="771"/>
      <c r="AP4065" s="771"/>
      <c r="AQ4065" s="771"/>
      <c r="AR4065" s="771"/>
      <c r="AS4065" s="771"/>
      <c r="AT4065" s="771"/>
      <c r="AU4065" s="771"/>
    </row>
    <row r="4066" spans="1:47" s="15" customFormat="1" x14ac:dyDescent="0.2">
      <c r="A4066" s="771"/>
      <c r="B4066" s="771"/>
      <c r="C4066" s="771"/>
      <c r="D4066" s="771"/>
      <c r="E4066" s="801"/>
      <c r="F4066" s="801"/>
      <c r="G4066" s="771"/>
      <c r="H4066" s="8"/>
      <c r="I4066" s="8"/>
      <c r="J4066" s="8"/>
      <c r="K4066" s="8"/>
      <c r="L4066" s="8"/>
      <c r="M4066" s="8"/>
      <c r="N4066" s="8"/>
      <c r="O4066" s="8"/>
      <c r="P4066" s="8"/>
      <c r="Q4066" s="8"/>
      <c r="R4066" s="8"/>
      <c r="S4066" s="8"/>
      <c r="T4066" s="8"/>
      <c r="U4066" s="8"/>
      <c r="V4066" s="8"/>
      <c r="W4066" s="8"/>
      <c r="X4066" s="771"/>
      <c r="Y4066" s="771"/>
      <c r="Z4066" s="771"/>
      <c r="AA4066" s="771"/>
      <c r="AB4066" s="771"/>
      <c r="AC4066" s="771"/>
      <c r="AD4066" s="771"/>
      <c r="AE4066" s="771"/>
      <c r="AF4066" s="771"/>
      <c r="AG4066" s="771"/>
      <c r="AH4066" s="771"/>
      <c r="AI4066" s="771"/>
      <c r="AJ4066" s="771"/>
      <c r="AK4066" s="771"/>
      <c r="AL4066" s="771"/>
      <c r="AM4066" s="771"/>
      <c r="AN4066" s="771"/>
      <c r="AO4066" s="771"/>
      <c r="AP4066" s="771"/>
      <c r="AQ4066" s="771"/>
      <c r="AR4066" s="771"/>
      <c r="AS4066" s="771"/>
      <c r="AT4066" s="771"/>
      <c r="AU4066" s="771"/>
    </row>
    <row r="4067" spans="1:47" s="15" customFormat="1" x14ac:dyDescent="0.2">
      <c r="A4067" s="771"/>
      <c r="B4067" s="771"/>
      <c r="C4067" s="771"/>
      <c r="D4067" s="771"/>
      <c r="E4067" s="801"/>
      <c r="F4067" s="801"/>
      <c r="G4067" s="771"/>
      <c r="H4067" s="8"/>
      <c r="I4067" s="8"/>
      <c r="J4067" s="8"/>
      <c r="K4067" s="8"/>
      <c r="L4067" s="8"/>
      <c r="M4067" s="8"/>
      <c r="N4067" s="8"/>
      <c r="O4067" s="8"/>
      <c r="P4067" s="8"/>
      <c r="Q4067" s="8"/>
      <c r="R4067" s="8"/>
      <c r="S4067" s="8"/>
      <c r="T4067" s="8"/>
      <c r="U4067" s="8"/>
      <c r="V4067" s="8"/>
      <c r="W4067" s="8"/>
      <c r="X4067" s="771"/>
      <c r="Y4067" s="771"/>
      <c r="Z4067" s="771"/>
      <c r="AA4067" s="771"/>
      <c r="AB4067" s="771"/>
      <c r="AC4067" s="771"/>
      <c r="AD4067" s="771"/>
      <c r="AE4067" s="771"/>
      <c r="AF4067" s="771"/>
      <c r="AG4067" s="771"/>
      <c r="AH4067" s="771"/>
      <c r="AI4067" s="771"/>
      <c r="AJ4067" s="771"/>
      <c r="AK4067" s="771"/>
      <c r="AL4067" s="771"/>
      <c r="AM4067" s="771"/>
      <c r="AN4067" s="771"/>
      <c r="AO4067" s="771"/>
      <c r="AP4067" s="771"/>
      <c r="AQ4067" s="771"/>
      <c r="AR4067" s="771"/>
      <c r="AS4067" s="771"/>
      <c r="AT4067" s="771"/>
      <c r="AU4067" s="771"/>
    </row>
    <row r="4068" spans="1:47" s="15" customFormat="1" x14ac:dyDescent="0.2">
      <c r="A4068" s="771"/>
      <c r="B4068" s="771"/>
      <c r="C4068" s="771"/>
      <c r="D4068" s="771"/>
      <c r="E4068" s="801"/>
      <c r="F4068" s="801"/>
      <c r="G4068" s="771"/>
      <c r="H4068" s="8"/>
      <c r="I4068" s="8"/>
      <c r="J4068" s="8"/>
      <c r="K4068" s="8"/>
      <c r="L4068" s="8"/>
      <c r="M4068" s="8"/>
      <c r="N4068" s="8"/>
      <c r="O4068" s="8"/>
      <c r="P4068" s="8"/>
      <c r="Q4068" s="8"/>
      <c r="R4068" s="8"/>
      <c r="S4068" s="8"/>
      <c r="T4068" s="8"/>
      <c r="U4068" s="8"/>
      <c r="V4068" s="8"/>
      <c r="W4068" s="8"/>
      <c r="X4068" s="771"/>
      <c r="Y4068" s="771"/>
      <c r="Z4068" s="771"/>
      <c r="AA4068" s="771"/>
      <c r="AB4068" s="771"/>
      <c r="AC4068" s="771"/>
      <c r="AD4068" s="771"/>
      <c r="AE4068" s="771"/>
      <c r="AF4068" s="771"/>
      <c r="AG4068" s="771"/>
      <c r="AH4068" s="771"/>
      <c r="AI4068" s="771"/>
      <c r="AJ4068" s="771"/>
      <c r="AK4068" s="771"/>
      <c r="AL4068" s="771"/>
      <c r="AM4068" s="771"/>
      <c r="AN4068" s="771"/>
      <c r="AO4068" s="771"/>
      <c r="AP4068" s="771"/>
      <c r="AQ4068" s="771"/>
      <c r="AR4068" s="771"/>
      <c r="AS4068" s="771"/>
      <c r="AT4068" s="771"/>
      <c r="AU4068" s="771"/>
    </row>
    <row r="4069" spans="1:47" s="15" customFormat="1" x14ac:dyDescent="0.2">
      <c r="A4069" s="771"/>
      <c r="B4069" s="771"/>
      <c r="C4069" s="771"/>
      <c r="D4069" s="771"/>
      <c r="E4069" s="801"/>
      <c r="F4069" s="801"/>
      <c r="G4069" s="771"/>
      <c r="H4069" s="8"/>
      <c r="I4069" s="8"/>
      <c r="J4069" s="8"/>
      <c r="K4069" s="8"/>
      <c r="L4069" s="8"/>
      <c r="M4069" s="8"/>
      <c r="N4069" s="8"/>
      <c r="O4069" s="8"/>
      <c r="P4069" s="8"/>
      <c r="Q4069" s="8"/>
      <c r="R4069" s="8"/>
      <c r="S4069" s="8"/>
      <c r="T4069" s="8"/>
      <c r="U4069" s="8"/>
      <c r="V4069" s="8"/>
      <c r="W4069" s="8"/>
      <c r="X4069" s="771"/>
      <c r="Y4069" s="771"/>
      <c r="Z4069" s="771"/>
      <c r="AA4069" s="771"/>
      <c r="AB4069" s="771"/>
      <c r="AC4069" s="771"/>
      <c r="AD4069" s="771"/>
      <c r="AE4069" s="771"/>
      <c r="AF4069" s="771"/>
      <c r="AG4069" s="771"/>
      <c r="AH4069" s="771"/>
      <c r="AI4069" s="771"/>
      <c r="AJ4069" s="771"/>
      <c r="AK4069" s="771"/>
      <c r="AL4069" s="771"/>
      <c r="AM4069" s="771"/>
      <c r="AN4069" s="771"/>
      <c r="AO4069" s="771"/>
      <c r="AP4069" s="771"/>
      <c r="AQ4069" s="771"/>
      <c r="AR4069" s="771"/>
      <c r="AS4069" s="771"/>
      <c r="AT4069" s="771"/>
      <c r="AU4069" s="771"/>
    </row>
    <row r="4070" spans="1:47" s="15" customFormat="1" x14ac:dyDescent="0.2">
      <c r="A4070" s="771"/>
      <c r="B4070" s="771"/>
      <c r="C4070" s="771"/>
      <c r="D4070" s="771"/>
      <c r="E4070" s="801"/>
      <c r="F4070" s="801"/>
      <c r="G4070" s="771"/>
      <c r="H4070" s="8"/>
      <c r="I4070" s="8"/>
      <c r="J4070" s="8"/>
      <c r="K4070" s="8"/>
      <c r="L4070" s="8"/>
      <c r="M4070" s="8"/>
      <c r="N4070" s="8"/>
      <c r="O4070" s="8"/>
      <c r="P4070" s="8"/>
      <c r="Q4070" s="8"/>
      <c r="R4070" s="8"/>
      <c r="S4070" s="8"/>
      <c r="T4070" s="8"/>
      <c r="U4070" s="8"/>
      <c r="V4070" s="8"/>
      <c r="W4070" s="8"/>
      <c r="X4070" s="771"/>
      <c r="Y4070" s="771"/>
      <c r="Z4070" s="771"/>
      <c r="AA4070" s="771"/>
      <c r="AB4070" s="771"/>
      <c r="AC4070" s="771"/>
      <c r="AD4070" s="771"/>
      <c r="AE4070" s="771"/>
      <c r="AF4070" s="771"/>
      <c r="AG4070" s="771"/>
      <c r="AH4070" s="771"/>
      <c r="AI4070" s="771"/>
      <c r="AJ4070" s="771"/>
      <c r="AK4070" s="771"/>
      <c r="AL4070" s="771"/>
      <c r="AM4070" s="771"/>
      <c r="AN4070" s="771"/>
      <c r="AO4070" s="771"/>
      <c r="AP4070" s="771"/>
      <c r="AQ4070" s="771"/>
      <c r="AR4070" s="771"/>
      <c r="AS4070" s="771"/>
      <c r="AT4070" s="771"/>
      <c r="AU4070" s="771"/>
    </row>
    <row r="4071" spans="1:47" s="15" customFormat="1" x14ac:dyDescent="0.2">
      <c r="A4071" s="771"/>
      <c r="B4071" s="771"/>
      <c r="C4071" s="771"/>
      <c r="D4071" s="771"/>
      <c r="E4071" s="801"/>
      <c r="F4071" s="801"/>
      <c r="G4071" s="771"/>
      <c r="H4071" s="8"/>
      <c r="I4071" s="8"/>
      <c r="J4071" s="8"/>
      <c r="K4071" s="8"/>
      <c r="L4071" s="8"/>
      <c r="M4071" s="8"/>
      <c r="N4071" s="8"/>
      <c r="O4071" s="8"/>
      <c r="P4071" s="8"/>
      <c r="Q4071" s="8"/>
      <c r="R4071" s="8"/>
      <c r="S4071" s="8"/>
      <c r="T4071" s="8"/>
      <c r="U4071" s="8"/>
      <c r="V4071" s="8"/>
      <c r="W4071" s="8"/>
      <c r="X4071" s="771"/>
      <c r="Y4071" s="771"/>
      <c r="Z4071" s="771"/>
      <c r="AA4071" s="771"/>
      <c r="AB4071" s="771"/>
      <c r="AC4071" s="771"/>
      <c r="AD4071" s="771"/>
      <c r="AE4071" s="771"/>
      <c r="AF4071" s="771"/>
      <c r="AG4071" s="771"/>
      <c r="AH4071" s="771"/>
      <c r="AI4071" s="771"/>
      <c r="AJ4071" s="771"/>
      <c r="AK4071" s="771"/>
      <c r="AL4071" s="771"/>
      <c r="AM4071" s="771"/>
      <c r="AN4071" s="771"/>
      <c r="AO4071" s="771"/>
      <c r="AP4071" s="771"/>
      <c r="AQ4071" s="771"/>
      <c r="AR4071" s="771"/>
      <c r="AS4071" s="771"/>
      <c r="AT4071" s="771"/>
      <c r="AU4071" s="771"/>
    </row>
    <row r="4072" spans="1:47" s="15" customFormat="1" x14ac:dyDescent="0.2">
      <c r="A4072" s="771"/>
      <c r="B4072" s="771"/>
      <c r="C4072" s="771"/>
      <c r="D4072" s="771"/>
      <c r="E4072" s="801"/>
      <c r="F4072" s="801"/>
      <c r="G4072" s="771"/>
      <c r="H4072" s="8"/>
      <c r="I4072" s="8"/>
      <c r="J4072" s="8"/>
      <c r="K4072" s="8"/>
      <c r="L4072" s="8"/>
      <c r="M4072" s="8"/>
      <c r="N4072" s="8"/>
      <c r="O4072" s="8"/>
      <c r="P4072" s="8"/>
      <c r="Q4072" s="8"/>
      <c r="R4072" s="8"/>
      <c r="S4072" s="8"/>
      <c r="T4072" s="8"/>
      <c r="U4072" s="8"/>
      <c r="V4072" s="8"/>
      <c r="W4072" s="8"/>
      <c r="X4072" s="771"/>
      <c r="Y4072" s="771"/>
      <c r="Z4072" s="771"/>
      <c r="AA4072" s="771"/>
      <c r="AB4072" s="771"/>
      <c r="AC4072" s="771"/>
      <c r="AD4072" s="771"/>
      <c r="AE4072" s="771"/>
      <c r="AF4072" s="771"/>
      <c r="AG4072" s="771"/>
      <c r="AH4072" s="771"/>
      <c r="AI4072" s="771"/>
      <c r="AJ4072" s="771"/>
      <c r="AK4072" s="771"/>
      <c r="AL4072" s="771"/>
      <c r="AM4072" s="771"/>
      <c r="AN4072" s="771"/>
      <c r="AO4072" s="771"/>
      <c r="AP4072" s="771"/>
      <c r="AQ4072" s="771"/>
      <c r="AR4072" s="771"/>
      <c r="AS4072" s="771"/>
      <c r="AT4072" s="771"/>
      <c r="AU4072" s="771"/>
    </row>
    <row r="4073" spans="1:47" s="15" customFormat="1" x14ac:dyDescent="0.2">
      <c r="A4073" s="771"/>
      <c r="B4073" s="771"/>
      <c r="C4073" s="771"/>
      <c r="D4073" s="771"/>
      <c r="E4073" s="801"/>
      <c r="F4073" s="801"/>
      <c r="G4073" s="771"/>
      <c r="H4073" s="8"/>
      <c r="I4073" s="8"/>
      <c r="J4073" s="8"/>
      <c r="K4073" s="8"/>
      <c r="L4073" s="8"/>
      <c r="M4073" s="8"/>
      <c r="N4073" s="8"/>
      <c r="O4073" s="8"/>
      <c r="P4073" s="8"/>
      <c r="Q4073" s="8"/>
      <c r="R4073" s="8"/>
      <c r="S4073" s="8"/>
      <c r="T4073" s="8"/>
      <c r="U4073" s="8"/>
      <c r="V4073" s="8"/>
      <c r="W4073" s="8"/>
      <c r="X4073" s="771"/>
      <c r="Y4073" s="771"/>
      <c r="Z4073" s="771"/>
      <c r="AA4073" s="771"/>
      <c r="AB4073" s="771"/>
      <c r="AC4073" s="771"/>
      <c r="AD4073" s="771"/>
      <c r="AE4073" s="771"/>
      <c r="AF4073" s="771"/>
      <c r="AG4073" s="771"/>
      <c r="AH4073" s="771"/>
      <c r="AI4073" s="771"/>
      <c r="AJ4073" s="771"/>
      <c r="AK4073" s="771"/>
      <c r="AL4073" s="771"/>
      <c r="AM4073" s="771"/>
      <c r="AN4073" s="771"/>
      <c r="AO4073" s="771"/>
      <c r="AP4073" s="771"/>
      <c r="AQ4073" s="771"/>
      <c r="AR4073" s="771"/>
      <c r="AS4073" s="771"/>
      <c r="AT4073" s="771"/>
      <c r="AU4073" s="771"/>
    </row>
    <row r="4074" spans="1:47" s="15" customFormat="1" x14ac:dyDescent="0.2">
      <c r="A4074" s="771"/>
      <c r="B4074" s="771"/>
      <c r="C4074" s="771"/>
      <c r="D4074" s="771"/>
      <c r="E4074" s="801"/>
      <c r="F4074" s="801"/>
      <c r="G4074" s="771"/>
      <c r="H4074" s="8"/>
      <c r="I4074" s="8"/>
      <c r="J4074" s="8"/>
      <c r="K4074" s="8"/>
      <c r="L4074" s="8"/>
      <c r="M4074" s="8"/>
      <c r="N4074" s="8"/>
      <c r="O4074" s="8"/>
      <c r="P4074" s="8"/>
      <c r="Q4074" s="8"/>
      <c r="R4074" s="8"/>
      <c r="S4074" s="8"/>
      <c r="T4074" s="8"/>
      <c r="U4074" s="8"/>
      <c r="V4074" s="8"/>
      <c r="W4074" s="8"/>
      <c r="X4074" s="771"/>
      <c r="Y4074" s="771"/>
      <c r="Z4074" s="771"/>
      <c r="AA4074" s="771"/>
      <c r="AB4074" s="771"/>
      <c r="AC4074" s="771"/>
      <c r="AD4074" s="771"/>
      <c r="AE4074" s="771"/>
      <c r="AF4074" s="771"/>
      <c r="AG4074" s="771"/>
      <c r="AH4074" s="771"/>
      <c r="AI4074" s="771"/>
      <c r="AJ4074" s="771"/>
      <c r="AK4074" s="771"/>
      <c r="AL4074" s="771"/>
      <c r="AM4074" s="771"/>
      <c r="AN4074" s="771"/>
      <c r="AO4074" s="771"/>
      <c r="AP4074" s="771"/>
      <c r="AQ4074" s="771"/>
      <c r="AR4074" s="771"/>
      <c r="AS4074" s="771"/>
      <c r="AT4074" s="771"/>
      <c r="AU4074" s="771"/>
    </row>
    <row r="4075" spans="1:47" s="15" customFormat="1" x14ac:dyDescent="0.2">
      <c r="A4075" s="771"/>
      <c r="B4075" s="771"/>
      <c r="C4075" s="771"/>
      <c r="D4075" s="771"/>
      <c r="E4075" s="801"/>
      <c r="F4075" s="801"/>
      <c r="G4075" s="771"/>
      <c r="H4075" s="8"/>
      <c r="I4075" s="8"/>
      <c r="J4075" s="8"/>
      <c r="K4075" s="8"/>
      <c r="L4075" s="8"/>
      <c r="M4075" s="8"/>
      <c r="N4075" s="8"/>
      <c r="O4075" s="8"/>
      <c r="P4075" s="8"/>
      <c r="Q4075" s="8"/>
      <c r="R4075" s="8"/>
      <c r="S4075" s="8"/>
      <c r="T4075" s="8"/>
      <c r="U4075" s="8"/>
      <c r="V4075" s="8"/>
      <c r="W4075" s="8"/>
      <c r="X4075" s="771"/>
      <c r="Y4075" s="771"/>
      <c r="Z4075" s="771"/>
      <c r="AA4075" s="771"/>
      <c r="AB4075" s="771"/>
      <c r="AC4075" s="771"/>
      <c r="AD4075" s="771"/>
      <c r="AE4075" s="771"/>
      <c r="AF4075" s="771"/>
      <c r="AG4075" s="771"/>
      <c r="AH4075" s="771"/>
      <c r="AI4075" s="771"/>
      <c r="AJ4075" s="771"/>
      <c r="AK4075" s="771"/>
      <c r="AL4075" s="771"/>
      <c r="AM4075" s="771"/>
      <c r="AN4075" s="771"/>
      <c r="AO4075" s="771"/>
      <c r="AP4075" s="771"/>
      <c r="AQ4075" s="771"/>
      <c r="AR4075" s="771"/>
      <c r="AS4075" s="771"/>
      <c r="AT4075" s="771"/>
      <c r="AU4075" s="771"/>
    </row>
    <row r="4076" spans="1:47" s="15" customFormat="1" x14ac:dyDescent="0.2">
      <c r="A4076" s="771"/>
      <c r="B4076" s="771"/>
      <c r="C4076" s="771"/>
      <c r="D4076" s="771"/>
      <c r="E4076" s="801"/>
      <c r="F4076" s="801"/>
      <c r="G4076" s="771"/>
      <c r="H4076" s="8"/>
      <c r="I4076" s="8"/>
      <c r="J4076" s="8"/>
      <c r="K4076" s="8"/>
      <c r="L4076" s="8"/>
      <c r="M4076" s="8"/>
      <c r="N4076" s="8"/>
      <c r="O4076" s="8"/>
      <c r="P4076" s="8"/>
      <c r="Q4076" s="8"/>
      <c r="R4076" s="8"/>
      <c r="S4076" s="8"/>
      <c r="T4076" s="8"/>
      <c r="U4076" s="8"/>
      <c r="V4076" s="8"/>
      <c r="W4076" s="8"/>
      <c r="X4076" s="771"/>
      <c r="Y4076" s="771"/>
      <c r="Z4076" s="771"/>
      <c r="AA4076" s="771"/>
      <c r="AB4076" s="771"/>
      <c r="AC4076" s="771"/>
      <c r="AD4076" s="771"/>
      <c r="AE4076" s="771"/>
      <c r="AF4076" s="771"/>
      <c r="AG4076" s="771"/>
      <c r="AH4076" s="771"/>
      <c r="AI4076" s="771"/>
      <c r="AJ4076" s="771"/>
      <c r="AK4076" s="771"/>
      <c r="AL4076" s="771"/>
      <c r="AM4076" s="771"/>
      <c r="AN4076" s="771"/>
      <c r="AO4076" s="771"/>
      <c r="AP4076" s="771"/>
      <c r="AQ4076" s="771"/>
      <c r="AR4076" s="771"/>
      <c r="AS4076" s="771"/>
      <c r="AT4076" s="771"/>
      <c r="AU4076" s="771"/>
    </row>
    <row r="4077" spans="1:47" s="15" customFormat="1" x14ac:dyDescent="0.2">
      <c r="A4077" s="771"/>
      <c r="B4077" s="771"/>
      <c r="C4077" s="771"/>
      <c r="D4077" s="771"/>
      <c r="E4077" s="801"/>
      <c r="F4077" s="801"/>
      <c r="G4077" s="771"/>
      <c r="H4077" s="8"/>
      <c r="I4077" s="8"/>
      <c r="J4077" s="8"/>
      <c r="K4077" s="8"/>
      <c r="L4077" s="8"/>
      <c r="M4077" s="8"/>
      <c r="N4077" s="8"/>
      <c r="O4077" s="8"/>
      <c r="P4077" s="8"/>
      <c r="Q4077" s="8"/>
      <c r="R4077" s="8"/>
      <c r="S4077" s="8"/>
      <c r="T4077" s="8"/>
      <c r="U4077" s="8"/>
      <c r="V4077" s="8"/>
      <c r="W4077" s="8"/>
      <c r="X4077" s="771"/>
      <c r="Y4077" s="771"/>
      <c r="Z4077" s="771"/>
      <c r="AA4077" s="771"/>
      <c r="AB4077" s="771"/>
      <c r="AC4077" s="771"/>
      <c r="AD4077" s="771"/>
      <c r="AE4077" s="771"/>
      <c r="AF4077" s="771"/>
      <c r="AG4077" s="771"/>
      <c r="AH4077" s="771"/>
      <c r="AI4077" s="771"/>
      <c r="AJ4077" s="771"/>
      <c r="AK4077" s="771"/>
      <c r="AL4077" s="771"/>
      <c r="AM4077" s="771"/>
      <c r="AN4077" s="771"/>
      <c r="AO4077" s="771"/>
      <c r="AP4077" s="771"/>
      <c r="AQ4077" s="771"/>
      <c r="AR4077" s="771"/>
      <c r="AS4077" s="771"/>
      <c r="AT4077" s="771"/>
      <c r="AU4077" s="771"/>
    </row>
    <row r="4078" spans="1:47" s="15" customFormat="1" x14ac:dyDescent="0.2">
      <c r="A4078" s="771"/>
      <c r="B4078" s="771"/>
      <c r="C4078" s="771"/>
      <c r="D4078" s="771"/>
      <c r="E4078" s="801"/>
      <c r="F4078" s="801"/>
      <c r="G4078" s="771"/>
      <c r="H4078" s="8"/>
      <c r="I4078" s="8"/>
      <c r="J4078" s="8"/>
      <c r="K4078" s="8"/>
      <c r="L4078" s="8"/>
      <c r="M4078" s="8"/>
      <c r="N4078" s="8"/>
      <c r="O4078" s="8"/>
      <c r="P4078" s="8"/>
      <c r="Q4078" s="8"/>
      <c r="R4078" s="8"/>
      <c r="S4078" s="8"/>
      <c r="T4078" s="8"/>
      <c r="U4078" s="8"/>
      <c r="V4078" s="8"/>
      <c r="W4078" s="8"/>
      <c r="X4078" s="771"/>
      <c r="Y4078" s="771"/>
      <c r="Z4078" s="771"/>
      <c r="AA4078" s="771"/>
      <c r="AB4078" s="771"/>
      <c r="AC4078" s="771"/>
      <c r="AD4078" s="771"/>
      <c r="AE4078" s="771"/>
      <c r="AF4078" s="771"/>
      <c r="AG4078" s="771"/>
      <c r="AH4078" s="771"/>
      <c r="AI4078" s="771"/>
      <c r="AJ4078" s="771"/>
      <c r="AK4078" s="771"/>
      <c r="AL4078" s="771"/>
      <c r="AM4078" s="771"/>
      <c r="AN4078" s="771"/>
      <c r="AO4078" s="771"/>
      <c r="AP4078" s="771"/>
      <c r="AQ4078" s="771"/>
      <c r="AR4078" s="771"/>
      <c r="AS4078" s="771"/>
      <c r="AT4078" s="771"/>
      <c r="AU4078" s="771"/>
    </row>
    <row r="4079" spans="1:47" s="15" customFormat="1" x14ac:dyDescent="0.2">
      <c r="A4079" s="771"/>
      <c r="B4079" s="771"/>
      <c r="C4079" s="771"/>
      <c r="D4079" s="771"/>
      <c r="E4079" s="801"/>
      <c r="F4079" s="801"/>
      <c r="G4079" s="771"/>
      <c r="H4079" s="8"/>
      <c r="I4079" s="8"/>
      <c r="J4079" s="8"/>
      <c r="K4079" s="8"/>
      <c r="L4079" s="8"/>
      <c r="M4079" s="8"/>
      <c r="N4079" s="8"/>
      <c r="O4079" s="8"/>
      <c r="P4079" s="8"/>
      <c r="Q4079" s="8"/>
      <c r="R4079" s="8"/>
      <c r="S4079" s="8"/>
      <c r="T4079" s="8"/>
      <c r="U4079" s="8"/>
      <c r="V4079" s="8"/>
      <c r="W4079" s="8"/>
      <c r="X4079" s="771"/>
      <c r="Y4079" s="771"/>
      <c r="Z4079" s="771"/>
      <c r="AA4079" s="771"/>
      <c r="AB4079" s="771"/>
      <c r="AC4079" s="771"/>
      <c r="AD4079" s="771"/>
      <c r="AE4079" s="771"/>
      <c r="AF4079" s="771"/>
      <c r="AG4079" s="771"/>
      <c r="AH4079" s="771"/>
      <c r="AI4079" s="771"/>
      <c r="AJ4079" s="771"/>
      <c r="AK4079" s="771"/>
      <c r="AL4079" s="771"/>
      <c r="AM4079" s="771"/>
      <c r="AN4079" s="771"/>
      <c r="AO4079" s="771"/>
      <c r="AP4079" s="771"/>
      <c r="AQ4079" s="771"/>
      <c r="AR4079" s="771"/>
      <c r="AS4079" s="771"/>
      <c r="AT4079" s="771"/>
      <c r="AU4079" s="771"/>
    </row>
    <row r="4080" spans="1:47" s="15" customFormat="1" x14ac:dyDescent="0.2">
      <c r="A4080" s="771"/>
      <c r="B4080" s="771"/>
      <c r="C4080" s="771"/>
      <c r="D4080" s="771"/>
      <c r="E4080" s="801"/>
      <c r="F4080" s="801"/>
      <c r="G4080" s="771"/>
      <c r="H4080" s="8"/>
      <c r="I4080" s="8"/>
      <c r="J4080" s="8"/>
      <c r="K4080" s="8"/>
      <c r="L4080" s="8"/>
      <c r="M4080" s="8"/>
      <c r="N4080" s="8"/>
      <c r="O4080" s="8"/>
      <c r="P4080" s="8"/>
      <c r="Q4080" s="8"/>
      <c r="R4080" s="8"/>
      <c r="S4080" s="8"/>
      <c r="T4080" s="8"/>
      <c r="U4080" s="8"/>
      <c r="V4080" s="8"/>
      <c r="W4080" s="8"/>
      <c r="X4080" s="771"/>
      <c r="Y4080" s="771"/>
      <c r="Z4080" s="771"/>
      <c r="AA4080" s="771"/>
      <c r="AB4080" s="771"/>
      <c r="AC4080" s="771"/>
      <c r="AD4080" s="771"/>
      <c r="AE4080" s="771"/>
      <c r="AF4080" s="771"/>
      <c r="AG4080" s="771"/>
      <c r="AH4080" s="771"/>
      <c r="AI4080" s="771"/>
      <c r="AJ4080" s="771"/>
      <c r="AK4080" s="771"/>
      <c r="AL4080" s="771"/>
      <c r="AM4080" s="771"/>
      <c r="AN4080" s="771"/>
      <c r="AO4080" s="771"/>
      <c r="AP4080" s="771"/>
      <c r="AQ4080" s="771"/>
      <c r="AR4080" s="771"/>
      <c r="AS4080" s="771"/>
      <c r="AT4080" s="771"/>
      <c r="AU4080" s="771"/>
    </row>
    <row r="4081" spans="1:47" s="15" customFormat="1" x14ac:dyDescent="0.2">
      <c r="A4081" s="771"/>
      <c r="B4081" s="771"/>
      <c r="C4081" s="771"/>
      <c r="D4081" s="771"/>
      <c r="E4081" s="801"/>
      <c r="F4081" s="801"/>
      <c r="G4081" s="771"/>
      <c r="H4081" s="8"/>
      <c r="I4081" s="8"/>
      <c r="J4081" s="8"/>
      <c r="K4081" s="8"/>
      <c r="L4081" s="8"/>
      <c r="M4081" s="8"/>
      <c r="N4081" s="8"/>
      <c r="O4081" s="8"/>
      <c r="P4081" s="8"/>
      <c r="Q4081" s="8"/>
      <c r="R4081" s="8"/>
      <c r="S4081" s="8"/>
      <c r="T4081" s="8"/>
      <c r="U4081" s="8"/>
      <c r="V4081" s="8"/>
      <c r="W4081" s="8"/>
      <c r="X4081" s="771"/>
      <c r="Y4081" s="771"/>
      <c r="Z4081" s="771"/>
      <c r="AA4081" s="771"/>
      <c r="AB4081" s="771"/>
      <c r="AC4081" s="771"/>
      <c r="AD4081" s="771"/>
      <c r="AE4081" s="771"/>
      <c r="AF4081" s="771"/>
      <c r="AG4081" s="771"/>
      <c r="AH4081" s="771"/>
      <c r="AI4081" s="771"/>
      <c r="AJ4081" s="771"/>
      <c r="AK4081" s="771"/>
      <c r="AL4081" s="771"/>
      <c r="AM4081" s="771"/>
      <c r="AN4081" s="771"/>
      <c r="AO4081" s="771"/>
      <c r="AP4081" s="771"/>
      <c r="AQ4081" s="771"/>
      <c r="AR4081" s="771"/>
      <c r="AS4081" s="771"/>
      <c r="AT4081" s="771"/>
      <c r="AU4081" s="771"/>
    </row>
    <row r="4082" spans="1:47" s="15" customFormat="1" x14ac:dyDescent="0.2">
      <c r="A4082" s="771"/>
      <c r="B4082" s="771"/>
      <c r="C4082" s="771"/>
      <c r="D4082" s="771"/>
      <c r="E4082" s="801"/>
      <c r="F4082" s="801"/>
      <c r="G4082" s="771"/>
      <c r="H4082" s="8"/>
      <c r="I4082" s="8"/>
      <c r="J4082" s="8"/>
      <c r="K4082" s="8"/>
      <c r="L4082" s="8"/>
      <c r="M4082" s="8"/>
      <c r="N4082" s="8"/>
      <c r="O4082" s="8"/>
      <c r="P4082" s="8"/>
      <c r="Q4082" s="8"/>
      <c r="R4082" s="8"/>
      <c r="S4082" s="8"/>
      <c r="T4082" s="8"/>
      <c r="U4082" s="8"/>
      <c r="V4082" s="8"/>
      <c r="W4082" s="8"/>
      <c r="X4082" s="771"/>
      <c r="Y4082" s="771"/>
      <c r="Z4082" s="771"/>
      <c r="AA4082" s="771"/>
      <c r="AB4082" s="771"/>
      <c r="AC4082" s="771"/>
      <c r="AD4082" s="771"/>
      <c r="AE4082" s="771"/>
      <c r="AF4082" s="771"/>
      <c r="AG4082" s="771"/>
      <c r="AH4082" s="771"/>
      <c r="AI4082" s="771"/>
      <c r="AJ4082" s="771"/>
      <c r="AK4082" s="771"/>
      <c r="AL4082" s="771"/>
      <c r="AM4082" s="771"/>
      <c r="AN4082" s="771"/>
      <c r="AO4082" s="771"/>
      <c r="AP4082" s="771"/>
      <c r="AQ4082" s="771"/>
      <c r="AR4082" s="771"/>
      <c r="AS4082" s="771"/>
      <c r="AT4082" s="771"/>
      <c r="AU4082" s="771"/>
    </row>
    <row r="4083" spans="1:47" s="15" customFormat="1" x14ac:dyDescent="0.2">
      <c r="A4083" s="771"/>
      <c r="B4083" s="771"/>
      <c r="C4083" s="771"/>
      <c r="D4083" s="771"/>
      <c r="E4083" s="801"/>
      <c r="F4083" s="801"/>
      <c r="G4083" s="771"/>
      <c r="H4083" s="8"/>
      <c r="I4083" s="8"/>
      <c r="J4083" s="8"/>
      <c r="K4083" s="8"/>
      <c r="L4083" s="8"/>
      <c r="M4083" s="8"/>
      <c r="N4083" s="8"/>
      <c r="O4083" s="8"/>
      <c r="P4083" s="8"/>
      <c r="Q4083" s="8"/>
      <c r="R4083" s="8"/>
      <c r="S4083" s="8"/>
      <c r="T4083" s="8"/>
      <c r="U4083" s="8"/>
      <c r="V4083" s="8"/>
      <c r="W4083" s="8"/>
      <c r="X4083" s="771"/>
      <c r="Y4083" s="771"/>
      <c r="Z4083" s="771"/>
      <c r="AA4083" s="771"/>
      <c r="AB4083" s="771"/>
      <c r="AC4083" s="771"/>
      <c r="AD4083" s="771"/>
      <c r="AE4083" s="771"/>
      <c r="AF4083" s="771"/>
      <c r="AG4083" s="771"/>
      <c r="AH4083" s="771"/>
      <c r="AI4083" s="771"/>
      <c r="AJ4083" s="771"/>
      <c r="AK4083" s="771"/>
      <c r="AL4083" s="771"/>
      <c r="AM4083" s="771"/>
      <c r="AN4083" s="771"/>
      <c r="AO4083" s="771"/>
      <c r="AP4083" s="771"/>
      <c r="AQ4083" s="771"/>
      <c r="AR4083" s="771"/>
      <c r="AS4083" s="771"/>
      <c r="AT4083" s="771"/>
      <c r="AU4083" s="771"/>
    </row>
    <row r="4084" spans="1:47" s="15" customFormat="1" x14ac:dyDescent="0.2">
      <c r="A4084" s="771"/>
      <c r="B4084" s="771"/>
      <c r="C4084" s="771"/>
      <c r="D4084" s="771"/>
      <c r="E4084" s="801"/>
      <c r="F4084" s="801"/>
      <c r="G4084" s="771"/>
      <c r="H4084" s="8"/>
      <c r="I4084" s="8"/>
      <c r="J4084" s="8"/>
      <c r="K4084" s="8"/>
      <c r="L4084" s="8"/>
      <c r="M4084" s="8"/>
      <c r="N4084" s="8"/>
      <c r="O4084" s="8"/>
      <c r="P4084" s="8"/>
      <c r="Q4084" s="8"/>
      <c r="R4084" s="8"/>
      <c r="S4084" s="8"/>
      <c r="T4084" s="8"/>
      <c r="U4084" s="8"/>
      <c r="V4084" s="8"/>
      <c r="W4084" s="8"/>
      <c r="X4084" s="771"/>
      <c r="Y4084" s="771"/>
      <c r="Z4084" s="771"/>
      <c r="AA4084" s="771"/>
      <c r="AB4084" s="771"/>
      <c r="AC4084" s="771"/>
      <c r="AD4084" s="771"/>
      <c r="AE4084" s="771"/>
      <c r="AF4084" s="771"/>
      <c r="AG4084" s="771"/>
      <c r="AH4084" s="771"/>
      <c r="AI4084" s="771"/>
      <c r="AJ4084" s="771"/>
      <c r="AK4084" s="771"/>
      <c r="AL4084" s="771"/>
      <c r="AM4084" s="771"/>
      <c r="AN4084" s="771"/>
      <c r="AO4084" s="771"/>
      <c r="AP4084" s="771"/>
      <c r="AQ4084" s="771"/>
      <c r="AR4084" s="771"/>
      <c r="AS4084" s="771"/>
      <c r="AT4084" s="771"/>
      <c r="AU4084" s="771"/>
    </row>
    <row r="4085" spans="1:47" s="15" customFormat="1" x14ac:dyDescent="0.2">
      <c r="A4085" s="771"/>
      <c r="B4085" s="771"/>
      <c r="C4085" s="771"/>
      <c r="D4085" s="771"/>
      <c r="E4085" s="801"/>
      <c r="F4085" s="801"/>
      <c r="G4085" s="771"/>
      <c r="H4085" s="8"/>
      <c r="I4085" s="8"/>
      <c r="J4085" s="8"/>
      <c r="K4085" s="8"/>
      <c r="L4085" s="8"/>
      <c r="M4085" s="8"/>
      <c r="N4085" s="8"/>
      <c r="O4085" s="8"/>
      <c r="P4085" s="8"/>
      <c r="Q4085" s="8"/>
      <c r="R4085" s="8"/>
      <c r="S4085" s="8"/>
      <c r="T4085" s="8"/>
      <c r="U4085" s="8"/>
      <c r="V4085" s="8"/>
      <c r="W4085" s="8"/>
      <c r="X4085" s="771"/>
      <c r="Y4085" s="771"/>
      <c r="Z4085" s="771"/>
      <c r="AA4085" s="771"/>
      <c r="AB4085" s="771"/>
      <c r="AC4085" s="771"/>
      <c r="AD4085" s="771"/>
      <c r="AE4085" s="771"/>
      <c r="AF4085" s="771"/>
      <c r="AG4085" s="771"/>
      <c r="AH4085" s="771"/>
      <c r="AI4085" s="771"/>
      <c r="AJ4085" s="771"/>
      <c r="AK4085" s="771"/>
      <c r="AL4085" s="771"/>
      <c r="AM4085" s="771"/>
      <c r="AN4085" s="771"/>
      <c r="AO4085" s="771"/>
      <c r="AP4085" s="771"/>
      <c r="AQ4085" s="771"/>
      <c r="AR4085" s="771"/>
      <c r="AS4085" s="771"/>
      <c r="AT4085" s="771"/>
      <c r="AU4085" s="771"/>
    </row>
    <row r="4086" spans="1:47" s="15" customFormat="1" x14ac:dyDescent="0.2">
      <c r="A4086" s="771"/>
      <c r="B4086" s="771"/>
      <c r="C4086" s="771"/>
      <c r="D4086" s="771"/>
      <c r="E4086" s="801"/>
      <c r="F4086" s="801"/>
      <c r="G4086" s="771"/>
      <c r="H4086" s="8"/>
      <c r="I4086" s="8"/>
      <c r="J4086" s="8"/>
      <c r="K4086" s="8"/>
      <c r="L4086" s="8"/>
      <c r="M4086" s="8"/>
      <c r="N4086" s="8"/>
      <c r="O4086" s="8"/>
      <c r="P4086" s="8"/>
      <c r="Q4086" s="8"/>
      <c r="R4086" s="8"/>
      <c r="S4086" s="8"/>
      <c r="T4086" s="8"/>
      <c r="U4086" s="8"/>
      <c r="V4086" s="8"/>
      <c r="W4086" s="8"/>
      <c r="X4086" s="771"/>
      <c r="Y4086" s="771"/>
      <c r="Z4086" s="771"/>
      <c r="AA4086" s="771"/>
      <c r="AB4086" s="771"/>
      <c r="AC4086" s="771"/>
      <c r="AD4086" s="771"/>
      <c r="AE4086" s="771"/>
      <c r="AF4086" s="771"/>
      <c r="AG4086" s="771"/>
      <c r="AH4086" s="771"/>
      <c r="AI4086" s="771"/>
      <c r="AJ4086" s="771"/>
      <c r="AK4086" s="771"/>
      <c r="AL4086" s="771"/>
      <c r="AM4086" s="771"/>
      <c r="AN4086" s="771"/>
      <c r="AO4086" s="771"/>
      <c r="AP4086" s="771"/>
      <c r="AQ4086" s="771"/>
      <c r="AR4086" s="771"/>
      <c r="AS4086" s="771"/>
      <c r="AT4086" s="771"/>
      <c r="AU4086" s="771"/>
    </row>
    <row r="4087" spans="1:47" s="15" customFormat="1" x14ac:dyDescent="0.2">
      <c r="A4087" s="771"/>
      <c r="B4087" s="771"/>
      <c r="C4087" s="771"/>
      <c r="D4087" s="771"/>
      <c r="E4087" s="801"/>
      <c r="F4087" s="801"/>
      <c r="G4087" s="771"/>
      <c r="H4087" s="8"/>
      <c r="I4087" s="8"/>
      <c r="J4087" s="8"/>
      <c r="K4087" s="8"/>
      <c r="L4087" s="8"/>
      <c r="M4087" s="8"/>
      <c r="N4087" s="8"/>
      <c r="O4087" s="8"/>
      <c r="P4087" s="8"/>
      <c r="Q4087" s="8"/>
      <c r="R4087" s="8"/>
      <c r="S4087" s="8"/>
      <c r="T4087" s="8"/>
      <c r="U4087" s="8"/>
      <c r="V4087" s="8"/>
      <c r="W4087" s="8"/>
      <c r="X4087" s="771"/>
      <c r="Y4087" s="771"/>
      <c r="Z4087" s="771"/>
      <c r="AA4087" s="771"/>
      <c r="AB4087" s="771"/>
      <c r="AC4087" s="771"/>
      <c r="AD4087" s="771"/>
      <c r="AE4087" s="771"/>
      <c r="AF4087" s="771"/>
      <c r="AG4087" s="771"/>
      <c r="AH4087" s="771"/>
      <c r="AI4087" s="771"/>
      <c r="AJ4087" s="771"/>
      <c r="AK4087" s="771"/>
      <c r="AL4087" s="771"/>
      <c r="AM4087" s="771"/>
      <c r="AN4087" s="771"/>
      <c r="AO4087" s="771"/>
      <c r="AP4087" s="771"/>
      <c r="AQ4087" s="771"/>
      <c r="AR4087" s="771"/>
      <c r="AS4087" s="771"/>
      <c r="AT4087" s="771"/>
      <c r="AU4087" s="771"/>
    </row>
    <row r="4088" spans="1:47" s="15" customFormat="1" x14ac:dyDescent="0.2">
      <c r="A4088" s="771"/>
      <c r="B4088" s="771"/>
      <c r="C4088" s="771"/>
      <c r="D4088" s="771"/>
      <c r="E4088" s="801"/>
      <c r="F4088" s="801"/>
      <c r="G4088" s="771"/>
      <c r="H4088" s="8"/>
      <c r="I4088" s="8"/>
      <c r="J4088" s="8"/>
      <c r="K4088" s="8"/>
      <c r="L4088" s="8"/>
      <c r="M4088" s="8"/>
      <c r="N4088" s="8"/>
      <c r="O4088" s="8"/>
      <c r="P4088" s="8"/>
      <c r="Q4088" s="8"/>
      <c r="R4088" s="8"/>
      <c r="S4088" s="8"/>
      <c r="T4088" s="8"/>
      <c r="U4088" s="8"/>
      <c r="V4088" s="8"/>
      <c r="W4088" s="8"/>
      <c r="X4088" s="771"/>
      <c r="Y4088" s="771"/>
      <c r="Z4088" s="771"/>
      <c r="AA4088" s="771"/>
      <c r="AB4088" s="771"/>
      <c r="AC4088" s="771"/>
      <c r="AD4088" s="771"/>
      <c r="AE4088" s="771"/>
      <c r="AF4088" s="771"/>
      <c r="AG4088" s="771"/>
      <c r="AH4088" s="771"/>
      <c r="AI4088" s="771"/>
      <c r="AJ4088" s="771"/>
      <c r="AK4088" s="771"/>
      <c r="AL4088" s="771"/>
      <c r="AM4088" s="771"/>
      <c r="AN4088" s="771"/>
      <c r="AO4088" s="771"/>
      <c r="AP4088" s="771"/>
      <c r="AQ4088" s="771"/>
      <c r="AR4088" s="771"/>
      <c r="AS4088" s="771"/>
      <c r="AT4088" s="771"/>
      <c r="AU4088" s="771"/>
    </row>
    <row r="4089" spans="1:47" s="15" customFormat="1" x14ac:dyDescent="0.2">
      <c r="A4089" s="771"/>
      <c r="B4089" s="771"/>
      <c r="C4089" s="771"/>
      <c r="D4089" s="771"/>
      <c r="E4089" s="801"/>
      <c r="F4089" s="801"/>
      <c r="G4089" s="771"/>
      <c r="H4089" s="8"/>
      <c r="I4089" s="8"/>
      <c r="J4089" s="8"/>
      <c r="K4089" s="8"/>
      <c r="L4089" s="8"/>
      <c r="M4089" s="8"/>
      <c r="N4089" s="8"/>
      <c r="O4089" s="8"/>
      <c r="P4089" s="8"/>
      <c r="Q4089" s="8"/>
      <c r="R4089" s="8"/>
      <c r="S4089" s="8"/>
      <c r="T4089" s="8"/>
      <c r="U4089" s="8"/>
      <c r="V4089" s="8"/>
      <c r="W4089" s="8"/>
      <c r="X4089" s="771"/>
      <c r="Y4089" s="771"/>
      <c r="Z4089" s="771"/>
      <c r="AA4089" s="771"/>
      <c r="AB4089" s="771"/>
      <c r="AC4089" s="771"/>
      <c r="AD4089" s="771"/>
      <c r="AE4089" s="771"/>
      <c r="AF4089" s="771"/>
      <c r="AG4089" s="771"/>
      <c r="AH4089" s="771"/>
      <c r="AI4089" s="771"/>
      <c r="AJ4089" s="771"/>
      <c r="AK4089" s="771"/>
      <c r="AL4089" s="771"/>
      <c r="AM4089" s="771"/>
      <c r="AN4089" s="771"/>
      <c r="AO4089" s="771"/>
      <c r="AP4089" s="771"/>
      <c r="AQ4089" s="771"/>
      <c r="AR4089" s="771"/>
      <c r="AS4089" s="771"/>
      <c r="AT4089" s="771"/>
      <c r="AU4089" s="771"/>
    </row>
    <row r="4090" spans="1:47" s="15" customFormat="1" x14ac:dyDescent="0.2">
      <c r="A4090" s="771"/>
      <c r="B4090" s="771"/>
      <c r="C4090" s="771"/>
      <c r="D4090" s="771"/>
      <c r="E4090" s="801"/>
      <c r="F4090" s="801"/>
      <c r="G4090" s="771"/>
      <c r="H4090" s="8"/>
      <c r="I4090" s="8"/>
      <c r="J4090" s="8"/>
      <c r="K4090" s="8"/>
      <c r="L4090" s="8"/>
      <c r="M4090" s="8"/>
      <c r="N4090" s="8"/>
      <c r="O4090" s="8"/>
      <c r="P4090" s="8"/>
      <c r="Q4090" s="8"/>
      <c r="R4090" s="8"/>
      <c r="S4090" s="8"/>
      <c r="T4090" s="8"/>
      <c r="U4090" s="8"/>
      <c r="V4090" s="8"/>
      <c r="W4090" s="8"/>
      <c r="X4090" s="771"/>
      <c r="Y4090" s="771"/>
      <c r="Z4090" s="771"/>
      <c r="AA4090" s="771"/>
      <c r="AB4090" s="771"/>
      <c r="AC4090" s="771"/>
      <c r="AD4090" s="771"/>
      <c r="AE4090" s="771"/>
      <c r="AF4090" s="771"/>
      <c r="AG4090" s="771"/>
      <c r="AH4090" s="771"/>
      <c r="AI4090" s="771"/>
      <c r="AJ4090" s="771"/>
      <c r="AK4090" s="771"/>
      <c r="AL4090" s="771"/>
      <c r="AM4090" s="771"/>
      <c r="AN4090" s="771"/>
      <c r="AO4090" s="771"/>
      <c r="AP4090" s="771"/>
      <c r="AQ4090" s="771"/>
      <c r="AR4090" s="771"/>
      <c r="AS4090" s="771"/>
      <c r="AT4090" s="771"/>
      <c r="AU4090" s="771"/>
    </row>
    <row r="4091" spans="1:47" s="15" customFormat="1" x14ac:dyDescent="0.2">
      <c r="A4091" s="771"/>
      <c r="B4091" s="771"/>
      <c r="C4091" s="771"/>
      <c r="D4091" s="771"/>
      <c r="E4091" s="801"/>
      <c r="F4091" s="801"/>
      <c r="G4091" s="771"/>
      <c r="H4091" s="8"/>
      <c r="I4091" s="8"/>
      <c r="J4091" s="8"/>
      <c r="K4091" s="8"/>
      <c r="L4091" s="8"/>
      <c r="M4091" s="8"/>
      <c r="N4091" s="8"/>
      <c r="O4091" s="8"/>
      <c r="P4091" s="8"/>
      <c r="Q4091" s="8"/>
      <c r="R4091" s="8"/>
      <c r="S4091" s="8"/>
      <c r="T4091" s="8"/>
      <c r="U4091" s="8"/>
      <c r="V4091" s="8"/>
      <c r="W4091" s="8"/>
      <c r="X4091" s="771"/>
      <c r="Y4091" s="771"/>
      <c r="Z4091" s="771"/>
      <c r="AA4091" s="771"/>
      <c r="AB4091" s="771"/>
      <c r="AC4091" s="771"/>
      <c r="AD4091" s="771"/>
      <c r="AE4091" s="771"/>
      <c r="AF4091" s="771"/>
      <c r="AG4091" s="771"/>
      <c r="AH4091" s="771"/>
      <c r="AI4091" s="771"/>
      <c r="AJ4091" s="771"/>
      <c r="AK4091" s="771"/>
      <c r="AL4091" s="771"/>
      <c r="AM4091" s="771"/>
      <c r="AN4091" s="771"/>
      <c r="AO4091" s="771"/>
      <c r="AP4091" s="771"/>
      <c r="AQ4091" s="771"/>
      <c r="AR4091" s="771"/>
      <c r="AS4091" s="771"/>
      <c r="AT4091" s="771"/>
      <c r="AU4091" s="771"/>
    </row>
    <row r="4092" spans="1:47" s="15" customFormat="1" x14ac:dyDescent="0.2">
      <c r="A4092" s="771"/>
      <c r="B4092" s="771"/>
      <c r="C4092" s="771"/>
      <c r="D4092" s="771"/>
      <c r="E4092" s="801"/>
      <c r="F4092" s="801"/>
      <c r="G4092" s="771"/>
      <c r="H4092" s="8"/>
      <c r="I4092" s="8"/>
      <c r="J4092" s="8"/>
      <c r="K4092" s="8"/>
      <c r="L4092" s="8"/>
      <c r="M4092" s="8"/>
      <c r="N4092" s="8"/>
      <c r="O4092" s="8"/>
      <c r="P4092" s="8"/>
      <c r="Q4092" s="8"/>
      <c r="R4092" s="8"/>
      <c r="S4092" s="8"/>
      <c r="T4092" s="8"/>
      <c r="U4092" s="8"/>
      <c r="V4092" s="8"/>
      <c r="W4092" s="8"/>
      <c r="X4092" s="771"/>
      <c r="Y4092" s="771"/>
      <c r="Z4092" s="771"/>
      <c r="AA4092" s="771"/>
      <c r="AB4092" s="771"/>
      <c r="AC4092" s="771"/>
      <c r="AD4092" s="771"/>
      <c r="AE4092" s="771"/>
      <c r="AF4092" s="771"/>
      <c r="AG4092" s="771"/>
      <c r="AH4092" s="771"/>
      <c r="AI4092" s="771"/>
      <c r="AJ4092" s="771"/>
      <c r="AK4092" s="771"/>
      <c r="AL4092" s="771"/>
      <c r="AM4092" s="771"/>
      <c r="AN4092" s="771"/>
      <c r="AO4092" s="771"/>
      <c r="AP4092" s="771"/>
      <c r="AQ4092" s="771"/>
      <c r="AR4092" s="771"/>
      <c r="AS4092" s="771"/>
      <c r="AT4092" s="771"/>
      <c r="AU4092" s="771"/>
    </row>
    <row r="4093" spans="1:47" s="15" customFormat="1" x14ac:dyDescent="0.2">
      <c r="A4093" s="771"/>
      <c r="B4093" s="771"/>
      <c r="C4093" s="771"/>
      <c r="D4093" s="771"/>
      <c r="E4093" s="801"/>
      <c r="F4093" s="801"/>
      <c r="G4093" s="771"/>
      <c r="H4093" s="8"/>
      <c r="I4093" s="8"/>
      <c r="J4093" s="8"/>
      <c r="K4093" s="8"/>
      <c r="L4093" s="8"/>
      <c r="M4093" s="8"/>
      <c r="N4093" s="8"/>
      <c r="O4093" s="8"/>
      <c r="P4093" s="8"/>
      <c r="Q4093" s="8"/>
      <c r="R4093" s="8"/>
      <c r="S4093" s="8"/>
      <c r="T4093" s="8"/>
      <c r="U4093" s="8"/>
      <c r="V4093" s="8"/>
      <c r="W4093" s="8"/>
      <c r="X4093" s="771"/>
      <c r="Y4093" s="771"/>
      <c r="Z4093" s="771"/>
      <c r="AA4093" s="771"/>
      <c r="AB4093" s="771"/>
      <c r="AC4093" s="771"/>
      <c r="AD4093" s="771"/>
      <c r="AE4093" s="771"/>
      <c r="AF4093" s="771"/>
      <c r="AG4093" s="771"/>
      <c r="AH4093" s="771"/>
      <c r="AI4093" s="771"/>
      <c r="AJ4093" s="771"/>
      <c r="AK4093" s="771"/>
      <c r="AL4093" s="771"/>
      <c r="AM4093" s="771"/>
      <c r="AN4093" s="771"/>
      <c r="AO4093" s="771"/>
      <c r="AP4093" s="771"/>
      <c r="AQ4093" s="771"/>
      <c r="AR4093" s="771"/>
      <c r="AS4093" s="771"/>
      <c r="AT4093" s="771"/>
      <c r="AU4093" s="771"/>
    </row>
    <row r="4094" spans="1:47" s="15" customFormat="1" x14ac:dyDescent="0.2">
      <c r="A4094" s="771"/>
      <c r="B4094" s="771"/>
      <c r="C4094" s="771"/>
      <c r="D4094" s="771"/>
      <c r="E4094" s="801"/>
      <c r="F4094" s="801"/>
      <c r="G4094" s="771"/>
      <c r="H4094" s="8"/>
      <c r="I4094" s="8"/>
      <c r="J4094" s="8"/>
      <c r="K4094" s="8"/>
      <c r="L4094" s="8"/>
      <c r="M4094" s="8"/>
      <c r="N4094" s="8"/>
      <c r="O4094" s="8"/>
      <c r="P4094" s="8"/>
      <c r="Q4094" s="8"/>
      <c r="R4094" s="8"/>
      <c r="S4094" s="8"/>
      <c r="T4094" s="8"/>
      <c r="U4094" s="8"/>
      <c r="V4094" s="8"/>
      <c r="W4094" s="8"/>
      <c r="X4094" s="771"/>
      <c r="Y4094" s="771"/>
      <c r="Z4094" s="771"/>
      <c r="AA4094" s="771"/>
      <c r="AB4094" s="771"/>
      <c r="AC4094" s="771"/>
      <c r="AD4094" s="771"/>
      <c r="AE4094" s="771"/>
      <c r="AF4094" s="771"/>
      <c r="AG4094" s="771"/>
      <c r="AH4094" s="771"/>
      <c r="AI4094" s="771"/>
      <c r="AJ4094" s="771"/>
      <c r="AK4094" s="771"/>
      <c r="AL4094" s="771"/>
      <c r="AM4094" s="771"/>
      <c r="AN4094" s="771"/>
      <c r="AO4094" s="771"/>
      <c r="AP4094" s="771"/>
      <c r="AQ4094" s="771"/>
      <c r="AR4094" s="771"/>
      <c r="AS4094" s="771"/>
      <c r="AT4094" s="771"/>
      <c r="AU4094" s="771"/>
    </row>
    <row r="4095" spans="1:47" s="15" customFormat="1" x14ac:dyDescent="0.2">
      <c r="A4095" s="771"/>
      <c r="B4095" s="771"/>
      <c r="C4095" s="771"/>
      <c r="D4095" s="771"/>
      <c r="E4095" s="801"/>
      <c r="F4095" s="801"/>
      <c r="G4095" s="771"/>
      <c r="H4095" s="8"/>
      <c r="I4095" s="8"/>
      <c r="J4095" s="8"/>
      <c r="K4095" s="8"/>
      <c r="L4095" s="8"/>
      <c r="M4095" s="8"/>
      <c r="N4095" s="8"/>
      <c r="O4095" s="8"/>
      <c r="P4095" s="8"/>
      <c r="Q4095" s="8"/>
      <c r="R4095" s="8"/>
      <c r="S4095" s="8"/>
      <c r="T4095" s="8"/>
      <c r="U4095" s="8"/>
      <c r="V4095" s="8"/>
      <c r="W4095" s="8"/>
      <c r="X4095" s="771"/>
      <c r="Y4095" s="771"/>
      <c r="Z4095" s="771"/>
      <c r="AA4095" s="771"/>
      <c r="AB4095" s="771"/>
      <c r="AC4095" s="771"/>
      <c r="AD4095" s="771"/>
      <c r="AE4095" s="771"/>
      <c r="AF4095" s="771"/>
      <c r="AG4095" s="771"/>
      <c r="AH4095" s="771"/>
      <c r="AI4095" s="771"/>
      <c r="AJ4095" s="771"/>
      <c r="AK4095" s="771"/>
      <c r="AL4095" s="771"/>
      <c r="AM4095" s="771"/>
      <c r="AN4095" s="771"/>
      <c r="AO4095" s="771"/>
      <c r="AP4095" s="771"/>
      <c r="AQ4095" s="771"/>
      <c r="AR4095" s="771"/>
      <c r="AS4095" s="771"/>
      <c r="AT4095" s="771"/>
      <c r="AU4095" s="771"/>
    </row>
    <row r="4096" spans="1:47" s="15" customFormat="1" x14ac:dyDescent="0.2">
      <c r="A4096" s="771"/>
      <c r="B4096" s="771"/>
      <c r="C4096" s="771"/>
      <c r="D4096" s="771"/>
      <c r="E4096" s="801"/>
      <c r="F4096" s="801"/>
      <c r="G4096" s="771"/>
      <c r="H4096" s="8"/>
      <c r="I4096" s="8"/>
      <c r="J4096" s="8"/>
      <c r="K4096" s="8"/>
      <c r="L4096" s="8"/>
      <c r="M4096" s="8"/>
      <c r="N4096" s="8"/>
      <c r="O4096" s="8"/>
      <c r="P4096" s="8"/>
      <c r="Q4096" s="8"/>
      <c r="R4096" s="8"/>
      <c r="S4096" s="8"/>
      <c r="T4096" s="8"/>
      <c r="U4096" s="8"/>
      <c r="V4096" s="8"/>
      <c r="W4096" s="8"/>
      <c r="X4096" s="771"/>
      <c r="Y4096" s="771"/>
      <c r="Z4096" s="771"/>
      <c r="AA4096" s="771"/>
      <c r="AB4096" s="771"/>
      <c r="AC4096" s="771"/>
      <c r="AD4096" s="771"/>
      <c r="AE4096" s="771"/>
      <c r="AF4096" s="771"/>
      <c r="AG4096" s="771"/>
      <c r="AH4096" s="771"/>
      <c r="AI4096" s="771"/>
      <c r="AJ4096" s="771"/>
      <c r="AK4096" s="771"/>
      <c r="AL4096" s="771"/>
      <c r="AM4096" s="771"/>
      <c r="AN4096" s="771"/>
      <c r="AO4096" s="771"/>
      <c r="AP4096" s="771"/>
      <c r="AQ4096" s="771"/>
      <c r="AR4096" s="771"/>
      <c r="AS4096" s="771"/>
      <c r="AT4096" s="771"/>
      <c r="AU4096" s="771"/>
    </row>
    <row r="4097" spans="1:47" s="15" customFormat="1" x14ac:dyDescent="0.2">
      <c r="A4097" s="771"/>
      <c r="B4097" s="771"/>
      <c r="C4097" s="782"/>
      <c r="D4097" s="782"/>
      <c r="E4097" s="799"/>
      <c r="F4097" s="801"/>
      <c r="G4097" s="771"/>
      <c r="H4097" s="8"/>
      <c r="I4097" s="8"/>
      <c r="J4097" s="8"/>
      <c r="K4097" s="8"/>
      <c r="L4097" s="8"/>
      <c r="M4097" s="8"/>
      <c r="N4097" s="8"/>
      <c r="O4097" s="8"/>
      <c r="P4097" s="8"/>
      <c r="Q4097" s="8"/>
      <c r="R4097" s="8"/>
      <c r="S4097" s="8"/>
      <c r="T4097" s="8"/>
      <c r="U4097" s="8"/>
      <c r="V4097" s="8"/>
      <c r="W4097" s="8"/>
      <c r="X4097" s="771"/>
      <c r="Y4097" s="771"/>
      <c r="Z4097" s="771"/>
      <c r="AA4097" s="771"/>
      <c r="AB4097" s="771"/>
      <c r="AC4097" s="771"/>
      <c r="AD4097" s="771"/>
      <c r="AE4097" s="771"/>
      <c r="AF4097" s="771"/>
      <c r="AG4097" s="771"/>
      <c r="AH4097" s="771"/>
      <c r="AI4097" s="771"/>
      <c r="AJ4097" s="771"/>
      <c r="AK4097" s="771"/>
      <c r="AL4097" s="771"/>
      <c r="AM4097" s="771"/>
      <c r="AN4097" s="771"/>
      <c r="AO4097" s="771"/>
      <c r="AP4097" s="771"/>
      <c r="AQ4097" s="771"/>
      <c r="AR4097" s="771"/>
      <c r="AS4097" s="771"/>
      <c r="AT4097" s="771"/>
      <c r="AU4097" s="771"/>
    </row>
    <row r="4098" spans="1:47" s="15" customFormat="1" x14ac:dyDescent="0.2">
      <c r="A4098" s="771"/>
      <c r="B4098" s="771"/>
      <c r="C4098" s="782"/>
      <c r="D4098" s="1152"/>
      <c r="E4098" s="799"/>
      <c r="F4098" s="801"/>
      <c r="G4098" s="771"/>
      <c r="H4098" s="8"/>
      <c r="I4098" s="8"/>
      <c r="J4098" s="8"/>
      <c r="K4098" s="8"/>
      <c r="L4098" s="8"/>
      <c r="M4098" s="8"/>
      <c r="N4098" s="8"/>
      <c r="O4098" s="8"/>
      <c r="P4098" s="8"/>
      <c r="Q4098" s="8"/>
      <c r="R4098" s="8"/>
      <c r="S4098" s="8"/>
      <c r="T4098" s="8"/>
      <c r="U4098" s="8"/>
      <c r="V4098" s="8"/>
      <c r="W4098" s="8"/>
      <c r="X4098" s="771"/>
      <c r="Y4098" s="771"/>
      <c r="Z4098" s="771"/>
      <c r="AA4098" s="771"/>
      <c r="AB4098" s="771"/>
      <c r="AC4098" s="771"/>
      <c r="AD4098" s="771"/>
      <c r="AE4098" s="771"/>
      <c r="AF4098" s="771"/>
      <c r="AG4098" s="771"/>
      <c r="AH4098" s="771"/>
      <c r="AI4098" s="771"/>
      <c r="AJ4098" s="771"/>
      <c r="AK4098" s="771"/>
      <c r="AL4098" s="771"/>
      <c r="AM4098" s="771"/>
      <c r="AN4098" s="771"/>
      <c r="AO4098" s="771"/>
      <c r="AP4098" s="771"/>
      <c r="AQ4098" s="771"/>
      <c r="AR4098" s="771"/>
      <c r="AS4098" s="771"/>
      <c r="AT4098" s="771"/>
      <c r="AU4098" s="771"/>
    </row>
    <row r="4099" spans="1:47" s="15" customFormat="1" x14ac:dyDescent="0.2">
      <c r="A4099" s="771"/>
      <c r="B4099" s="771"/>
      <c r="C4099" s="782"/>
      <c r="D4099" s="782"/>
      <c r="E4099" s="799"/>
      <c r="F4099" s="801"/>
      <c r="G4099" s="771"/>
      <c r="H4099" s="8"/>
      <c r="I4099" s="8"/>
      <c r="J4099" s="8"/>
      <c r="K4099" s="8"/>
      <c r="L4099" s="8"/>
      <c r="M4099" s="8"/>
      <c r="N4099" s="8"/>
      <c r="O4099" s="8"/>
      <c r="P4099" s="8"/>
      <c r="Q4099" s="8"/>
      <c r="R4099" s="8"/>
      <c r="S4099" s="8"/>
      <c r="T4099" s="8"/>
      <c r="U4099" s="8"/>
      <c r="V4099" s="8"/>
      <c r="W4099" s="8"/>
      <c r="X4099" s="771"/>
      <c r="Y4099" s="771"/>
      <c r="Z4099" s="771"/>
      <c r="AA4099" s="771"/>
      <c r="AB4099" s="771"/>
      <c r="AC4099" s="771"/>
      <c r="AD4099" s="771"/>
      <c r="AE4099" s="771"/>
      <c r="AF4099" s="771"/>
      <c r="AG4099" s="771"/>
      <c r="AH4099" s="771"/>
      <c r="AI4099" s="771"/>
      <c r="AJ4099" s="771"/>
      <c r="AK4099" s="771"/>
      <c r="AL4099" s="771"/>
      <c r="AM4099" s="771"/>
      <c r="AN4099" s="771"/>
      <c r="AO4099" s="771"/>
      <c r="AP4099" s="771"/>
      <c r="AQ4099" s="771"/>
      <c r="AR4099" s="771"/>
      <c r="AS4099" s="771"/>
      <c r="AT4099" s="771"/>
      <c r="AU4099" s="771"/>
    </row>
    <row r="4100" spans="1:47" s="15" customFormat="1" x14ac:dyDescent="0.2">
      <c r="A4100" s="771"/>
      <c r="B4100" s="771"/>
      <c r="C4100" s="782"/>
      <c r="D4100" s="782"/>
      <c r="E4100" s="799"/>
      <c r="F4100" s="801"/>
      <c r="G4100" s="771"/>
      <c r="H4100" s="8"/>
      <c r="I4100" s="8"/>
      <c r="J4100" s="8"/>
      <c r="K4100" s="8"/>
      <c r="L4100" s="8"/>
      <c r="M4100" s="8"/>
      <c r="N4100" s="8"/>
      <c r="O4100" s="8"/>
      <c r="P4100" s="8"/>
      <c r="Q4100" s="8"/>
      <c r="R4100" s="8"/>
      <c r="S4100" s="8"/>
      <c r="T4100" s="8"/>
      <c r="U4100" s="8"/>
      <c r="V4100" s="8"/>
      <c r="W4100" s="8"/>
      <c r="X4100" s="771"/>
      <c r="Y4100" s="771"/>
      <c r="Z4100" s="771"/>
      <c r="AA4100" s="771"/>
      <c r="AB4100" s="771"/>
      <c r="AC4100" s="771"/>
      <c r="AD4100" s="771"/>
      <c r="AE4100" s="771"/>
      <c r="AF4100" s="771"/>
      <c r="AG4100" s="771"/>
      <c r="AH4100" s="771"/>
      <c r="AI4100" s="771"/>
      <c r="AJ4100" s="771"/>
      <c r="AK4100" s="771"/>
      <c r="AL4100" s="771"/>
      <c r="AM4100" s="771"/>
      <c r="AN4100" s="771"/>
      <c r="AO4100" s="771"/>
      <c r="AP4100" s="771"/>
      <c r="AQ4100" s="771"/>
      <c r="AR4100" s="771"/>
      <c r="AS4100" s="771"/>
      <c r="AT4100" s="771"/>
      <c r="AU4100" s="771"/>
    </row>
    <row r="4101" spans="1:47" s="15" customFormat="1" x14ac:dyDescent="0.2">
      <c r="A4101" s="771"/>
      <c r="B4101" s="771"/>
      <c r="C4101" s="782"/>
      <c r="D4101" s="782"/>
      <c r="E4101" s="799"/>
      <c r="F4101" s="801"/>
      <c r="G4101" s="771"/>
      <c r="H4101" s="8"/>
      <c r="I4101" s="8"/>
      <c r="J4101" s="8"/>
      <c r="K4101" s="8"/>
      <c r="L4101" s="8"/>
      <c r="M4101" s="8"/>
      <c r="N4101" s="8"/>
      <c r="O4101" s="8"/>
      <c r="P4101" s="8"/>
      <c r="Q4101" s="8"/>
      <c r="R4101" s="8"/>
      <c r="S4101" s="8"/>
      <c r="T4101" s="8"/>
      <c r="U4101" s="8"/>
      <c r="V4101" s="8"/>
      <c r="W4101" s="8"/>
      <c r="X4101" s="771"/>
      <c r="Y4101" s="771"/>
      <c r="Z4101" s="771"/>
      <c r="AA4101" s="771"/>
      <c r="AB4101" s="771"/>
      <c r="AC4101" s="771"/>
      <c r="AD4101" s="771"/>
      <c r="AE4101" s="771"/>
      <c r="AF4101" s="771"/>
      <c r="AG4101" s="771"/>
      <c r="AH4101" s="771"/>
      <c r="AI4101" s="771"/>
      <c r="AJ4101" s="771"/>
      <c r="AK4101" s="771"/>
      <c r="AL4101" s="771"/>
      <c r="AM4101" s="771"/>
      <c r="AN4101" s="771"/>
      <c r="AO4101" s="771"/>
      <c r="AP4101" s="771"/>
      <c r="AQ4101" s="771"/>
      <c r="AR4101" s="771"/>
      <c r="AS4101" s="771"/>
      <c r="AT4101" s="771"/>
      <c r="AU4101" s="771"/>
    </row>
    <row r="4102" spans="1:47" s="15" customFormat="1" x14ac:dyDescent="0.2">
      <c r="A4102" s="771"/>
      <c r="B4102" s="771"/>
      <c r="C4102" s="782"/>
      <c r="D4102" s="782"/>
      <c r="E4102" s="799"/>
      <c r="F4102" s="801"/>
      <c r="G4102" s="771"/>
      <c r="H4102" s="8"/>
      <c r="I4102" s="8"/>
      <c r="J4102" s="8"/>
      <c r="K4102" s="8"/>
      <c r="L4102" s="8"/>
      <c r="M4102" s="8"/>
      <c r="N4102" s="8"/>
      <c r="O4102" s="8"/>
      <c r="P4102" s="8"/>
      <c r="Q4102" s="8"/>
      <c r="R4102" s="8"/>
      <c r="S4102" s="8"/>
      <c r="T4102" s="8"/>
      <c r="U4102" s="8"/>
      <c r="V4102" s="8"/>
      <c r="W4102" s="8"/>
      <c r="X4102" s="771"/>
      <c r="Y4102" s="771"/>
      <c r="Z4102" s="771"/>
      <c r="AA4102" s="771"/>
      <c r="AB4102" s="771"/>
      <c r="AC4102" s="771"/>
      <c r="AD4102" s="771"/>
      <c r="AE4102" s="771"/>
      <c r="AF4102" s="771"/>
      <c r="AG4102" s="771"/>
      <c r="AH4102" s="771"/>
      <c r="AI4102" s="771"/>
      <c r="AJ4102" s="771"/>
      <c r="AK4102" s="771"/>
      <c r="AL4102" s="771"/>
      <c r="AM4102" s="771"/>
      <c r="AN4102" s="771"/>
      <c r="AO4102" s="771"/>
      <c r="AP4102" s="771"/>
      <c r="AQ4102" s="771"/>
      <c r="AR4102" s="771"/>
      <c r="AS4102" s="771"/>
      <c r="AT4102" s="771"/>
      <c r="AU4102" s="771"/>
    </row>
    <row r="4103" spans="1:47" s="15" customFormat="1" x14ac:dyDescent="0.2">
      <c r="A4103" s="771"/>
      <c r="B4103" s="771"/>
      <c r="C4103" s="782"/>
      <c r="D4103" s="782"/>
      <c r="E4103" s="799"/>
      <c r="F4103" s="801"/>
      <c r="G4103" s="771"/>
      <c r="H4103" s="8"/>
      <c r="I4103" s="8"/>
      <c r="J4103" s="8"/>
      <c r="K4103" s="8"/>
      <c r="L4103" s="8"/>
      <c r="M4103" s="8"/>
      <c r="N4103" s="8"/>
      <c r="O4103" s="8"/>
      <c r="P4103" s="8"/>
      <c r="Q4103" s="8"/>
      <c r="R4103" s="8"/>
      <c r="S4103" s="8"/>
      <c r="T4103" s="8"/>
      <c r="U4103" s="8"/>
      <c r="V4103" s="8"/>
      <c r="W4103" s="8"/>
      <c r="X4103" s="771"/>
      <c r="Y4103" s="771"/>
      <c r="Z4103" s="771"/>
      <c r="AA4103" s="771"/>
      <c r="AB4103" s="771"/>
      <c r="AC4103" s="771"/>
      <c r="AD4103" s="771"/>
      <c r="AE4103" s="771"/>
      <c r="AF4103" s="771"/>
      <c r="AG4103" s="771"/>
      <c r="AH4103" s="771"/>
      <c r="AI4103" s="771"/>
      <c r="AJ4103" s="771"/>
      <c r="AK4103" s="771"/>
      <c r="AL4103" s="771"/>
      <c r="AM4103" s="771"/>
      <c r="AN4103" s="771"/>
      <c r="AO4103" s="771"/>
      <c r="AP4103" s="771"/>
      <c r="AQ4103" s="771"/>
      <c r="AR4103" s="771"/>
      <c r="AS4103" s="771"/>
      <c r="AT4103" s="771"/>
      <c r="AU4103" s="771"/>
    </row>
    <row r="4104" spans="1:47" s="15" customFormat="1" x14ac:dyDescent="0.2">
      <c r="A4104" s="771"/>
      <c r="B4104" s="771"/>
      <c r="C4104" s="782"/>
      <c r="D4104" s="782"/>
      <c r="E4104" s="799"/>
      <c r="F4104" s="801"/>
      <c r="G4104" s="771"/>
      <c r="H4104" s="8"/>
      <c r="I4104" s="8"/>
      <c r="J4104" s="8"/>
      <c r="K4104" s="8"/>
      <c r="L4104" s="8"/>
      <c r="M4104" s="8"/>
      <c r="N4104" s="8"/>
      <c r="O4104" s="8"/>
      <c r="P4104" s="8"/>
      <c r="Q4104" s="8"/>
      <c r="R4104" s="8"/>
      <c r="S4104" s="8"/>
      <c r="T4104" s="8"/>
      <c r="U4104" s="8"/>
      <c r="V4104" s="8"/>
      <c r="W4104" s="8"/>
      <c r="X4104" s="771"/>
      <c r="Y4104" s="771"/>
      <c r="Z4104" s="771"/>
      <c r="AA4104" s="771"/>
      <c r="AB4104" s="771"/>
      <c r="AC4104" s="771"/>
      <c r="AD4104" s="771"/>
      <c r="AE4104" s="771"/>
      <c r="AF4104" s="771"/>
      <c r="AG4104" s="771"/>
      <c r="AH4104" s="771"/>
      <c r="AI4104" s="771"/>
      <c r="AJ4104" s="771"/>
      <c r="AK4104" s="771"/>
      <c r="AL4104" s="771"/>
      <c r="AM4104" s="771"/>
      <c r="AN4104" s="771"/>
      <c r="AO4104" s="771"/>
      <c r="AP4104" s="771"/>
      <c r="AQ4104" s="771"/>
      <c r="AR4104" s="771"/>
      <c r="AS4104" s="771"/>
      <c r="AT4104" s="771"/>
      <c r="AU4104" s="771"/>
    </row>
    <row r="4105" spans="1:47" s="15" customFormat="1" x14ac:dyDescent="0.2">
      <c r="A4105" s="771"/>
      <c r="B4105" s="771"/>
      <c r="C4105" s="782"/>
      <c r="D4105" s="782"/>
      <c r="E4105" s="799"/>
      <c r="F4105" s="801"/>
      <c r="G4105" s="771"/>
      <c r="H4105" s="8"/>
      <c r="I4105" s="8"/>
      <c r="J4105" s="8"/>
      <c r="K4105" s="8"/>
      <c r="L4105" s="8"/>
      <c r="M4105" s="8"/>
      <c r="N4105" s="8"/>
      <c r="O4105" s="8"/>
      <c r="P4105" s="8"/>
      <c r="Q4105" s="8"/>
      <c r="R4105" s="8"/>
      <c r="S4105" s="8"/>
      <c r="T4105" s="8"/>
      <c r="U4105" s="8"/>
      <c r="V4105" s="8"/>
      <c r="W4105" s="8"/>
      <c r="X4105" s="771"/>
      <c r="Y4105" s="771"/>
      <c r="Z4105" s="771"/>
      <c r="AA4105" s="771"/>
      <c r="AB4105" s="771"/>
      <c r="AC4105" s="771"/>
      <c r="AD4105" s="771"/>
      <c r="AE4105" s="771"/>
      <c r="AF4105" s="771"/>
      <c r="AG4105" s="771"/>
      <c r="AH4105" s="771"/>
      <c r="AI4105" s="771"/>
      <c r="AJ4105" s="771"/>
      <c r="AK4105" s="771"/>
      <c r="AL4105" s="771"/>
      <c r="AM4105" s="771"/>
      <c r="AN4105" s="771"/>
      <c r="AO4105" s="771"/>
      <c r="AP4105" s="771"/>
      <c r="AQ4105" s="771"/>
      <c r="AR4105" s="771"/>
      <c r="AS4105" s="771"/>
      <c r="AT4105" s="771"/>
      <c r="AU4105" s="771"/>
    </row>
    <row r="4106" spans="1:47" s="15" customFormat="1" x14ac:dyDescent="0.2">
      <c r="A4106" s="771"/>
      <c r="B4106" s="771"/>
      <c r="C4106" s="782"/>
      <c r="D4106" s="782"/>
      <c r="E4106" s="799"/>
      <c r="F4106" s="801"/>
      <c r="G4106" s="771"/>
      <c r="H4106" s="8"/>
      <c r="I4106" s="8"/>
      <c r="J4106" s="8"/>
      <c r="K4106" s="8"/>
      <c r="L4106" s="8"/>
      <c r="M4106" s="8"/>
      <c r="N4106" s="8"/>
      <c r="O4106" s="8"/>
      <c r="P4106" s="8"/>
      <c r="Q4106" s="8"/>
      <c r="R4106" s="8"/>
      <c r="S4106" s="8"/>
      <c r="T4106" s="8"/>
      <c r="U4106" s="8"/>
      <c r="V4106" s="8"/>
      <c r="W4106" s="8"/>
      <c r="X4106" s="771"/>
      <c r="Y4106" s="771"/>
      <c r="Z4106" s="771"/>
      <c r="AA4106" s="771"/>
      <c r="AB4106" s="771"/>
      <c r="AC4106" s="771"/>
      <c r="AD4106" s="771"/>
      <c r="AE4106" s="771"/>
      <c r="AF4106" s="771"/>
      <c r="AG4106" s="771"/>
      <c r="AH4106" s="771"/>
      <c r="AI4106" s="771"/>
      <c r="AJ4106" s="771"/>
      <c r="AK4106" s="771"/>
      <c r="AL4106" s="771"/>
      <c r="AM4106" s="771"/>
      <c r="AN4106" s="771"/>
      <c r="AO4106" s="771"/>
      <c r="AP4106" s="771"/>
      <c r="AQ4106" s="771"/>
      <c r="AR4106" s="771"/>
      <c r="AS4106" s="771"/>
      <c r="AT4106" s="771"/>
      <c r="AU4106" s="771"/>
    </row>
    <row r="4107" spans="1:47" s="15" customFormat="1" x14ac:dyDescent="0.2">
      <c r="A4107" s="771"/>
      <c r="B4107" s="771"/>
      <c r="C4107" s="782"/>
      <c r="D4107" s="782"/>
      <c r="E4107" s="799"/>
      <c r="F4107" s="801"/>
      <c r="G4107" s="771"/>
      <c r="H4107" s="8"/>
      <c r="I4107" s="8"/>
      <c r="J4107" s="8"/>
      <c r="K4107" s="8"/>
      <c r="L4107" s="8"/>
      <c r="M4107" s="8"/>
      <c r="N4107" s="8"/>
      <c r="O4107" s="8"/>
      <c r="P4107" s="8"/>
      <c r="Q4107" s="8"/>
      <c r="R4107" s="8"/>
      <c r="S4107" s="8"/>
      <c r="T4107" s="8"/>
      <c r="U4107" s="8"/>
      <c r="V4107" s="8"/>
      <c r="W4107" s="8"/>
      <c r="X4107" s="771"/>
      <c r="Y4107" s="771"/>
      <c r="Z4107" s="771"/>
      <c r="AA4107" s="771"/>
      <c r="AB4107" s="771"/>
      <c r="AC4107" s="771"/>
      <c r="AD4107" s="771"/>
      <c r="AE4107" s="771"/>
      <c r="AF4107" s="771"/>
      <c r="AG4107" s="771"/>
      <c r="AH4107" s="771"/>
      <c r="AI4107" s="771"/>
      <c r="AJ4107" s="771"/>
      <c r="AK4107" s="771"/>
      <c r="AL4107" s="771"/>
      <c r="AM4107" s="771"/>
      <c r="AN4107" s="771"/>
      <c r="AO4107" s="771"/>
      <c r="AP4107" s="771"/>
      <c r="AQ4107" s="771"/>
      <c r="AR4107" s="771"/>
      <c r="AS4107" s="771"/>
      <c r="AT4107" s="771"/>
      <c r="AU4107" s="771"/>
    </row>
    <row r="4108" spans="1:47" s="15" customFormat="1" x14ac:dyDescent="0.2">
      <c r="A4108" s="771"/>
      <c r="B4108" s="771"/>
      <c r="C4108" s="782"/>
      <c r="D4108" s="782"/>
      <c r="E4108" s="799"/>
      <c r="F4108" s="801"/>
      <c r="G4108" s="771"/>
      <c r="H4108" s="8"/>
      <c r="I4108" s="8"/>
      <c r="J4108" s="8"/>
      <c r="K4108" s="8"/>
      <c r="L4108" s="8"/>
      <c r="M4108" s="8"/>
      <c r="N4108" s="8"/>
      <c r="O4108" s="8"/>
      <c r="P4108" s="8"/>
      <c r="Q4108" s="8"/>
      <c r="R4108" s="8"/>
      <c r="S4108" s="8"/>
      <c r="T4108" s="8"/>
      <c r="U4108" s="8"/>
      <c r="V4108" s="8"/>
      <c r="W4108" s="8"/>
      <c r="X4108" s="771"/>
      <c r="Y4108" s="771"/>
      <c r="Z4108" s="771"/>
      <c r="AA4108" s="771"/>
      <c r="AB4108" s="771"/>
      <c r="AC4108" s="771"/>
      <c r="AD4108" s="771"/>
      <c r="AE4108" s="771"/>
      <c r="AF4108" s="771"/>
      <c r="AG4108" s="771"/>
      <c r="AH4108" s="771"/>
      <c r="AI4108" s="771"/>
      <c r="AJ4108" s="771"/>
      <c r="AK4108" s="771"/>
      <c r="AL4108" s="771"/>
      <c r="AM4108" s="771"/>
      <c r="AN4108" s="771"/>
      <c r="AO4108" s="771"/>
      <c r="AP4108" s="771"/>
      <c r="AQ4108" s="771"/>
      <c r="AR4108" s="771"/>
      <c r="AS4108" s="771"/>
      <c r="AT4108" s="771"/>
      <c r="AU4108" s="771"/>
    </row>
    <row r="4109" spans="1:47" s="15" customFormat="1" x14ac:dyDescent="0.2">
      <c r="A4109" s="771"/>
      <c r="B4109" s="771"/>
      <c r="C4109" s="782"/>
      <c r="D4109" s="782"/>
      <c r="E4109" s="799"/>
      <c r="F4109" s="801"/>
      <c r="G4109" s="771"/>
      <c r="H4109" s="8"/>
      <c r="I4109" s="8"/>
      <c r="J4109" s="8"/>
      <c r="K4109" s="8"/>
      <c r="L4109" s="8"/>
      <c r="M4109" s="8"/>
      <c r="N4109" s="8"/>
      <c r="O4109" s="8"/>
      <c r="P4109" s="8"/>
      <c r="Q4109" s="8"/>
      <c r="R4109" s="8"/>
      <c r="S4109" s="8"/>
      <c r="T4109" s="8"/>
      <c r="U4109" s="8"/>
      <c r="V4109" s="8"/>
      <c r="W4109" s="8"/>
      <c r="X4109" s="771"/>
      <c r="Y4109" s="771"/>
      <c r="Z4109" s="771"/>
      <c r="AA4109" s="771"/>
      <c r="AB4109" s="771"/>
      <c r="AC4109" s="771"/>
      <c r="AD4109" s="771"/>
      <c r="AE4109" s="771"/>
      <c r="AF4109" s="771"/>
      <c r="AG4109" s="771"/>
      <c r="AH4109" s="771"/>
      <c r="AI4109" s="771"/>
      <c r="AJ4109" s="771"/>
      <c r="AK4109" s="771"/>
      <c r="AL4109" s="771"/>
      <c r="AM4109" s="771"/>
      <c r="AN4109" s="771"/>
      <c r="AO4109" s="771"/>
      <c r="AP4109" s="771"/>
      <c r="AQ4109" s="771"/>
      <c r="AR4109" s="771"/>
      <c r="AS4109" s="771"/>
      <c r="AT4109" s="771"/>
      <c r="AU4109" s="771"/>
    </row>
    <row r="4110" spans="1:47" s="15" customFormat="1" x14ac:dyDescent="0.2">
      <c r="A4110" s="771"/>
      <c r="B4110" s="771"/>
      <c r="C4110" s="782"/>
      <c r="D4110" s="782"/>
      <c r="E4110" s="799"/>
      <c r="F4110" s="801"/>
      <c r="G4110" s="771"/>
      <c r="H4110" s="8"/>
      <c r="I4110" s="8"/>
      <c r="J4110" s="8"/>
      <c r="K4110" s="8"/>
      <c r="L4110" s="8"/>
      <c r="M4110" s="8"/>
      <c r="N4110" s="8"/>
      <c r="O4110" s="8"/>
      <c r="P4110" s="8"/>
      <c r="Q4110" s="8"/>
      <c r="R4110" s="8"/>
      <c r="S4110" s="8"/>
      <c r="T4110" s="8"/>
      <c r="U4110" s="8"/>
      <c r="V4110" s="8"/>
      <c r="W4110" s="8"/>
      <c r="X4110" s="771"/>
      <c r="Y4110" s="771"/>
      <c r="Z4110" s="771"/>
      <c r="AA4110" s="771"/>
      <c r="AB4110" s="771"/>
      <c r="AC4110" s="771"/>
      <c r="AD4110" s="771"/>
      <c r="AE4110" s="771"/>
      <c r="AF4110" s="771"/>
      <c r="AG4110" s="771"/>
      <c r="AH4110" s="771"/>
      <c r="AI4110" s="771"/>
      <c r="AJ4110" s="771"/>
      <c r="AK4110" s="771"/>
      <c r="AL4110" s="771"/>
      <c r="AM4110" s="771"/>
      <c r="AN4110" s="771"/>
      <c r="AO4110" s="771"/>
      <c r="AP4110" s="771"/>
      <c r="AQ4110" s="771"/>
      <c r="AR4110" s="771"/>
      <c r="AS4110" s="771"/>
      <c r="AT4110" s="771"/>
      <c r="AU4110" s="771"/>
    </row>
    <row r="4111" spans="1:47" s="15" customFormat="1" x14ac:dyDescent="0.2">
      <c r="A4111" s="771"/>
      <c r="B4111" s="771"/>
      <c r="C4111" s="782"/>
      <c r="D4111" s="782"/>
      <c r="E4111" s="799"/>
      <c r="F4111" s="801"/>
      <c r="G4111" s="771"/>
      <c r="H4111" s="8"/>
      <c r="I4111" s="8"/>
      <c r="J4111" s="8"/>
      <c r="K4111" s="8"/>
      <c r="L4111" s="8"/>
      <c r="M4111" s="8"/>
      <c r="N4111" s="8"/>
      <c r="O4111" s="8"/>
      <c r="P4111" s="8"/>
      <c r="Q4111" s="8"/>
      <c r="R4111" s="8"/>
      <c r="S4111" s="8"/>
      <c r="T4111" s="8"/>
      <c r="U4111" s="8"/>
      <c r="V4111" s="8"/>
      <c r="W4111" s="8"/>
      <c r="X4111" s="771"/>
      <c r="Y4111" s="771"/>
      <c r="Z4111" s="771"/>
      <c r="AA4111" s="771"/>
      <c r="AB4111" s="771"/>
      <c r="AC4111" s="771"/>
      <c r="AD4111" s="771"/>
      <c r="AE4111" s="771"/>
      <c r="AF4111" s="771"/>
      <c r="AG4111" s="771"/>
      <c r="AH4111" s="771"/>
      <c r="AI4111" s="771"/>
      <c r="AJ4111" s="771"/>
      <c r="AK4111" s="771"/>
      <c r="AL4111" s="771"/>
      <c r="AM4111" s="771"/>
      <c r="AN4111" s="771"/>
      <c r="AO4111" s="771"/>
      <c r="AP4111" s="771"/>
      <c r="AQ4111" s="771"/>
      <c r="AR4111" s="771"/>
      <c r="AS4111" s="771"/>
      <c r="AT4111" s="771"/>
      <c r="AU4111" s="771"/>
    </row>
    <row r="4112" spans="1:47" s="15" customFormat="1" x14ac:dyDescent="0.2">
      <c r="A4112" s="771"/>
      <c r="B4112" s="771"/>
      <c r="C4112" s="782"/>
      <c r="D4112" s="782"/>
      <c r="E4112" s="799"/>
      <c r="F4112" s="801"/>
      <c r="G4112" s="771"/>
      <c r="H4112" s="8"/>
      <c r="I4112" s="8"/>
      <c r="J4112" s="8"/>
      <c r="K4112" s="8"/>
      <c r="L4112" s="8"/>
      <c r="M4112" s="8"/>
      <c r="N4112" s="8"/>
      <c r="O4112" s="8"/>
      <c r="P4112" s="8"/>
      <c r="Q4112" s="8"/>
      <c r="R4112" s="8"/>
      <c r="S4112" s="8"/>
      <c r="T4112" s="8"/>
      <c r="U4112" s="8"/>
      <c r="V4112" s="8"/>
      <c r="W4112" s="8"/>
      <c r="X4112" s="771"/>
      <c r="Y4112" s="771"/>
      <c r="Z4112" s="771"/>
      <c r="AA4112" s="771"/>
      <c r="AB4112" s="771"/>
      <c r="AC4112" s="771"/>
      <c r="AD4112" s="771"/>
      <c r="AE4112" s="771"/>
      <c r="AF4112" s="771"/>
      <c r="AG4112" s="771"/>
      <c r="AH4112" s="771"/>
      <c r="AI4112" s="771"/>
      <c r="AJ4112" s="771"/>
      <c r="AK4112" s="771"/>
      <c r="AL4112" s="771"/>
      <c r="AM4112" s="771"/>
      <c r="AN4112" s="771"/>
      <c r="AO4112" s="771"/>
      <c r="AP4112" s="771"/>
      <c r="AQ4112" s="771"/>
      <c r="AR4112" s="771"/>
      <c r="AS4112" s="771"/>
      <c r="AT4112" s="771"/>
      <c r="AU4112" s="771"/>
    </row>
    <row r="4113" spans="1:47" s="15" customFormat="1" x14ac:dyDescent="0.2">
      <c r="A4113" s="771"/>
      <c r="B4113" s="771"/>
      <c r="C4113" s="782"/>
      <c r="D4113" s="782"/>
      <c r="E4113" s="799"/>
      <c r="F4113" s="801"/>
      <c r="G4113" s="771"/>
      <c r="H4113" s="8"/>
      <c r="I4113" s="8"/>
      <c r="J4113" s="8"/>
      <c r="K4113" s="8"/>
      <c r="L4113" s="8"/>
      <c r="M4113" s="8"/>
      <c r="N4113" s="8"/>
      <c r="O4113" s="8"/>
      <c r="P4113" s="8"/>
      <c r="Q4113" s="8"/>
      <c r="R4113" s="8"/>
      <c r="S4113" s="8"/>
      <c r="T4113" s="8"/>
      <c r="U4113" s="8"/>
      <c r="V4113" s="8"/>
      <c r="W4113" s="8"/>
      <c r="X4113" s="771"/>
      <c r="Y4113" s="771"/>
      <c r="Z4113" s="771"/>
      <c r="AA4113" s="771"/>
      <c r="AB4113" s="771"/>
      <c r="AC4113" s="771"/>
      <c r="AD4113" s="771"/>
      <c r="AE4113" s="771"/>
      <c r="AF4113" s="771"/>
      <c r="AG4113" s="771"/>
      <c r="AH4113" s="771"/>
      <c r="AI4113" s="771"/>
      <c r="AJ4113" s="771"/>
      <c r="AK4113" s="771"/>
      <c r="AL4113" s="771"/>
      <c r="AM4113" s="771"/>
      <c r="AN4113" s="771"/>
      <c r="AO4113" s="771"/>
      <c r="AP4113" s="771"/>
      <c r="AQ4113" s="771"/>
      <c r="AR4113" s="771"/>
      <c r="AS4113" s="771"/>
      <c r="AT4113" s="771"/>
      <c r="AU4113" s="771"/>
    </row>
    <row r="4114" spans="1:47" s="15" customFormat="1" x14ac:dyDescent="0.2">
      <c r="A4114" s="771"/>
      <c r="B4114" s="771"/>
      <c r="C4114" s="782"/>
      <c r="D4114" s="782"/>
      <c r="E4114" s="799"/>
      <c r="F4114" s="801"/>
      <c r="G4114" s="771"/>
      <c r="H4114" s="8"/>
      <c r="I4114" s="8"/>
      <c r="J4114" s="8"/>
      <c r="K4114" s="8"/>
      <c r="L4114" s="8"/>
      <c r="M4114" s="8"/>
      <c r="N4114" s="8"/>
      <c r="O4114" s="8"/>
      <c r="P4114" s="8"/>
      <c r="Q4114" s="8"/>
      <c r="R4114" s="8"/>
      <c r="S4114" s="8"/>
      <c r="T4114" s="8"/>
      <c r="U4114" s="8"/>
      <c r="V4114" s="8"/>
      <c r="W4114" s="8"/>
      <c r="X4114" s="771"/>
      <c r="Y4114" s="771"/>
      <c r="Z4114" s="771"/>
      <c r="AA4114" s="771"/>
      <c r="AB4114" s="771"/>
      <c r="AC4114" s="771"/>
      <c r="AD4114" s="771"/>
      <c r="AE4114" s="771"/>
      <c r="AF4114" s="771"/>
      <c r="AG4114" s="771"/>
      <c r="AH4114" s="771"/>
      <c r="AI4114" s="771"/>
      <c r="AJ4114" s="771"/>
      <c r="AK4114" s="771"/>
      <c r="AL4114" s="771"/>
      <c r="AM4114" s="771"/>
      <c r="AN4114" s="771"/>
      <c r="AO4114" s="771"/>
      <c r="AP4114" s="771"/>
      <c r="AQ4114" s="771"/>
      <c r="AR4114" s="771"/>
      <c r="AS4114" s="771"/>
      <c r="AT4114" s="771"/>
      <c r="AU4114" s="771"/>
    </row>
    <row r="4115" spans="1:47" s="15" customFormat="1" x14ac:dyDescent="0.2">
      <c r="A4115" s="771"/>
      <c r="B4115" s="771"/>
      <c r="C4115" s="782"/>
      <c r="D4115" s="782"/>
      <c r="E4115" s="799"/>
      <c r="F4115" s="801"/>
      <c r="G4115" s="771"/>
      <c r="H4115" s="8"/>
      <c r="I4115" s="8"/>
      <c r="J4115" s="8"/>
      <c r="K4115" s="8"/>
      <c r="L4115" s="8"/>
      <c r="M4115" s="8"/>
      <c r="N4115" s="8"/>
      <c r="O4115" s="8"/>
      <c r="P4115" s="8"/>
      <c r="Q4115" s="8"/>
      <c r="R4115" s="8"/>
      <c r="S4115" s="8"/>
      <c r="T4115" s="8"/>
      <c r="U4115" s="8"/>
      <c r="V4115" s="8"/>
      <c r="W4115" s="8"/>
      <c r="X4115" s="771"/>
      <c r="Y4115" s="771"/>
      <c r="Z4115" s="771"/>
      <c r="AA4115" s="771"/>
      <c r="AB4115" s="771"/>
      <c r="AC4115" s="771"/>
      <c r="AD4115" s="771"/>
      <c r="AE4115" s="771"/>
      <c r="AF4115" s="771"/>
      <c r="AG4115" s="771"/>
      <c r="AH4115" s="771"/>
      <c r="AI4115" s="771"/>
      <c r="AJ4115" s="771"/>
      <c r="AK4115" s="771"/>
      <c r="AL4115" s="771"/>
      <c r="AM4115" s="771"/>
      <c r="AN4115" s="771"/>
      <c r="AO4115" s="771"/>
      <c r="AP4115" s="771"/>
      <c r="AQ4115" s="771"/>
      <c r="AR4115" s="771"/>
      <c r="AS4115" s="771"/>
      <c r="AT4115" s="771"/>
      <c r="AU4115" s="771"/>
    </row>
    <row r="4116" spans="1:47" s="15" customFormat="1" x14ac:dyDescent="0.2">
      <c r="A4116" s="771"/>
      <c r="B4116" s="771"/>
      <c r="C4116" s="782"/>
      <c r="D4116" s="782"/>
      <c r="E4116" s="799"/>
      <c r="F4116" s="801"/>
      <c r="G4116" s="771"/>
      <c r="H4116" s="8"/>
      <c r="I4116" s="8"/>
      <c r="J4116" s="8"/>
      <c r="K4116" s="8"/>
      <c r="L4116" s="8"/>
      <c r="M4116" s="8"/>
      <c r="N4116" s="8"/>
      <c r="O4116" s="8"/>
      <c r="P4116" s="8"/>
      <c r="Q4116" s="8"/>
      <c r="R4116" s="8"/>
      <c r="S4116" s="8"/>
      <c r="T4116" s="8"/>
      <c r="U4116" s="8"/>
      <c r="V4116" s="8"/>
      <c r="W4116" s="8"/>
      <c r="X4116" s="771"/>
      <c r="Y4116" s="771"/>
      <c r="Z4116" s="771"/>
      <c r="AA4116" s="771"/>
      <c r="AB4116" s="771"/>
      <c r="AC4116" s="771"/>
      <c r="AD4116" s="771"/>
      <c r="AE4116" s="771"/>
      <c r="AF4116" s="771"/>
      <c r="AG4116" s="771"/>
      <c r="AH4116" s="771"/>
      <c r="AI4116" s="771"/>
      <c r="AJ4116" s="771"/>
      <c r="AK4116" s="771"/>
      <c r="AL4116" s="771"/>
      <c r="AM4116" s="771"/>
      <c r="AN4116" s="771"/>
      <c r="AO4116" s="771"/>
      <c r="AP4116" s="771"/>
      <c r="AQ4116" s="771"/>
      <c r="AR4116" s="771"/>
      <c r="AS4116" s="771"/>
      <c r="AT4116" s="771"/>
      <c r="AU4116" s="771"/>
    </row>
    <row r="4117" spans="1:47" s="15" customFormat="1" x14ac:dyDescent="0.2">
      <c r="A4117" s="771"/>
      <c r="B4117" s="771"/>
      <c r="C4117" s="782"/>
      <c r="D4117" s="782"/>
      <c r="E4117" s="799"/>
      <c r="F4117" s="801"/>
      <c r="G4117" s="771"/>
      <c r="H4117" s="8"/>
      <c r="I4117" s="8"/>
      <c r="J4117" s="8"/>
      <c r="K4117" s="8"/>
      <c r="L4117" s="8"/>
      <c r="M4117" s="8"/>
      <c r="N4117" s="8"/>
      <c r="O4117" s="8"/>
      <c r="P4117" s="8"/>
      <c r="Q4117" s="8"/>
      <c r="R4117" s="8"/>
      <c r="S4117" s="8"/>
      <c r="T4117" s="8"/>
      <c r="U4117" s="8"/>
      <c r="V4117" s="8"/>
      <c r="W4117" s="8"/>
      <c r="X4117" s="771"/>
      <c r="Y4117" s="771"/>
      <c r="Z4117" s="771"/>
      <c r="AA4117" s="771"/>
      <c r="AB4117" s="771"/>
      <c r="AC4117" s="771"/>
      <c r="AD4117" s="771"/>
      <c r="AE4117" s="771"/>
      <c r="AF4117" s="771"/>
      <c r="AG4117" s="771"/>
      <c r="AH4117" s="771"/>
      <c r="AI4117" s="771"/>
      <c r="AJ4117" s="771"/>
      <c r="AK4117" s="771"/>
      <c r="AL4117" s="771"/>
      <c r="AM4117" s="771"/>
      <c r="AN4117" s="771"/>
      <c r="AO4117" s="771"/>
      <c r="AP4117" s="771"/>
      <c r="AQ4117" s="771"/>
      <c r="AR4117" s="771"/>
      <c r="AS4117" s="771"/>
      <c r="AT4117" s="771"/>
      <c r="AU4117" s="771"/>
    </row>
    <row r="4118" spans="1:47" s="15" customFormat="1" x14ac:dyDescent="0.2">
      <c r="A4118" s="771"/>
      <c r="B4118" s="771"/>
      <c r="C4118" s="782"/>
      <c r="D4118" s="782"/>
      <c r="E4118" s="799"/>
      <c r="F4118" s="801"/>
      <c r="G4118" s="771"/>
      <c r="H4118" s="8"/>
      <c r="I4118" s="8"/>
      <c r="J4118" s="8"/>
      <c r="K4118" s="8"/>
      <c r="L4118" s="8"/>
      <c r="M4118" s="8"/>
      <c r="N4118" s="8"/>
      <c r="O4118" s="8"/>
      <c r="P4118" s="8"/>
      <c r="Q4118" s="8"/>
      <c r="R4118" s="8"/>
      <c r="S4118" s="8"/>
      <c r="T4118" s="8"/>
      <c r="U4118" s="8"/>
      <c r="V4118" s="8"/>
      <c r="W4118" s="8"/>
      <c r="X4118" s="771"/>
      <c r="Y4118" s="771"/>
      <c r="Z4118" s="771"/>
      <c r="AA4118" s="771"/>
      <c r="AB4118" s="771"/>
      <c r="AC4118" s="771"/>
      <c r="AD4118" s="771"/>
      <c r="AE4118" s="771"/>
      <c r="AF4118" s="771"/>
      <c r="AG4118" s="771"/>
      <c r="AH4118" s="771"/>
      <c r="AI4118" s="771"/>
      <c r="AJ4118" s="771"/>
      <c r="AK4118" s="771"/>
      <c r="AL4118" s="771"/>
      <c r="AM4118" s="771"/>
      <c r="AN4118" s="771"/>
      <c r="AO4118" s="771"/>
      <c r="AP4118" s="771"/>
      <c r="AQ4118" s="771"/>
      <c r="AR4118" s="771"/>
      <c r="AS4118" s="771"/>
      <c r="AT4118" s="771"/>
      <c r="AU4118" s="771"/>
    </row>
    <row r="4119" spans="1:47" s="15" customFormat="1" x14ac:dyDescent="0.2">
      <c r="A4119" s="771"/>
      <c r="B4119" s="771"/>
      <c r="C4119" s="782"/>
      <c r="D4119" s="782"/>
      <c r="E4119" s="799"/>
      <c r="F4119" s="801"/>
      <c r="G4119" s="771"/>
      <c r="H4119" s="8"/>
      <c r="I4119" s="8"/>
      <c r="J4119" s="8"/>
      <c r="K4119" s="8"/>
      <c r="L4119" s="8"/>
      <c r="M4119" s="8"/>
      <c r="N4119" s="8"/>
      <c r="O4119" s="8"/>
      <c r="P4119" s="8"/>
      <c r="Q4119" s="8"/>
      <c r="R4119" s="8"/>
      <c r="S4119" s="8"/>
      <c r="T4119" s="8"/>
      <c r="U4119" s="8"/>
      <c r="V4119" s="8"/>
      <c r="W4119" s="8"/>
      <c r="X4119" s="771"/>
      <c r="Y4119" s="771"/>
      <c r="Z4119" s="771"/>
      <c r="AA4119" s="771"/>
      <c r="AB4119" s="771"/>
      <c r="AC4119" s="771"/>
      <c r="AD4119" s="771"/>
      <c r="AE4119" s="771"/>
      <c r="AF4119" s="771"/>
      <c r="AG4119" s="771"/>
      <c r="AH4119" s="771"/>
      <c r="AI4119" s="771"/>
      <c r="AJ4119" s="771"/>
      <c r="AK4119" s="771"/>
      <c r="AL4119" s="771"/>
      <c r="AM4119" s="771"/>
      <c r="AN4119" s="771"/>
      <c r="AO4119" s="771"/>
      <c r="AP4119" s="771"/>
      <c r="AQ4119" s="771"/>
      <c r="AR4119" s="771"/>
      <c r="AS4119" s="771"/>
      <c r="AT4119" s="771"/>
      <c r="AU4119" s="771"/>
    </row>
    <row r="4120" spans="1:47" s="15" customFormat="1" x14ac:dyDescent="0.2">
      <c r="A4120" s="771"/>
      <c r="B4120" s="771"/>
      <c r="C4120" s="782"/>
      <c r="D4120" s="782"/>
      <c r="E4120" s="799"/>
      <c r="F4120" s="801"/>
      <c r="G4120" s="771"/>
      <c r="H4120" s="8"/>
      <c r="I4120" s="8"/>
      <c r="J4120" s="8"/>
      <c r="K4120" s="8"/>
      <c r="L4120" s="8"/>
      <c r="M4120" s="8"/>
      <c r="N4120" s="8"/>
      <c r="O4120" s="8"/>
      <c r="P4120" s="8"/>
      <c r="Q4120" s="8"/>
      <c r="R4120" s="8"/>
      <c r="S4120" s="8"/>
      <c r="T4120" s="8"/>
      <c r="U4120" s="8"/>
      <c r="V4120" s="8"/>
      <c r="W4120" s="8"/>
      <c r="X4120" s="771"/>
      <c r="Y4120" s="771"/>
      <c r="Z4120" s="771"/>
      <c r="AA4120" s="771"/>
      <c r="AB4120" s="771"/>
      <c r="AC4120" s="771"/>
      <c r="AD4120" s="771"/>
      <c r="AE4120" s="771"/>
      <c r="AF4120" s="771"/>
      <c r="AG4120" s="771"/>
      <c r="AH4120" s="771"/>
      <c r="AI4120" s="771"/>
      <c r="AJ4120" s="771"/>
      <c r="AK4120" s="771"/>
      <c r="AL4120" s="771"/>
      <c r="AM4120" s="771"/>
      <c r="AN4120" s="771"/>
      <c r="AO4120" s="771"/>
      <c r="AP4120" s="771"/>
      <c r="AQ4120" s="771"/>
      <c r="AR4120" s="771"/>
      <c r="AS4120" s="771"/>
      <c r="AT4120" s="771"/>
      <c r="AU4120" s="771"/>
    </row>
    <row r="4121" spans="1:47" s="15" customFormat="1" x14ac:dyDescent="0.2">
      <c r="A4121" s="771"/>
      <c r="B4121" s="771"/>
      <c r="C4121" s="782"/>
      <c r="D4121" s="782"/>
      <c r="E4121" s="799"/>
      <c r="F4121" s="801"/>
      <c r="G4121" s="771"/>
      <c r="H4121" s="8"/>
      <c r="I4121" s="8"/>
      <c r="J4121" s="8"/>
      <c r="K4121" s="8"/>
      <c r="L4121" s="8"/>
      <c r="M4121" s="8"/>
      <c r="N4121" s="8"/>
      <c r="O4121" s="8"/>
      <c r="P4121" s="8"/>
      <c r="Q4121" s="8"/>
      <c r="R4121" s="8"/>
      <c r="S4121" s="8"/>
      <c r="T4121" s="8"/>
      <c r="U4121" s="8"/>
      <c r="V4121" s="8"/>
      <c r="W4121" s="8"/>
      <c r="X4121" s="771"/>
      <c r="Y4121" s="771"/>
      <c r="Z4121" s="771"/>
      <c r="AA4121" s="771"/>
      <c r="AB4121" s="771"/>
      <c r="AC4121" s="771"/>
      <c r="AD4121" s="771"/>
      <c r="AE4121" s="771"/>
      <c r="AF4121" s="771"/>
      <c r="AG4121" s="771"/>
      <c r="AH4121" s="771"/>
      <c r="AI4121" s="771"/>
      <c r="AJ4121" s="771"/>
      <c r="AK4121" s="771"/>
      <c r="AL4121" s="771"/>
      <c r="AM4121" s="771"/>
      <c r="AN4121" s="771"/>
      <c r="AO4121" s="771"/>
      <c r="AP4121" s="771"/>
      <c r="AQ4121" s="771"/>
      <c r="AR4121" s="771"/>
      <c r="AS4121" s="771"/>
      <c r="AT4121" s="771"/>
      <c r="AU4121" s="771"/>
    </row>
    <row r="4122" spans="1:47" s="15" customFormat="1" x14ac:dyDescent="0.2">
      <c r="A4122" s="771"/>
      <c r="B4122" s="771"/>
      <c r="C4122" s="782"/>
      <c r="D4122" s="782"/>
      <c r="E4122" s="799"/>
      <c r="F4122" s="801"/>
      <c r="G4122" s="771"/>
      <c r="H4122" s="8"/>
      <c r="I4122" s="8"/>
      <c r="J4122" s="8"/>
      <c r="K4122" s="8"/>
      <c r="L4122" s="8"/>
      <c r="M4122" s="8"/>
      <c r="N4122" s="8"/>
      <c r="O4122" s="8"/>
      <c r="P4122" s="8"/>
      <c r="Q4122" s="8"/>
      <c r="R4122" s="8"/>
      <c r="S4122" s="8"/>
      <c r="T4122" s="8"/>
      <c r="U4122" s="8"/>
      <c r="V4122" s="8"/>
      <c r="W4122" s="8"/>
      <c r="X4122" s="771"/>
      <c r="Y4122" s="771"/>
      <c r="Z4122" s="771"/>
      <c r="AA4122" s="771"/>
      <c r="AB4122" s="771"/>
      <c r="AC4122" s="771"/>
      <c r="AD4122" s="771"/>
      <c r="AE4122" s="771"/>
      <c r="AF4122" s="771"/>
      <c r="AG4122" s="771"/>
      <c r="AH4122" s="771"/>
      <c r="AI4122" s="771"/>
      <c r="AJ4122" s="771"/>
      <c r="AK4122" s="771"/>
      <c r="AL4122" s="771"/>
      <c r="AM4122" s="771"/>
      <c r="AN4122" s="771"/>
      <c r="AO4122" s="771"/>
      <c r="AP4122" s="771"/>
      <c r="AQ4122" s="771"/>
      <c r="AR4122" s="771"/>
      <c r="AS4122" s="771"/>
      <c r="AT4122" s="771"/>
      <c r="AU4122" s="771"/>
    </row>
    <row r="4123" spans="1:47" s="15" customFormat="1" x14ac:dyDescent="0.2">
      <c r="A4123" s="771"/>
      <c r="B4123" s="771"/>
      <c r="C4123" s="782"/>
      <c r="D4123" s="782"/>
      <c r="E4123" s="799"/>
      <c r="F4123" s="801"/>
      <c r="G4123" s="771"/>
      <c r="H4123" s="8"/>
      <c r="I4123" s="8"/>
      <c r="J4123" s="8"/>
      <c r="K4123" s="8"/>
      <c r="L4123" s="8"/>
      <c r="M4123" s="8"/>
      <c r="N4123" s="8"/>
      <c r="O4123" s="8"/>
      <c r="P4123" s="8"/>
      <c r="Q4123" s="8"/>
      <c r="R4123" s="8"/>
      <c r="S4123" s="8"/>
      <c r="T4123" s="8"/>
      <c r="U4123" s="8"/>
      <c r="V4123" s="8"/>
      <c r="W4123" s="8"/>
      <c r="X4123" s="771"/>
      <c r="Y4123" s="771"/>
      <c r="Z4123" s="771"/>
      <c r="AA4123" s="771"/>
      <c r="AB4123" s="771"/>
      <c r="AC4123" s="771"/>
      <c r="AD4123" s="771"/>
      <c r="AE4123" s="771"/>
      <c r="AF4123" s="771"/>
      <c r="AG4123" s="771"/>
      <c r="AH4123" s="771"/>
      <c r="AI4123" s="771"/>
      <c r="AJ4123" s="771"/>
      <c r="AK4123" s="771"/>
      <c r="AL4123" s="771"/>
      <c r="AM4123" s="771"/>
      <c r="AN4123" s="771"/>
      <c r="AO4123" s="771"/>
      <c r="AP4123" s="771"/>
      <c r="AQ4123" s="771"/>
      <c r="AR4123" s="771"/>
      <c r="AS4123" s="771"/>
      <c r="AT4123" s="771"/>
      <c r="AU4123" s="771"/>
    </row>
    <row r="4124" spans="1:47" s="15" customFormat="1" x14ac:dyDescent="0.2">
      <c r="A4124" s="771"/>
      <c r="B4124" s="771"/>
      <c r="C4124" s="782"/>
      <c r="D4124" s="782"/>
      <c r="E4124" s="799"/>
      <c r="F4124" s="801"/>
      <c r="G4124" s="771"/>
      <c r="H4124" s="8"/>
      <c r="I4124" s="8"/>
      <c r="J4124" s="8"/>
      <c r="K4124" s="8"/>
      <c r="L4124" s="8"/>
      <c r="M4124" s="8"/>
      <c r="N4124" s="8"/>
      <c r="O4124" s="8"/>
      <c r="P4124" s="8"/>
      <c r="Q4124" s="8"/>
      <c r="R4124" s="8"/>
      <c r="S4124" s="8"/>
      <c r="T4124" s="8"/>
      <c r="U4124" s="8"/>
      <c r="V4124" s="8"/>
      <c r="W4124" s="8"/>
      <c r="X4124" s="771"/>
      <c r="Y4124" s="771"/>
      <c r="Z4124" s="771"/>
      <c r="AA4124" s="771"/>
      <c r="AB4124" s="771"/>
      <c r="AC4124" s="771"/>
      <c r="AD4124" s="771"/>
      <c r="AE4124" s="771"/>
      <c r="AF4124" s="771"/>
      <c r="AG4124" s="771"/>
      <c r="AH4124" s="771"/>
      <c r="AI4124" s="771"/>
      <c r="AJ4124" s="771"/>
      <c r="AK4124" s="771"/>
      <c r="AL4124" s="771"/>
      <c r="AM4124" s="771"/>
      <c r="AN4124" s="771"/>
      <c r="AO4124" s="771"/>
      <c r="AP4124" s="771"/>
      <c r="AQ4124" s="771"/>
      <c r="AR4124" s="771"/>
      <c r="AS4124" s="771"/>
      <c r="AT4124" s="771"/>
      <c r="AU4124" s="771"/>
    </row>
    <row r="4125" spans="1:47" s="15" customFormat="1" x14ac:dyDescent="0.2">
      <c r="A4125" s="771"/>
      <c r="B4125" s="771"/>
      <c r="C4125" s="782"/>
      <c r="D4125" s="782"/>
      <c r="E4125" s="799"/>
      <c r="F4125" s="801"/>
      <c r="G4125" s="771"/>
      <c r="H4125" s="8"/>
      <c r="I4125" s="8"/>
      <c r="J4125" s="8"/>
      <c r="K4125" s="8"/>
      <c r="L4125" s="8"/>
      <c r="M4125" s="8"/>
      <c r="N4125" s="8"/>
      <c r="O4125" s="8"/>
      <c r="P4125" s="8"/>
      <c r="Q4125" s="8"/>
      <c r="R4125" s="8"/>
      <c r="S4125" s="8"/>
      <c r="T4125" s="8"/>
      <c r="U4125" s="8"/>
      <c r="V4125" s="8"/>
      <c r="W4125" s="8"/>
      <c r="X4125" s="771"/>
      <c r="Y4125" s="771"/>
      <c r="Z4125" s="771"/>
      <c r="AA4125" s="771"/>
      <c r="AB4125" s="771"/>
      <c r="AC4125" s="771"/>
      <c r="AD4125" s="771"/>
      <c r="AE4125" s="771"/>
      <c r="AF4125" s="771"/>
      <c r="AG4125" s="771"/>
      <c r="AH4125" s="771"/>
      <c r="AI4125" s="771"/>
      <c r="AJ4125" s="771"/>
      <c r="AK4125" s="771"/>
      <c r="AL4125" s="771"/>
      <c r="AM4125" s="771"/>
      <c r="AN4125" s="771"/>
      <c r="AO4125" s="771"/>
      <c r="AP4125" s="771"/>
      <c r="AQ4125" s="771"/>
      <c r="AR4125" s="771"/>
      <c r="AS4125" s="771"/>
      <c r="AT4125" s="771"/>
      <c r="AU4125" s="771"/>
    </row>
    <row r="4126" spans="1:47" s="15" customFormat="1" x14ac:dyDescent="0.2">
      <c r="A4126" s="771"/>
      <c r="B4126" s="771"/>
      <c r="C4126" s="782"/>
      <c r="D4126" s="782"/>
      <c r="E4126" s="799"/>
      <c r="F4126" s="801"/>
      <c r="G4126" s="771"/>
      <c r="H4126" s="8"/>
      <c r="I4126" s="8"/>
      <c r="J4126" s="8"/>
      <c r="K4126" s="8"/>
      <c r="L4126" s="8"/>
      <c r="M4126" s="8"/>
      <c r="N4126" s="8"/>
      <c r="O4126" s="8"/>
      <c r="P4126" s="8"/>
      <c r="Q4126" s="8"/>
      <c r="R4126" s="8"/>
      <c r="S4126" s="8"/>
      <c r="T4126" s="8"/>
      <c r="U4126" s="8"/>
      <c r="V4126" s="8"/>
      <c r="W4126" s="8"/>
      <c r="X4126" s="771"/>
      <c r="Y4126" s="771"/>
      <c r="Z4126" s="771"/>
      <c r="AA4126" s="771"/>
      <c r="AB4126" s="771"/>
      <c r="AC4126" s="771"/>
      <c r="AD4126" s="771"/>
      <c r="AE4126" s="771"/>
      <c r="AF4126" s="771"/>
      <c r="AG4126" s="771"/>
      <c r="AH4126" s="771"/>
      <c r="AI4126" s="771"/>
      <c r="AJ4126" s="771"/>
      <c r="AK4126" s="771"/>
      <c r="AL4126" s="771"/>
      <c r="AM4126" s="771"/>
      <c r="AN4126" s="771"/>
      <c r="AO4126" s="771"/>
      <c r="AP4126" s="771"/>
      <c r="AQ4126" s="771"/>
      <c r="AR4126" s="771"/>
      <c r="AS4126" s="771"/>
      <c r="AT4126" s="771"/>
      <c r="AU4126" s="771"/>
    </row>
    <row r="4127" spans="1:47" s="15" customFormat="1" x14ac:dyDescent="0.2">
      <c r="A4127" s="771"/>
      <c r="B4127" s="771"/>
      <c r="C4127" s="782"/>
      <c r="D4127" s="782"/>
      <c r="E4127" s="799"/>
      <c r="F4127" s="801"/>
      <c r="G4127" s="771"/>
      <c r="H4127" s="8"/>
      <c r="I4127" s="8"/>
      <c r="J4127" s="8"/>
      <c r="K4127" s="8"/>
      <c r="L4127" s="8"/>
      <c r="M4127" s="8"/>
      <c r="N4127" s="8"/>
      <c r="O4127" s="8"/>
      <c r="P4127" s="8"/>
      <c r="Q4127" s="8"/>
      <c r="R4127" s="8"/>
      <c r="S4127" s="8"/>
      <c r="T4127" s="8"/>
      <c r="U4127" s="8"/>
      <c r="V4127" s="8"/>
      <c r="W4127" s="8"/>
      <c r="X4127" s="771"/>
      <c r="Y4127" s="771"/>
      <c r="Z4127" s="771"/>
      <c r="AA4127" s="771"/>
      <c r="AB4127" s="771"/>
      <c r="AC4127" s="771"/>
      <c r="AD4127" s="771"/>
      <c r="AE4127" s="771"/>
      <c r="AF4127" s="771"/>
      <c r="AG4127" s="771"/>
      <c r="AH4127" s="771"/>
      <c r="AI4127" s="771"/>
      <c r="AJ4127" s="771"/>
      <c r="AK4127" s="771"/>
      <c r="AL4127" s="771"/>
      <c r="AM4127" s="771"/>
      <c r="AN4127" s="771"/>
      <c r="AO4127" s="771"/>
      <c r="AP4127" s="771"/>
      <c r="AQ4127" s="771"/>
      <c r="AR4127" s="771"/>
      <c r="AS4127" s="771"/>
      <c r="AT4127" s="771"/>
      <c r="AU4127" s="771"/>
    </row>
    <row r="4128" spans="1:47" s="15" customFormat="1" x14ac:dyDescent="0.2">
      <c r="A4128" s="771"/>
      <c r="B4128" s="771"/>
      <c r="C4128" s="782"/>
      <c r="D4128" s="782"/>
      <c r="E4128" s="799"/>
      <c r="F4128" s="801"/>
      <c r="G4128" s="771"/>
      <c r="H4128" s="8"/>
      <c r="I4128" s="8"/>
      <c r="J4128" s="8"/>
      <c r="K4128" s="8"/>
      <c r="L4128" s="8"/>
      <c r="M4128" s="8"/>
      <c r="N4128" s="8"/>
      <c r="O4128" s="8"/>
      <c r="P4128" s="8"/>
      <c r="Q4128" s="8"/>
      <c r="R4128" s="8"/>
      <c r="S4128" s="8"/>
      <c r="T4128" s="8"/>
      <c r="U4128" s="8"/>
      <c r="V4128" s="8"/>
      <c r="W4128" s="8"/>
      <c r="X4128" s="771"/>
      <c r="Y4128" s="771"/>
      <c r="Z4128" s="771"/>
      <c r="AA4128" s="771"/>
      <c r="AB4128" s="771"/>
      <c r="AC4128" s="771"/>
      <c r="AD4128" s="771"/>
      <c r="AE4128" s="771"/>
      <c r="AF4128" s="771"/>
      <c r="AG4128" s="771"/>
      <c r="AH4128" s="771"/>
      <c r="AI4128" s="771"/>
      <c r="AJ4128" s="771"/>
      <c r="AK4128" s="771"/>
      <c r="AL4128" s="771"/>
      <c r="AM4128" s="771"/>
      <c r="AN4128" s="771"/>
      <c r="AO4128" s="771"/>
      <c r="AP4128" s="771"/>
      <c r="AQ4128" s="771"/>
      <c r="AR4128" s="771"/>
      <c r="AS4128" s="771"/>
      <c r="AT4128" s="771"/>
      <c r="AU4128" s="771"/>
    </row>
    <row r="4129" spans="1:47" s="15" customFormat="1" x14ac:dyDescent="0.2">
      <c r="A4129" s="771"/>
      <c r="B4129" s="771"/>
      <c r="C4129" s="782"/>
      <c r="D4129" s="782"/>
      <c r="E4129" s="799"/>
      <c r="F4129" s="801"/>
      <c r="G4129" s="771"/>
      <c r="H4129" s="8"/>
      <c r="I4129" s="8"/>
      <c r="J4129" s="8"/>
      <c r="K4129" s="8"/>
      <c r="L4129" s="8"/>
      <c r="M4129" s="8"/>
      <c r="N4129" s="8"/>
      <c r="O4129" s="8"/>
      <c r="P4129" s="8"/>
      <c r="Q4129" s="8"/>
      <c r="R4129" s="8"/>
      <c r="S4129" s="8"/>
      <c r="T4129" s="8"/>
      <c r="U4129" s="8"/>
      <c r="V4129" s="8"/>
      <c r="W4129" s="8"/>
      <c r="X4129" s="771"/>
      <c r="Y4129" s="771"/>
      <c r="Z4129" s="771"/>
      <c r="AA4129" s="771"/>
      <c r="AB4129" s="771"/>
      <c r="AC4129" s="771"/>
      <c r="AD4129" s="771"/>
      <c r="AE4129" s="771"/>
      <c r="AF4129" s="771"/>
      <c r="AG4129" s="771"/>
      <c r="AH4129" s="771"/>
      <c r="AI4129" s="771"/>
      <c r="AJ4129" s="771"/>
      <c r="AK4129" s="771"/>
      <c r="AL4129" s="771"/>
      <c r="AM4129" s="771"/>
      <c r="AN4129" s="771"/>
      <c r="AO4129" s="771"/>
      <c r="AP4129" s="771"/>
      <c r="AQ4129" s="771"/>
      <c r="AR4129" s="771"/>
      <c r="AS4129" s="771"/>
      <c r="AT4129" s="771"/>
      <c r="AU4129" s="771"/>
    </row>
    <row r="4130" spans="1:47" s="15" customFormat="1" x14ac:dyDescent="0.2">
      <c r="A4130" s="771"/>
      <c r="B4130" s="771"/>
      <c r="C4130" s="782"/>
      <c r="D4130" s="782"/>
      <c r="E4130" s="799"/>
      <c r="F4130" s="801"/>
      <c r="G4130" s="771"/>
      <c r="H4130" s="8"/>
      <c r="I4130" s="8"/>
      <c r="J4130" s="8"/>
      <c r="K4130" s="8"/>
      <c r="L4130" s="8"/>
      <c r="M4130" s="8"/>
      <c r="N4130" s="8"/>
      <c r="O4130" s="8"/>
      <c r="P4130" s="8"/>
      <c r="Q4130" s="8"/>
      <c r="R4130" s="8"/>
      <c r="S4130" s="8"/>
      <c r="T4130" s="8"/>
      <c r="U4130" s="8"/>
      <c r="V4130" s="8"/>
      <c r="W4130" s="8"/>
      <c r="X4130" s="771"/>
      <c r="Y4130" s="771"/>
      <c r="Z4130" s="771"/>
      <c r="AA4130" s="771"/>
      <c r="AB4130" s="771"/>
      <c r="AC4130" s="771"/>
      <c r="AD4130" s="771"/>
      <c r="AE4130" s="771"/>
      <c r="AF4130" s="771"/>
      <c r="AG4130" s="771"/>
      <c r="AH4130" s="771"/>
      <c r="AI4130" s="771"/>
      <c r="AJ4130" s="771"/>
      <c r="AK4130" s="771"/>
      <c r="AL4130" s="771"/>
      <c r="AM4130" s="771"/>
      <c r="AN4130" s="771"/>
      <c r="AO4130" s="771"/>
      <c r="AP4130" s="771"/>
      <c r="AQ4130" s="771"/>
      <c r="AR4130" s="771"/>
      <c r="AS4130" s="771"/>
      <c r="AT4130" s="771"/>
      <c r="AU4130" s="771"/>
    </row>
    <row r="4131" spans="1:47" s="15" customFormat="1" x14ac:dyDescent="0.2">
      <c r="A4131" s="771"/>
      <c r="B4131" s="771"/>
      <c r="C4131" s="782"/>
      <c r="D4131" s="782"/>
      <c r="E4131" s="799"/>
      <c r="F4131" s="801"/>
      <c r="G4131" s="771"/>
      <c r="H4131" s="8"/>
      <c r="I4131" s="8"/>
      <c r="J4131" s="8"/>
      <c r="K4131" s="8"/>
      <c r="L4131" s="8"/>
      <c r="M4131" s="8"/>
      <c r="N4131" s="8"/>
      <c r="O4131" s="8"/>
      <c r="P4131" s="8"/>
      <c r="Q4131" s="8"/>
      <c r="R4131" s="8"/>
      <c r="S4131" s="8"/>
      <c r="T4131" s="8"/>
      <c r="U4131" s="8"/>
      <c r="V4131" s="8"/>
      <c r="W4131" s="8"/>
      <c r="X4131" s="771"/>
      <c r="Y4131" s="771"/>
      <c r="Z4131" s="771"/>
      <c r="AA4131" s="771"/>
      <c r="AB4131" s="771"/>
      <c r="AC4131" s="771"/>
      <c r="AD4131" s="771"/>
      <c r="AE4131" s="771"/>
      <c r="AF4131" s="771"/>
      <c r="AG4131" s="771"/>
      <c r="AH4131" s="771"/>
      <c r="AI4131" s="771"/>
      <c r="AJ4131" s="771"/>
      <c r="AK4131" s="771"/>
      <c r="AL4131" s="771"/>
      <c r="AM4131" s="771"/>
      <c r="AN4131" s="771"/>
      <c r="AO4131" s="771"/>
      <c r="AP4131" s="771"/>
      <c r="AQ4131" s="771"/>
      <c r="AR4131" s="771"/>
      <c r="AS4131" s="771"/>
      <c r="AT4131" s="771"/>
      <c r="AU4131" s="771"/>
    </row>
    <row r="4132" spans="1:47" s="15" customFormat="1" x14ac:dyDescent="0.2">
      <c r="A4132" s="771"/>
      <c r="B4132" s="771"/>
      <c r="C4132" s="782"/>
      <c r="D4132" s="782"/>
      <c r="E4132" s="799"/>
      <c r="F4132" s="801"/>
      <c r="G4132" s="771"/>
      <c r="H4132" s="8"/>
      <c r="I4132" s="8"/>
      <c r="J4132" s="8"/>
      <c r="K4132" s="8"/>
      <c r="L4132" s="8"/>
      <c r="M4132" s="8"/>
      <c r="N4132" s="8"/>
      <c r="O4132" s="8"/>
      <c r="P4132" s="8"/>
      <c r="Q4132" s="8"/>
      <c r="R4132" s="8"/>
      <c r="S4132" s="8"/>
      <c r="T4132" s="8"/>
      <c r="U4132" s="8"/>
      <c r="V4132" s="8"/>
      <c r="W4132" s="8"/>
      <c r="X4132" s="771"/>
      <c r="Y4132" s="771"/>
      <c r="Z4132" s="771"/>
      <c r="AA4132" s="771"/>
      <c r="AB4132" s="771"/>
      <c r="AC4132" s="771"/>
      <c r="AD4132" s="771"/>
      <c r="AE4132" s="771"/>
      <c r="AF4132" s="771"/>
      <c r="AG4132" s="771"/>
      <c r="AH4132" s="771"/>
      <c r="AI4132" s="771"/>
      <c r="AJ4132" s="771"/>
      <c r="AK4132" s="771"/>
      <c r="AL4132" s="771"/>
      <c r="AM4132" s="771"/>
      <c r="AN4132" s="771"/>
      <c r="AO4132" s="771"/>
      <c r="AP4132" s="771"/>
      <c r="AQ4132" s="771"/>
      <c r="AR4132" s="771"/>
      <c r="AS4132" s="771"/>
      <c r="AT4132" s="771"/>
      <c r="AU4132" s="771"/>
    </row>
    <row r="4133" spans="1:47" s="15" customFormat="1" x14ac:dyDescent="0.2">
      <c r="A4133" s="771"/>
      <c r="B4133" s="771"/>
      <c r="C4133" s="782"/>
      <c r="D4133" s="782"/>
      <c r="E4133" s="799"/>
      <c r="F4133" s="801"/>
      <c r="G4133" s="771"/>
      <c r="H4133" s="8"/>
      <c r="I4133" s="8"/>
      <c r="J4133" s="8"/>
      <c r="K4133" s="8"/>
      <c r="L4133" s="8"/>
      <c r="M4133" s="8"/>
      <c r="N4133" s="8"/>
      <c r="O4133" s="8"/>
      <c r="P4133" s="8"/>
      <c r="Q4133" s="8"/>
      <c r="R4133" s="8"/>
      <c r="S4133" s="8"/>
      <c r="T4133" s="8"/>
      <c r="U4133" s="8"/>
      <c r="V4133" s="8"/>
      <c r="W4133" s="8"/>
      <c r="X4133" s="771"/>
      <c r="Y4133" s="771"/>
      <c r="Z4133" s="771"/>
      <c r="AA4133" s="771"/>
      <c r="AB4133" s="771"/>
      <c r="AC4133" s="771"/>
      <c r="AD4133" s="771"/>
      <c r="AE4133" s="771"/>
      <c r="AF4133" s="771"/>
      <c r="AG4133" s="771"/>
      <c r="AH4133" s="771"/>
      <c r="AI4133" s="771"/>
      <c r="AJ4133" s="771"/>
      <c r="AK4133" s="771"/>
      <c r="AL4133" s="771"/>
      <c r="AM4133" s="771"/>
      <c r="AN4133" s="771"/>
      <c r="AO4133" s="771"/>
      <c r="AP4133" s="771"/>
      <c r="AQ4133" s="771"/>
      <c r="AR4133" s="771"/>
      <c r="AS4133" s="771"/>
      <c r="AT4133" s="771"/>
      <c r="AU4133" s="771"/>
    </row>
    <row r="4134" spans="1:47" s="15" customFormat="1" x14ac:dyDescent="0.2">
      <c r="A4134" s="771"/>
      <c r="B4134" s="771"/>
      <c r="C4134" s="782"/>
      <c r="D4134" s="782"/>
      <c r="E4134" s="799"/>
      <c r="F4134" s="801"/>
      <c r="G4134" s="771"/>
      <c r="H4134" s="8"/>
      <c r="I4134" s="8"/>
      <c r="J4134" s="8"/>
      <c r="K4134" s="8"/>
      <c r="L4134" s="8"/>
      <c r="M4134" s="8"/>
      <c r="N4134" s="8"/>
      <c r="O4134" s="8"/>
      <c r="P4134" s="8"/>
      <c r="Q4134" s="8"/>
      <c r="R4134" s="8"/>
      <c r="S4134" s="8"/>
      <c r="T4134" s="8"/>
      <c r="U4134" s="8"/>
      <c r="V4134" s="8"/>
      <c r="W4134" s="8"/>
      <c r="X4134" s="771"/>
      <c r="Y4134" s="771"/>
      <c r="Z4134" s="771"/>
      <c r="AA4134" s="771"/>
      <c r="AB4134" s="771"/>
      <c r="AC4134" s="771"/>
      <c r="AD4134" s="771"/>
      <c r="AE4134" s="771"/>
      <c r="AF4134" s="771"/>
      <c r="AG4134" s="771"/>
      <c r="AH4134" s="771"/>
      <c r="AI4134" s="771"/>
      <c r="AJ4134" s="771"/>
      <c r="AK4134" s="771"/>
      <c r="AL4134" s="771"/>
      <c r="AM4134" s="771"/>
      <c r="AN4134" s="771"/>
      <c r="AO4134" s="771"/>
      <c r="AP4134" s="771"/>
      <c r="AQ4134" s="771"/>
      <c r="AR4134" s="771"/>
      <c r="AS4134" s="771"/>
      <c r="AT4134" s="771"/>
      <c r="AU4134" s="771"/>
    </row>
    <row r="4135" spans="1:47" s="15" customFormat="1" x14ac:dyDescent="0.2">
      <c r="A4135" s="771"/>
      <c r="B4135" s="771"/>
      <c r="C4135" s="782"/>
      <c r="D4135" s="782"/>
      <c r="E4135" s="799"/>
      <c r="F4135" s="801"/>
      <c r="G4135" s="771"/>
      <c r="H4135" s="8"/>
      <c r="I4135" s="8"/>
      <c r="J4135" s="8"/>
      <c r="K4135" s="8"/>
      <c r="L4135" s="8"/>
      <c r="M4135" s="8"/>
      <c r="N4135" s="8"/>
      <c r="O4135" s="8"/>
      <c r="P4135" s="8"/>
      <c r="Q4135" s="8"/>
      <c r="R4135" s="8"/>
      <c r="S4135" s="8"/>
      <c r="T4135" s="8"/>
      <c r="U4135" s="8"/>
      <c r="V4135" s="8"/>
      <c r="W4135" s="8"/>
      <c r="X4135" s="771"/>
      <c r="Y4135" s="771"/>
      <c r="Z4135" s="771"/>
      <c r="AA4135" s="771"/>
      <c r="AB4135" s="771"/>
      <c r="AC4135" s="771"/>
      <c r="AD4135" s="771"/>
      <c r="AE4135" s="771"/>
      <c r="AF4135" s="771"/>
      <c r="AG4135" s="771"/>
      <c r="AH4135" s="771"/>
      <c r="AI4135" s="771"/>
      <c r="AJ4135" s="771"/>
      <c r="AK4135" s="771"/>
      <c r="AL4135" s="771"/>
      <c r="AM4135" s="771"/>
      <c r="AN4135" s="771"/>
      <c r="AO4135" s="771"/>
      <c r="AP4135" s="771"/>
      <c r="AQ4135" s="771"/>
      <c r="AR4135" s="771"/>
      <c r="AS4135" s="771"/>
      <c r="AT4135" s="771"/>
      <c r="AU4135" s="771"/>
    </row>
    <row r="4136" spans="1:47" s="15" customFormat="1" x14ac:dyDescent="0.2">
      <c r="A4136" s="771"/>
      <c r="B4136" s="771"/>
      <c r="C4136" s="782"/>
      <c r="D4136" s="782"/>
      <c r="E4136" s="799"/>
      <c r="F4136" s="801"/>
      <c r="G4136" s="771"/>
      <c r="H4136" s="8"/>
      <c r="I4136" s="8"/>
      <c r="J4136" s="8"/>
      <c r="K4136" s="8"/>
      <c r="L4136" s="8"/>
      <c r="M4136" s="8"/>
      <c r="N4136" s="8"/>
      <c r="O4136" s="8"/>
      <c r="P4136" s="8"/>
      <c r="Q4136" s="8"/>
      <c r="R4136" s="8"/>
      <c r="S4136" s="8"/>
      <c r="T4136" s="8"/>
      <c r="U4136" s="8"/>
      <c r="V4136" s="8"/>
      <c r="W4136" s="8"/>
      <c r="X4136" s="771"/>
      <c r="Y4136" s="771"/>
      <c r="Z4136" s="771"/>
      <c r="AA4136" s="771"/>
      <c r="AB4136" s="771"/>
      <c r="AC4136" s="771"/>
      <c r="AD4136" s="771"/>
      <c r="AE4136" s="771"/>
      <c r="AF4136" s="771"/>
      <c r="AG4136" s="771"/>
      <c r="AH4136" s="771"/>
      <c r="AI4136" s="771"/>
      <c r="AJ4136" s="771"/>
      <c r="AK4136" s="771"/>
      <c r="AL4136" s="771"/>
      <c r="AM4136" s="771"/>
      <c r="AN4136" s="771"/>
      <c r="AO4136" s="771"/>
      <c r="AP4136" s="771"/>
      <c r="AQ4136" s="771"/>
      <c r="AR4136" s="771"/>
      <c r="AS4136" s="771"/>
      <c r="AT4136" s="771"/>
      <c r="AU4136" s="771"/>
    </row>
    <row r="4137" spans="1:47" s="15" customFormat="1" x14ac:dyDescent="0.2">
      <c r="A4137" s="771"/>
      <c r="B4137" s="771"/>
      <c r="C4137" s="782"/>
      <c r="D4137" s="782"/>
      <c r="E4137" s="799"/>
      <c r="F4137" s="801"/>
      <c r="G4137" s="771"/>
      <c r="H4137" s="8"/>
      <c r="I4137" s="8"/>
      <c r="J4137" s="8"/>
      <c r="K4137" s="8"/>
      <c r="L4137" s="8"/>
      <c r="M4137" s="8"/>
      <c r="N4137" s="8"/>
      <c r="O4137" s="8"/>
      <c r="P4137" s="8"/>
      <c r="Q4137" s="8"/>
      <c r="R4137" s="8"/>
      <c r="S4137" s="8"/>
      <c r="T4137" s="8"/>
      <c r="U4137" s="8"/>
      <c r="V4137" s="8"/>
      <c r="W4137" s="8"/>
      <c r="X4137" s="771"/>
      <c r="Y4137" s="771"/>
      <c r="Z4137" s="771"/>
      <c r="AA4137" s="771"/>
      <c r="AB4137" s="771"/>
      <c r="AC4137" s="771"/>
      <c r="AD4137" s="771"/>
      <c r="AE4137" s="771"/>
      <c r="AF4137" s="771"/>
      <c r="AG4137" s="771"/>
      <c r="AH4137" s="771"/>
      <c r="AI4137" s="771"/>
      <c r="AJ4137" s="771"/>
      <c r="AK4137" s="771"/>
      <c r="AL4137" s="771"/>
      <c r="AM4137" s="771"/>
      <c r="AN4137" s="771"/>
      <c r="AO4137" s="771"/>
      <c r="AP4137" s="771"/>
      <c r="AQ4137" s="771"/>
      <c r="AR4137" s="771"/>
      <c r="AS4137" s="771"/>
      <c r="AT4137" s="771"/>
      <c r="AU4137" s="771"/>
    </row>
    <row r="4138" spans="1:47" s="15" customFormat="1" x14ac:dyDescent="0.2">
      <c r="A4138" s="771"/>
      <c r="B4138" s="771"/>
      <c r="C4138" s="782"/>
      <c r="D4138" s="782"/>
      <c r="E4138" s="799"/>
      <c r="F4138" s="801"/>
      <c r="G4138" s="771"/>
      <c r="H4138" s="8"/>
      <c r="I4138" s="8"/>
      <c r="J4138" s="8"/>
      <c r="K4138" s="8"/>
      <c r="L4138" s="8"/>
      <c r="M4138" s="8"/>
      <c r="N4138" s="8"/>
      <c r="O4138" s="8"/>
      <c r="P4138" s="8"/>
      <c r="Q4138" s="8"/>
      <c r="R4138" s="8"/>
      <c r="S4138" s="8"/>
      <c r="T4138" s="8"/>
      <c r="U4138" s="8"/>
      <c r="V4138" s="8"/>
      <c r="W4138" s="8"/>
      <c r="X4138" s="771"/>
      <c r="Y4138" s="771"/>
      <c r="Z4138" s="771"/>
      <c r="AA4138" s="771"/>
      <c r="AB4138" s="771"/>
      <c r="AC4138" s="771"/>
      <c r="AD4138" s="771"/>
      <c r="AE4138" s="771"/>
      <c r="AF4138" s="771"/>
      <c r="AG4138" s="771"/>
      <c r="AH4138" s="771"/>
      <c r="AI4138" s="771"/>
      <c r="AJ4138" s="771"/>
      <c r="AK4138" s="771"/>
      <c r="AL4138" s="771"/>
      <c r="AM4138" s="771"/>
      <c r="AN4138" s="771"/>
      <c r="AO4138" s="771"/>
      <c r="AP4138" s="771"/>
      <c r="AQ4138" s="771"/>
      <c r="AR4138" s="771"/>
      <c r="AS4138" s="771"/>
      <c r="AT4138" s="771"/>
      <c r="AU4138" s="771"/>
    </row>
    <row r="4139" spans="1:47" s="15" customFormat="1" x14ac:dyDescent="0.2">
      <c r="A4139" s="771"/>
      <c r="B4139" s="771"/>
      <c r="C4139" s="782"/>
      <c r="D4139" s="782"/>
      <c r="E4139" s="799"/>
      <c r="F4139" s="801"/>
      <c r="G4139" s="771"/>
      <c r="H4139" s="8"/>
      <c r="I4139" s="8"/>
      <c r="J4139" s="8"/>
      <c r="K4139" s="8"/>
      <c r="L4139" s="8"/>
      <c r="M4139" s="8"/>
      <c r="N4139" s="8"/>
      <c r="O4139" s="8"/>
      <c r="P4139" s="8"/>
      <c r="Q4139" s="8"/>
      <c r="R4139" s="8"/>
      <c r="S4139" s="8"/>
      <c r="T4139" s="8"/>
      <c r="U4139" s="8"/>
      <c r="V4139" s="8"/>
      <c r="W4139" s="8"/>
      <c r="X4139" s="771"/>
      <c r="Y4139" s="771"/>
      <c r="Z4139" s="771"/>
      <c r="AA4139" s="771"/>
      <c r="AB4139" s="771"/>
      <c r="AC4139" s="771"/>
      <c r="AD4139" s="771"/>
      <c r="AE4139" s="771"/>
      <c r="AF4139" s="771"/>
      <c r="AG4139" s="771"/>
      <c r="AH4139" s="771"/>
      <c r="AI4139" s="771"/>
      <c r="AJ4139" s="771"/>
      <c r="AK4139" s="771"/>
      <c r="AL4139" s="771"/>
      <c r="AM4139" s="771"/>
      <c r="AN4139" s="771"/>
      <c r="AO4139" s="771"/>
      <c r="AP4139" s="771"/>
      <c r="AQ4139" s="771"/>
      <c r="AR4139" s="771"/>
      <c r="AS4139" s="771"/>
      <c r="AT4139" s="771"/>
      <c r="AU4139" s="771"/>
    </row>
    <row r="4140" spans="1:47" s="15" customFormat="1" x14ac:dyDescent="0.2">
      <c r="A4140" s="771"/>
      <c r="B4140" s="771"/>
      <c r="C4140" s="782"/>
      <c r="D4140" s="782"/>
      <c r="E4140" s="799"/>
      <c r="F4140" s="801"/>
      <c r="G4140" s="771"/>
      <c r="H4140" s="8"/>
      <c r="I4140" s="8"/>
      <c r="J4140" s="8"/>
      <c r="K4140" s="8"/>
      <c r="L4140" s="8"/>
      <c r="M4140" s="8"/>
      <c r="N4140" s="8"/>
      <c r="O4140" s="8"/>
      <c r="P4140" s="8"/>
      <c r="Q4140" s="8"/>
      <c r="R4140" s="8"/>
      <c r="S4140" s="8"/>
      <c r="T4140" s="8"/>
      <c r="U4140" s="8"/>
      <c r="V4140" s="8"/>
      <c r="W4140" s="8"/>
      <c r="X4140" s="771"/>
      <c r="Y4140" s="771"/>
      <c r="Z4140" s="771"/>
      <c r="AA4140" s="771"/>
      <c r="AB4140" s="771"/>
      <c r="AC4140" s="771"/>
      <c r="AD4140" s="771"/>
      <c r="AE4140" s="771"/>
      <c r="AF4140" s="771"/>
      <c r="AG4140" s="771"/>
      <c r="AH4140" s="771"/>
      <c r="AI4140" s="771"/>
      <c r="AJ4140" s="771"/>
      <c r="AK4140" s="771"/>
      <c r="AL4140" s="771"/>
      <c r="AM4140" s="771"/>
      <c r="AN4140" s="771"/>
      <c r="AO4140" s="771"/>
      <c r="AP4140" s="771"/>
      <c r="AQ4140" s="771"/>
      <c r="AR4140" s="771"/>
      <c r="AS4140" s="771"/>
      <c r="AT4140" s="771"/>
      <c r="AU4140" s="771"/>
    </row>
    <row r="4141" spans="1:47" s="15" customFormat="1" x14ac:dyDescent="0.2">
      <c r="A4141" s="771"/>
      <c r="B4141" s="771"/>
      <c r="C4141" s="782"/>
      <c r="D4141" s="782"/>
      <c r="E4141" s="799"/>
      <c r="F4141" s="801"/>
      <c r="G4141" s="771"/>
      <c r="H4141" s="8"/>
      <c r="I4141" s="8"/>
      <c r="J4141" s="8"/>
      <c r="K4141" s="8"/>
      <c r="L4141" s="8"/>
      <c r="M4141" s="8"/>
      <c r="N4141" s="8"/>
      <c r="O4141" s="8"/>
      <c r="P4141" s="8"/>
      <c r="Q4141" s="8"/>
      <c r="R4141" s="8"/>
      <c r="S4141" s="8"/>
      <c r="T4141" s="8"/>
      <c r="U4141" s="8"/>
      <c r="V4141" s="8"/>
      <c r="W4141" s="8"/>
      <c r="X4141" s="771"/>
      <c r="Y4141" s="771"/>
      <c r="Z4141" s="771"/>
      <c r="AA4141" s="771"/>
      <c r="AB4141" s="771"/>
      <c r="AC4141" s="771"/>
      <c r="AD4141" s="771"/>
      <c r="AE4141" s="771"/>
      <c r="AF4141" s="771"/>
      <c r="AG4141" s="771"/>
      <c r="AH4141" s="771"/>
      <c r="AI4141" s="771"/>
      <c r="AJ4141" s="771"/>
      <c r="AK4141" s="771"/>
      <c r="AL4141" s="771"/>
      <c r="AM4141" s="771"/>
      <c r="AN4141" s="771"/>
      <c r="AO4141" s="771"/>
      <c r="AP4141" s="771"/>
      <c r="AQ4141" s="771"/>
      <c r="AR4141" s="771"/>
      <c r="AS4141" s="771"/>
      <c r="AT4141" s="771"/>
      <c r="AU4141" s="771"/>
    </row>
    <row r="4142" spans="1:47" s="15" customFormat="1" x14ac:dyDescent="0.2">
      <c r="A4142" s="771"/>
      <c r="B4142" s="771"/>
      <c r="C4142" s="782"/>
      <c r="D4142" s="782"/>
      <c r="E4142" s="799"/>
      <c r="F4142" s="801"/>
      <c r="G4142" s="771"/>
      <c r="H4142" s="8"/>
      <c r="I4142" s="8"/>
      <c r="J4142" s="8"/>
      <c r="K4142" s="8"/>
      <c r="L4142" s="8"/>
      <c r="M4142" s="8"/>
      <c r="N4142" s="8"/>
      <c r="O4142" s="8"/>
      <c r="P4142" s="8"/>
      <c r="Q4142" s="8"/>
      <c r="R4142" s="8"/>
      <c r="S4142" s="8"/>
      <c r="T4142" s="8"/>
      <c r="U4142" s="8"/>
      <c r="V4142" s="8"/>
      <c r="W4142" s="8"/>
      <c r="X4142" s="771"/>
      <c r="Y4142" s="771"/>
      <c r="Z4142" s="771"/>
      <c r="AA4142" s="771"/>
      <c r="AB4142" s="771"/>
      <c r="AC4142" s="771"/>
      <c r="AD4142" s="771"/>
      <c r="AE4142" s="771"/>
      <c r="AF4142" s="771"/>
      <c r="AG4142" s="771"/>
      <c r="AH4142" s="771"/>
      <c r="AI4142" s="771"/>
      <c r="AJ4142" s="771"/>
      <c r="AK4142" s="771"/>
      <c r="AL4142" s="771"/>
      <c r="AM4142" s="771"/>
      <c r="AN4142" s="771"/>
      <c r="AO4142" s="771"/>
      <c r="AP4142" s="771"/>
      <c r="AQ4142" s="771"/>
      <c r="AR4142" s="771"/>
      <c r="AS4142" s="771"/>
      <c r="AT4142" s="771"/>
      <c r="AU4142" s="771"/>
    </row>
    <row r="4143" spans="1:47" s="15" customFormat="1" x14ac:dyDescent="0.2">
      <c r="A4143" s="771"/>
      <c r="B4143" s="771"/>
      <c r="C4143" s="782"/>
      <c r="D4143" s="782"/>
      <c r="E4143" s="799"/>
      <c r="F4143" s="801"/>
      <c r="G4143" s="771"/>
      <c r="H4143" s="8"/>
      <c r="I4143" s="8"/>
      <c r="J4143" s="8"/>
      <c r="K4143" s="8"/>
      <c r="L4143" s="8"/>
      <c r="M4143" s="8"/>
      <c r="N4143" s="8"/>
      <c r="O4143" s="8"/>
      <c r="P4143" s="8"/>
      <c r="Q4143" s="8"/>
      <c r="R4143" s="8"/>
      <c r="S4143" s="8"/>
      <c r="T4143" s="8"/>
      <c r="U4143" s="8"/>
      <c r="V4143" s="8"/>
      <c r="W4143" s="8"/>
      <c r="X4143" s="771"/>
      <c r="Y4143" s="771"/>
      <c r="Z4143" s="771"/>
      <c r="AA4143" s="771"/>
      <c r="AB4143" s="771"/>
      <c r="AC4143" s="771"/>
      <c r="AD4143" s="771"/>
      <c r="AE4143" s="771"/>
      <c r="AF4143" s="771"/>
      <c r="AG4143" s="771"/>
      <c r="AH4143" s="771"/>
      <c r="AI4143" s="771"/>
      <c r="AJ4143" s="771"/>
      <c r="AK4143" s="771"/>
      <c r="AL4143" s="771"/>
      <c r="AM4143" s="771"/>
      <c r="AN4143" s="771"/>
      <c r="AO4143" s="771"/>
      <c r="AP4143" s="771"/>
      <c r="AQ4143" s="771"/>
      <c r="AR4143" s="771"/>
      <c r="AS4143" s="771"/>
      <c r="AT4143" s="771"/>
      <c r="AU4143" s="771"/>
    </row>
    <row r="4144" spans="1:47" s="15" customFormat="1" x14ac:dyDescent="0.2">
      <c r="A4144" s="771"/>
      <c r="B4144" s="771"/>
      <c r="C4144" s="782"/>
      <c r="D4144" s="782"/>
      <c r="E4144" s="799"/>
      <c r="F4144" s="801"/>
      <c r="G4144" s="771"/>
      <c r="H4144" s="8"/>
      <c r="I4144" s="8"/>
      <c r="J4144" s="8"/>
      <c r="K4144" s="8"/>
      <c r="L4144" s="8"/>
      <c r="M4144" s="8"/>
      <c r="N4144" s="8"/>
      <c r="O4144" s="8"/>
      <c r="P4144" s="8"/>
      <c r="Q4144" s="8"/>
      <c r="R4144" s="8"/>
      <c r="S4144" s="8"/>
      <c r="T4144" s="8"/>
      <c r="U4144" s="8"/>
      <c r="V4144" s="8"/>
      <c r="W4144" s="8"/>
      <c r="X4144" s="771"/>
      <c r="Y4144" s="771"/>
      <c r="Z4144" s="771"/>
      <c r="AA4144" s="771"/>
      <c r="AB4144" s="771"/>
      <c r="AC4144" s="771"/>
      <c r="AD4144" s="771"/>
      <c r="AE4144" s="771"/>
      <c r="AF4144" s="771"/>
      <c r="AG4144" s="771"/>
      <c r="AH4144" s="771"/>
      <c r="AI4144" s="771"/>
      <c r="AJ4144" s="771"/>
      <c r="AK4144" s="771"/>
      <c r="AL4144" s="771"/>
      <c r="AM4144" s="771"/>
      <c r="AN4144" s="771"/>
      <c r="AO4144" s="771"/>
      <c r="AP4144" s="771"/>
      <c r="AQ4144" s="771"/>
      <c r="AR4144" s="771"/>
      <c r="AS4144" s="771"/>
      <c r="AT4144" s="771"/>
      <c r="AU4144" s="771"/>
    </row>
    <row r="4145" spans="1:47" s="15" customFormat="1" x14ac:dyDescent="0.2">
      <c r="A4145" s="771"/>
      <c r="B4145" s="771"/>
      <c r="C4145" s="782"/>
      <c r="D4145" s="782"/>
      <c r="E4145" s="799"/>
      <c r="F4145" s="801"/>
      <c r="G4145" s="771"/>
      <c r="H4145" s="8"/>
      <c r="I4145" s="8"/>
      <c r="J4145" s="8"/>
      <c r="K4145" s="8"/>
      <c r="L4145" s="8"/>
      <c r="M4145" s="8"/>
      <c r="N4145" s="8"/>
      <c r="O4145" s="8"/>
      <c r="P4145" s="8"/>
      <c r="Q4145" s="8"/>
      <c r="R4145" s="8"/>
      <c r="S4145" s="8"/>
      <c r="T4145" s="8"/>
      <c r="U4145" s="8"/>
      <c r="V4145" s="8"/>
      <c r="W4145" s="8"/>
      <c r="X4145" s="771"/>
      <c r="Y4145" s="771"/>
      <c r="Z4145" s="771"/>
      <c r="AA4145" s="771"/>
      <c r="AB4145" s="771"/>
      <c r="AC4145" s="771"/>
      <c r="AD4145" s="771"/>
      <c r="AE4145" s="771"/>
      <c r="AF4145" s="771"/>
      <c r="AG4145" s="771"/>
      <c r="AH4145" s="771"/>
      <c r="AI4145" s="771"/>
      <c r="AJ4145" s="771"/>
      <c r="AK4145" s="771"/>
      <c r="AL4145" s="771"/>
      <c r="AM4145" s="771"/>
      <c r="AN4145" s="771"/>
      <c r="AO4145" s="771"/>
      <c r="AP4145" s="771"/>
      <c r="AQ4145" s="771"/>
      <c r="AR4145" s="771"/>
      <c r="AS4145" s="771"/>
      <c r="AT4145" s="771"/>
      <c r="AU4145" s="771"/>
    </row>
    <row r="4146" spans="1:47" s="15" customFormat="1" x14ac:dyDescent="0.2">
      <c r="A4146" s="771"/>
      <c r="B4146" s="771"/>
      <c r="C4146" s="782"/>
      <c r="D4146" s="782"/>
      <c r="E4146" s="799"/>
      <c r="F4146" s="801"/>
      <c r="G4146" s="771"/>
      <c r="H4146" s="8"/>
      <c r="I4146" s="8"/>
      <c r="J4146" s="8"/>
      <c r="K4146" s="8"/>
      <c r="L4146" s="8"/>
      <c r="M4146" s="8"/>
      <c r="N4146" s="8"/>
      <c r="O4146" s="8"/>
      <c r="P4146" s="8"/>
      <c r="Q4146" s="8"/>
      <c r="R4146" s="8"/>
      <c r="S4146" s="8"/>
      <c r="T4146" s="8"/>
      <c r="U4146" s="8"/>
      <c r="V4146" s="8"/>
      <c r="W4146" s="8"/>
      <c r="X4146" s="771"/>
      <c r="Y4146" s="771"/>
      <c r="Z4146" s="771"/>
      <c r="AA4146" s="771"/>
      <c r="AB4146" s="771"/>
      <c r="AC4146" s="771"/>
      <c r="AD4146" s="771"/>
      <c r="AE4146" s="771"/>
      <c r="AF4146" s="771"/>
      <c r="AG4146" s="771"/>
      <c r="AH4146" s="771"/>
      <c r="AI4146" s="771"/>
      <c r="AJ4146" s="771"/>
      <c r="AK4146" s="771"/>
      <c r="AL4146" s="771"/>
      <c r="AM4146" s="771"/>
      <c r="AN4146" s="771"/>
      <c r="AO4146" s="771"/>
      <c r="AP4146" s="771"/>
      <c r="AQ4146" s="771"/>
      <c r="AR4146" s="771"/>
      <c r="AS4146" s="771"/>
      <c r="AT4146" s="771"/>
      <c r="AU4146" s="771"/>
    </row>
    <row r="4147" spans="1:47" s="15" customFormat="1" x14ac:dyDescent="0.2">
      <c r="A4147" s="771"/>
      <c r="B4147" s="771"/>
      <c r="C4147" s="782"/>
      <c r="D4147" s="782"/>
      <c r="E4147" s="799"/>
      <c r="F4147" s="801"/>
      <c r="G4147" s="771"/>
      <c r="H4147" s="8"/>
      <c r="I4147" s="8"/>
      <c r="J4147" s="8"/>
      <c r="K4147" s="8"/>
      <c r="L4147" s="8"/>
      <c r="M4147" s="8"/>
      <c r="N4147" s="8"/>
      <c r="O4147" s="8"/>
      <c r="P4147" s="8"/>
      <c r="Q4147" s="8"/>
      <c r="R4147" s="8"/>
      <c r="S4147" s="8"/>
      <c r="T4147" s="8"/>
      <c r="U4147" s="8"/>
      <c r="V4147" s="8"/>
      <c r="W4147" s="8"/>
      <c r="X4147" s="771"/>
      <c r="Y4147" s="771"/>
      <c r="Z4147" s="771"/>
      <c r="AA4147" s="771"/>
      <c r="AB4147" s="771"/>
      <c r="AC4147" s="771"/>
      <c r="AD4147" s="771"/>
      <c r="AE4147" s="771"/>
      <c r="AF4147" s="771"/>
      <c r="AG4147" s="771"/>
      <c r="AH4147" s="771"/>
      <c r="AI4147" s="771"/>
      <c r="AJ4147" s="771"/>
      <c r="AK4147" s="771"/>
      <c r="AL4147" s="771"/>
      <c r="AM4147" s="771"/>
      <c r="AN4147" s="771"/>
      <c r="AO4147" s="771"/>
      <c r="AP4147" s="771"/>
      <c r="AQ4147" s="771"/>
      <c r="AR4147" s="771"/>
      <c r="AS4147" s="771"/>
      <c r="AT4147" s="771"/>
      <c r="AU4147" s="771"/>
    </row>
    <row r="4148" spans="1:47" s="15" customFormat="1" x14ac:dyDescent="0.2">
      <c r="A4148" s="771"/>
      <c r="B4148" s="771"/>
      <c r="C4148" s="782"/>
      <c r="D4148" s="782"/>
      <c r="E4148" s="799"/>
      <c r="F4148" s="801"/>
      <c r="G4148" s="771"/>
      <c r="H4148" s="8"/>
      <c r="I4148" s="8"/>
      <c r="J4148" s="8"/>
      <c r="K4148" s="8"/>
      <c r="L4148" s="8"/>
      <c r="M4148" s="8"/>
      <c r="N4148" s="8"/>
      <c r="O4148" s="8"/>
      <c r="P4148" s="8"/>
      <c r="Q4148" s="8"/>
      <c r="R4148" s="8"/>
      <c r="S4148" s="8"/>
      <c r="T4148" s="8"/>
      <c r="U4148" s="8"/>
      <c r="V4148" s="8"/>
      <c r="W4148" s="8"/>
      <c r="X4148" s="771"/>
      <c r="Y4148" s="771"/>
      <c r="Z4148" s="771"/>
      <c r="AA4148" s="771"/>
      <c r="AB4148" s="771"/>
      <c r="AC4148" s="771"/>
      <c r="AD4148" s="771"/>
      <c r="AE4148" s="771"/>
      <c r="AF4148" s="771"/>
      <c r="AG4148" s="771"/>
      <c r="AH4148" s="771"/>
      <c r="AI4148" s="771"/>
      <c r="AJ4148" s="771"/>
      <c r="AK4148" s="771"/>
      <c r="AL4148" s="771"/>
      <c r="AM4148" s="771"/>
      <c r="AN4148" s="771"/>
      <c r="AO4148" s="771"/>
      <c r="AP4148" s="771"/>
      <c r="AQ4148" s="771"/>
      <c r="AR4148" s="771"/>
      <c r="AS4148" s="771"/>
      <c r="AT4148" s="771"/>
      <c r="AU4148" s="771"/>
    </row>
    <row r="4149" spans="1:47" s="15" customFormat="1" x14ac:dyDescent="0.2">
      <c r="A4149" s="771"/>
      <c r="B4149" s="771"/>
      <c r="C4149" s="782"/>
      <c r="D4149" s="782"/>
      <c r="E4149" s="799"/>
      <c r="F4149" s="801"/>
      <c r="G4149" s="771"/>
      <c r="H4149" s="8"/>
      <c r="I4149" s="8"/>
      <c r="J4149" s="8"/>
      <c r="K4149" s="8"/>
      <c r="L4149" s="8"/>
      <c r="M4149" s="8"/>
      <c r="N4149" s="8"/>
      <c r="O4149" s="8"/>
      <c r="P4149" s="8"/>
      <c r="Q4149" s="8"/>
      <c r="R4149" s="8"/>
      <c r="S4149" s="8"/>
      <c r="T4149" s="8"/>
      <c r="U4149" s="8"/>
      <c r="V4149" s="8"/>
      <c r="W4149" s="8"/>
      <c r="X4149" s="771"/>
      <c r="Y4149" s="771"/>
      <c r="Z4149" s="771"/>
      <c r="AA4149" s="771"/>
      <c r="AB4149" s="771"/>
      <c r="AC4149" s="771"/>
      <c r="AD4149" s="771"/>
      <c r="AE4149" s="771"/>
      <c r="AF4149" s="771"/>
      <c r="AG4149" s="771"/>
      <c r="AH4149" s="771"/>
      <c r="AI4149" s="771"/>
      <c r="AJ4149" s="771"/>
      <c r="AK4149" s="771"/>
      <c r="AL4149" s="771"/>
      <c r="AM4149" s="771"/>
      <c r="AN4149" s="771"/>
      <c r="AO4149" s="771"/>
      <c r="AP4149" s="771"/>
      <c r="AQ4149" s="771"/>
      <c r="AR4149" s="771"/>
      <c r="AS4149" s="771"/>
      <c r="AT4149" s="771"/>
      <c r="AU4149" s="771"/>
    </row>
    <row r="4150" spans="1:47" s="15" customFormat="1" x14ac:dyDescent="0.2">
      <c r="A4150" s="771"/>
      <c r="B4150" s="771"/>
      <c r="C4150" s="782"/>
      <c r="D4150" s="782"/>
      <c r="E4150" s="799"/>
      <c r="F4150" s="801"/>
      <c r="G4150" s="771"/>
      <c r="H4150" s="8"/>
      <c r="I4150" s="8"/>
      <c r="J4150" s="8"/>
      <c r="K4150" s="8"/>
      <c r="L4150" s="8"/>
      <c r="M4150" s="8"/>
      <c r="N4150" s="8"/>
      <c r="O4150" s="8"/>
      <c r="P4150" s="8"/>
      <c r="Q4150" s="8"/>
      <c r="R4150" s="8"/>
      <c r="S4150" s="8"/>
      <c r="T4150" s="8"/>
      <c r="U4150" s="8"/>
      <c r="V4150" s="8"/>
      <c r="W4150" s="8"/>
      <c r="X4150" s="771"/>
      <c r="Y4150" s="771"/>
      <c r="Z4150" s="771"/>
      <c r="AA4150" s="771"/>
      <c r="AB4150" s="771"/>
      <c r="AC4150" s="771"/>
      <c r="AD4150" s="771"/>
      <c r="AE4150" s="771"/>
      <c r="AF4150" s="771"/>
      <c r="AG4150" s="771"/>
      <c r="AH4150" s="771"/>
      <c r="AI4150" s="771"/>
      <c r="AJ4150" s="771"/>
      <c r="AK4150" s="771"/>
      <c r="AL4150" s="771"/>
      <c r="AM4150" s="771"/>
      <c r="AN4150" s="771"/>
      <c r="AO4150" s="771"/>
      <c r="AP4150" s="771"/>
      <c r="AQ4150" s="771"/>
      <c r="AR4150" s="771"/>
      <c r="AS4150" s="771"/>
      <c r="AT4150" s="771"/>
      <c r="AU4150" s="771"/>
    </row>
    <row r="4151" spans="1:47" s="15" customFormat="1" x14ac:dyDescent="0.2">
      <c r="A4151" s="771"/>
      <c r="B4151" s="771"/>
      <c r="C4151" s="782"/>
      <c r="D4151" s="782"/>
      <c r="E4151" s="799"/>
      <c r="F4151" s="801"/>
      <c r="G4151" s="771"/>
      <c r="H4151" s="8"/>
      <c r="I4151" s="8"/>
      <c r="J4151" s="8"/>
      <c r="K4151" s="8"/>
      <c r="L4151" s="8"/>
      <c r="M4151" s="8"/>
      <c r="N4151" s="8"/>
      <c r="O4151" s="8"/>
      <c r="P4151" s="8"/>
      <c r="Q4151" s="8"/>
      <c r="R4151" s="8"/>
      <c r="S4151" s="8"/>
      <c r="T4151" s="8"/>
      <c r="U4151" s="8"/>
      <c r="V4151" s="8"/>
      <c r="W4151" s="8"/>
      <c r="X4151" s="771"/>
      <c r="Y4151" s="771"/>
      <c r="Z4151" s="771"/>
      <c r="AA4151" s="771"/>
      <c r="AB4151" s="771"/>
      <c r="AC4151" s="771"/>
      <c r="AD4151" s="771"/>
      <c r="AE4151" s="771"/>
      <c r="AF4151" s="771"/>
      <c r="AG4151" s="771"/>
      <c r="AH4151" s="771"/>
      <c r="AI4151" s="771"/>
      <c r="AJ4151" s="771"/>
      <c r="AK4151" s="771"/>
      <c r="AL4151" s="771"/>
      <c r="AM4151" s="771"/>
      <c r="AN4151" s="771"/>
      <c r="AO4151" s="771"/>
      <c r="AP4151" s="771"/>
      <c r="AQ4151" s="771"/>
      <c r="AR4151" s="771"/>
      <c r="AS4151" s="771"/>
      <c r="AT4151" s="771"/>
      <c r="AU4151" s="771"/>
    </row>
    <row r="4152" spans="1:47" s="15" customFormat="1" x14ac:dyDescent="0.2">
      <c r="A4152" s="771"/>
      <c r="B4152" s="771"/>
      <c r="C4152" s="782"/>
      <c r="D4152" s="782"/>
      <c r="E4152" s="799"/>
      <c r="F4152" s="801"/>
      <c r="G4152" s="771"/>
      <c r="H4152" s="8"/>
      <c r="I4152" s="8"/>
      <c r="J4152" s="8"/>
      <c r="K4152" s="8"/>
      <c r="L4152" s="8"/>
      <c r="M4152" s="8"/>
      <c r="N4152" s="8"/>
      <c r="O4152" s="8"/>
      <c r="P4152" s="8"/>
      <c r="Q4152" s="8"/>
      <c r="R4152" s="8"/>
      <c r="S4152" s="8"/>
      <c r="T4152" s="8"/>
      <c r="U4152" s="8"/>
      <c r="V4152" s="8"/>
      <c r="W4152" s="8"/>
      <c r="X4152" s="771"/>
      <c r="Y4152" s="771"/>
      <c r="Z4152" s="771"/>
      <c r="AA4152" s="771"/>
      <c r="AB4152" s="771"/>
      <c r="AC4152" s="771"/>
      <c r="AD4152" s="771"/>
      <c r="AE4152" s="771"/>
      <c r="AF4152" s="771"/>
      <c r="AG4152" s="771"/>
      <c r="AH4152" s="771"/>
      <c r="AI4152" s="771"/>
      <c r="AJ4152" s="771"/>
      <c r="AK4152" s="771"/>
      <c r="AL4152" s="771"/>
      <c r="AM4152" s="771"/>
      <c r="AN4152" s="771"/>
      <c r="AO4152" s="771"/>
      <c r="AP4152" s="771"/>
      <c r="AQ4152" s="771"/>
      <c r="AR4152" s="771"/>
      <c r="AS4152" s="771"/>
      <c r="AT4152" s="771"/>
      <c r="AU4152" s="771"/>
    </row>
    <row r="4153" spans="1:47" s="15" customFormat="1" x14ac:dyDescent="0.2">
      <c r="A4153" s="771"/>
      <c r="B4153" s="771"/>
      <c r="C4153" s="782"/>
      <c r="D4153" s="782"/>
      <c r="E4153" s="799"/>
      <c r="F4153" s="801"/>
      <c r="G4153" s="771"/>
      <c r="H4153" s="8"/>
      <c r="I4153" s="8"/>
      <c r="J4153" s="8"/>
      <c r="K4153" s="8"/>
      <c r="L4153" s="8"/>
      <c r="M4153" s="8"/>
      <c r="N4153" s="8"/>
      <c r="O4153" s="8"/>
      <c r="P4153" s="8"/>
      <c r="Q4153" s="8"/>
      <c r="R4153" s="8"/>
      <c r="S4153" s="8"/>
      <c r="T4153" s="8"/>
      <c r="U4153" s="8"/>
      <c r="V4153" s="8"/>
      <c r="W4153" s="8"/>
      <c r="X4153" s="771"/>
      <c r="Y4153" s="771"/>
      <c r="Z4153" s="771"/>
      <c r="AA4153" s="771"/>
      <c r="AB4153" s="771"/>
      <c r="AC4153" s="771"/>
      <c r="AD4153" s="771"/>
      <c r="AE4153" s="771"/>
      <c r="AF4153" s="771"/>
      <c r="AG4153" s="771"/>
      <c r="AH4153" s="771"/>
      <c r="AI4153" s="771"/>
      <c r="AJ4153" s="771"/>
      <c r="AK4153" s="771"/>
      <c r="AL4153" s="771"/>
      <c r="AM4153" s="771"/>
      <c r="AN4153" s="771"/>
      <c r="AO4153" s="771"/>
      <c r="AP4153" s="771"/>
      <c r="AQ4153" s="771"/>
      <c r="AR4153" s="771"/>
      <c r="AS4153" s="771"/>
      <c r="AT4153" s="771"/>
      <c r="AU4153" s="771"/>
    </row>
    <row r="4154" spans="1:47" s="15" customFormat="1" x14ac:dyDescent="0.2">
      <c r="A4154" s="771"/>
      <c r="B4154" s="771"/>
      <c r="C4154" s="782"/>
      <c r="D4154" s="782"/>
      <c r="E4154" s="799"/>
      <c r="F4154" s="801"/>
      <c r="G4154" s="771"/>
      <c r="H4154" s="8"/>
      <c r="I4154" s="8"/>
      <c r="J4154" s="8"/>
      <c r="K4154" s="8"/>
      <c r="L4154" s="8"/>
      <c r="M4154" s="8"/>
      <c r="N4154" s="8"/>
      <c r="O4154" s="8"/>
      <c r="P4154" s="8"/>
      <c r="Q4154" s="8"/>
      <c r="R4154" s="8"/>
      <c r="S4154" s="8"/>
      <c r="T4154" s="8"/>
      <c r="U4154" s="8"/>
      <c r="V4154" s="8"/>
      <c r="W4154" s="8"/>
      <c r="X4154" s="771"/>
      <c r="Y4154" s="771"/>
      <c r="Z4154" s="771"/>
      <c r="AA4154" s="771"/>
      <c r="AB4154" s="771"/>
      <c r="AC4154" s="771"/>
      <c r="AD4154" s="771"/>
      <c r="AE4154" s="771"/>
      <c r="AF4154" s="771"/>
      <c r="AG4154" s="771"/>
      <c r="AH4154" s="771"/>
      <c r="AI4154" s="771"/>
      <c r="AJ4154" s="771"/>
      <c r="AK4154" s="771"/>
      <c r="AL4154" s="771"/>
      <c r="AM4154" s="771"/>
      <c r="AN4154" s="771"/>
      <c r="AO4154" s="771"/>
      <c r="AP4154" s="771"/>
      <c r="AQ4154" s="771"/>
      <c r="AR4154" s="771"/>
      <c r="AS4154" s="771"/>
      <c r="AT4154" s="771"/>
      <c r="AU4154" s="771"/>
    </row>
    <row r="4155" spans="1:47" s="15" customFormat="1" x14ac:dyDescent="0.2">
      <c r="A4155" s="771"/>
      <c r="B4155" s="771"/>
      <c r="C4155" s="782"/>
      <c r="D4155" s="782"/>
      <c r="E4155" s="799"/>
      <c r="F4155" s="801"/>
      <c r="G4155" s="771"/>
      <c r="H4155" s="8"/>
      <c r="I4155" s="8"/>
      <c r="J4155" s="8"/>
      <c r="K4155" s="8"/>
      <c r="L4155" s="8"/>
      <c r="M4155" s="8"/>
      <c r="N4155" s="8"/>
      <c r="O4155" s="8"/>
      <c r="P4155" s="8"/>
      <c r="Q4155" s="8"/>
      <c r="R4155" s="8"/>
      <c r="S4155" s="8"/>
      <c r="T4155" s="8"/>
      <c r="U4155" s="8"/>
      <c r="V4155" s="8"/>
      <c r="W4155" s="8"/>
      <c r="X4155" s="771"/>
      <c r="Y4155" s="771"/>
      <c r="Z4155" s="771"/>
      <c r="AA4155" s="771"/>
      <c r="AB4155" s="771"/>
      <c r="AC4155" s="771"/>
      <c r="AD4155" s="771"/>
      <c r="AE4155" s="771"/>
      <c r="AF4155" s="771"/>
      <c r="AG4155" s="771"/>
      <c r="AH4155" s="771"/>
      <c r="AI4155" s="771"/>
      <c r="AJ4155" s="771"/>
      <c r="AK4155" s="771"/>
      <c r="AL4155" s="771"/>
      <c r="AM4155" s="771"/>
      <c r="AN4155" s="771"/>
      <c r="AO4155" s="771"/>
      <c r="AP4155" s="771"/>
      <c r="AQ4155" s="771"/>
      <c r="AR4155" s="771"/>
      <c r="AS4155" s="771"/>
      <c r="AT4155" s="771"/>
      <c r="AU4155" s="771"/>
    </row>
    <row r="4156" spans="1:47" s="15" customFormat="1" x14ac:dyDescent="0.2">
      <c r="A4156" s="771"/>
      <c r="B4156" s="771"/>
      <c r="C4156" s="782"/>
      <c r="D4156" s="782"/>
      <c r="E4156" s="799"/>
      <c r="F4156" s="801"/>
      <c r="G4156" s="771"/>
      <c r="H4156" s="8"/>
      <c r="I4156" s="8"/>
      <c r="J4156" s="8"/>
      <c r="K4156" s="8"/>
      <c r="L4156" s="8"/>
      <c r="M4156" s="8"/>
      <c r="N4156" s="8"/>
      <c r="O4156" s="8"/>
      <c r="P4156" s="8"/>
      <c r="Q4156" s="8"/>
      <c r="R4156" s="8"/>
      <c r="S4156" s="8"/>
      <c r="T4156" s="8"/>
      <c r="U4156" s="8"/>
      <c r="V4156" s="8"/>
      <c r="W4156" s="8"/>
      <c r="X4156" s="771"/>
      <c r="Y4156" s="771"/>
      <c r="Z4156" s="771"/>
      <c r="AA4156" s="771"/>
      <c r="AB4156" s="771"/>
      <c r="AC4156" s="771"/>
      <c r="AD4156" s="771"/>
      <c r="AE4156" s="771"/>
      <c r="AF4156" s="771"/>
      <c r="AG4156" s="771"/>
      <c r="AH4156" s="771"/>
      <c r="AI4156" s="771"/>
      <c r="AJ4156" s="771"/>
      <c r="AK4156" s="771"/>
      <c r="AL4156" s="771"/>
      <c r="AM4156" s="771"/>
      <c r="AN4156" s="771"/>
      <c r="AO4156" s="771"/>
      <c r="AP4156" s="771"/>
      <c r="AQ4156" s="771"/>
      <c r="AR4156" s="771"/>
      <c r="AS4156" s="771"/>
      <c r="AT4156" s="771"/>
      <c r="AU4156" s="771"/>
    </row>
    <row r="4157" spans="1:47" s="15" customFormat="1" x14ac:dyDescent="0.2">
      <c r="A4157" s="771"/>
      <c r="B4157" s="771"/>
      <c r="C4157" s="782"/>
      <c r="D4157" s="782"/>
      <c r="E4157" s="799"/>
      <c r="F4157" s="801"/>
      <c r="G4157" s="771"/>
      <c r="H4157" s="8"/>
      <c r="I4157" s="8"/>
      <c r="J4157" s="8"/>
      <c r="K4157" s="8"/>
      <c r="L4157" s="8"/>
      <c r="M4157" s="8"/>
      <c r="N4157" s="8"/>
      <c r="O4157" s="8"/>
      <c r="P4157" s="8"/>
      <c r="Q4157" s="8"/>
      <c r="R4157" s="8"/>
      <c r="S4157" s="8"/>
      <c r="T4157" s="8"/>
      <c r="U4157" s="8"/>
      <c r="V4157" s="8"/>
      <c r="W4157" s="8"/>
      <c r="X4157" s="771"/>
      <c r="Y4157" s="771"/>
      <c r="Z4157" s="771"/>
      <c r="AA4157" s="771"/>
      <c r="AB4157" s="771"/>
      <c r="AC4157" s="771"/>
      <c r="AD4157" s="771"/>
      <c r="AE4157" s="771"/>
      <c r="AF4157" s="771"/>
      <c r="AG4157" s="771"/>
      <c r="AH4157" s="771"/>
      <c r="AI4157" s="771"/>
      <c r="AJ4157" s="771"/>
      <c r="AK4157" s="771"/>
      <c r="AL4157" s="771"/>
      <c r="AM4157" s="771"/>
      <c r="AN4157" s="771"/>
      <c r="AO4157" s="771"/>
      <c r="AP4157" s="771"/>
      <c r="AQ4157" s="771"/>
      <c r="AR4157" s="771"/>
      <c r="AS4157" s="771"/>
      <c r="AT4157" s="771"/>
      <c r="AU4157" s="771"/>
    </row>
    <row r="4158" spans="1:47" s="15" customFormat="1" x14ac:dyDescent="0.2">
      <c r="A4158" s="771"/>
      <c r="B4158" s="771"/>
      <c r="C4158" s="782"/>
      <c r="D4158" s="782"/>
      <c r="E4158" s="799"/>
      <c r="F4158" s="801"/>
      <c r="G4158" s="771"/>
      <c r="H4158" s="8"/>
      <c r="I4158" s="8"/>
      <c r="J4158" s="8"/>
      <c r="K4158" s="8"/>
      <c r="L4158" s="8"/>
      <c r="M4158" s="8"/>
      <c r="N4158" s="8"/>
      <c r="O4158" s="8"/>
      <c r="P4158" s="8"/>
      <c r="Q4158" s="8"/>
      <c r="R4158" s="8"/>
      <c r="S4158" s="8"/>
      <c r="T4158" s="8"/>
      <c r="U4158" s="8"/>
      <c r="V4158" s="8"/>
      <c r="W4158" s="8"/>
      <c r="X4158" s="771"/>
      <c r="Y4158" s="771"/>
      <c r="Z4158" s="771"/>
      <c r="AA4158" s="771"/>
      <c r="AB4158" s="771"/>
      <c r="AC4158" s="771"/>
      <c r="AD4158" s="771"/>
      <c r="AE4158" s="771"/>
      <c r="AF4158" s="771"/>
      <c r="AG4158" s="771"/>
      <c r="AH4158" s="771"/>
      <c r="AI4158" s="771"/>
      <c r="AJ4158" s="771"/>
      <c r="AK4158" s="771"/>
      <c r="AL4158" s="771"/>
      <c r="AM4158" s="771"/>
      <c r="AN4158" s="771"/>
      <c r="AO4158" s="771"/>
      <c r="AP4158" s="771"/>
      <c r="AQ4158" s="771"/>
      <c r="AR4158" s="771"/>
      <c r="AS4158" s="771"/>
      <c r="AT4158" s="771"/>
      <c r="AU4158" s="771"/>
    </row>
    <row r="4159" spans="1:47" s="15" customFormat="1" x14ac:dyDescent="0.2">
      <c r="A4159" s="771"/>
      <c r="B4159" s="771"/>
      <c r="C4159" s="782"/>
      <c r="D4159" s="782"/>
      <c r="E4159" s="799"/>
      <c r="F4159" s="801"/>
      <c r="G4159" s="771"/>
      <c r="H4159" s="8"/>
      <c r="I4159" s="8"/>
      <c r="J4159" s="8"/>
      <c r="K4159" s="8"/>
      <c r="L4159" s="8"/>
      <c r="M4159" s="8"/>
      <c r="N4159" s="8"/>
      <c r="O4159" s="8"/>
      <c r="P4159" s="8"/>
      <c r="Q4159" s="8"/>
      <c r="R4159" s="8"/>
      <c r="S4159" s="8"/>
      <c r="T4159" s="8"/>
      <c r="U4159" s="8"/>
      <c r="V4159" s="8"/>
      <c r="W4159" s="8"/>
      <c r="X4159" s="771"/>
      <c r="Y4159" s="771"/>
      <c r="Z4159" s="771"/>
      <c r="AA4159" s="771"/>
      <c r="AB4159" s="771"/>
      <c r="AC4159" s="771"/>
      <c r="AD4159" s="771"/>
      <c r="AE4159" s="771"/>
      <c r="AF4159" s="771"/>
      <c r="AG4159" s="771"/>
      <c r="AH4159" s="771"/>
      <c r="AI4159" s="771"/>
      <c r="AJ4159" s="771"/>
      <c r="AK4159" s="771"/>
      <c r="AL4159" s="771"/>
      <c r="AM4159" s="771"/>
      <c r="AN4159" s="771"/>
      <c r="AO4159" s="771"/>
      <c r="AP4159" s="771"/>
      <c r="AQ4159" s="771"/>
      <c r="AR4159" s="771"/>
      <c r="AS4159" s="771"/>
      <c r="AT4159" s="771"/>
      <c r="AU4159" s="771"/>
    </row>
    <row r="4160" spans="1:47" s="15" customFormat="1" x14ac:dyDescent="0.2">
      <c r="A4160" s="771"/>
      <c r="B4160" s="771"/>
      <c r="C4160" s="782"/>
      <c r="D4160" s="782"/>
      <c r="E4160" s="799"/>
      <c r="F4160" s="801"/>
      <c r="G4160" s="771"/>
      <c r="H4160" s="8"/>
      <c r="I4160" s="8"/>
      <c r="J4160" s="8"/>
      <c r="K4160" s="8"/>
      <c r="L4160" s="8"/>
      <c r="M4160" s="8"/>
      <c r="N4160" s="8"/>
      <c r="O4160" s="8"/>
      <c r="P4160" s="8"/>
      <c r="Q4160" s="8"/>
      <c r="R4160" s="8"/>
      <c r="S4160" s="8"/>
      <c r="T4160" s="8"/>
      <c r="U4160" s="8"/>
      <c r="V4160" s="8"/>
      <c r="W4160" s="8"/>
      <c r="X4160" s="771"/>
      <c r="Y4160" s="771"/>
      <c r="Z4160" s="771"/>
      <c r="AA4160" s="771"/>
      <c r="AB4160" s="771"/>
      <c r="AC4160" s="771"/>
      <c r="AD4160" s="771"/>
      <c r="AE4160" s="771"/>
      <c r="AF4160" s="771"/>
      <c r="AG4160" s="771"/>
      <c r="AH4160" s="771"/>
      <c r="AI4160" s="771"/>
      <c r="AJ4160" s="771"/>
      <c r="AK4160" s="771"/>
      <c r="AL4160" s="771"/>
      <c r="AM4160" s="771"/>
      <c r="AN4160" s="771"/>
      <c r="AO4160" s="771"/>
      <c r="AP4160" s="771"/>
      <c r="AQ4160" s="771"/>
      <c r="AR4160" s="771"/>
      <c r="AS4160" s="771"/>
      <c r="AT4160" s="771"/>
      <c r="AU4160" s="771"/>
    </row>
    <row r="4161" spans="1:47" s="15" customFormat="1" x14ac:dyDescent="0.2">
      <c r="A4161" s="771"/>
      <c r="B4161" s="771"/>
      <c r="C4161" s="782"/>
      <c r="D4161" s="782"/>
      <c r="E4161" s="799"/>
      <c r="F4161" s="801"/>
      <c r="G4161" s="771"/>
      <c r="H4161" s="8"/>
      <c r="I4161" s="8"/>
      <c r="J4161" s="8"/>
      <c r="K4161" s="8"/>
      <c r="L4161" s="8"/>
      <c r="M4161" s="8"/>
      <c r="N4161" s="8"/>
      <c r="O4161" s="8"/>
      <c r="P4161" s="8"/>
      <c r="Q4161" s="8"/>
      <c r="R4161" s="8"/>
      <c r="S4161" s="8"/>
      <c r="T4161" s="8"/>
      <c r="U4161" s="8"/>
      <c r="V4161" s="8"/>
      <c r="W4161" s="8"/>
      <c r="X4161" s="771"/>
      <c r="Y4161" s="771"/>
      <c r="Z4161" s="771"/>
      <c r="AA4161" s="771"/>
      <c r="AB4161" s="771"/>
      <c r="AC4161" s="771"/>
      <c r="AD4161" s="771"/>
      <c r="AE4161" s="771"/>
      <c r="AF4161" s="771"/>
      <c r="AG4161" s="771"/>
      <c r="AH4161" s="771"/>
      <c r="AI4161" s="771"/>
      <c r="AJ4161" s="771"/>
      <c r="AK4161" s="771"/>
      <c r="AL4161" s="771"/>
      <c r="AM4161" s="771"/>
      <c r="AN4161" s="771"/>
      <c r="AO4161" s="771"/>
      <c r="AP4161" s="771"/>
      <c r="AQ4161" s="771"/>
      <c r="AR4161" s="771"/>
      <c r="AS4161" s="771"/>
      <c r="AT4161" s="771"/>
      <c r="AU4161" s="771"/>
    </row>
    <row r="4162" spans="1:47" s="15" customFormat="1" x14ac:dyDescent="0.2">
      <c r="A4162" s="771"/>
      <c r="B4162" s="771"/>
      <c r="C4162" s="782"/>
      <c r="D4162" s="782"/>
      <c r="E4162" s="799"/>
      <c r="F4162" s="801"/>
      <c r="G4162" s="771"/>
      <c r="H4162" s="8"/>
      <c r="I4162" s="8"/>
      <c r="J4162" s="8"/>
      <c r="K4162" s="8"/>
      <c r="L4162" s="8"/>
      <c r="M4162" s="8"/>
      <c r="N4162" s="8"/>
      <c r="O4162" s="8"/>
      <c r="P4162" s="8"/>
      <c r="Q4162" s="8"/>
      <c r="R4162" s="8"/>
      <c r="S4162" s="8"/>
      <c r="T4162" s="8"/>
      <c r="U4162" s="8"/>
      <c r="V4162" s="8"/>
      <c r="W4162" s="8"/>
      <c r="X4162" s="771"/>
      <c r="Y4162" s="771"/>
      <c r="Z4162" s="771"/>
      <c r="AA4162" s="771"/>
      <c r="AB4162" s="771"/>
      <c r="AC4162" s="771"/>
      <c r="AD4162" s="771"/>
      <c r="AE4162" s="771"/>
      <c r="AF4162" s="771"/>
      <c r="AG4162" s="771"/>
      <c r="AH4162" s="771"/>
      <c r="AI4162" s="771"/>
      <c r="AJ4162" s="771"/>
      <c r="AK4162" s="771"/>
      <c r="AL4162" s="771"/>
      <c r="AM4162" s="771"/>
      <c r="AN4162" s="771"/>
      <c r="AO4162" s="771"/>
      <c r="AP4162" s="771"/>
      <c r="AQ4162" s="771"/>
      <c r="AR4162" s="771"/>
      <c r="AS4162" s="771"/>
      <c r="AT4162" s="771"/>
      <c r="AU4162" s="771"/>
    </row>
    <row r="4163" spans="1:47" s="15" customFormat="1" x14ac:dyDescent="0.2">
      <c r="A4163" s="771"/>
      <c r="B4163" s="771"/>
      <c r="C4163" s="782"/>
      <c r="D4163" s="782"/>
      <c r="E4163" s="799"/>
      <c r="F4163" s="801"/>
      <c r="G4163" s="771"/>
      <c r="H4163" s="8"/>
      <c r="I4163" s="8"/>
      <c r="J4163" s="8"/>
      <c r="K4163" s="8"/>
      <c r="L4163" s="8"/>
      <c r="M4163" s="8"/>
      <c r="N4163" s="8"/>
      <c r="O4163" s="8"/>
      <c r="P4163" s="8"/>
      <c r="Q4163" s="8"/>
      <c r="R4163" s="8"/>
      <c r="S4163" s="8"/>
      <c r="T4163" s="8"/>
      <c r="U4163" s="8"/>
      <c r="V4163" s="8"/>
      <c r="W4163" s="8"/>
      <c r="X4163" s="771"/>
      <c r="Y4163" s="771"/>
      <c r="Z4163" s="771"/>
      <c r="AA4163" s="771"/>
      <c r="AB4163" s="771"/>
      <c r="AC4163" s="771"/>
      <c r="AD4163" s="771"/>
      <c r="AE4163" s="771"/>
      <c r="AF4163" s="771"/>
      <c r="AG4163" s="771"/>
      <c r="AH4163" s="771"/>
      <c r="AI4163" s="771"/>
      <c r="AJ4163" s="771"/>
      <c r="AK4163" s="771"/>
      <c r="AL4163" s="771"/>
      <c r="AM4163" s="771"/>
      <c r="AN4163" s="771"/>
      <c r="AO4163" s="771"/>
      <c r="AP4163" s="771"/>
      <c r="AQ4163" s="771"/>
      <c r="AR4163" s="771"/>
      <c r="AS4163" s="771"/>
      <c r="AT4163" s="771"/>
      <c r="AU4163" s="771"/>
    </row>
    <row r="4164" spans="1:47" s="15" customFormat="1" x14ac:dyDescent="0.2">
      <c r="A4164" s="771"/>
      <c r="B4164" s="771"/>
      <c r="C4164" s="782"/>
      <c r="D4164" s="782"/>
      <c r="E4164" s="799"/>
      <c r="F4164" s="801"/>
      <c r="G4164" s="771"/>
      <c r="H4164" s="8"/>
      <c r="I4164" s="8"/>
      <c r="J4164" s="8"/>
      <c r="K4164" s="8"/>
      <c r="L4164" s="8"/>
      <c r="M4164" s="8"/>
      <c r="N4164" s="8"/>
      <c r="O4164" s="8"/>
      <c r="P4164" s="8"/>
      <c r="Q4164" s="8"/>
      <c r="R4164" s="8"/>
      <c r="S4164" s="8"/>
      <c r="T4164" s="8"/>
      <c r="U4164" s="8"/>
      <c r="V4164" s="8"/>
      <c r="W4164" s="8"/>
      <c r="X4164" s="771"/>
      <c r="Y4164" s="771"/>
      <c r="Z4164" s="771"/>
      <c r="AA4164" s="771"/>
      <c r="AB4164" s="771"/>
      <c r="AC4164" s="771"/>
      <c r="AD4164" s="771"/>
      <c r="AE4164" s="771"/>
      <c r="AF4164" s="771"/>
      <c r="AG4164" s="771"/>
      <c r="AH4164" s="771"/>
      <c r="AI4164" s="771"/>
      <c r="AJ4164" s="771"/>
      <c r="AK4164" s="771"/>
      <c r="AL4164" s="771"/>
      <c r="AM4164" s="771"/>
      <c r="AN4164" s="771"/>
      <c r="AO4164" s="771"/>
      <c r="AP4164" s="771"/>
      <c r="AQ4164" s="771"/>
      <c r="AR4164" s="771"/>
      <c r="AS4164" s="771"/>
      <c r="AT4164" s="771"/>
      <c r="AU4164" s="771"/>
    </row>
    <row r="4165" spans="1:47" s="15" customFormat="1" x14ac:dyDescent="0.2">
      <c r="A4165" s="771"/>
      <c r="B4165" s="771"/>
      <c r="C4165" s="782"/>
      <c r="D4165" s="782"/>
      <c r="E4165" s="799"/>
      <c r="F4165" s="801"/>
      <c r="G4165" s="771"/>
      <c r="H4165" s="8"/>
      <c r="I4165" s="8"/>
      <c r="J4165" s="8"/>
      <c r="K4165" s="8"/>
      <c r="L4165" s="8"/>
      <c r="M4165" s="8"/>
      <c r="N4165" s="8"/>
      <c r="O4165" s="8"/>
      <c r="P4165" s="8"/>
      <c r="Q4165" s="8"/>
      <c r="R4165" s="8"/>
      <c r="S4165" s="8"/>
      <c r="T4165" s="8"/>
      <c r="U4165" s="8"/>
      <c r="V4165" s="8"/>
      <c r="W4165" s="8"/>
      <c r="X4165" s="771"/>
      <c r="Y4165" s="771"/>
      <c r="Z4165" s="771"/>
      <c r="AA4165" s="771"/>
      <c r="AB4165" s="771"/>
      <c r="AC4165" s="771"/>
      <c r="AD4165" s="771"/>
      <c r="AE4165" s="771"/>
      <c r="AF4165" s="771"/>
      <c r="AG4165" s="771"/>
      <c r="AH4165" s="771"/>
      <c r="AI4165" s="771"/>
      <c r="AJ4165" s="771"/>
      <c r="AK4165" s="771"/>
      <c r="AL4165" s="771"/>
      <c r="AM4165" s="771"/>
      <c r="AN4165" s="771"/>
      <c r="AO4165" s="771"/>
      <c r="AP4165" s="771"/>
      <c r="AQ4165" s="771"/>
      <c r="AR4165" s="771"/>
      <c r="AS4165" s="771"/>
      <c r="AT4165" s="771"/>
      <c r="AU4165" s="771"/>
    </row>
    <row r="4166" spans="1:47" s="15" customFormat="1" x14ac:dyDescent="0.2">
      <c r="A4166" s="771"/>
      <c r="B4166" s="771"/>
      <c r="C4166" s="782"/>
      <c r="D4166" s="782"/>
      <c r="E4166" s="799"/>
      <c r="F4166" s="801"/>
      <c r="G4166" s="771"/>
      <c r="H4166" s="8"/>
      <c r="I4166" s="8"/>
      <c r="J4166" s="8"/>
      <c r="K4166" s="8"/>
      <c r="L4166" s="8"/>
      <c r="M4166" s="8"/>
      <c r="N4166" s="8"/>
      <c r="O4166" s="8"/>
      <c r="P4166" s="8"/>
      <c r="Q4166" s="8"/>
      <c r="R4166" s="8"/>
      <c r="S4166" s="8"/>
      <c r="T4166" s="8"/>
      <c r="U4166" s="8"/>
      <c r="V4166" s="8"/>
      <c r="W4166" s="8"/>
      <c r="X4166" s="771"/>
      <c r="Y4166" s="771"/>
      <c r="Z4166" s="771"/>
      <c r="AA4166" s="771"/>
      <c r="AB4166" s="771"/>
      <c r="AC4166" s="771"/>
      <c r="AD4166" s="771"/>
      <c r="AE4166" s="771"/>
      <c r="AF4166" s="771"/>
      <c r="AG4166" s="771"/>
      <c r="AH4166" s="771"/>
      <c r="AI4166" s="771"/>
      <c r="AJ4166" s="771"/>
      <c r="AK4166" s="771"/>
      <c r="AL4166" s="771"/>
      <c r="AM4166" s="771"/>
      <c r="AN4166" s="771"/>
      <c r="AO4166" s="771"/>
      <c r="AP4166" s="771"/>
      <c r="AQ4166" s="771"/>
      <c r="AR4166" s="771"/>
      <c r="AS4166" s="771"/>
      <c r="AT4166" s="771"/>
      <c r="AU4166" s="771"/>
    </row>
    <row r="4167" spans="1:47" s="15" customFormat="1" x14ac:dyDescent="0.2">
      <c r="A4167" s="771"/>
      <c r="B4167" s="771"/>
      <c r="C4167" s="782"/>
      <c r="D4167" s="782"/>
      <c r="E4167" s="799"/>
      <c r="F4167" s="801"/>
      <c r="G4167" s="771"/>
      <c r="H4167" s="8"/>
      <c r="I4167" s="8"/>
      <c r="J4167" s="8"/>
      <c r="K4167" s="8"/>
      <c r="L4167" s="8"/>
      <c r="M4167" s="8"/>
      <c r="N4167" s="8"/>
      <c r="O4167" s="8"/>
      <c r="P4167" s="8"/>
      <c r="Q4167" s="8"/>
      <c r="R4167" s="8"/>
      <c r="S4167" s="8"/>
      <c r="T4167" s="8"/>
      <c r="U4167" s="8"/>
      <c r="V4167" s="8"/>
      <c r="W4167" s="8"/>
      <c r="X4167" s="771"/>
      <c r="Y4167" s="771"/>
      <c r="Z4167" s="771"/>
      <c r="AA4167" s="771"/>
      <c r="AB4167" s="771"/>
      <c r="AC4167" s="771"/>
      <c r="AD4167" s="771"/>
      <c r="AE4167" s="771"/>
      <c r="AF4167" s="771"/>
      <c r="AG4167" s="771"/>
      <c r="AH4167" s="771"/>
      <c r="AI4167" s="771"/>
      <c r="AJ4167" s="771"/>
      <c r="AK4167" s="771"/>
      <c r="AL4167" s="771"/>
      <c r="AM4167" s="771"/>
      <c r="AN4167" s="771"/>
      <c r="AO4167" s="771"/>
      <c r="AP4167" s="771"/>
      <c r="AQ4167" s="771"/>
      <c r="AR4167" s="771"/>
      <c r="AS4167" s="771"/>
      <c r="AT4167" s="771"/>
      <c r="AU4167" s="771"/>
    </row>
    <row r="4168" spans="1:47" s="15" customFormat="1" x14ac:dyDescent="0.2">
      <c r="A4168" s="771"/>
      <c r="B4168" s="771"/>
      <c r="C4168" s="782"/>
      <c r="D4168" s="782"/>
      <c r="E4168" s="799"/>
      <c r="F4168" s="801"/>
      <c r="G4168" s="771"/>
      <c r="H4168" s="8"/>
      <c r="I4168" s="8"/>
      <c r="J4168" s="8"/>
      <c r="K4168" s="8"/>
      <c r="L4168" s="8"/>
      <c r="M4168" s="8"/>
      <c r="N4168" s="8"/>
      <c r="O4168" s="8"/>
      <c r="P4168" s="8"/>
      <c r="Q4168" s="8"/>
      <c r="R4168" s="8"/>
      <c r="S4168" s="8"/>
      <c r="T4168" s="8"/>
      <c r="U4168" s="8"/>
      <c r="V4168" s="8"/>
      <c r="W4168" s="8"/>
      <c r="X4168" s="771"/>
      <c r="Y4168" s="771"/>
      <c r="Z4168" s="771"/>
      <c r="AA4168" s="771"/>
      <c r="AB4168" s="771"/>
      <c r="AC4168" s="771"/>
      <c r="AD4168" s="771"/>
      <c r="AE4168" s="771"/>
      <c r="AF4168" s="771"/>
      <c r="AG4168" s="771"/>
      <c r="AH4168" s="771"/>
      <c r="AI4168" s="771"/>
      <c r="AJ4168" s="771"/>
      <c r="AK4168" s="771"/>
      <c r="AL4168" s="771"/>
      <c r="AM4168" s="771"/>
      <c r="AN4168" s="771"/>
      <c r="AO4168" s="771"/>
      <c r="AP4168" s="771"/>
      <c r="AQ4168" s="771"/>
      <c r="AR4168" s="771"/>
      <c r="AS4168" s="771"/>
      <c r="AT4168" s="771"/>
      <c r="AU4168" s="771"/>
    </row>
    <row r="4169" spans="1:47" s="15" customFormat="1" x14ac:dyDescent="0.2">
      <c r="A4169" s="771"/>
      <c r="B4169" s="771"/>
      <c r="C4169" s="782"/>
      <c r="D4169" s="782"/>
      <c r="E4169" s="799"/>
      <c r="F4169" s="801"/>
      <c r="G4169" s="771"/>
      <c r="H4169" s="8"/>
      <c r="I4169" s="8"/>
      <c r="J4169" s="8"/>
      <c r="K4169" s="8"/>
      <c r="L4169" s="8"/>
      <c r="M4169" s="8"/>
      <c r="N4169" s="8"/>
      <c r="O4169" s="8"/>
      <c r="P4169" s="8"/>
      <c r="Q4169" s="8"/>
      <c r="R4169" s="8"/>
      <c r="S4169" s="8"/>
      <c r="T4169" s="8"/>
      <c r="U4169" s="8"/>
      <c r="V4169" s="8"/>
      <c r="W4169" s="8"/>
      <c r="X4169" s="771"/>
      <c r="Y4169" s="771"/>
      <c r="Z4169" s="771"/>
      <c r="AA4169" s="771"/>
      <c r="AB4169" s="771"/>
      <c r="AC4169" s="771"/>
      <c r="AD4169" s="771"/>
      <c r="AE4169" s="771"/>
      <c r="AF4169" s="771"/>
      <c r="AG4169" s="771"/>
      <c r="AH4169" s="771"/>
      <c r="AI4169" s="771"/>
      <c r="AJ4169" s="771"/>
      <c r="AK4169" s="771"/>
      <c r="AL4169" s="771"/>
      <c r="AM4169" s="771"/>
      <c r="AN4169" s="771"/>
      <c r="AO4169" s="771"/>
      <c r="AP4169" s="771"/>
      <c r="AQ4169" s="771"/>
      <c r="AR4169" s="771"/>
      <c r="AS4169" s="771"/>
      <c r="AT4169" s="771"/>
      <c r="AU4169" s="771"/>
    </row>
    <row r="4170" spans="1:47" s="15" customFormat="1" x14ac:dyDescent="0.2">
      <c r="A4170" s="771"/>
      <c r="B4170" s="771"/>
      <c r="C4170" s="782"/>
      <c r="D4170" s="782"/>
      <c r="E4170" s="799"/>
      <c r="F4170" s="801"/>
      <c r="G4170" s="771"/>
      <c r="H4170" s="8"/>
      <c r="I4170" s="8"/>
      <c r="J4170" s="8"/>
      <c r="K4170" s="8"/>
      <c r="L4170" s="8"/>
      <c r="M4170" s="8"/>
      <c r="N4170" s="8"/>
      <c r="O4170" s="8"/>
      <c r="P4170" s="8"/>
      <c r="Q4170" s="8"/>
      <c r="R4170" s="8"/>
      <c r="S4170" s="8"/>
      <c r="T4170" s="8"/>
      <c r="U4170" s="8"/>
      <c r="V4170" s="8"/>
      <c r="W4170" s="8"/>
      <c r="X4170" s="771"/>
      <c r="Y4170" s="771"/>
      <c r="Z4170" s="771"/>
      <c r="AA4170" s="771"/>
      <c r="AB4170" s="771"/>
      <c r="AC4170" s="771"/>
      <c r="AD4170" s="771"/>
      <c r="AE4170" s="771"/>
      <c r="AF4170" s="771"/>
      <c r="AG4170" s="771"/>
      <c r="AH4170" s="771"/>
      <c r="AI4170" s="771"/>
      <c r="AJ4170" s="771"/>
      <c r="AK4170" s="771"/>
      <c r="AL4170" s="771"/>
      <c r="AM4170" s="771"/>
      <c r="AN4170" s="771"/>
      <c r="AO4170" s="771"/>
      <c r="AP4170" s="771"/>
      <c r="AQ4170" s="771"/>
      <c r="AR4170" s="771"/>
      <c r="AS4170" s="771"/>
      <c r="AT4170" s="771"/>
      <c r="AU4170" s="771"/>
    </row>
    <row r="4171" spans="1:47" s="15" customFormat="1" x14ac:dyDescent="0.2">
      <c r="A4171" s="771"/>
      <c r="B4171" s="771"/>
      <c r="C4171" s="782"/>
      <c r="D4171" s="782"/>
      <c r="E4171" s="799"/>
      <c r="F4171" s="801"/>
      <c r="G4171" s="771"/>
      <c r="H4171" s="8"/>
      <c r="I4171" s="8"/>
      <c r="J4171" s="8"/>
      <c r="K4171" s="8"/>
      <c r="L4171" s="8"/>
      <c r="M4171" s="8"/>
      <c r="N4171" s="8"/>
      <c r="O4171" s="8"/>
      <c r="P4171" s="8"/>
      <c r="Q4171" s="8"/>
      <c r="R4171" s="8"/>
      <c r="S4171" s="8"/>
      <c r="T4171" s="8"/>
      <c r="U4171" s="8"/>
      <c r="V4171" s="8"/>
      <c r="W4171" s="8"/>
      <c r="X4171" s="771"/>
      <c r="Y4171" s="771"/>
      <c r="Z4171" s="771"/>
      <c r="AA4171" s="771"/>
      <c r="AB4171" s="771"/>
      <c r="AC4171" s="771"/>
      <c r="AD4171" s="771"/>
      <c r="AE4171" s="771"/>
      <c r="AF4171" s="771"/>
      <c r="AG4171" s="771"/>
      <c r="AH4171" s="771"/>
      <c r="AI4171" s="771"/>
      <c r="AJ4171" s="771"/>
      <c r="AK4171" s="771"/>
      <c r="AL4171" s="771"/>
      <c r="AM4171" s="771"/>
      <c r="AN4171" s="771"/>
      <c r="AO4171" s="771"/>
      <c r="AP4171" s="771"/>
      <c r="AQ4171" s="771"/>
      <c r="AR4171" s="771"/>
      <c r="AS4171" s="771"/>
      <c r="AT4171" s="771"/>
      <c r="AU4171" s="771"/>
    </row>
    <row r="4172" spans="1:47" s="15" customFormat="1" x14ac:dyDescent="0.2">
      <c r="A4172" s="771"/>
      <c r="B4172" s="771"/>
      <c r="C4172" s="782"/>
      <c r="D4172" s="782"/>
      <c r="E4172" s="799"/>
      <c r="F4172" s="801"/>
      <c r="G4172" s="771"/>
      <c r="H4172" s="8"/>
      <c r="I4172" s="8"/>
      <c r="J4172" s="8"/>
      <c r="K4172" s="8"/>
      <c r="L4172" s="8"/>
      <c r="M4172" s="8"/>
      <c r="N4172" s="8"/>
      <c r="O4172" s="8"/>
      <c r="P4172" s="8"/>
      <c r="Q4172" s="8"/>
      <c r="R4172" s="8"/>
      <c r="S4172" s="8"/>
      <c r="T4172" s="8"/>
      <c r="U4172" s="8"/>
      <c r="V4172" s="8"/>
      <c r="W4172" s="8"/>
      <c r="X4172" s="771"/>
      <c r="Y4172" s="771"/>
      <c r="Z4172" s="771"/>
      <c r="AA4172" s="771"/>
      <c r="AB4172" s="771"/>
      <c r="AC4172" s="771"/>
      <c r="AD4172" s="771"/>
      <c r="AE4172" s="771"/>
      <c r="AF4172" s="771"/>
      <c r="AG4172" s="771"/>
      <c r="AH4172" s="771"/>
      <c r="AI4172" s="771"/>
      <c r="AJ4172" s="771"/>
      <c r="AK4172" s="771"/>
      <c r="AL4172" s="771"/>
      <c r="AM4172" s="771"/>
      <c r="AN4172" s="771"/>
      <c r="AO4172" s="771"/>
      <c r="AP4172" s="771"/>
      <c r="AQ4172" s="771"/>
      <c r="AR4172" s="771"/>
      <c r="AS4172" s="771"/>
      <c r="AT4172" s="771"/>
      <c r="AU4172" s="771"/>
    </row>
    <row r="4173" spans="1:47" s="15" customFormat="1" x14ac:dyDescent="0.2">
      <c r="A4173" s="771"/>
      <c r="B4173" s="771"/>
      <c r="C4173" s="782"/>
      <c r="D4173" s="782"/>
      <c r="E4173" s="799"/>
      <c r="F4173" s="801"/>
      <c r="G4173" s="771"/>
      <c r="H4173" s="8"/>
      <c r="I4173" s="8"/>
      <c r="J4173" s="8"/>
      <c r="K4173" s="8"/>
      <c r="L4173" s="8"/>
      <c r="M4173" s="8"/>
      <c r="N4173" s="8"/>
      <c r="O4173" s="8"/>
      <c r="P4173" s="8"/>
      <c r="Q4173" s="8"/>
      <c r="R4173" s="8"/>
      <c r="S4173" s="8"/>
      <c r="T4173" s="8"/>
      <c r="U4173" s="8"/>
      <c r="V4173" s="8"/>
      <c r="W4173" s="8"/>
      <c r="X4173" s="771"/>
      <c r="Y4173" s="771"/>
      <c r="Z4173" s="771"/>
      <c r="AA4173" s="771"/>
      <c r="AB4173" s="771"/>
      <c r="AC4173" s="771"/>
      <c r="AD4173" s="771"/>
      <c r="AE4173" s="771"/>
      <c r="AF4173" s="771"/>
      <c r="AG4173" s="771"/>
      <c r="AH4173" s="771"/>
      <c r="AI4173" s="771"/>
      <c r="AJ4173" s="771"/>
      <c r="AK4173" s="771"/>
      <c r="AL4173" s="771"/>
      <c r="AM4173" s="771"/>
      <c r="AN4173" s="771"/>
      <c r="AO4173" s="771"/>
      <c r="AP4173" s="771"/>
      <c r="AQ4173" s="771"/>
      <c r="AR4173" s="771"/>
      <c r="AS4173" s="771"/>
      <c r="AT4173" s="771"/>
      <c r="AU4173" s="771"/>
    </row>
    <row r="4174" spans="1:47" s="15" customFormat="1" x14ac:dyDescent="0.2">
      <c r="A4174" s="771"/>
      <c r="B4174" s="771"/>
      <c r="C4174" s="782"/>
      <c r="D4174" s="782"/>
      <c r="E4174" s="799"/>
      <c r="F4174" s="801"/>
      <c r="G4174" s="771"/>
      <c r="H4174" s="8"/>
      <c r="I4174" s="8"/>
      <c r="J4174" s="8"/>
      <c r="K4174" s="8"/>
      <c r="L4174" s="8"/>
      <c r="M4174" s="8"/>
      <c r="N4174" s="8"/>
      <c r="O4174" s="8"/>
      <c r="P4174" s="8"/>
      <c r="Q4174" s="8"/>
      <c r="R4174" s="8"/>
      <c r="S4174" s="8"/>
      <c r="T4174" s="8"/>
      <c r="U4174" s="8"/>
      <c r="V4174" s="8"/>
      <c r="W4174" s="8"/>
      <c r="X4174" s="771"/>
      <c r="Y4174" s="771"/>
      <c r="Z4174" s="771"/>
      <c r="AA4174" s="771"/>
      <c r="AB4174" s="771"/>
      <c r="AC4174" s="771"/>
      <c r="AD4174" s="771"/>
      <c r="AE4174" s="771"/>
      <c r="AF4174" s="771"/>
      <c r="AG4174" s="771"/>
      <c r="AH4174" s="771"/>
      <c r="AI4174" s="771"/>
      <c r="AJ4174" s="771"/>
      <c r="AK4174" s="771"/>
      <c r="AL4174" s="771"/>
      <c r="AM4174" s="771"/>
      <c r="AN4174" s="771"/>
      <c r="AO4174" s="771"/>
      <c r="AP4174" s="771"/>
      <c r="AQ4174" s="771"/>
      <c r="AR4174" s="771"/>
      <c r="AS4174" s="771"/>
      <c r="AT4174" s="771"/>
      <c r="AU4174" s="771"/>
    </row>
    <row r="4175" spans="1:47" s="15" customFormat="1" x14ac:dyDescent="0.2">
      <c r="A4175" s="771"/>
      <c r="B4175" s="771"/>
      <c r="C4175" s="782"/>
      <c r="D4175" s="782"/>
      <c r="E4175" s="799"/>
      <c r="F4175" s="801"/>
      <c r="G4175" s="771"/>
      <c r="H4175" s="8"/>
      <c r="I4175" s="8"/>
      <c r="J4175" s="8"/>
      <c r="K4175" s="8"/>
      <c r="L4175" s="8"/>
      <c r="M4175" s="8"/>
      <c r="N4175" s="8"/>
      <c r="O4175" s="8"/>
      <c r="P4175" s="8"/>
      <c r="Q4175" s="8"/>
      <c r="R4175" s="8"/>
      <c r="S4175" s="8"/>
      <c r="T4175" s="8"/>
      <c r="U4175" s="8"/>
      <c r="V4175" s="8"/>
      <c r="W4175" s="8"/>
      <c r="X4175" s="771"/>
      <c r="Y4175" s="771"/>
      <c r="Z4175" s="771"/>
      <c r="AA4175" s="771"/>
      <c r="AB4175" s="771"/>
      <c r="AC4175" s="771"/>
      <c r="AD4175" s="771"/>
      <c r="AE4175" s="771"/>
      <c r="AF4175" s="771"/>
      <c r="AG4175" s="771"/>
      <c r="AH4175" s="771"/>
      <c r="AI4175" s="771"/>
      <c r="AJ4175" s="771"/>
      <c r="AK4175" s="771"/>
      <c r="AL4175" s="771"/>
      <c r="AM4175" s="771"/>
      <c r="AN4175" s="771"/>
      <c r="AO4175" s="771"/>
      <c r="AP4175" s="771"/>
      <c r="AQ4175" s="771"/>
      <c r="AR4175" s="771"/>
      <c r="AS4175" s="771"/>
      <c r="AT4175" s="771"/>
      <c r="AU4175" s="771"/>
    </row>
    <row r="4176" spans="1:47" s="15" customFormat="1" x14ac:dyDescent="0.2">
      <c r="A4176" s="771"/>
      <c r="B4176" s="771"/>
      <c r="C4176" s="782"/>
      <c r="D4176" s="782"/>
      <c r="E4176" s="799"/>
      <c r="F4176" s="801"/>
      <c r="G4176" s="771"/>
      <c r="H4176" s="8"/>
      <c r="I4176" s="8"/>
      <c r="J4176" s="8"/>
      <c r="K4176" s="8"/>
      <c r="L4176" s="8"/>
      <c r="M4176" s="8"/>
      <c r="N4176" s="8"/>
      <c r="O4176" s="8"/>
      <c r="P4176" s="8"/>
      <c r="Q4176" s="8"/>
      <c r="R4176" s="8"/>
      <c r="S4176" s="8"/>
      <c r="T4176" s="8"/>
      <c r="U4176" s="8"/>
      <c r="V4176" s="8"/>
      <c r="W4176" s="8"/>
      <c r="X4176" s="771"/>
      <c r="Y4176" s="771"/>
      <c r="Z4176" s="771"/>
      <c r="AA4176" s="771"/>
      <c r="AB4176" s="771"/>
      <c r="AC4176" s="771"/>
      <c r="AD4176" s="771"/>
      <c r="AE4176" s="771"/>
      <c r="AF4176" s="771"/>
      <c r="AG4176" s="771"/>
      <c r="AH4176" s="771"/>
      <c r="AI4176" s="771"/>
      <c r="AJ4176" s="771"/>
      <c r="AK4176" s="771"/>
      <c r="AL4176" s="771"/>
      <c r="AM4176" s="771"/>
      <c r="AN4176" s="771"/>
      <c r="AO4176" s="771"/>
      <c r="AP4176" s="771"/>
      <c r="AQ4176" s="771"/>
      <c r="AR4176" s="771"/>
      <c r="AS4176" s="771"/>
      <c r="AT4176" s="771"/>
      <c r="AU4176" s="771"/>
    </row>
    <row r="4177" spans="1:47" s="15" customFormat="1" x14ac:dyDescent="0.2">
      <c r="A4177" s="771"/>
      <c r="B4177" s="771"/>
      <c r="C4177" s="782"/>
      <c r="D4177" s="782"/>
      <c r="E4177" s="799"/>
      <c r="F4177" s="801"/>
      <c r="G4177" s="771"/>
      <c r="H4177" s="8"/>
      <c r="I4177" s="8"/>
      <c r="J4177" s="8"/>
      <c r="K4177" s="8"/>
      <c r="L4177" s="8"/>
      <c r="M4177" s="8"/>
      <c r="N4177" s="8"/>
      <c r="O4177" s="8"/>
      <c r="P4177" s="8"/>
      <c r="Q4177" s="8"/>
      <c r="R4177" s="8"/>
      <c r="S4177" s="8"/>
      <c r="T4177" s="8"/>
      <c r="U4177" s="8"/>
      <c r="V4177" s="8"/>
      <c r="W4177" s="8"/>
      <c r="X4177" s="771"/>
      <c r="Y4177" s="771"/>
      <c r="Z4177" s="771"/>
      <c r="AA4177" s="771"/>
      <c r="AB4177" s="771"/>
      <c r="AC4177" s="771"/>
      <c r="AD4177" s="771"/>
      <c r="AE4177" s="771"/>
      <c r="AF4177" s="771"/>
      <c r="AG4177" s="771"/>
      <c r="AH4177" s="771"/>
      <c r="AI4177" s="771"/>
      <c r="AJ4177" s="771"/>
      <c r="AK4177" s="771"/>
      <c r="AL4177" s="771"/>
      <c r="AM4177" s="771"/>
      <c r="AN4177" s="771"/>
      <c r="AO4177" s="771"/>
      <c r="AP4177" s="771"/>
      <c r="AQ4177" s="771"/>
      <c r="AR4177" s="771"/>
      <c r="AS4177" s="771"/>
      <c r="AT4177" s="771"/>
      <c r="AU4177" s="771"/>
    </row>
    <row r="4178" spans="1:47" s="15" customFormat="1" x14ac:dyDescent="0.2">
      <c r="A4178" s="771"/>
      <c r="B4178" s="771"/>
      <c r="C4178" s="782"/>
      <c r="D4178" s="782"/>
      <c r="E4178" s="799"/>
      <c r="F4178" s="801"/>
      <c r="G4178" s="771"/>
      <c r="H4178" s="8"/>
      <c r="I4178" s="8"/>
      <c r="J4178" s="8"/>
      <c r="K4178" s="8"/>
      <c r="L4178" s="8"/>
      <c r="M4178" s="8"/>
      <c r="N4178" s="8"/>
      <c r="O4178" s="8"/>
      <c r="P4178" s="8"/>
      <c r="Q4178" s="8"/>
      <c r="R4178" s="8"/>
      <c r="S4178" s="8"/>
      <c r="T4178" s="8"/>
      <c r="U4178" s="8"/>
      <c r="V4178" s="8"/>
      <c r="W4178" s="8"/>
      <c r="X4178" s="771"/>
      <c r="Y4178" s="771"/>
      <c r="Z4178" s="771"/>
      <c r="AA4178" s="771"/>
      <c r="AB4178" s="771"/>
      <c r="AC4178" s="771"/>
      <c r="AD4178" s="771"/>
      <c r="AE4178" s="771"/>
      <c r="AF4178" s="771"/>
      <c r="AG4178" s="771"/>
      <c r="AH4178" s="771"/>
      <c r="AI4178" s="771"/>
      <c r="AJ4178" s="771"/>
      <c r="AK4178" s="771"/>
      <c r="AL4178" s="771"/>
      <c r="AM4178" s="771"/>
      <c r="AN4178" s="771"/>
      <c r="AO4178" s="771"/>
      <c r="AP4178" s="771"/>
      <c r="AQ4178" s="771"/>
      <c r="AR4178" s="771"/>
      <c r="AS4178" s="771"/>
      <c r="AT4178" s="771"/>
      <c r="AU4178" s="771"/>
    </row>
    <row r="4179" spans="1:47" s="15" customFormat="1" x14ac:dyDescent="0.2">
      <c r="A4179" s="771"/>
      <c r="B4179" s="771"/>
      <c r="C4179" s="782"/>
      <c r="D4179" s="782"/>
      <c r="E4179" s="799"/>
      <c r="F4179" s="801"/>
      <c r="G4179" s="771"/>
      <c r="H4179" s="8"/>
      <c r="I4179" s="8"/>
      <c r="J4179" s="8"/>
      <c r="K4179" s="8"/>
      <c r="L4179" s="8"/>
      <c r="M4179" s="8"/>
      <c r="N4179" s="8"/>
      <c r="O4179" s="8"/>
      <c r="P4179" s="8"/>
      <c r="Q4179" s="8"/>
      <c r="R4179" s="8"/>
      <c r="S4179" s="8"/>
      <c r="T4179" s="8"/>
      <c r="U4179" s="8"/>
      <c r="V4179" s="8"/>
      <c r="W4179" s="8"/>
      <c r="X4179" s="771"/>
      <c r="Y4179" s="771"/>
      <c r="Z4179" s="771"/>
      <c r="AA4179" s="771"/>
      <c r="AB4179" s="771"/>
      <c r="AC4179" s="771"/>
      <c r="AD4179" s="771"/>
      <c r="AE4179" s="771"/>
      <c r="AF4179" s="771"/>
      <c r="AG4179" s="771"/>
      <c r="AH4179" s="771"/>
      <c r="AI4179" s="771"/>
      <c r="AJ4179" s="771"/>
      <c r="AK4179" s="771"/>
      <c r="AL4179" s="771"/>
      <c r="AM4179" s="771"/>
      <c r="AN4179" s="771"/>
      <c r="AO4179" s="771"/>
      <c r="AP4179" s="771"/>
      <c r="AQ4179" s="771"/>
      <c r="AR4179" s="771"/>
      <c r="AS4179" s="771"/>
      <c r="AT4179" s="771"/>
      <c r="AU4179" s="771"/>
    </row>
    <row r="4180" spans="1:47" s="15" customFormat="1" x14ac:dyDescent="0.2">
      <c r="A4180" s="771"/>
      <c r="B4180" s="771"/>
      <c r="C4180" s="782"/>
      <c r="D4180" s="782"/>
      <c r="E4180" s="799"/>
      <c r="F4180" s="801"/>
      <c r="G4180" s="771"/>
      <c r="H4180" s="8"/>
      <c r="I4180" s="8"/>
      <c r="J4180" s="8"/>
      <c r="K4180" s="8"/>
      <c r="L4180" s="8"/>
      <c r="M4180" s="8"/>
      <c r="N4180" s="8"/>
      <c r="O4180" s="8"/>
      <c r="P4180" s="8"/>
      <c r="Q4180" s="8"/>
      <c r="R4180" s="8"/>
      <c r="S4180" s="8"/>
      <c r="T4180" s="8"/>
      <c r="U4180" s="8"/>
      <c r="V4180" s="8"/>
      <c r="W4180" s="8"/>
      <c r="X4180" s="771"/>
      <c r="Y4180" s="771"/>
      <c r="Z4180" s="771"/>
      <c r="AA4180" s="771"/>
      <c r="AB4180" s="771"/>
      <c r="AC4180" s="771"/>
      <c r="AD4180" s="771"/>
      <c r="AE4180" s="771"/>
      <c r="AF4180" s="771"/>
      <c r="AG4180" s="771"/>
      <c r="AH4180" s="771"/>
      <c r="AI4180" s="771"/>
      <c r="AJ4180" s="771"/>
      <c r="AK4180" s="771"/>
      <c r="AL4180" s="771"/>
      <c r="AM4180" s="771"/>
      <c r="AN4180" s="771"/>
      <c r="AO4180" s="771"/>
      <c r="AP4180" s="771"/>
      <c r="AQ4180" s="771"/>
      <c r="AR4180" s="771"/>
      <c r="AS4180" s="771"/>
      <c r="AT4180" s="771"/>
      <c r="AU4180" s="771"/>
    </row>
    <row r="4181" spans="1:47" s="15" customFormat="1" x14ac:dyDescent="0.2">
      <c r="A4181" s="771"/>
      <c r="B4181" s="771"/>
      <c r="C4181" s="782"/>
      <c r="D4181" s="782"/>
      <c r="E4181" s="799"/>
      <c r="F4181" s="801"/>
      <c r="G4181" s="771"/>
      <c r="H4181" s="8"/>
      <c r="I4181" s="8"/>
      <c r="J4181" s="8"/>
      <c r="K4181" s="8"/>
      <c r="L4181" s="8"/>
      <c r="M4181" s="8"/>
      <c r="N4181" s="8"/>
      <c r="O4181" s="8"/>
      <c r="P4181" s="8"/>
      <c r="Q4181" s="8"/>
      <c r="R4181" s="8"/>
      <c r="S4181" s="8"/>
      <c r="T4181" s="8"/>
      <c r="U4181" s="8"/>
      <c r="V4181" s="8"/>
      <c r="W4181" s="8"/>
      <c r="X4181" s="771"/>
      <c r="Y4181" s="771"/>
      <c r="Z4181" s="771"/>
      <c r="AA4181" s="771"/>
      <c r="AB4181" s="771"/>
      <c r="AC4181" s="771"/>
      <c r="AD4181" s="771"/>
      <c r="AE4181" s="771"/>
      <c r="AF4181" s="771"/>
      <c r="AG4181" s="771"/>
      <c r="AH4181" s="771"/>
      <c r="AI4181" s="771"/>
      <c r="AJ4181" s="771"/>
      <c r="AK4181" s="771"/>
      <c r="AL4181" s="771"/>
      <c r="AM4181" s="771"/>
      <c r="AN4181" s="771"/>
      <c r="AO4181" s="771"/>
      <c r="AP4181" s="771"/>
      <c r="AQ4181" s="771"/>
      <c r="AR4181" s="771"/>
      <c r="AS4181" s="771"/>
      <c r="AT4181" s="771"/>
      <c r="AU4181" s="771"/>
    </row>
    <row r="4182" spans="1:47" s="15" customFormat="1" x14ac:dyDescent="0.2">
      <c r="A4182" s="771"/>
      <c r="B4182" s="771"/>
      <c r="C4182" s="782"/>
      <c r="D4182" s="782"/>
      <c r="E4182" s="799"/>
      <c r="F4182" s="801"/>
      <c r="G4182" s="771"/>
      <c r="H4182" s="8"/>
      <c r="I4182" s="8"/>
      <c r="J4182" s="8"/>
      <c r="K4182" s="8"/>
      <c r="L4182" s="8"/>
      <c r="M4182" s="8"/>
      <c r="N4182" s="8"/>
      <c r="O4182" s="8"/>
      <c r="P4182" s="8"/>
      <c r="Q4182" s="8"/>
      <c r="R4182" s="8"/>
      <c r="S4182" s="8"/>
      <c r="T4182" s="8"/>
      <c r="U4182" s="8"/>
      <c r="V4182" s="8"/>
      <c r="W4182" s="8"/>
      <c r="X4182" s="771"/>
      <c r="Y4182" s="771"/>
      <c r="Z4182" s="771"/>
      <c r="AA4182" s="771"/>
      <c r="AB4182" s="771"/>
      <c r="AC4182" s="771"/>
      <c r="AD4182" s="771"/>
      <c r="AE4182" s="771"/>
      <c r="AF4182" s="771"/>
      <c r="AG4182" s="771"/>
      <c r="AH4182" s="771"/>
      <c r="AI4182" s="771"/>
      <c r="AJ4182" s="771"/>
      <c r="AK4182" s="771"/>
      <c r="AL4182" s="771"/>
      <c r="AM4182" s="771"/>
      <c r="AN4182" s="771"/>
      <c r="AO4182" s="771"/>
      <c r="AP4182" s="771"/>
      <c r="AQ4182" s="771"/>
      <c r="AR4182" s="771"/>
      <c r="AS4182" s="771"/>
      <c r="AT4182" s="771"/>
      <c r="AU4182" s="771"/>
    </row>
    <row r="4183" spans="1:47" s="15" customFormat="1" x14ac:dyDescent="0.2">
      <c r="A4183" s="771"/>
      <c r="B4183" s="771"/>
      <c r="C4183" s="782"/>
      <c r="D4183" s="782"/>
      <c r="E4183" s="799"/>
      <c r="F4183" s="801"/>
      <c r="G4183" s="771"/>
      <c r="H4183" s="8"/>
      <c r="I4183" s="8"/>
      <c r="J4183" s="8"/>
      <c r="K4183" s="8"/>
      <c r="L4183" s="8"/>
      <c r="M4183" s="8"/>
      <c r="N4183" s="8"/>
      <c r="O4183" s="8"/>
      <c r="P4183" s="8"/>
      <c r="Q4183" s="8"/>
      <c r="R4183" s="8"/>
      <c r="S4183" s="8"/>
      <c r="T4183" s="8"/>
      <c r="U4183" s="8"/>
      <c r="V4183" s="8"/>
      <c r="W4183" s="8"/>
      <c r="X4183" s="771"/>
      <c r="Y4183" s="771"/>
      <c r="Z4183" s="771"/>
      <c r="AA4183" s="771"/>
      <c r="AB4183" s="771"/>
      <c r="AC4183" s="771"/>
      <c r="AD4183" s="771"/>
      <c r="AE4183" s="771"/>
      <c r="AF4183" s="771"/>
      <c r="AG4183" s="771"/>
      <c r="AH4183" s="771"/>
      <c r="AI4183" s="771"/>
      <c r="AJ4183" s="771"/>
      <c r="AK4183" s="771"/>
      <c r="AL4183" s="771"/>
      <c r="AM4183" s="771"/>
      <c r="AN4183" s="771"/>
      <c r="AO4183" s="771"/>
      <c r="AP4183" s="771"/>
      <c r="AQ4183" s="771"/>
      <c r="AR4183" s="771"/>
      <c r="AS4183" s="771"/>
      <c r="AT4183" s="771"/>
      <c r="AU4183" s="771"/>
    </row>
    <row r="4184" spans="1:47" s="15" customFormat="1" x14ac:dyDescent="0.2">
      <c r="A4184" s="771"/>
      <c r="B4184" s="771"/>
      <c r="C4184" s="782"/>
      <c r="D4184" s="782"/>
      <c r="E4184" s="799"/>
      <c r="F4184" s="801"/>
      <c r="G4184" s="771"/>
      <c r="H4184" s="8"/>
      <c r="I4184" s="8"/>
      <c r="J4184" s="8"/>
      <c r="K4184" s="8"/>
      <c r="L4184" s="8"/>
      <c r="M4184" s="8"/>
      <c r="N4184" s="8"/>
      <c r="O4184" s="8"/>
      <c r="P4184" s="8"/>
      <c r="Q4184" s="8"/>
      <c r="R4184" s="8"/>
      <c r="S4184" s="8"/>
      <c r="T4184" s="8"/>
      <c r="U4184" s="8"/>
      <c r="V4184" s="8"/>
      <c r="W4184" s="8"/>
      <c r="X4184" s="771"/>
      <c r="Y4184" s="771"/>
      <c r="Z4184" s="771"/>
      <c r="AA4184" s="771"/>
      <c r="AB4184" s="771"/>
      <c r="AC4184" s="771"/>
      <c r="AD4184" s="771"/>
      <c r="AE4184" s="771"/>
      <c r="AF4184" s="771"/>
      <c r="AG4184" s="771"/>
      <c r="AH4184" s="771"/>
      <c r="AI4184" s="771"/>
      <c r="AJ4184" s="771"/>
      <c r="AK4184" s="771"/>
      <c r="AL4184" s="771"/>
      <c r="AM4184" s="771"/>
      <c r="AN4184" s="771"/>
      <c r="AO4184" s="771"/>
      <c r="AP4184" s="771"/>
      <c r="AQ4184" s="771"/>
      <c r="AR4184" s="771"/>
      <c r="AS4184" s="771"/>
      <c r="AT4184" s="771"/>
      <c r="AU4184" s="771"/>
    </row>
    <row r="4185" spans="1:47" s="15" customFormat="1" x14ac:dyDescent="0.2">
      <c r="A4185" s="771"/>
      <c r="B4185" s="771"/>
      <c r="C4185" s="782"/>
      <c r="D4185" s="782"/>
      <c r="E4185" s="799"/>
      <c r="F4185" s="801"/>
      <c r="G4185" s="771"/>
      <c r="H4185" s="8"/>
      <c r="I4185" s="8"/>
      <c r="J4185" s="8"/>
      <c r="K4185" s="8"/>
      <c r="L4185" s="8"/>
      <c r="M4185" s="8"/>
      <c r="N4185" s="8"/>
      <c r="O4185" s="8"/>
      <c r="P4185" s="8"/>
      <c r="Q4185" s="8"/>
      <c r="R4185" s="8"/>
      <c r="S4185" s="8"/>
      <c r="T4185" s="8"/>
      <c r="U4185" s="8"/>
      <c r="V4185" s="8"/>
      <c r="W4185" s="8"/>
      <c r="X4185" s="771"/>
      <c r="Y4185" s="771"/>
      <c r="Z4185" s="771"/>
      <c r="AA4185" s="771"/>
      <c r="AB4185" s="771"/>
      <c r="AC4185" s="771"/>
      <c r="AD4185" s="771"/>
      <c r="AE4185" s="771"/>
      <c r="AF4185" s="771"/>
      <c r="AG4185" s="771"/>
      <c r="AH4185" s="771"/>
      <c r="AI4185" s="771"/>
      <c r="AJ4185" s="771"/>
      <c r="AK4185" s="771"/>
      <c r="AL4185" s="771"/>
      <c r="AM4185" s="771"/>
      <c r="AN4185" s="771"/>
      <c r="AO4185" s="771"/>
      <c r="AP4185" s="771"/>
      <c r="AQ4185" s="771"/>
      <c r="AR4185" s="771"/>
      <c r="AS4185" s="771"/>
      <c r="AT4185" s="771"/>
      <c r="AU4185" s="771"/>
    </row>
    <row r="4186" spans="1:47" s="15" customFormat="1" x14ac:dyDescent="0.2">
      <c r="A4186" s="771"/>
      <c r="B4186" s="771"/>
      <c r="C4186" s="782"/>
      <c r="D4186" s="782"/>
      <c r="E4186" s="799"/>
      <c r="F4186" s="801"/>
      <c r="G4186" s="771"/>
      <c r="H4186" s="8"/>
      <c r="I4186" s="8"/>
      <c r="J4186" s="8"/>
      <c r="K4186" s="8"/>
      <c r="L4186" s="8"/>
      <c r="M4186" s="8"/>
      <c r="N4186" s="8"/>
      <c r="O4186" s="8"/>
      <c r="P4186" s="8"/>
      <c r="Q4186" s="8"/>
      <c r="R4186" s="8"/>
      <c r="S4186" s="8"/>
      <c r="T4186" s="8"/>
      <c r="U4186" s="8"/>
      <c r="V4186" s="8"/>
      <c r="W4186" s="8"/>
      <c r="X4186" s="771"/>
      <c r="Y4186" s="771"/>
      <c r="Z4186" s="771"/>
      <c r="AA4186" s="771"/>
      <c r="AB4186" s="771"/>
      <c r="AC4186" s="771"/>
      <c r="AD4186" s="771"/>
      <c r="AE4186" s="771"/>
      <c r="AF4186" s="771"/>
      <c r="AG4186" s="771"/>
      <c r="AH4186" s="771"/>
      <c r="AI4186" s="771"/>
      <c r="AJ4186" s="771"/>
      <c r="AK4186" s="771"/>
      <c r="AL4186" s="771"/>
      <c r="AM4186" s="771"/>
      <c r="AN4186" s="771"/>
      <c r="AO4186" s="771"/>
      <c r="AP4186" s="771"/>
      <c r="AQ4186" s="771"/>
      <c r="AR4186" s="771"/>
      <c r="AS4186" s="771"/>
      <c r="AT4186" s="771"/>
      <c r="AU4186" s="771"/>
    </row>
    <row r="4187" spans="1:47" s="15" customFormat="1" x14ac:dyDescent="0.2">
      <c r="A4187" s="771"/>
      <c r="B4187" s="771"/>
      <c r="C4187" s="782"/>
      <c r="D4187" s="782"/>
      <c r="E4187" s="799"/>
      <c r="F4187" s="801"/>
      <c r="G4187" s="771"/>
      <c r="H4187" s="8"/>
      <c r="I4187" s="8"/>
      <c r="J4187" s="8"/>
      <c r="K4187" s="8"/>
      <c r="L4187" s="8"/>
      <c r="M4187" s="8"/>
      <c r="N4187" s="8"/>
      <c r="O4187" s="8"/>
      <c r="P4187" s="8"/>
      <c r="Q4187" s="8"/>
      <c r="R4187" s="8"/>
      <c r="S4187" s="8"/>
      <c r="T4187" s="8"/>
      <c r="U4187" s="8"/>
      <c r="V4187" s="8"/>
      <c r="W4187" s="8"/>
      <c r="X4187" s="771"/>
      <c r="Y4187" s="771"/>
      <c r="Z4187" s="771"/>
      <c r="AA4187" s="771"/>
      <c r="AB4187" s="771"/>
      <c r="AC4187" s="771"/>
      <c r="AD4187" s="771"/>
      <c r="AE4187" s="771"/>
      <c r="AF4187" s="771"/>
      <c r="AG4187" s="771"/>
      <c r="AH4187" s="771"/>
      <c r="AI4187" s="771"/>
      <c r="AJ4187" s="771"/>
      <c r="AK4187" s="771"/>
      <c r="AL4187" s="771"/>
      <c r="AM4187" s="771"/>
      <c r="AN4187" s="771"/>
      <c r="AO4187" s="771"/>
      <c r="AP4187" s="771"/>
      <c r="AQ4187" s="771"/>
      <c r="AR4187" s="771"/>
      <c r="AS4187" s="771"/>
      <c r="AT4187" s="771"/>
      <c r="AU4187" s="771"/>
    </row>
    <row r="4188" spans="1:47" s="15" customFormat="1" x14ac:dyDescent="0.2">
      <c r="A4188" s="771"/>
      <c r="B4188" s="771"/>
      <c r="C4188" s="782"/>
      <c r="D4188" s="782"/>
      <c r="E4188" s="799"/>
      <c r="F4188" s="801"/>
      <c r="G4188" s="771"/>
      <c r="H4188" s="8"/>
      <c r="I4188" s="8"/>
      <c r="J4188" s="8"/>
      <c r="K4188" s="8"/>
      <c r="L4188" s="8"/>
      <c r="M4188" s="8"/>
      <c r="N4188" s="8"/>
      <c r="O4188" s="8"/>
      <c r="P4188" s="8"/>
      <c r="Q4188" s="8"/>
      <c r="R4188" s="8"/>
      <c r="S4188" s="8"/>
      <c r="T4188" s="8"/>
      <c r="U4188" s="8"/>
      <c r="V4188" s="8"/>
      <c r="W4188" s="8"/>
      <c r="X4188" s="771"/>
      <c r="Y4188" s="771"/>
      <c r="Z4188" s="771"/>
      <c r="AA4188" s="771"/>
      <c r="AB4188" s="771"/>
      <c r="AC4188" s="771"/>
      <c r="AD4188" s="771"/>
      <c r="AE4188" s="771"/>
      <c r="AF4188" s="771"/>
      <c r="AG4188" s="771"/>
      <c r="AH4188" s="771"/>
      <c r="AI4188" s="771"/>
      <c r="AJ4188" s="771"/>
      <c r="AK4188" s="771"/>
      <c r="AL4188" s="771"/>
      <c r="AM4188" s="771"/>
      <c r="AN4188" s="771"/>
      <c r="AO4188" s="771"/>
      <c r="AP4188" s="771"/>
      <c r="AQ4188" s="771"/>
      <c r="AR4188" s="771"/>
      <c r="AS4188" s="771"/>
      <c r="AT4188" s="771"/>
      <c r="AU4188" s="771"/>
    </row>
    <row r="4189" spans="1:47" s="15" customFormat="1" x14ac:dyDescent="0.2">
      <c r="A4189" s="8"/>
      <c r="B4189" s="8"/>
      <c r="C4189" s="11"/>
      <c r="D4189" s="11"/>
      <c r="E4189" s="84"/>
      <c r="F4189" s="83"/>
      <c r="H4189" s="8"/>
      <c r="I4189" s="8"/>
      <c r="J4189" s="8"/>
      <c r="K4189" s="8"/>
      <c r="L4189" s="8"/>
      <c r="M4189" s="8"/>
      <c r="N4189" s="8"/>
      <c r="O4189" s="8"/>
      <c r="P4189" s="8"/>
      <c r="Q4189" s="8"/>
      <c r="R4189" s="8"/>
      <c r="S4189" s="8"/>
      <c r="T4189" s="8"/>
      <c r="U4189" s="8"/>
      <c r="V4189" s="8"/>
      <c r="W4189" s="8"/>
      <c r="X4189" s="771"/>
      <c r="Y4189" s="771"/>
      <c r="Z4189" s="771"/>
      <c r="AA4189" s="771"/>
      <c r="AB4189" s="771"/>
      <c r="AC4189" s="771"/>
      <c r="AD4189" s="771"/>
      <c r="AE4189" s="771"/>
      <c r="AF4189" s="771"/>
      <c r="AG4189" s="771"/>
      <c r="AH4189" s="771"/>
      <c r="AI4189" s="771"/>
      <c r="AJ4189" s="771"/>
      <c r="AK4189" s="771"/>
      <c r="AL4189" s="771"/>
      <c r="AM4189" s="771"/>
      <c r="AN4189" s="771"/>
      <c r="AO4189" s="771"/>
      <c r="AP4189" s="771"/>
      <c r="AQ4189" s="771"/>
      <c r="AR4189" s="771"/>
      <c r="AS4189" s="771"/>
      <c r="AT4189" s="771"/>
      <c r="AU4189" s="771"/>
    </row>
    <row r="4190" spans="1:47" s="15" customFormat="1" x14ac:dyDescent="0.2">
      <c r="A4190" s="8"/>
      <c r="B4190" s="8"/>
      <c r="C4190" s="11"/>
      <c r="D4190" s="11"/>
      <c r="E4190" s="84"/>
      <c r="F4190" s="83"/>
      <c r="H4190" s="8"/>
      <c r="I4190" s="8"/>
      <c r="J4190" s="8"/>
      <c r="K4190" s="8"/>
      <c r="L4190" s="8"/>
      <c r="M4190" s="8"/>
      <c r="N4190" s="8"/>
      <c r="O4190" s="8"/>
      <c r="P4190" s="8"/>
      <c r="Q4190" s="8"/>
      <c r="R4190" s="8"/>
      <c r="S4190" s="8"/>
      <c r="T4190" s="8"/>
      <c r="U4190" s="8"/>
      <c r="V4190" s="8"/>
      <c r="W4190" s="8"/>
      <c r="X4190" s="771"/>
      <c r="Y4190" s="771"/>
      <c r="Z4190" s="771"/>
      <c r="AA4190" s="771"/>
      <c r="AB4190" s="771"/>
      <c r="AC4190" s="771"/>
      <c r="AD4190" s="771"/>
      <c r="AE4190" s="771"/>
      <c r="AF4190" s="771"/>
      <c r="AG4190" s="771"/>
      <c r="AH4190" s="771"/>
      <c r="AI4190" s="771"/>
      <c r="AJ4190" s="771"/>
      <c r="AK4190" s="771"/>
      <c r="AL4190" s="771"/>
      <c r="AM4190" s="771"/>
      <c r="AN4190" s="771"/>
      <c r="AO4190" s="771"/>
      <c r="AP4190" s="771"/>
      <c r="AQ4190" s="771"/>
      <c r="AR4190" s="771"/>
      <c r="AS4190" s="771"/>
      <c r="AT4190" s="771"/>
      <c r="AU4190" s="771"/>
    </row>
    <row r="4191" spans="1:47" s="15" customFormat="1" x14ac:dyDescent="0.2">
      <c r="A4191" s="8"/>
      <c r="B4191" s="8"/>
      <c r="C4191" s="11"/>
      <c r="D4191" s="11"/>
      <c r="E4191" s="84"/>
      <c r="F4191" s="83"/>
      <c r="H4191" s="8"/>
      <c r="I4191" s="8"/>
      <c r="J4191" s="8"/>
      <c r="K4191" s="8"/>
      <c r="L4191" s="8"/>
      <c r="M4191" s="8"/>
      <c r="N4191" s="8"/>
      <c r="O4191" s="8"/>
      <c r="P4191" s="8"/>
      <c r="Q4191" s="8"/>
      <c r="R4191" s="8"/>
      <c r="S4191" s="8"/>
      <c r="T4191" s="8"/>
      <c r="U4191" s="8"/>
      <c r="V4191" s="8"/>
      <c r="W4191" s="8"/>
      <c r="X4191" s="771"/>
      <c r="Y4191" s="771"/>
      <c r="Z4191" s="771"/>
      <c r="AA4191" s="771"/>
      <c r="AB4191" s="771"/>
      <c r="AC4191" s="771"/>
      <c r="AD4191" s="771"/>
      <c r="AE4191" s="771"/>
      <c r="AF4191" s="771"/>
      <c r="AG4191" s="771"/>
      <c r="AH4191" s="771"/>
      <c r="AI4191" s="771"/>
      <c r="AJ4191" s="771"/>
      <c r="AK4191" s="771"/>
      <c r="AL4191" s="771"/>
      <c r="AM4191" s="771"/>
      <c r="AN4191" s="771"/>
      <c r="AO4191" s="771"/>
      <c r="AP4191" s="771"/>
      <c r="AQ4191" s="771"/>
      <c r="AR4191" s="771"/>
      <c r="AS4191" s="771"/>
      <c r="AT4191" s="771"/>
      <c r="AU4191" s="771"/>
    </row>
    <row r="4192" spans="1:47" s="15" customFormat="1" x14ac:dyDescent="0.2">
      <c r="A4192" s="8"/>
      <c r="B4192" s="8"/>
      <c r="C4192" s="11"/>
      <c r="D4192" s="11"/>
      <c r="E4192" s="84"/>
      <c r="F4192" s="83"/>
      <c r="H4192" s="8"/>
      <c r="I4192" s="8"/>
      <c r="J4192" s="8"/>
      <c r="K4192" s="8"/>
      <c r="L4192" s="8"/>
      <c r="M4192" s="8"/>
      <c r="N4192" s="8"/>
      <c r="O4192" s="8"/>
      <c r="P4192" s="8"/>
      <c r="Q4192" s="8"/>
      <c r="R4192" s="8"/>
      <c r="S4192" s="8"/>
      <c r="T4192" s="8"/>
      <c r="U4192" s="8"/>
      <c r="V4192" s="8"/>
      <c r="W4192" s="8"/>
      <c r="X4192" s="771"/>
      <c r="Y4192" s="771"/>
      <c r="Z4192" s="771"/>
      <c r="AA4192" s="771"/>
      <c r="AB4192" s="771"/>
      <c r="AC4192" s="771"/>
      <c r="AD4192" s="771"/>
      <c r="AE4192" s="771"/>
      <c r="AF4192" s="771"/>
      <c r="AG4192" s="771"/>
      <c r="AH4192" s="771"/>
      <c r="AI4192" s="771"/>
      <c r="AJ4192" s="771"/>
      <c r="AK4192" s="771"/>
      <c r="AL4192" s="771"/>
      <c r="AM4192" s="771"/>
      <c r="AN4192" s="771"/>
      <c r="AO4192" s="771"/>
      <c r="AP4192" s="771"/>
      <c r="AQ4192" s="771"/>
      <c r="AR4192" s="771"/>
      <c r="AS4192" s="771"/>
      <c r="AT4192" s="771"/>
      <c r="AU4192" s="771"/>
    </row>
    <row r="4193" spans="1:47" s="15" customFormat="1" x14ac:dyDescent="0.2">
      <c r="A4193" s="8"/>
      <c r="B4193" s="8"/>
      <c r="C4193" s="11"/>
      <c r="D4193" s="11"/>
      <c r="E4193" s="84"/>
      <c r="F4193" s="83"/>
      <c r="H4193" s="8"/>
      <c r="I4193" s="8"/>
      <c r="J4193" s="8"/>
      <c r="K4193" s="8"/>
      <c r="L4193" s="8"/>
      <c r="M4193" s="8"/>
      <c r="N4193" s="8"/>
      <c r="O4193" s="8"/>
      <c r="P4193" s="8"/>
      <c r="Q4193" s="8"/>
      <c r="R4193" s="8"/>
      <c r="S4193" s="8"/>
      <c r="T4193" s="8"/>
      <c r="U4193" s="8"/>
      <c r="V4193" s="8"/>
      <c r="W4193" s="8"/>
      <c r="X4193" s="771"/>
      <c r="Y4193" s="771"/>
      <c r="Z4193" s="771"/>
      <c r="AA4193" s="771"/>
      <c r="AB4193" s="771"/>
      <c r="AC4193" s="771"/>
      <c r="AD4193" s="771"/>
      <c r="AE4193" s="771"/>
      <c r="AF4193" s="771"/>
      <c r="AG4193" s="771"/>
      <c r="AH4193" s="771"/>
      <c r="AI4193" s="771"/>
      <c r="AJ4193" s="771"/>
      <c r="AK4193" s="771"/>
      <c r="AL4193" s="771"/>
      <c r="AM4193" s="771"/>
      <c r="AN4193" s="771"/>
      <c r="AO4193" s="771"/>
      <c r="AP4193" s="771"/>
      <c r="AQ4193" s="771"/>
      <c r="AR4193" s="771"/>
      <c r="AS4193" s="771"/>
      <c r="AT4193" s="771"/>
      <c r="AU4193" s="771"/>
    </row>
    <row r="4194" spans="1:47" s="15" customFormat="1" x14ac:dyDescent="0.2">
      <c r="A4194" s="8"/>
      <c r="B4194" s="8"/>
      <c r="C4194" s="11"/>
      <c r="D4194" s="11"/>
      <c r="E4194" s="84"/>
      <c r="F4194" s="83"/>
      <c r="H4194" s="8"/>
      <c r="I4194" s="8"/>
      <c r="J4194" s="8"/>
      <c r="K4194" s="8"/>
      <c r="L4194" s="8"/>
      <c r="M4194" s="8"/>
      <c r="N4194" s="8"/>
      <c r="O4194" s="8"/>
      <c r="P4194" s="8"/>
      <c r="Q4194" s="8"/>
      <c r="R4194" s="8"/>
      <c r="S4194" s="8"/>
      <c r="T4194" s="8"/>
      <c r="U4194" s="8"/>
      <c r="V4194" s="8"/>
      <c r="W4194" s="8"/>
      <c r="X4194" s="771"/>
      <c r="Y4194" s="771"/>
      <c r="Z4194" s="771"/>
      <c r="AA4194" s="771"/>
      <c r="AB4194" s="771"/>
      <c r="AC4194" s="771"/>
      <c r="AD4194" s="771"/>
      <c r="AE4194" s="771"/>
      <c r="AF4194" s="771"/>
      <c r="AG4194" s="771"/>
      <c r="AH4194" s="771"/>
      <c r="AI4194" s="771"/>
      <c r="AJ4194" s="771"/>
      <c r="AK4194" s="771"/>
      <c r="AL4194" s="771"/>
      <c r="AM4194" s="771"/>
      <c r="AN4194" s="771"/>
      <c r="AO4194" s="771"/>
      <c r="AP4194" s="771"/>
      <c r="AQ4194" s="771"/>
      <c r="AR4194" s="771"/>
      <c r="AS4194" s="771"/>
      <c r="AT4194" s="771"/>
      <c r="AU4194" s="771"/>
    </row>
    <row r="4195" spans="1:47" s="15" customFormat="1" x14ac:dyDescent="0.2">
      <c r="A4195" s="8"/>
      <c r="B4195" s="8"/>
      <c r="C4195" s="11"/>
      <c r="D4195" s="11"/>
      <c r="E4195" s="84"/>
      <c r="F4195" s="83"/>
      <c r="H4195" s="8"/>
      <c r="I4195" s="8"/>
      <c r="J4195" s="8"/>
      <c r="K4195" s="8"/>
      <c r="L4195" s="8"/>
      <c r="M4195" s="8"/>
      <c r="N4195" s="8"/>
      <c r="O4195" s="8"/>
      <c r="P4195" s="8"/>
      <c r="Q4195" s="8"/>
      <c r="R4195" s="8"/>
      <c r="S4195" s="8"/>
      <c r="T4195" s="8"/>
      <c r="U4195" s="8"/>
      <c r="V4195" s="8"/>
      <c r="W4195" s="8"/>
      <c r="X4195" s="771"/>
      <c r="Y4195" s="771"/>
      <c r="Z4195" s="771"/>
      <c r="AA4195" s="771"/>
      <c r="AB4195" s="771"/>
      <c r="AC4195" s="771"/>
      <c r="AD4195" s="771"/>
      <c r="AE4195" s="771"/>
      <c r="AF4195" s="771"/>
      <c r="AG4195" s="771"/>
      <c r="AH4195" s="771"/>
      <c r="AI4195" s="771"/>
      <c r="AJ4195" s="771"/>
      <c r="AK4195" s="771"/>
      <c r="AL4195" s="771"/>
      <c r="AM4195" s="771"/>
      <c r="AN4195" s="771"/>
      <c r="AO4195" s="771"/>
      <c r="AP4195" s="771"/>
      <c r="AQ4195" s="771"/>
      <c r="AR4195" s="771"/>
      <c r="AS4195" s="771"/>
      <c r="AT4195" s="771"/>
      <c r="AU4195" s="771"/>
    </row>
    <row r="4196" spans="1:47" s="15" customFormat="1" x14ac:dyDescent="0.2">
      <c r="A4196" s="8"/>
      <c r="B4196" s="8"/>
      <c r="C4196" s="11"/>
      <c r="D4196" s="11"/>
      <c r="E4196" s="84"/>
      <c r="F4196" s="83"/>
      <c r="H4196" s="8"/>
      <c r="I4196" s="8"/>
      <c r="J4196" s="8"/>
      <c r="K4196" s="8"/>
      <c r="L4196" s="8"/>
      <c r="M4196" s="8"/>
      <c r="N4196" s="8"/>
      <c r="O4196" s="8"/>
      <c r="P4196" s="8"/>
      <c r="Q4196" s="8"/>
      <c r="R4196" s="8"/>
      <c r="S4196" s="8"/>
      <c r="T4196" s="8"/>
      <c r="U4196" s="8"/>
      <c r="V4196" s="8"/>
      <c r="W4196" s="8"/>
      <c r="X4196" s="771"/>
      <c r="Y4196" s="771"/>
      <c r="Z4196" s="771"/>
      <c r="AA4196" s="771"/>
      <c r="AB4196" s="771"/>
      <c r="AC4196" s="771"/>
      <c r="AD4196" s="771"/>
      <c r="AE4196" s="771"/>
      <c r="AF4196" s="771"/>
      <c r="AG4196" s="771"/>
      <c r="AH4196" s="771"/>
      <c r="AI4196" s="771"/>
      <c r="AJ4196" s="771"/>
      <c r="AK4196" s="771"/>
      <c r="AL4196" s="771"/>
      <c r="AM4196" s="771"/>
      <c r="AN4196" s="771"/>
      <c r="AO4196" s="771"/>
      <c r="AP4196" s="771"/>
      <c r="AQ4196" s="771"/>
      <c r="AR4196" s="771"/>
      <c r="AS4196" s="771"/>
      <c r="AT4196" s="771"/>
      <c r="AU4196" s="771"/>
    </row>
    <row r="4197" spans="1:47" s="15" customFormat="1" x14ac:dyDescent="0.2">
      <c r="A4197" s="8"/>
      <c r="B4197" s="8"/>
      <c r="C4197" s="11"/>
      <c r="D4197" s="11"/>
      <c r="E4197" s="84"/>
      <c r="F4197" s="83"/>
      <c r="H4197" s="8"/>
      <c r="I4197" s="8"/>
      <c r="J4197" s="8"/>
      <c r="K4197" s="8"/>
      <c r="L4197" s="8"/>
      <c r="M4197" s="8"/>
      <c r="N4197" s="8"/>
      <c r="O4197" s="8"/>
      <c r="P4197" s="8"/>
      <c r="Q4197" s="8"/>
      <c r="R4197" s="8"/>
      <c r="S4197" s="8"/>
      <c r="T4197" s="8"/>
      <c r="U4197" s="8"/>
      <c r="V4197" s="8"/>
      <c r="W4197" s="8"/>
      <c r="X4197" s="771"/>
      <c r="Y4197" s="771"/>
      <c r="Z4197" s="771"/>
      <c r="AA4197" s="771"/>
      <c r="AB4197" s="771"/>
      <c r="AC4197" s="771"/>
      <c r="AD4197" s="771"/>
      <c r="AE4197" s="771"/>
      <c r="AF4197" s="771"/>
      <c r="AG4197" s="771"/>
      <c r="AH4197" s="771"/>
      <c r="AI4197" s="771"/>
      <c r="AJ4197" s="771"/>
      <c r="AK4197" s="771"/>
      <c r="AL4197" s="771"/>
      <c r="AM4197" s="771"/>
      <c r="AN4197" s="771"/>
      <c r="AO4197" s="771"/>
      <c r="AP4197" s="771"/>
      <c r="AQ4197" s="771"/>
      <c r="AR4197" s="771"/>
      <c r="AS4197" s="771"/>
      <c r="AT4197" s="771"/>
      <c r="AU4197" s="771"/>
    </row>
    <row r="4198" spans="1:47" s="15" customFormat="1" x14ac:dyDescent="0.2">
      <c r="A4198" s="8"/>
      <c r="B4198" s="8"/>
      <c r="C4198" s="11"/>
      <c r="D4198" s="11"/>
      <c r="E4198" s="84"/>
      <c r="F4198" s="83"/>
      <c r="H4198" s="8"/>
      <c r="I4198" s="8"/>
      <c r="J4198" s="8"/>
      <c r="K4198" s="8"/>
      <c r="L4198" s="8"/>
      <c r="M4198" s="8"/>
      <c r="N4198" s="8"/>
      <c r="O4198" s="8"/>
      <c r="P4198" s="8"/>
      <c r="Q4198" s="8"/>
      <c r="R4198" s="8"/>
      <c r="S4198" s="8"/>
      <c r="T4198" s="8"/>
      <c r="U4198" s="8"/>
      <c r="V4198" s="8"/>
      <c r="W4198" s="8"/>
      <c r="X4198" s="771"/>
      <c r="Y4198" s="771"/>
      <c r="Z4198" s="771"/>
      <c r="AA4198" s="771"/>
      <c r="AB4198" s="771"/>
      <c r="AC4198" s="771"/>
      <c r="AD4198" s="771"/>
      <c r="AE4198" s="771"/>
      <c r="AF4198" s="771"/>
      <c r="AG4198" s="771"/>
      <c r="AH4198" s="771"/>
      <c r="AI4198" s="771"/>
      <c r="AJ4198" s="771"/>
      <c r="AK4198" s="771"/>
      <c r="AL4198" s="771"/>
      <c r="AM4198" s="771"/>
      <c r="AN4198" s="771"/>
      <c r="AO4198" s="771"/>
      <c r="AP4198" s="771"/>
      <c r="AQ4198" s="771"/>
      <c r="AR4198" s="771"/>
      <c r="AS4198" s="771"/>
      <c r="AT4198" s="771"/>
      <c r="AU4198" s="771"/>
    </row>
    <row r="4199" spans="1:47" s="15" customFormat="1" x14ac:dyDescent="0.2">
      <c r="A4199" s="8"/>
      <c r="B4199" s="8"/>
      <c r="C4199" s="11"/>
      <c r="D4199" s="11"/>
      <c r="E4199" s="84"/>
      <c r="F4199" s="83"/>
      <c r="H4199" s="8"/>
      <c r="I4199" s="8"/>
      <c r="J4199" s="8"/>
      <c r="K4199" s="8"/>
      <c r="L4199" s="8"/>
      <c r="M4199" s="8"/>
      <c r="N4199" s="8"/>
      <c r="O4199" s="8"/>
      <c r="P4199" s="8"/>
      <c r="Q4199" s="8"/>
      <c r="R4199" s="8"/>
      <c r="S4199" s="8"/>
      <c r="T4199" s="8"/>
      <c r="U4199" s="8"/>
      <c r="V4199" s="8"/>
      <c r="W4199" s="8"/>
      <c r="X4199" s="771"/>
      <c r="Y4199" s="771"/>
      <c r="Z4199" s="771"/>
      <c r="AA4199" s="771"/>
      <c r="AB4199" s="771"/>
      <c r="AC4199" s="771"/>
      <c r="AD4199" s="771"/>
      <c r="AE4199" s="771"/>
      <c r="AF4199" s="771"/>
      <c r="AG4199" s="771"/>
      <c r="AH4199" s="771"/>
      <c r="AI4199" s="771"/>
      <c r="AJ4199" s="771"/>
      <c r="AK4199" s="771"/>
      <c r="AL4199" s="771"/>
      <c r="AM4199" s="771"/>
      <c r="AN4199" s="771"/>
      <c r="AO4199" s="771"/>
      <c r="AP4199" s="771"/>
      <c r="AQ4199" s="771"/>
      <c r="AR4199" s="771"/>
      <c r="AS4199" s="771"/>
      <c r="AT4199" s="771"/>
      <c r="AU4199" s="771"/>
    </row>
    <row r="4200" spans="1:47" s="15" customFormat="1" x14ac:dyDescent="0.2">
      <c r="A4200" s="8"/>
      <c r="B4200" s="8"/>
      <c r="C4200" s="11"/>
      <c r="D4200" s="11"/>
      <c r="E4200" s="84"/>
      <c r="F4200" s="83"/>
      <c r="H4200" s="8"/>
      <c r="I4200" s="8"/>
      <c r="J4200" s="8"/>
      <c r="K4200" s="8"/>
      <c r="L4200" s="8"/>
      <c r="M4200" s="8"/>
      <c r="N4200" s="8"/>
      <c r="O4200" s="8"/>
      <c r="P4200" s="8"/>
      <c r="Q4200" s="8"/>
      <c r="R4200" s="8"/>
      <c r="S4200" s="8"/>
      <c r="T4200" s="8"/>
      <c r="U4200" s="8"/>
      <c r="V4200" s="8"/>
      <c r="W4200" s="8"/>
      <c r="X4200" s="771"/>
      <c r="Y4200" s="771"/>
      <c r="Z4200" s="771"/>
      <c r="AA4200" s="771"/>
      <c r="AB4200" s="771"/>
      <c r="AC4200" s="771"/>
      <c r="AD4200" s="771"/>
      <c r="AE4200" s="771"/>
      <c r="AF4200" s="771"/>
      <c r="AG4200" s="771"/>
      <c r="AH4200" s="771"/>
      <c r="AI4200" s="771"/>
      <c r="AJ4200" s="771"/>
      <c r="AK4200" s="771"/>
      <c r="AL4200" s="771"/>
      <c r="AM4200" s="771"/>
      <c r="AN4200" s="771"/>
      <c r="AO4200" s="771"/>
      <c r="AP4200" s="771"/>
      <c r="AQ4200" s="771"/>
      <c r="AR4200" s="771"/>
      <c r="AS4200" s="771"/>
      <c r="AT4200" s="771"/>
      <c r="AU4200" s="771"/>
    </row>
    <row r="4201" spans="1:47" s="15" customFormat="1" x14ac:dyDescent="0.2">
      <c r="A4201" s="8"/>
      <c r="B4201" s="8"/>
      <c r="C4201" s="11"/>
      <c r="D4201" s="11"/>
      <c r="E4201" s="84"/>
      <c r="F4201" s="83"/>
      <c r="H4201" s="8"/>
      <c r="I4201" s="8"/>
      <c r="J4201" s="8"/>
      <c r="K4201" s="8"/>
      <c r="L4201" s="8"/>
      <c r="M4201" s="8"/>
      <c r="N4201" s="8"/>
      <c r="O4201" s="8"/>
      <c r="P4201" s="8"/>
      <c r="Q4201" s="8"/>
      <c r="R4201" s="8"/>
      <c r="S4201" s="8"/>
      <c r="T4201" s="8"/>
      <c r="U4201" s="8"/>
      <c r="V4201" s="8"/>
      <c r="W4201" s="8"/>
      <c r="X4201" s="771"/>
      <c r="Y4201" s="771"/>
      <c r="Z4201" s="771"/>
      <c r="AA4201" s="771"/>
      <c r="AB4201" s="771"/>
      <c r="AC4201" s="771"/>
      <c r="AD4201" s="771"/>
      <c r="AE4201" s="771"/>
      <c r="AF4201" s="771"/>
      <c r="AG4201" s="771"/>
      <c r="AH4201" s="771"/>
      <c r="AI4201" s="771"/>
      <c r="AJ4201" s="771"/>
      <c r="AK4201" s="771"/>
      <c r="AL4201" s="771"/>
      <c r="AM4201" s="771"/>
      <c r="AN4201" s="771"/>
      <c r="AO4201" s="771"/>
      <c r="AP4201" s="771"/>
      <c r="AQ4201" s="771"/>
      <c r="AR4201" s="771"/>
      <c r="AS4201" s="771"/>
      <c r="AT4201" s="771"/>
      <c r="AU4201" s="771"/>
    </row>
    <row r="4202" spans="1:47" s="15" customFormat="1" x14ac:dyDescent="0.2">
      <c r="A4202" s="8"/>
      <c r="B4202" s="8"/>
      <c r="C4202" s="11"/>
      <c r="D4202" s="11"/>
      <c r="E4202" s="84"/>
      <c r="F4202" s="83"/>
      <c r="H4202" s="8"/>
      <c r="I4202" s="8"/>
      <c r="J4202" s="8"/>
      <c r="K4202" s="8"/>
      <c r="L4202" s="8"/>
      <c r="M4202" s="8"/>
      <c r="N4202" s="8"/>
      <c r="O4202" s="8"/>
      <c r="P4202" s="8"/>
      <c r="Q4202" s="8"/>
      <c r="R4202" s="8"/>
      <c r="S4202" s="8"/>
      <c r="T4202" s="8"/>
      <c r="U4202" s="8"/>
      <c r="V4202" s="8"/>
      <c r="W4202" s="8"/>
      <c r="X4202" s="771"/>
      <c r="Y4202" s="771"/>
      <c r="Z4202" s="771"/>
      <c r="AA4202" s="771"/>
      <c r="AB4202" s="771"/>
      <c r="AC4202" s="771"/>
      <c r="AD4202" s="771"/>
      <c r="AE4202" s="771"/>
      <c r="AF4202" s="771"/>
      <c r="AG4202" s="771"/>
      <c r="AH4202" s="771"/>
      <c r="AI4202" s="771"/>
      <c r="AJ4202" s="771"/>
      <c r="AK4202" s="771"/>
      <c r="AL4202" s="771"/>
      <c r="AM4202" s="771"/>
      <c r="AN4202" s="771"/>
      <c r="AO4202" s="771"/>
      <c r="AP4202" s="771"/>
      <c r="AQ4202" s="771"/>
      <c r="AR4202" s="771"/>
      <c r="AS4202" s="771"/>
      <c r="AT4202" s="771"/>
      <c r="AU4202" s="771"/>
    </row>
    <row r="4203" spans="1:47" s="15" customFormat="1" x14ac:dyDescent="0.2">
      <c r="A4203" s="8"/>
      <c r="B4203" s="8"/>
      <c r="C4203" s="11"/>
      <c r="D4203" s="11"/>
      <c r="E4203" s="84"/>
      <c r="F4203" s="83"/>
      <c r="H4203" s="8"/>
      <c r="I4203" s="8"/>
      <c r="J4203" s="8"/>
      <c r="K4203" s="8"/>
      <c r="L4203" s="8"/>
      <c r="M4203" s="8"/>
      <c r="N4203" s="8"/>
      <c r="O4203" s="8"/>
      <c r="P4203" s="8"/>
      <c r="Q4203" s="8"/>
      <c r="R4203" s="8"/>
      <c r="S4203" s="8"/>
      <c r="T4203" s="8"/>
      <c r="U4203" s="8"/>
      <c r="V4203" s="8"/>
      <c r="W4203" s="8"/>
      <c r="X4203" s="771"/>
      <c r="Y4203" s="771"/>
      <c r="Z4203" s="771"/>
      <c r="AA4203" s="771"/>
      <c r="AB4203" s="771"/>
      <c r="AC4203" s="771"/>
      <c r="AD4203" s="771"/>
      <c r="AE4203" s="771"/>
      <c r="AF4203" s="771"/>
      <c r="AG4203" s="771"/>
      <c r="AH4203" s="771"/>
      <c r="AI4203" s="771"/>
      <c r="AJ4203" s="771"/>
      <c r="AK4203" s="771"/>
      <c r="AL4203" s="771"/>
      <c r="AM4203" s="771"/>
      <c r="AN4203" s="771"/>
      <c r="AO4203" s="771"/>
      <c r="AP4203" s="771"/>
      <c r="AQ4203" s="771"/>
      <c r="AR4203" s="771"/>
      <c r="AS4203" s="771"/>
      <c r="AT4203" s="771"/>
      <c r="AU4203" s="771"/>
    </row>
    <row r="4204" spans="1:47" s="15" customFormat="1" x14ac:dyDescent="0.2">
      <c r="A4204" s="8"/>
      <c r="B4204" s="8"/>
      <c r="C4204" s="11"/>
      <c r="D4204" s="11"/>
      <c r="E4204" s="84"/>
      <c r="F4204" s="83"/>
      <c r="H4204" s="8"/>
      <c r="I4204" s="8"/>
      <c r="J4204" s="8"/>
      <c r="K4204" s="8"/>
      <c r="L4204" s="8"/>
      <c r="M4204" s="8"/>
      <c r="N4204" s="8"/>
      <c r="O4204" s="8"/>
      <c r="P4204" s="8"/>
      <c r="Q4204" s="8"/>
      <c r="R4204" s="8"/>
      <c r="S4204" s="8"/>
      <c r="T4204" s="8"/>
      <c r="U4204" s="8"/>
      <c r="V4204" s="8"/>
      <c r="W4204" s="8"/>
      <c r="X4204" s="771"/>
      <c r="Y4204" s="771"/>
      <c r="Z4204" s="771"/>
      <c r="AA4204" s="771"/>
      <c r="AB4204" s="771"/>
      <c r="AC4204" s="771"/>
      <c r="AD4204" s="771"/>
      <c r="AE4204" s="771"/>
      <c r="AF4204" s="771"/>
      <c r="AG4204" s="771"/>
      <c r="AH4204" s="771"/>
      <c r="AI4204" s="771"/>
      <c r="AJ4204" s="771"/>
      <c r="AK4204" s="771"/>
      <c r="AL4204" s="771"/>
      <c r="AM4204" s="771"/>
      <c r="AN4204" s="771"/>
      <c r="AO4204" s="771"/>
      <c r="AP4204" s="771"/>
      <c r="AQ4204" s="771"/>
      <c r="AR4204" s="771"/>
      <c r="AS4204" s="771"/>
      <c r="AT4204" s="771"/>
      <c r="AU4204" s="771"/>
    </row>
    <row r="4205" spans="1:47" s="15" customFormat="1" x14ac:dyDescent="0.2">
      <c r="A4205" s="8"/>
      <c r="B4205" s="8"/>
      <c r="C4205" s="11"/>
      <c r="D4205" s="11"/>
      <c r="E4205" s="84"/>
      <c r="F4205" s="83"/>
      <c r="H4205" s="8"/>
      <c r="I4205" s="8"/>
      <c r="J4205" s="8"/>
      <c r="K4205" s="8"/>
      <c r="L4205" s="8"/>
      <c r="M4205" s="8"/>
      <c r="N4205" s="8"/>
      <c r="O4205" s="8"/>
      <c r="P4205" s="8"/>
      <c r="Q4205" s="8"/>
      <c r="R4205" s="8"/>
      <c r="S4205" s="8"/>
      <c r="T4205" s="8"/>
      <c r="U4205" s="8"/>
      <c r="V4205" s="8"/>
      <c r="W4205" s="8"/>
      <c r="X4205" s="771"/>
      <c r="Y4205" s="771"/>
      <c r="Z4205" s="771"/>
      <c r="AA4205" s="771"/>
      <c r="AB4205" s="771"/>
      <c r="AC4205" s="771"/>
      <c r="AD4205" s="771"/>
      <c r="AE4205" s="771"/>
      <c r="AF4205" s="771"/>
      <c r="AG4205" s="771"/>
      <c r="AH4205" s="771"/>
      <c r="AI4205" s="771"/>
      <c r="AJ4205" s="771"/>
      <c r="AK4205" s="771"/>
      <c r="AL4205" s="771"/>
      <c r="AM4205" s="771"/>
      <c r="AN4205" s="771"/>
      <c r="AO4205" s="771"/>
      <c r="AP4205" s="771"/>
      <c r="AQ4205" s="771"/>
      <c r="AR4205" s="771"/>
      <c r="AS4205" s="771"/>
      <c r="AT4205" s="771"/>
      <c r="AU4205" s="771"/>
    </row>
    <row r="4206" spans="1:47" s="15" customFormat="1" x14ac:dyDescent="0.2">
      <c r="A4206" s="8"/>
      <c r="B4206" s="8"/>
      <c r="C4206" s="11"/>
      <c r="D4206" s="11"/>
      <c r="E4206" s="84"/>
      <c r="F4206" s="83"/>
      <c r="H4206" s="8"/>
      <c r="I4206" s="8"/>
      <c r="J4206" s="8"/>
      <c r="K4206" s="8"/>
      <c r="L4206" s="8"/>
      <c r="M4206" s="8"/>
      <c r="N4206" s="8"/>
      <c r="O4206" s="8"/>
      <c r="P4206" s="8"/>
      <c r="Q4206" s="8"/>
      <c r="R4206" s="8"/>
      <c r="S4206" s="8"/>
      <c r="T4206" s="8"/>
      <c r="U4206" s="8"/>
      <c r="V4206" s="8"/>
      <c r="W4206" s="8"/>
      <c r="X4206" s="771"/>
      <c r="Y4206" s="771"/>
      <c r="Z4206" s="771"/>
      <c r="AA4206" s="771"/>
      <c r="AB4206" s="771"/>
      <c r="AC4206" s="771"/>
      <c r="AD4206" s="771"/>
      <c r="AE4206" s="771"/>
      <c r="AF4206" s="771"/>
      <c r="AG4206" s="771"/>
      <c r="AH4206" s="771"/>
      <c r="AI4206" s="771"/>
      <c r="AJ4206" s="771"/>
      <c r="AK4206" s="771"/>
      <c r="AL4206" s="771"/>
      <c r="AM4206" s="771"/>
      <c r="AN4206" s="771"/>
      <c r="AO4206" s="771"/>
      <c r="AP4206" s="771"/>
      <c r="AQ4206" s="771"/>
      <c r="AR4206" s="771"/>
      <c r="AS4206" s="771"/>
      <c r="AT4206" s="771"/>
      <c r="AU4206" s="771"/>
    </row>
    <row r="4207" spans="1:47" s="15" customFormat="1" x14ac:dyDescent="0.2">
      <c r="A4207" s="8"/>
      <c r="B4207" s="8"/>
      <c r="C4207" s="11"/>
      <c r="D4207" s="11"/>
      <c r="E4207" s="84"/>
      <c r="F4207" s="83"/>
      <c r="H4207" s="8"/>
      <c r="I4207" s="8"/>
      <c r="J4207" s="8"/>
      <c r="K4207" s="8"/>
      <c r="L4207" s="8"/>
      <c r="M4207" s="8"/>
      <c r="N4207" s="8"/>
      <c r="O4207" s="8"/>
      <c r="P4207" s="8"/>
      <c r="Q4207" s="8"/>
      <c r="R4207" s="8"/>
      <c r="S4207" s="8"/>
      <c r="T4207" s="8"/>
      <c r="U4207" s="8"/>
      <c r="V4207" s="8"/>
      <c r="W4207" s="8"/>
      <c r="X4207" s="771"/>
      <c r="Y4207" s="771"/>
      <c r="Z4207" s="771"/>
      <c r="AA4207" s="771"/>
      <c r="AB4207" s="771"/>
      <c r="AC4207" s="771"/>
      <c r="AD4207" s="771"/>
      <c r="AE4207" s="771"/>
      <c r="AF4207" s="771"/>
      <c r="AG4207" s="771"/>
      <c r="AH4207" s="771"/>
      <c r="AI4207" s="771"/>
      <c r="AJ4207" s="771"/>
      <c r="AK4207" s="771"/>
      <c r="AL4207" s="771"/>
      <c r="AM4207" s="771"/>
      <c r="AN4207" s="771"/>
      <c r="AO4207" s="771"/>
      <c r="AP4207" s="771"/>
      <c r="AQ4207" s="771"/>
      <c r="AR4207" s="771"/>
      <c r="AS4207" s="771"/>
      <c r="AT4207" s="771"/>
      <c r="AU4207" s="771"/>
    </row>
    <row r="4208" spans="1:47" s="15" customFormat="1" x14ac:dyDescent="0.2">
      <c r="A4208" s="8"/>
      <c r="B4208" s="8"/>
      <c r="C4208" s="11"/>
      <c r="D4208" s="11"/>
      <c r="E4208" s="84"/>
      <c r="F4208" s="83"/>
      <c r="H4208" s="8"/>
      <c r="I4208" s="8"/>
      <c r="J4208" s="8"/>
      <c r="K4208" s="8"/>
      <c r="L4208" s="8"/>
      <c r="M4208" s="8"/>
      <c r="N4208" s="8"/>
      <c r="O4208" s="8"/>
      <c r="P4208" s="8"/>
      <c r="Q4208" s="8"/>
      <c r="R4208" s="8"/>
      <c r="S4208" s="8"/>
      <c r="T4208" s="8"/>
      <c r="U4208" s="8"/>
      <c r="V4208" s="8"/>
      <c r="W4208" s="8"/>
      <c r="X4208" s="771"/>
      <c r="Y4208" s="771"/>
      <c r="Z4208" s="771"/>
      <c r="AA4208" s="771"/>
      <c r="AB4208" s="771"/>
      <c r="AC4208" s="771"/>
      <c r="AD4208" s="771"/>
      <c r="AE4208" s="771"/>
      <c r="AF4208" s="771"/>
      <c r="AG4208" s="771"/>
      <c r="AH4208" s="771"/>
      <c r="AI4208" s="771"/>
      <c r="AJ4208" s="771"/>
      <c r="AK4208" s="771"/>
      <c r="AL4208" s="771"/>
      <c r="AM4208" s="771"/>
      <c r="AN4208" s="771"/>
      <c r="AO4208" s="771"/>
      <c r="AP4208" s="771"/>
      <c r="AQ4208" s="771"/>
      <c r="AR4208" s="771"/>
      <c r="AS4208" s="771"/>
      <c r="AT4208" s="771"/>
      <c r="AU4208" s="771"/>
    </row>
    <row r="4209" spans="1:47" s="15" customFormat="1" x14ac:dyDescent="0.2">
      <c r="A4209" s="8"/>
      <c r="B4209" s="8"/>
      <c r="C4209" s="11"/>
      <c r="D4209" s="11"/>
      <c r="E4209" s="84"/>
      <c r="F4209" s="83"/>
      <c r="H4209" s="8"/>
      <c r="I4209" s="8"/>
      <c r="J4209" s="8"/>
      <c r="K4209" s="8"/>
      <c r="L4209" s="8"/>
      <c r="M4209" s="8"/>
      <c r="N4209" s="8"/>
      <c r="O4209" s="8"/>
      <c r="P4209" s="8"/>
      <c r="Q4209" s="8"/>
      <c r="R4209" s="8"/>
      <c r="S4209" s="8"/>
      <c r="T4209" s="8"/>
      <c r="U4209" s="8"/>
      <c r="V4209" s="8"/>
      <c r="W4209" s="8"/>
      <c r="X4209" s="771"/>
      <c r="Y4209" s="771"/>
      <c r="Z4209" s="771"/>
      <c r="AA4209" s="771"/>
      <c r="AB4209" s="771"/>
      <c r="AC4209" s="771"/>
      <c r="AD4209" s="771"/>
      <c r="AE4209" s="771"/>
      <c r="AF4209" s="771"/>
      <c r="AG4209" s="771"/>
      <c r="AH4209" s="771"/>
      <c r="AI4209" s="771"/>
      <c r="AJ4209" s="771"/>
      <c r="AK4209" s="771"/>
      <c r="AL4209" s="771"/>
      <c r="AM4209" s="771"/>
      <c r="AN4209" s="771"/>
      <c r="AO4209" s="771"/>
      <c r="AP4209" s="771"/>
      <c r="AQ4209" s="771"/>
      <c r="AR4209" s="771"/>
      <c r="AS4209" s="771"/>
      <c r="AT4209" s="771"/>
      <c r="AU4209" s="771"/>
    </row>
    <row r="4210" spans="1:47" s="15" customFormat="1" x14ac:dyDescent="0.2">
      <c r="A4210" s="8"/>
      <c r="B4210" s="8"/>
      <c r="C4210" s="11"/>
      <c r="D4210" s="11"/>
      <c r="E4210" s="84"/>
      <c r="F4210" s="83"/>
      <c r="H4210" s="8"/>
      <c r="I4210" s="8"/>
      <c r="J4210" s="8"/>
      <c r="K4210" s="8"/>
      <c r="L4210" s="8"/>
      <c r="M4210" s="8"/>
      <c r="N4210" s="8"/>
      <c r="O4210" s="8"/>
      <c r="P4210" s="8"/>
      <c r="Q4210" s="8"/>
      <c r="R4210" s="8"/>
      <c r="S4210" s="8"/>
      <c r="T4210" s="8"/>
      <c r="U4210" s="8"/>
      <c r="V4210" s="8"/>
      <c r="W4210" s="8"/>
      <c r="X4210" s="771"/>
      <c r="Y4210" s="771"/>
      <c r="Z4210" s="771"/>
      <c r="AA4210" s="771"/>
      <c r="AB4210" s="771"/>
      <c r="AC4210" s="771"/>
      <c r="AD4210" s="771"/>
      <c r="AE4210" s="771"/>
      <c r="AF4210" s="771"/>
      <c r="AG4210" s="771"/>
      <c r="AH4210" s="771"/>
      <c r="AI4210" s="771"/>
      <c r="AJ4210" s="771"/>
      <c r="AK4210" s="771"/>
      <c r="AL4210" s="771"/>
      <c r="AM4210" s="771"/>
      <c r="AN4210" s="771"/>
      <c r="AO4210" s="771"/>
      <c r="AP4210" s="771"/>
      <c r="AQ4210" s="771"/>
      <c r="AR4210" s="771"/>
      <c r="AS4210" s="771"/>
      <c r="AT4210" s="771"/>
      <c r="AU4210" s="771"/>
    </row>
    <row r="4211" spans="1:47" s="15" customFormat="1" x14ac:dyDescent="0.2">
      <c r="A4211" s="8"/>
      <c r="B4211" s="8"/>
      <c r="C4211" s="11"/>
      <c r="D4211" s="11"/>
      <c r="E4211" s="84"/>
      <c r="F4211" s="83"/>
      <c r="H4211" s="8"/>
      <c r="I4211" s="8"/>
      <c r="J4211" s="8"/>
      <c r="K4211" s="8"/>
      <c r="L4211" s="8"/>
      <c r="M4211" s="8"/>
      <c r="N4211" s="8"/>
      <c r="O4211" s="8"/>
      <c r="P4211" s="8"/>
      <c r="Q4211" s="8"/>
      <c r="R4211" s="8"/>
      <c r="S4211" s="8"/>
      <c r="T4211" s="8"/>
      <c r="U4211" s="8"/>
      <c r="V4211" s="8"/>
      <c r="W4211" s="8"/>
      <c r="X4211" s="771"/>
      <c r="Y4211" s="771"/>
      <c r="Z4211" s="771"/>
      <c r="AA4211" s="771"/>
      <c r="AB4211" s="771"/>
      <c r="AC4211" s="771"/>
      <c r="AD4211" s="771"/>
      <c r="AE4211" s="771"/>
      <c r="AF4211" s="771"/>
      <c r="AG4211" s="771"/>
      <c r="AH4211" s="771"/>
      <c r="AI4211" s="771"/>
      <c r="AJ4211" s="771"/>
      <c r="AK4211" s="771"/>
      <c r="AL4211" s="771"/>
      <c r="AM4211" s="771"/>
      <c r="AN4211" s="771"/>
      <c r="AO4211" s="771"/>
      <c r="AP4211" s="771"/>
      <c r="AQ4211" s="771"/>
      <c r="AR4211" s="771"/>
      <c r="AS4211" s="771"/>
      <c r="AT4211" s="771"/>
      <c r="AU4211" s="771"/>
    </row>
    <row r="4212" spans="1:47" s="15" customFormat="1" x14ac:dyDescent="0.2">
      <c r="A4212" s="8"/>
      <c r="B4212" s="8"/>
      <c r="C4212" s="11"/>
      <c r="D4212" s="11"/>
      <c r="E4212" s="84"/>
      <c r="F4212" s="83"/>
      <c r="H4212" s="8"/>
      <c r="I4212" s="8"/>
      <c r="J4212" s="8"/>
      <c r="K4212" s="8"/>
      <c r="L4212" s="8"/>
      <c r="M4212" s="8"/>
      <c r="N4212" s="8"/>
      <c r="O4212" s="8"/>
      <c r="P4212" s="8"/>
      <c r="Q4212" s="8"/>
      <c r="R4212" s="8"/>
      <c r="S4212" s="8"/>
      <c r="T4212" s="8"/>
      <c r="U4212" s="8"/>
      <c r="V4212" s="8"/>
      <c r="W4212" s="8"/>
      <c r="X4212" s="771"/>
      <c r="Y4212" s="771"/>
      <c r="Z4212" s="771"/>
      <c r="AA4212" s="771"/>
      <c r="AB4212" s="771"/>
      <c r="AC4212" s="771"/>
      <c r="AD4212" s="771"/>
      <c r="AE4212" s="771"/>
      <c r="AF4212" s="771"/>
      <c r="AG4212" s="771"/>
      <c r="AH4212" s="771"/>
      <c r="AI4212" s="771"/>
      <c r="AJ4212" s="771"/>
      <c r="AK4212" s="771"/>
      <c r="AL4212" s="771"/>
      <c r="AM4212" s="771"/>
      <c r="AN4212" s="771"/>
      <c r="AO4212" s="771"/>
      <c r="AP4212" s="771"/>
      <c r="AQ4212" s="771"/>
      <c r="AR4212" s="771"/>
      <c r="AS4212" s="771"/>
      <c r="AT4212" s="771"/>
      <c r="AU4212" s="771"/>
    </row>
    <row r="4213" spans="1:47" s="15" customFormat="1" x14ac:dyDescent="0.2">
      <c r="A4213" s="8"/>
      <c r="B4213" s="8"/>
      <c r="C4213" s="11"/>
      <c r="D4213" s="11"/>
      <c r="E4213" s="84"/>
      <c r="F4213" s="83"/>
      <c r="H4213" s="8"/>
      <c r="I4213" s="8"/>
      <c r="J4213" s="8"/>
      <c r="K4213" s="8"/>
      <c r="L4213" s="8"/>
      <c r="M4213" s="8"/>
      <c r="N4213" s="8"/>
      <c r="O4213" s="8"/>
      <c r="P4213" s="8"/>
      <c r="Q4213" s="8"/>
      <c r="R4213" s="8"/>
      <c r="S4213" s="8"/>
      <c r="T4213" s="8"/>
      <c r="U4213" s="8"/>
      <c r="V4213" s="8"/>
      <c r="W4213" s="8"/>
      <c r="X4213" s="771"/>
      <c r="Y4213" s="771"/>
      <c r="Z4213" s="771"/>
      <c r="AA4213" s="771"/>
      <c r="AB4213" s="771"/>
      <c r="AC4213" s="771"/>
      <c r="AD4213" s="771"/>
      <c r="AE4213" s="771"/>
      <c r="AF4213" s="771"/>
      <c r="AG4213" s="771"/>
      <c r="AH4213" s="771"/>
      <c r="AI4213" s="771"/>
      <c r="AJ4213" s="771"/>
      <c r="AK4213" s="771"/>
      <c r="AL4213" s="771"/>
      <c r="AM4213" s="771"/>
      <c r="AN4213" s="771"/>
      <c r="AO4213" s="771"/>
      <c r="AP4213" s="771"/>
      <c r="AQ4213" s="771"/>
      <c r="AR4213" s="771"/>
      <c r="AS4213" s="771"/>
      <c r="AT4213" s="771"/>
      <c r="AU4213" s="771"/>
    </row>
    <row r="4214" spans="1:47" s="15" customFormat="1" x14ac:dyDescent="0.2">
      <c r="A4214" s="8"/>
      <c r="B4214" s="8"/>
      <c r="C4214" s="11"/>
      <c r="D4214" s="11"/>
      <c r="E4214" s="84"/>
      <c r="F4214" s="83"/>
      <c r="H4214" s="8"/>
      <c r="I4214" s="8"/>
      <c r="J4214" s="8"/>
      <c r="K4214" s="8"/>
      <c r="L4214" s="8"/>
      <c r="M4214" s="8"/>
      <c r="N4214" s="8"/>
      <c r="O4214" s="8"/>
      <c r="P4214" s="8"/>
      <c r="Q4214" s="8"/>
      <c r="R4214" s="8"/>
      <c r="S4214" s="8"/>
      <c r="T4214" s="8"/>
      <c r="U4214" s="8"/>
      <c r="V4214" s="8"/>
      <c r="W4214" s="8"/>
      <c r="X4214" s="771"/>
      <c r="Y4214" s="771"/>
      <c r="Z4214" s="771"/>
      <c r="AA4214" s="771"/>
      <c r="AB4214" s="771"/>
      <c r="AC4214" s="771"/>
      <c r="AD4214" s="771"/>
      <c r="AE4214" s="771"/>
      <c r="AF4214" s="771"/>
      <c r="AG4214" s="771"/>
      <c r="AH4214" s="771"/>
      <c r="AI4214" s="771"/>
      <c r="AJ4214" s="771"/>
      <c r="AK4214" s="771"/>
      <c r="AL4214" s="771"/>
      <c r="AM4214" s="771"/>
      <c r="AN4214" s="771"/>
      <c r="AO4214" s="771"/>
      <c r="AP4214" s="771"/>
      <c r="AQ4214" s="771"/>
      <c r="AR4214" s="771"/>
      <c r="AS4214" s="771"/>
      <c r="AT4214" s="771"/>
      <c r="AU4214" s="771"/>
    </row>
    <row r="4215" spans="1:47" s="15" customFormat="1" x14ac:dyDescent="0.2">
      <c r="A4215" s="8"/>
      <c r="B4215" s="8"/>
      <c r="C4215" s="11"/>
      <c r="D4215" s="11"/>
      <c r="E4215" s="84"/>
      <c r="F4215" s="83"/>
      <c r="H4215" s="8"/>
      <c r="I4215" s="8"/>
      <c r="J4215" s="8"/>
      <c r="K4215" s="8"/>
      <c r="L4215" s="8"/>
      <c r="M4215" s="8"/>
      <c r="N4215" s="8"/>
      <c r="O4215" s="8"/>
      <c r="P4215" s="8"/>
      <c r="Q4215" s="8"/>
      <c r="R4215" s="8"/>
      <c r="S4215" s="8"/>
      <c r="T4215" s="8"/>
      <c r="U4215" s="8"/>
      <c r="V4215" s="8"/>
      <c r="W4215" s="8"/>
      <c r="X4215" s="771"/>
      <c r="Y4215" s="771"/>
      <c r="Z4215" s="771"/>
      <c r="AA4215" s="771"/>
      <c r="AB4215" s="771"/>
      <c r="AC4215" s="771"/>
      <c r="AD4215" s="771"/>
      <c r="AE4215" s="771"/>
      <c r="AF4215" s="771"/>
      <c r="AG4215" s="771"/>
      <c r="AH4215" s="771"/>
      <c r="AI4215" s="771"/>
      <c r="AJ4215" s="771"/>
      <c r="AK4215" s="771"/>
      <c r="AL4215" s="771"/>
      <c r="AM4215" s="771"/>
      <c r="AN4215" s="771"/>
      <c r="AO4215" s="771"/>
      <c r="AP4215" s="771"/>
      <c r="AQ4215" s="771"/>
      <c r="AR4215" s="771"/>
      <c r="AS4215" s="771"/>
      <c r="AT4215" s="771"/>
      <c r="AU4215" s="771"/>
    </row>
    <row r="4216" spans="1:47" s="15" customFormat="1" x14ac:dyDescent="0.2">
      <c r="A4216" s="8"/>
      <c r="B4216" s="8"/>
      <c r="C4216" s="11"/>
      <c r="D4216" s="11"/>
      <c r="E4216" s="84"/>
      <c r="F4216" s="83"/>
      <c r="H4216" s="8"/>
      <c r="I4216" s="8"/>
      <c r="J4216" s="8"/>
      <c r="K4216" s="8"/>
      <c r="L4216" s="8"/>
      <c r="M4216" s="8"/>
      <c r="N4216" s="8"/>
      <c r="O4216" s="8"/>
      <c r="P4216" s="8"/>
      <c r="Q4216" s="8"/>
      <c r="R4216" s="8"/>
      <c r="S4216" s="8"/>
      <c r="T4216" s="8"/>
      <c r="U4216" s="8"/>
      <c r="V4216" s="8"/>
      <c r="W4216" s="8"/>
      <c r="X4216" s="771"/>
      <c r="Y4216" s="771"/>
      <c r="Z4216" s="771"/>
      <c r="AA4216" s="771"/>
      <c r="AB4216" s="771"/>
      <c r="AC4216" s="771"/>
      <c r="AD4216" s="771"/>
      <c r="AE4216" s="771"/>
      <c r="AF4216" s="771"/>
      <c r="AG4216" s="771"/>
      <c r="AH4216" s="771"/>
      <c r="AI4216" s="771"/>
      <c r="AJ4216" s="771"/>
      <c r="AK4216" s="771"/>
      <c r="AL4216" s="771"/>
      <c r="AM4216" s="771"/>
      <c r="AN4216" s="771"/>
      <c r="AO4216" s="771"/>
      <c r="AP4216" s="771"/>
      <c r="AQ4216" s="771"/>
      <c r="AR4216" s="771"/>
      <c r="AS4216" s="771"/>
      <c r="AT4216" s="771"/>
      <c r="AU4216" s="771"/>
    </row>
    <row r="4217" spans="1:47" s="15" customFormat="1" x14ac:dyDescent="0.2">
      <c r="A4217" s="8"/>
      <c r="B4217" s="8"/>
      <c r="C4217" s="11"/>
      <c r="D4217" s="11"/>
      <c r="E4217" s="84"/>
      <c r="F4217" s="83"/>
      <c r="H4217" s="8"/>
      <c r="I4217" s="8"/>
      <c r="J4217" s="8"/>
      <c r="K4217" s="8"/>
      <c r="L4217" s="8"/>
      <c r="M4217" s="8"/>
      <c r="N4217" s="8"/>
      <c r="O4217" s="8"/>
      <c r="P4217" s="8"/>
      <c r="Q4217" s="8"/>
      <c r="R4217" s="8"/>
      <c r="S4217" s="8"/>
      <c r="T4217" s="8"/>
      <c r="U4217" s="8"/>
      <c r="V4217" s="8"/>
      <c r="W4217" s="8"/>
      <c r="X4217" s="771"/>
      <c r="Y4217" s="771"/>
      <c r="Z4217" s="771"/>
      <c r="AA4217" s="771"/>
      <c r="AB4217" s="771"/>
      <c r="AC4217" s="771"/>
      <c r="AD4217" s="771"/>
      <c r="AE4217" s="771"/>
      <c r="AF4217" s="771"/>
      <c r="AG4217" s="771"/>
      <c r="AH4217" s="771"/>
      <c r="AI4217" s="771"/>
      <c r="AJ4217" s="771"/>
      <c r="AK4217" s="771"/>
      <c r="AL4217" s="771"/>
      <c r="AM4217" s="771"/>
      <c r="AN4217" s="771"/>
      <c r="AO4217" s="771"/>
      <c r="AP4217" s="771"/>
      <c r="AQ4217" s="771"/>
      <c r="AR4217" s="771"/>
      <c r="AS4217" s="771"/>
      <c r="AT4217" s="771"/>
      <c r="AU4217" s="771"/>
    </row>
    <row r="4218" spans="1:47" s="15" customFormat="1" x14ac:dyDescent="0.2">
      <c r="A4218" s="8"/>
      <c r="B4218" s="8"/>
      <c r="C4218" s="11"/>
      <c r="D4218" s="11"/>
      <c r="E4218" s="84"/>
      <c r="F4218" s="83"/>
      <c r="H4218" s="8"/>
      <c r="I4218" s="8"/>
      <c r="J4218" s="8"/>
      <c r="K4218" s="8"/>
      <c r="L4218" s="8"/>
      <c r="M4218" s="8"/>
      <c r="N4218" s="8"/>
      <c r="O4218" s="8"/>
      <c r="P4218" s="8"/>
      <c r="Q4218" s="8"/>
      <c r="R4218" s="8"/>
      <c r="S4218" s="8"/>
      <c r="T4218" s="8"/>
      <c r="U4218" s="8"/>
      <c r="V4218" s="8"/>
      <c r="W4218" s="8"/>
      <c r="X4218" s="771"/>
      <c r="Y4218" s="771"/>
      <c r="Z4218" s="771"/>
      <c r="AA4218" s="771"/>
      <c r="AB4218" s="771"/>
      <c r="AC4218" s="771"/>
      <c r="AD4218" s="771"/>
      <c r="AE4218" s="771"/>
      <c r="AF4218" s="771"/>
      <c r="AG4218" s="771"/>
      <c r="AH4218" s="771"/>
      <c r="AI4218" s="771"/>
      <c r="AJ4218" s="771"/>
      <c r="AK4218" s="771"/>
      <c r="AL4218" s="771"/>
      <c r="AM4218" s="771"/>
      <c r="AN4218" s="771"/>
      <c r="AO4218" s="771"/>
      <c r="AP4218" s="771"/>
      <c r="AQ4218" s="771"/>
      <c r="AR4218" s="771"/>
      <c r="AS4218" s="771"/>
      <c r="AT4218" s="771"/>
      <c r="AU4218" s="771"/>
    </row>
    <row r="4219" spans="1:47" s="15" customFormat="1" x14ac:dyDescent="0.2">
      <c r="A4219" s="8"/>
      <c r="B4219" s="8"/>
      <c r="C4219" s="11"/>
      <c r="D4219" s="11"/>
      <c r="E4219" s="84"/>
      <c r="F4219" s="83"/>
      <c r="H4219" s="8"/>
      <c r="I4219" s="8"/>
      <c r="J4219" s="8"/>
      <c r="K4219" s="8"/>
      <c r="L4219" s="8"/>
      <c r="M4219" s="8"/>
      <c r="N4219" s="8"/>
      <c r="O4219" s="8"/>
      <c r="P4219" s="8"/>
      <c r="Q4219" s="8"/>
      <c r="R4219" s="8"/>
      <c r="S4219" s="8"/>
      <c r="T4219" s="8"/>
      <c r="U4219" s="8"/>
      <c r="V4219" s="8"/>
      <c r="W4219" s="8"/>
      <c r="X4219" s="771"/>
      <c r="Y4219" s="771"/>
      <c r="Z4219" s="771"/>
      <c r="AA4219" s="771"/>
      <c r="AB4219" s="771"/>
      <c r="AC4219" s="771"/>
      <c r="AD4219" s="771"/>
      <c r="AE4219" s="771"/>
      <c r="AF4219" s="771"/>
      <c r="AG4219" s="771"/>
      <c r="AH4219" s="771"/>
      <c r="AI4219" s="771"/>
      <c r="AJ4219" s="771"/>
      <c r="AK4219" s="771"/>
      <c r="AL4219" s="771"/>
      <c r="AM4219" s="771"/>
      <c r="AN4219" s="771"/>
      <c r="AO4219" s="771"/>
      <c r="AP4219" s="771"/>
      <c r="AQ4219" s="771"/>
      <c r="AR4219" s="771"/>
      <c r="AS4219" s="771"/>
      <c r="AT4219" s="771"/>
      <c r="AU4219" s="771"/>
    </row>
    <row r="4220" spans="1:47" s="15" customFormat="1" x14ac:dyDescent="0.2">
      <c r="A4220" s="8"/>
      <c r="B4220" s="8"/>
      <c r="C4220" s="11"/>
      <c r="D4220" s="11"/>
      <c r="E4220" s="84"/>
      <c r="F4220" s="83"/>
      <c r="H4220" s="8"/>
      <c r="I4220" s="8"/>
      <c r="J4220" s="8"/>
      <c r="K4220" s="8"/>
      <c r="L4220" s="8"/>
      <c r="M4220" s="8"/>
      <c r="N4220" s="8"/>
      <c r="O4220" s="8"/>
      <c r="P4220" s="8"/>
      <c r="Q4220" s="8"/>
      <c r="R4220" s="8"/>
      <c r="S4220" s="8"/>
      <c r="T4220" s="8"/>
      <c r="U4220" s="8"/>
      <c r="V4220" s="8"/>
      <c r="W4220" s="8"/>
      <c r="X4220" s="771"/>
      <c r="Y4220" s="771"/>
      <c r="Z4220" s="771"/>
      <c r="AA4220" s="771"/>
      <c r="AB4220" s="771"/>
      <c r="AC4220" s="771"/>
      <c r="AD4220" s="771"/>
      <c r="AE4220" s="771"/>
      <c r="AF4220" s="771"/>
      <c r="AG4220" s="771"/>
      <c r="AH4220" s="771"/>
      <c r="AI4220" s="771"/>
      <c r="AJ4220" s="771"/>
      <c r="AK4220" s="771"/>
      <c r="AL4220" s="771"/>
      <c r="AM4220" s="771"/>
      <c r="AN4220" s="771"/>
      <c r="AO4220" s="771"/>
      <c r="AP4220" s="771"/>
      <c r="AQ4220" s="771"/>
      <c r="AR4220" s="771"/>
      <c r="AS4220" s="771"/>
      <c r="AT4220" s="771"/>
      <c r="AU4220" s="771"/>
    </row>
    <row r="4221" spans="1:47" s="15" customFormat="1" x14ac:dyDescent="0.2">
      <c r="A4221" s="8"/>
      <c r="B4221" s="8"/>
      <c r="C4221" s="11"/>
      <c r="D4221" s="11"/>
      <c r="E4221" s="84"/>
      <c r="F4221" s="83"/>
      <c r="H4221" s="8"/>
      <c r="I4221" s="8"/>
      <c r="J4221" s="8"/>
      <c r="K4221" s="8"/>
      <c r="L4221" s="8"/>
      <c r="M4221" s="8"/>
      <c r="N4221" s="8"/>
      <c r="O4221" s="8"/>
      <c r="P4221" s="8"/>
      <c r="Q4221" s="8"/>
      <c r="R4221" s="8"/>
      <c r="S4221" s="8"/>
      <c r="T4221" s="8"/>
      <c r="U4221" s="8"/>
      <c r="V4221" s="8"/>
      <c r="W4221" s="8"/>
      <c r="X4221" s="771"/>
      <c r="Y4221" s="771"/>
      <c r="Z4221" s="771"/>
      <c r="AA4221" s="771"/>
      <c r="AB4221" s="771"/>
      <c r="AC4221" s="771"/>
      <c r="AD4221" s="771"/>
      <c r="AE4221" s="771"/>
      <c r="AF4221" s="771"/>
      <c r="AG4221" s="771"/>
      <c r="AH4221" s="771"/>
      <c r="AI4221" s="771"/>
      <c r="AJ4221" s="771"/>
      <c r="AK4221" s="771"/>
      <c r="AL4221" s="771"/>
      <c r="AM4221" s="771"/>
      <c r="AN4221" s="771"/>
      <c r="AO4221" s="771"/>
      <c r="AP4221" s="771"/>
      <c r="AQ4221" s="771"/>
      <c r="AR4221" s="771"/>
      <c r="AS4221" s="771"/>
      <c r="AT4221" s="771"/>
      <c r="AU4221" s="771"/>
    </row>
    <row r="4222" spans="1:47" s="15" customFormat="1" x14ac:dyDescent="0.2">
      <c r="A4222" s="8"/>
      <c r="B4222" s="8"/>
      <c r="C4222" s="11"/>
      <c r="D4222" s="11"/>
      <c r="E4222" s="84"/>
      <c r="F4222" s="83"/>
      <c r="H4222" s="8"/>
      <c r="I4222" s="8"/>
      <c r="J4222" s="8"/>
      <c r="K4222" s="8"/>
      <c r="L4222" s="8"/>
      <c r="M4222" s="8"/>
      <c r="N4222" s="8"/>
      <c r="O4222" s="8"/>
      <c r="P4222" s="8"/>
      <c r="Q4222" s="8"/>
      <c r="R4222" s="8"/>
      <c r="S4222" s="8"/>
      <c r="T4222" s="8"/>
      <c r="U4222" s="8"/>
      <c r="V4222" s="8"/>
      <c r="W4222" s="8"/>
      <c r="X4222" s="771"/>
      <c r="Y4222" s="771"/>
      <c r="Z4222" s="771"/>
      <c r="AA4222" s="771"/>
      <c r="AB4222" s="771"/>
      <c r="AC4222" s="771"/>
      <c r="AD4222" s="771"/>
      <c r="AE4222" s="771"/>
      <c r="AF4222" s="771"/>
      <c r="AG4222" s="771"/>
      <c r="AH4222" s="771"/>
      <c r="AI4222" s="771"/>
      <c r="AJ4222" s="771"/>
      <c r="AK4222" s="771"/>
      <c r="AL4222" s="771"/>
      <c r="AM4222" s="771"/>
      <c r="AN4222" s="771"/>
      <c r="AO4222" s="771"/>
      <c r="AP4222" s="771"/>
      <c r="AQ4222" s="771"/>
      <c r="AR4222" s="771"/>
      <c r="AS4222" s="771"/>
      <c r="AT4222" s="771"/>
      <c r="AU4222" s="771"/>
    </row>
    <row r="4223" spans="1:47" s="15" customFormat="1" x14ac:dyDescent="0.2">
      <c r="A4223" s="8"/>
      <c r="B4223" s="8"/>
      <c r="C4223" s="11"/>
      <c r="D4223" s="11"/>
      <c r="E4223" s="84"/>
      <c r="F4223" s="83"/>
      <c r="H4223" s="8"/>
      <c r="I4223" s="8"/>
      <c r="J4223" s="8"/>
      <c r="K4223" s="8"/>
      <c r="L4223" s="8"/>
      <c r="M4223" s="8"/>
      <c r="N4223" s="8"/>
      <c r="O4223" s="8"/>
      <c r="P4223" s="8"/>
      <c r="Q4223" s="8"/>
      <c r="R4223" s="8"/>
      <c r="S4223" s="8"/>
      <c r="T4223" s="8"/>
      <c r="U4223" s="8"/>
      <c r="V4223" s="8"/>
      <c r="W4223" s="8"/>
      <c r="X4223" s="771"/>
      <c r="Y4223" s="771"/>
      <c r="Z4223" s="771"/>
      <c r="AA4223" s="771"/>
      <c r="AB4223" s="771"/>
      <c r="AC4223" s="771"/>
      <c r="AD4223" s="771"/>
      <c r="AE4223" s="771"/>
      <c r="AF4223" s="771"/>
      <c r="AG4223" s="771"/>
      <c r="AH4223" s="771"/>
      <c r="AI4223" s="771"/>
      <c r="AJ4223" s="771"/>
      <c r="AK4223" s="771"/>
      <c r="AL4223" s="771"/>
      <c r="AM4223" s="771"/>
      <c r="AN4223" s="771"/>
      <c r="AO4223" s="771"/>
      <c r="AP4223" s="771"/>
      <c r="AQ4223" s="771"/>
      <c r="AR4223" s="771"/>
      <c r="AS4223" s="771"/>
      <c r="AT4223" s="771"/>
      <c r="AU4223" s="771"/>
    </row>
    <row r="4224" spans="1:47" s="15" customFormat="1" x14ac:dyDescent="0.2">
      <c r="A4224" s="8"/>
      <c r="B4224" s="8"/>
      <c r="C4224" s="11"/>
      <c r="D4224" s="11"/>
      <c r="E4224" s="84"/>
      <c r="F4224" s="83"/>
      <c r="H4224" s="8"/>
      <c r="I4224" s="8"/>
      <c r="J4224" s="8"/>
      <c r="K4224" s="8"/>
      <c r="L4224" s="8"/>
      <c r="M4224" s="8"/>
      <c r="N4224" s="8"/>
      <c r="O4224" s="8"/>
      <c r="P4224" s="8"/>
      <c r="Q4224" s="8"/>
      <c r="R4224" s="8"/>
      <c r="S4224" s="8"/>
      <c r="T4224" s="8"/>
      <c r="U4224" s="8"/>
      <c r="V4224" s="8"/>
      <c r="W4224" s="8"/>
      <c r="X4224" s="771"/>
      <c r="Y4224" s="771"/>
      <c r="Z4224" s="771"/>
      <c r="AA4224" s="771"/>
      <c r="AB4224" s="771"/>
      <c r="AC4224" s="771"/>
      <c r="AD4224" s="771"/>
      <c r="AE4224" s="771"/>
      <c r="AF4224" s="771"/>
      <c r="AG4224" s="771"/>
      <c r="AH4224" s="771"/>
      <c r="AI4224" s="771"/>
      <c r="AJ4224" s="771"/>
      <c r="AK4224" s="771"/>
      <c r="AL4224" s="771"/>
      <c r="AM4224" s="771"/>
      <c r="AN4224" s="771"/>
      <c r="AO4224" s="771"/>
      <c r="AP4224" s="771"/>
      <c r="AQ4224" s="771"/>
      <c r="AR4224" s="771"/>
      <c r="AS4224" s="771"/>
      <c r="AT4224" s="771"/>
      <c r="AU4224" s="771"/>
    </row>
    <row r="4225" spans="1:47" s="15" customFormat="1" x14ac:dyDescent="0.2">
      <c r="A4225" s="8"/>
      <c r="B4225" s="8"/>
      <c r="C4225" s="11"/>
      <c r="D4225" s="11"/>
      <c r="E4225" s="84"/>
      <c r="F4225" s="83"/>
      <c r="H4225" s="8"/>
      <c r="I4225" s="8"/>
      <c r="J4225" s="8"/>
      <c r="K4225" s="8"/>
      <c r="L4225" s="8"/>
      <c r="M4225" s="8"/>
      <c r="N4225" s="8"/>
      <c r="O4225" s="8"/>
      <c r="P4225" s="8"/>
      <c r="Q4225" s="8"/>
      <c r="R4225" s="8"/>
      <c r="S4225" s="8"/>
      <c r="T4225" s="8"/>
      <c r="U4225" s="8"/>
      <c r="V4225" s="8"/>
      <c r="W4225" s="8"/>
      <c r="X4225" s="771"/>
      <c r="Y4225" s="771"/>
      <c r="Z4225" s="771"/>
      <c r="AA4225" s="771"/>
      <c r="AB4225" s="771"/>
      <c r="AC4225" s="771"/>
      <c r="AD4225" s="771"/>
      <c r="AE4225" s="771"/>
      <c r="AF4225" s="771"/>
      <c r="AG4225" s="771"/>
      <c r="AH4225" s="771"/>
      <c r="AI4225" s="771"/>
      <c r="AJ4225" s="771"/>
      <c r="AK4225" s="771"/>
      <c r="AL4225" s="771"/>
      <c r="AM4225" s="771"/>
      <c r="AN4225" s="771"/>
      <c r="AO4225" s="771"/>
      <c r="AP4225" s="771"/>
      <c r="AQ4225" s="771"/>
      <c r="AR4225" s="771"/>
      <c r="AS4225" s="771"/>
      <c r="AT4225" s="771"/>
      <c r="AU4225" s="771"/>
    </row>
    <row r="4226" spans="1:47" s="15" customFormat="1" x14ac:dyDescent="0.2">
      <c r="A4226" s="8"/>
      <c r="B4226" s="8"/>
      <c r="C4226" s="11"/>
      <c r="D4226" s="11"/>
      <c r="E4226" s="84"/>
      <c r="F4226" s="83"/>
      <c r="H4226" s="8"/>
      <c r="I4226" s="8"/>
      <c r="J4226" s="8"/>
      <c r="K4226" s="8"/>
      <c r="L4226" s="8"/>
      <c r="M4226" s="8"/>
      <c r="N4226" s="8"/>
      <c r="O4226" s="8"/>
      <c r="P4226" s="8"/>
      <c r="Q4226" s="8"/>
      <c r="R4226" s="8"/>
      <c r="S4226" s="8"/>
      <c r="T4226" s="8"/>
      <c r="U4226" s="8"/>
      <c r="V4226" s="8"/>
      <c r="W4226" s="8"/>
      <c r="X4226" s="771"/>
      <c r="Y4226" s="771"/>
      <c r="Z4226" s="771"/>
      <c r="AA4226" s="771"/>
      <c r="AB4226" s="771"/>
      <c r="AC4226" s="771"/>
      <c r="AD4226" s="771"/>
      <c r="AE4226" s="771"/>
      <c r="AF4226" s="771"/>
      <c r="AG4226" s="771"/>
      <c r="AH4226" s="771"/>
      <c r="AI4226" s="771"/>
      <c r="AJ4226" s="771"/>
      <c r="AK4226" s="771"/>
      <c r="AL4226" s="771"/>
      <c r="AM4226" s="771"/>
      <c r="AN4226" s="771"/>
      <c r="AO4226" s="771"/>
      <c r="AP4226" s="771"/>
      <c r="AQ4226" s="771"/>
      <c r="AR4226" s="771"/>
      <c r="AS4226" s="771"/>
      <c r="AT4226" s="771"/>
      <c r="AU4226" s="771"/>
    </row>
    <row r="4227" spans="1:47" s="15" customFormat="1" x14ac:dyDescent="0.2">
      <c r="A4227" s="8"/>
      <c r="B4227" s="8"/>
      <c r="C4227" s="11"/>
      <c r="D4227" s="11"/>
      <c r="E4227" s="84"/>
      <c r="F4227" s="83"/>
      <c r="H4227" s="8"/>
      <c r="I4227" s="8"/>
      <c r="J4227" s="8"/>
      <c r="K4227" s="8"/>
      <c r="L4227" s="8"/>
      <c r="M4227" s="8"/>
      <c r="N4227" s="8"/>
      <c r="O4227" s="8"/>
      <c r="P4227" s="8"/>
      <c r="Q4227" s="8"/>
      <c r="R4227" s="8"/>
      <c r="S4227" s="8"/>
      <c r="T4227" s="8"/>
      <c r="U4227" s="8"/>
      <c r="V4227" s="8"/>
      <c r="W4227" s="8"/>
      <c r="X4227" s="771"/>
      <c r="Y4227" s="771"/>
      <c r="Z4227" s="771"/>
      <c r="AA4227" s="771"/>
      <c r="AB4227" s="771"/>
      <c r="AC4227" s="771"/>
      <c r="AD4227" s="771"/>
      <c r="AE4227" s="771"/>
      <c r="AF4227" s="771"/>
      <c r="AG4227" s="771"/>
      <c r="AH4227" s="771"/>
      <c r="AI4227" s="771"/>
      <c r="AJ4227" s="771"/>
      <c r="AK4227" s="771"/>
      <c r="AL4227" s="771"/>
      <c r="AM4227" s="771"/>
      <c r="AN4227" s="771"/>
      <c r="AO4227" s="771"/>
      <c r="AP4227" s="771"/>
      <c r="AQ4227" s="771"/>
      <c r="AR4227" s="771"/>
      <c r="AS4227" s="771"/>
      <c r="AT4227" s="771"/>
      <c r="AU4227" s="771"/>
    </row>
    <row r="4228" spans="1:47" s="15" customFormat="1" x14ac:dyDescent="0.2">
      <c r="A4228" s="8"/>
      <c r="B4228" s="8"/>
      <c r="C4228" s="11"/>
      <c r="D4228" s="11"/>
      <c r="E4228" s="84"/>
      <c r="F4228" s="83"/>
      <c r="H4228" s="8"/>
      <c r="I4228" s="8"/>
      <c r="J4228" s="8"/>
      <c r="K4228" s="8"/>
      <c r="L4228" s="8"/>
      <c r="M4228" s="8"/>
      <c r="N4228" s="8"/>
      <c r="O4228" s="8"/>
      <c r="P4228" s="8"/>
      <c r="Q4228" s="8"/>
      <c r="R4228" s="8"/>
      <c r="S4228" s="8"/>
      <c r="T4228" s="8"/>
      <c r="U4228" s="8"/>
      <c r="V4228" s="8"/>
      <c r="W4228" s="8"/>
      <c r="X4228" s="771"/>
      <c r="Y4228" s="771"/>
      <c r="Z4228" s="771"/>
      <c r="AA4228" s="771"/>
      <c r="AB4228" s="771"/>
      <c r="AC4228" s="771"/>
      <c r="AD4228" s="771"/>
      <c r="AE4228" s="771"/>
      <c r="AF4228" s="771"/>
      <c r="AG4228" s="771"/>
      <c r="AH4228" s="771"/>
      <c r="AI4228" s="771"/>
      <c r="AJ4228" s="771"/>
      <c r="AK4228" s="771"/>
      <c r="AL4228" s="771"/>
      <c r="AM4228" s="771"/>
      <c r="AN4228" s="771"/>
      <c r="AO4228" s="771"/>
      <c r="AP4228" s="771"/>
      <c r="AQ4228" s="771"/>
      <c r="AR4228" s="771"/>
      <c r="AS4228" s="771"/>
      <c r="AT4228" s="771"/>
      <c r="AU4228" s="771"/>
    </row>
    <row r="4229" spans="1:47" s="15" customFormat="1" x14ac:dyDescent="0.2">
      <c r="A4229" s="8"/>
      <c r="B4229" s="8"/>
      <c r="C4229" s="11"/>
      <c r="D4229" s="11"/>
      <c r="E4229" s="84"/>
      <c r="F4229" s="83"/>
      <c r="H4229" s="8"/>
      <c r="I4229" s="8"/>
      <c r="J4229" s="8"/>
      <c r="K4229" s="8"/>
      <c r="L4229" s="8"/>
      <c r="M4229" s="8"/>
      <c r="N4229" s="8"/>
      <c r="O4229" s="8"/>
      <c r="P4229" s="8"/>
      <c r="Q4229" s="8"/>
      <c r="R4229" s="8"/>
      <c r="S4229" s="8"/>
      <c r="T4229" s="8"/>
      <c r="U4229" s="8"/>
      <c r="V4229" s="8"/>
      <c r="W4229" s="8"/>
      <c r="X4229" s="771"/>
      <c r="Y4229" s="771"/>
      <c r="Z4229" s="771"/>
      <c r="AA4229" s="771"/>
      <c r="AB4229" s="771"/>
      <c r="AC4229" s="771"/>
      <c r="AD4229" s="771"/>
      <c r="AE4229" s="771"/>
      <c r="AF4229" s="771"/>
      <c r="AG4229" s="771"/>
      <c r="AH4229" s="771"/>
      <c r="AI4229" s="771"/>
      <c r="AJ4229" s="771"/>
      <c r="AK4229" s="771"/>
      <c r="AL4229" s="771"/>
      <c r="AM4229" s="771"/>
      <c r="AN4229" s="771"/>
      <c r="AO4229" s="771"/>
      <c r="AP4229" s="771"/>
      <c r="AQ4229" s="771"/>
      <c r="AR4229" s="771"/>
      <c r="AS4229" s="771"/>
      <c r="AT4229" s="771"/>
      <c r="AU4229" s="771"/>
    </row>
    <row r="4230" spans="1:47" s="15" customFormat="1" x14ac:dyDescent="0.2">
      <c r="A4230" s="8"/>
      <c r="B4230" s="8"/>
      <c r="C4230" s="11"/>
      <c r="D4230" s="11"/>
      <c r="E4230" s="84"/>
      <c r="F4230" s="83"/>
      <c r="H4230" s="8"/>
      <c r="I4230" s="8"/>
      <c r="J4230" s="8"/>
      <c r="K4230" s="8"/>
      <c r="L4230" s="8"/>
      <c r="M4230" s="8"/>
      <c r="N4230" s="8"/>
      <c r="O4230" s="8"/>
      <c r="P4230" s="8"/>
      <c r="Q4230" s="8"/>
      <c r="R4230" s="8"/>
      <c r="S4230" s="8"/>
      <c r="T4230" s="8"/>
      <c r="U4230" s="8"/>
      <c r="V4230" s="8"/>
      <c r="W4230" s="8"/>
      <c r="X4230" s="771"/>
      <c r="Y4230" s="771"/>
      <c r="Z4230" s="771"/>
      <c r="AA4230" s="771"/>
      <c r="AB4230" s="771"/>
      <c r="AC4230" s="771"/>
      <c r="AD4230" s="771"/>
      <c r="AE4230" s="771"/>
      <c r="AF4230" s="771"/>
      <c r="AG4230" s="771"/>
      <c r="AH4230" s="771"/>
      <c r="AI4230" s="771"/>
      <c r="AJ4230" s="771"/>
      <c r="AK4230" s="771"/>
      <c r="AL4230" s="771"/>
      <c r="AM4230" s="771"/>
      <c r="AN4230" s="771"/>
      <c r="AO4230" s="771"/>
      <c r="AP4230" s="771"/>
      <c r="AQ4230" s="771"/>
      <c r="AR4230" s="771"/>
      <c r="AS4230" s="771"/>
      <c r="AT4230" s="771"/>
      <c r="AU4230" s="771"/>
    </row>
    <row r="4231" spans="1:47" s="15" customFormat="1" x14ac:dyDescent="0.2">
      <c r="A4231" s="8"/>
      <c r="B4231" s="8"/>
      <c r="C4231" s="11"/>
      <c r="D4231" s="11"/>
      <c r="E4231" s="84"/>
      <c r="F4231" s="83"/>
      <c r="H4231" s="8"/>
      <c r="I4231" s="8"/>
      <c r="J4231" s="8"/>
      <c r="K4231" s="8"/>
      <c r="L4231" s="8"/>
      <c r="M4231" s="8"/>
      <c r="N4231" s="8"/>
      <c r="O4231" s="8"/>
      <c r="P4231" s="8"/>
      <c r="Q4231" s="8"/>
      <c r="R4231" s="8"/>
      <c r="S4231" s="8"/>
      <c r="T4231" s="8"/>
      <c r="U4231" s="8"/>
      <c r="V4231" s="8"/>
      <c r="W4231" s="8"/>
      <c r="X4231" s="771"/>
      <c r="Y4231" s="771"/>
      <c r="Z4231" s="771"/>
      <c r="AA4231" s="771"/>
      <c r="AB4231" s="771"/>
      <c r="AC4231" s="771"/>
      <c r="AD4231" s="771"/>
      <c r="AE4231" s="771"/>
      <c r="AF4231" s="771"/>
      <c r="AG4231" s="771"/>
      <c r="AH4231" s="771"/>
      <c r="AI4231" s="771"/>
      <c r="AJ4231" s="771"/>
      <c r="AK4231" s="771"/>
      <c r="AL4231" s="771"/>
      <c r="AM4231" s="771"/>
      <c r="AN4231" s="771"/>
      <c r="AO4231" s="771"/>
      <c r="AP4231" s="771"/>
      <c r="AQ4231" s="771"/>
      <c r="AR4231" s="771"/>
      <c r="AS4231" s="771"/>
      <c r="AT4231" s="771"/>
      <c r="AU4231" s="771"/>
    </row>
    <row r="4232" spans="1:47" s="15" customFormat="1" x14ac:dyDescent="0.2">
      <c r="A4232" s="8"/>
      <c r="B4232" s="8"/>
      <c r="C4232" s="11"/>
      <c r="D4232" s="11"/>
      <c r="E4232" s="84"/>
      <c r="F4232" s="83"/>
      <c r="H4232" s="8"/>
      <c r="I4232" s="8"/>
      <c r="J4232" s="8"/>
      <c r="K4232" s="8"/>
      <c r="L4232" s="8"/>
      <c r="M4232" s="8"/>
      <c r="N4232" s="8"/>
      <c r="O4232" s="8"/>
      <c r="P4232" s="8"/>
      <c r="Q4232" s="8"/>
      <c r="R4232" s="8"/>
      <c r="S4232" s="8"/>
      <c r="T4232" s="8"/>
      <c r="U4232" s="8"/>
      <c r="V4232" s="8"/>
      <c r="W4232" s="8"/>
      <c r="X4232" s="771"/>
      <c r="Y4232" s="771"/>
      <c r="Z4232" s="771"/>
      <c r="AA4232" s="771"/>
      <c r="AB4232" s="771"/>
      <c r="AC4232" s="771"/>
      <c r="AD4232" s="771"/>
      <c r="AE4232" s="771"/>
      <c r="AF4232" s="771"/>
      <c r="AG4232" s="771"/>
      <c r="AH4232" s="771"/>
      <c r="AI4232" s="771"/>
      <c r="AJ4232" s="771"/>
      <c r="AK4232" s="771"/>
      <c r="AL4232" s="771"/>
      <c r="AM4232" s="771"/>
      <c r="AN4232" s="771"/>
      <c r="AO4232" s="771"/>
      <c r="AP4232" s="771"/>
      <c r="AQ4232" s="771"/>
      <c r="AR4232" s="771"/>
      <c r="AS4232" s="771"/>
      <c r="AT4232" s="771"/>
      <c r="AU4232" s="771"/>
    </row>
    <row r="4233" spans="1:47" s="15" customFormat="1" x14ac:dyDescent="0.2">
      <c r="A4233" s="8"/>
      <c r="B4233" s="8"/>
      <c r="C4233" s="11"/>
      <c r="D4233" s="11"/>
      <c r="E4233" s="84"/>
      <c r="F4233" s="83"/>
      <c r="H4233" s="8"/>
      <c r="I4233" s="8"/>
      <c r="J4233" s="8"/>
      <c r="K4233" s="8"/>
      <c r="L4233" s="8"/>
      <c r="M4233" s="8"/>
      <c r="N4233" s="8"/>
      <c r="O4233" s="8"/>
      <c r="P4233" s="8"/>
      <c r="Q4233" s="8"/>
      <c r="R4233" s="8"/>
      <c r="S4233" s="8"/>
      <c r="T4233" s="8"/>
      <c r="U4233" s="8"/>
      <c r="V4233" s="8"/>
      <c r="W4233" s="8"/>
      <c r="X4233" s="771"/>
      <c r="Y4233" s="771"/>
      <c r="Z4233" s="771"/>
      <c r="AA4233" s="771"/>
      <c r="AB4233" s="771"/>
      <c r="AC4233" s="771"/>
      <c r="AD4233" s="771"/>
      <c r="AE4233" s="771"/>
      <c r="AF4233" s="771"/>
      <c r="AG4233" s="771"/>
      <c r="AH4233" s="771"/>
      <c r="AI4233" s="771"/>
      <c r="AJ4233" s="771"/>
      <c r="AK4233" s="771"/>
      <c r="AL4233" s="771"/>
      <c r="AM4233" s="771"/>
      <c r="AN4233" s="771"/>
      <c r="AO4233" s="771"/>
      <c r="AP4233" s="771"/>
      <c r="AQ4233" s="771"/>
      <c r="AR4233" s="771"/>
      <c r="AS4233" s="771"/>
      <c r="AT4233" s="771"/>
      <c r="AU4233" s="771"/>
    </row>
    <row r="4234" spans="1:47" s="15" customFormat="1" x14ac:dyDescent="0.2">
      <c r="A4234" s="8"/>
      <c r="B4234" s="8"/>
      <c r="C4234" s="11"/>
      <c r="D4234" s="11"/>
      <c r="E4234" s="84"/>
      <c r="F4234" s="83"/>
      <c r="H4234" s="8"/>
      <c r="I4234" s="8"/>
      <c r="J4234" s="8"/>
      <c r="K4234" s="8"/>
      <c r="L4234" s="8"/>
      <c r="M4234" s="8"/>
      <c r="N4234" s="8"/>
      <c r="O4234" s="8"/>
      <c r="P4234" s="8"/>
      <c r="Q4234" s="8"/>
      <c r="R4234" s="8"/>
      <c r="S4234" s="8"/>
      <c r="T4234" s="8"/>
      <c r="U4234" s="8"/>
      <c r="V4234" s="8"/>
      <c r="W4234" s="8"/>
      <c r="X4234" s="771"/>
      <c r="Y4234" s="771"/>
      <c r="Z4234" s="771"/>
      <c r="AA4234" s="771"/>
      <c r="AB4234" s="771"/>
      <c r="AC4234" s="771"/>
      <c r="AD4234" s="771"/>
      <c r="AE4234" s="771"/>
      <c r="AF4234" s="771"/>
      <c r="AG4234" s="771"/>
      <c r="AH4234" s="771"/>
      <c r="AI4234" s="771"/>
      <c r="AJ4234" s="771"/>
      <c r="AK4234" s="771"/>
      <c r="AL4234" s="771"/>
      <c r="AM4234" s="771"/>
      <c r="AN4234" s="771"/>
      <c r="AO4234" s="771"/>
      <c r="AP4234" s="771"/>
      <c r="AQ4234" s="771"/>
      <c r="AR4234" s="771"/>
      <c r="AS4234" s="771"/>
      <c r="AT4234" s="771"/>
      <c r="AU4234" s="771"/>
    </row>
    <row r="4235" spans="1:47" s="15" customFormat="1" x14ac:dyDescent="0.2">
      <c r="A4235" s="8"/>
      <c r="B4235" s="8"/>
      <c r="C4235" s="11"/>
      <c r="D4235" s="11"/>
      <c r="E4235" s="84"/>
      <c r="F4235" s="83"/>
      <c r="H4235" s="8"/>
      <c r="I4235" s="8"/>
      <c r="J4235" s="8"/>
      <c r="K4235" s="8"/>
      <c r="L4235" s="8"/>
      <c r="M4235" s="8"/>
      <c r="N4235" s="8"/>
      <c r="O4235" s="8"/>
      <c r="P4235" s="8"/>
      <c r="Q4235" s="8"/>
      <c r="R4235" s="8"/>
      <c r="S4235" s="8"/>
      <c r="T4235" s="8"/>
      <c r="U4235" s="8"/>
      <c r="V4235" s="8"/>
      <c r="W4235" s="8"/>
      <c r="X4235" s="771"/>
      <c r="Y4235" s="771"/>
      <c r="Z4235" s="771"/>
      <c r="AA4235" s="771"/>
      <c r="AB4235" s="771"/>
      <c r="AC4235" s="771"/>
      <c r="AD4235" s="771"/>
      <c r="AE4235" s="771"/>
      <c r="AF4235" s="771"/>
      <c r="AG4235" s="771"/>
      <c r="AH4235" s="771"/>
      <c r="AI4235" s="771"/>
      <c r="AJ4235" s="771"/>
      <c r="AK4235" s="771"/>
      <c r="AL4235" s="771"/>
      <c r="AM4235" s="771"/>
      <c r="AN4235" s="771"/>
      <c r="AO4235" s="771"/>
      <c r="AP4235" s="771"/>
      <c r="AQ4235" s="771"/>
      <c r="AR4235" s="771"/>
      <c r="AS4235" s="771"/>
      <c r="AT4235" s="771"/>
      <c r="AU4235" s="771"/>
    </row>
    <row r="4236" spans="1:47" s="15" customFormat="1" x14ac:dyDescent="0.2">
      <c r="A4236" s="8"/>
      <c r="B4236" s="8"/>
      <c r="C4236" s="11"/>
      <c r="D4236" s="11"/>
      <c r="E4236" s="84"/>
      <c r="F4236" s="83"/>
      <c r="H4236" s="8"/>
      <c r="I4236" s="8"/>
      <c r="J4236" s="8"/>
      <c r="K4236" s="8"/>
      <c r="L4236" s="8"/>
      <c r="M4236" s="8"/>
      <c r="N4236" s="8"/>
      <c r="O4236" s="8"/>
      <c r="P4236" s="8"/>
      <c r="Q4236" s="8"/>
      <c r="R4236" s="8"/>
      <c r="S4236" s="8"/>
      <c r="T4236" s="8"/>
      <c r="U4236" s="8"/>
      <c r="V4236" s="8"/>
      <c r="W4236" s="8"/>
      <c r="X4236" s="771"/>
      <c r="Y4236" s="771"/>
      <c r="Z4236" s="771"/>
      <c r="AA4236" s="771"/>
      <c r="AB4236" s="771"/>
      <c r="AC4236" s="771"/>
      <c r="AD4236" s="771"/>
      <c r="AE4236" s="771"/>
      <c r="AF4236" s="771"/>
      <c r="AG4236" s="771"/>
      <c r="AH4236" s="771"/>
      <c r="AI4236" s="771"/>
      <c r="AJ4236" s="771"/>
      <c r="AK4236" s="771"/>
      <c r="AL4236" s="771"/>
      <c r="AM4236" s="771"/>
      <c r="AN4236" s="771"/>
      <c r="AO4236" s="771"/>
      <c r="AP4236" s="771"/>
      <c r="AQ4236" s="771"/>
      <c r="AR4236" s="771"/>
      <c r="AS4236" s="771"/>
      <c r="AT4236" s="771"/>
      <c r="AU4236" s="771"/>
    </row>
    <row r="4237" spans="1:47" s="15" customFormat="1" x14ac:dyDescent="0.2">
      <c r="A4237" s="8"/>
      <c r="B4237" s="8"/>
      <c r="C4237" s="11"/>
      <c r="D4237" s="11"/>
      <c r="E4237" s="84"/>
      <c r="F4237" s="83"/>
      <c r="H4237" s="8"/>
      <c r="I4237" s="8"/>
      <c r="J4237" s="8"/>
      <c r="K4237" s="8"/>
      <c r="L4237" s="8"/>
      <c r="M4237" s="8"/>
      <c r="N4237" s="8"/>
      <c r="O4237" s="8"/>
      <c r="P4237" s="8"/>
      <c r="Q4237" s="8"/>
      <c r="R4237" s="8"/>
      <c r="S4237" s="8"/>
      <c r="T4237" s="8"/>
      <c r="U4237" s="8"/>
      <c r="V4237" s="8"/>
      <c r="W4237" s="8"/>
      <c r="X4237" s="771"/>
      <c r="Y4237" s="771"/>
      <c r="Z4237" s="771"/>
      <c r="AA4237" s="771"/>
      <c r="AB4237" s="771"/>
      <c r="AC4237" s="771"/>
      <c r="AD4237" s="771"/>
      <c r="AE4237" s="771"/>
      <c r="AF4237" s="771"/>
      <c r="AG4237" s="771"/>
      <c r="AH4237" s="771"/>
      <c r="AI4237" s="771"/>
      <c r="AJ4237" s="771"/>
      <c r="AK4237" s="771"/>
      <c r="AL4237" s="771"/>
      <c r="AM4237" s="771"/>
      <c r="AN4237" s="771"/>
      <c r="AO4237" s="771"/>
      <c r="AP4237" s="771"/>
      <c r="AQ4237" s="771"/>
      <c r="AR4237" s="771"/>
      <c r="AS4237" s="771"/>
      <c r="AT4237" s="771"/>
      <c r="AU4237" s="771"/>
    </row>
    <row r="4238" spans="1:47" s="15" customFormat="1" x14ac:dyDescent="0.2">
      <c r="A4238" s="8"/>
      <c r="B4238" s="8"/>
      <c r="C4238" s="11"/>
      <c r="D4238" s="11"/>
      <c r="E4238" s="84"/>
      <c r="F4238" s="83"/>
      <c r="H4238" s="8"/>
      <c r="I4238" s="8"/>
      <c r="J4238" s="8"/>
      <c r="K4238" s="8"/>
      <c r="L4238" s="8"/>
      <c r="M4238" s="8"/>
      <c r="N4238" s="8"/>
      <c r="O4238" s="8"/>
      <c r="P4238" s="8"/>
      <c r="Q4238" s="8"/>
      <c r="R4238" s="8"/>
      <c r="S4238" s="8"/>
      <c r="T4238" s="8"/>
      <c r="U4238" s="8"/>
      <c r="V4238" s="8"/>
      <c r="W4238" s="8"/>
      <c r="X4238" s="771"/>
      <c r="Y4238" s="771"/>
      <c r="Z4238" s="771"/>
      <c r="AA4238" s="771"/>
      <c r="AB4238" s="771"/>
      <c r="AC4238" s="771"/>
      <c r="AD4238" s="771"/>
      <c r="AE4238" s="771"/>
      <c r="AF4238" s="771"/>
      <c r="AG4238" s="771"/>
      <c r="AH4238" s="771"/>
      <c r="AI4238" s="771"/>
      <c r="AJ4238" s="771"/>
      <c r="AK4238" s="771"/>
      <c r="AL4238" s="771"/>
      <c r="AM4238" s="771"/>
      <c r="AN4238" s="771"/>
      <c r="AO4238" s="771"/>
      <c r="AP4238" s="771"/>
      <c r="AQ4238" s="771"/>
      <c r="AR4238" s="771"/>
      <c r="AS4238" s="771"/>
      <c r="AT4238" s="771"/>
      <c r="AU4238" s="771"/>
    </row>
    <row r="4239" spans="1:47" s="15" customFormat="1" x14ac:dyDescent="0.2">
      <c r="A4239" s="8"/>
      <c r="B4239" s="8"/>
      <c r="C4239" s="11"/>
      <c r="D4239" s="11"/>
      <c r="E4239" s="84"/>
      <c r="F4239" s="83"/>
      <c r="H4239" s="8"/>
      <c r="I4239" s="8"/>
      <c r="J4239" s="8"/>
      <c r="K4239" s="8"/>
      <c r="L4239" s="8"/>
      <c r="M4239" s="8"/>
      <c r="N4239" s="8"/>
      <c r="O4239" s="8"/>
      <c r="P4239" s="8"/>
      <c r="Q4239" s="8"/>
      <c r="R4239" s="8"/>
      <c r="S4239" s="8"/>
      <c r="T4239" s="8"/>
      <c r="U4239" s="8"/>
      <c r="V4239" s="8"/>
      <c r="W4239" s="8"/>
      <c r="X4239" s="771"/>
      <c r="Y4239" s="771"/>
      <c r="Z4239" s="771"/>
      <c r="AA4239" s="771"/>
      <c r="AB4239" s="771"/>
      <c r="AC4239" s="771"/>
      <c r="AD4239" s="771"/>
      <c r="AE4239" s="771"/>
      <c r="AF4239" s="771"/>
      <c r="AG4239" s="771"/>
      <c r="AH4239" s="771"/>
      <c r="AI4239" s="771"/>
      <c r="AJ4239" s="771"/>
      <c r="AK4239" s="771"/>
      <c r="AL4239" s="771"/>
      <c r="AM4239" s="771"/>
      <c r="AN4239" s="771"/>
      <c r="AO4239" s="771"/>
      <c r="AP4239" s="771"/>
      <c r="AQ4239" s="771"/>
      <c r="AR4239" s="771"/>
      <c r="AS4239" s="771"/>
      <c r="AT4239" s="771"/>
      <c r="AU4239" s="771"/>
    </row>
    <row r="4240" spans="1:47" s="15" customFormat="1" x14ac:dyDescent="0.2">
      <c r="A4240" s="8"/>
      <c r="B4240" s="8"/>
      <c r="C4240" s="11"/>
      <c r="D4240" s="11"/>
      <c r="E4240" s="84"/>
      <c r="F4240" s="83"/>
      <c r="H4240" s="8"/>
      <c r="I4240" s="8"/>
      <c r="J4240" s="8"/>
      <c r="K4240" s="8"/>
      <c r="L4240" s="8"/>
      <c r="M4240" s="8"/>
      <c r="N4240" s="8"/>
      <c r="O4240" s="8"/>
      <c r="P4240" s="8"/>
      <c r="Q4240" s="8"/>
      <c r="R4240" s="8"/>
      <c r="S4240" s="8"/>
      <c r="T4240" s="8"/>
      <c r="U4240" s="8"/>
      <c r="V4240" s="8"/>
      <c r="W4240" s="8"/>
      <c r="X4240" s="771"/>
      <c r="Y4240" s="771"/>
      <c r="Z4240" s="771"/>
      <c r="AA4240" s="771"/>
      <c r="AB4240" s="771"/>
      <c r="AC4240" s="771"/>
      <c r="AD4240" s="771"/>
      <c r="AE4240" s="771"/>
      <c r="AF4240" s="771"/>
      <c r="AG4240" s="771"/>
      <c r="AH4240" s="771"/>
      <c r="AI4240" s="771"/>
      <c r="AJ4240" s="771"/>
      <c r="AK4240" s="771"/>
      <c r="AL4240" s="771"/>
      <c r="AM4240" s="771"/>
      <c r="AN4240" s="771"/>
      <c r="AO4240" s="771"/>
      <c r="AP4240" s="771"/>
      <c r="AQ4240" s="771"/>
      <c r="AR4240" s="771"/>
      <c r="AS4240" s="771"/>
      <c r="AT4240" s="771"/>
      <c r="AU4240" s="771"/>
    </row>
    <row r="4241" spans="1:47" s="15" customFormat="1" x14ac:dyDescent="0.2">
      <c r="A4241" s="8"/>
      <c r="B4241" s="8"/>
      <c r="C4241" s="11"/>
      <c r="D4241" s="11"/>
      <c r="E4241" s="84"/>
      <c r="F4241" s="83"/>
      <c r="H4241" s="8"/>
      <c r="I4241" s="8"/>
      <c r="J4241" s="8"/>
      <c r="K4241" s="8"/>
      <c r="L4241" s="8"/>
      <c r="M4241" s="8"/>
      <c r="N4241" s="8"/>
      <c r="O4241" s="8"/>
      <c r="P4241" s="8"/>
      <c r="Q4241" s="8"/>
      <c r="R4241" s="8"/>
      <c r="S4241" s="8"/>
      <c r="T4241" s="8"/>
      <c r="U4241" s="8"/>
      <c r="V4241" s="8"/>
      <c r="W4241" s="8"/>
      <c r="X4241" s="771"/>
      <c r="Y4241" s="771"/>
      <c r="Z4241" s="771"/>
      <c r="AA4241" s="771"/>
      <c r="AB4241" s="771"/>
      <c r="AC4241" s="771"/>
      <c r="AD4241" s="771"/>
      <c r="AE4241" s="771"/>
      <c r="AF4241" s="771"/>
      <c r="AG4241" s="771"/>
      <c r="AH4241" s="771"/>
      <c r="AI4241" s="771"/>
      <c r="AJ4241" s="771"/>
      <c r="AK4241" s="771"/>
      <c r="AL4241" s="771"/>
      <c r="AM4241" s="771"/>
      <c r="AN4241" s="771"/>
      <c r="AO4241" s="771"/>
      <c r="AP4241" s="771"/>
      <c r="AQ4241" s="771"/>
      <c r="AR4241" s="771"/>
      <c r="AS4241" s="771"/>
      <c r="AT4241" s="771"/>
      <c r="AU4241" s="771"/>
    </row>
    <row r="4242" spans="1:47" s="15" customFormat="1" x14ac:dyDescent="0.2">
      <c r="A4242" s="8"/>
      <c r="B4242" s="8"/>
      <c r="C4242" s="11"/>
      <c r="D4242" s="11"/>
      <c r="E4242" s="84"/>
      <c r="F4242" s="83"/>
      <c r="H4242" s="8"/>
      <c r="I4242" s="8"/>
      <c r="J4242" s="8"/>
      <c r="K4242" s="8"/>
      <c r="L4242" s="8"/>
      <c r="M4242" s="8"/>
      <c r="N4242" s="8"/>
      <c r="O4242" s="8"/>
      <c r="P4242" s="8"/>
      <c r="Q4242" s="8"/>
      <c r="R4242" s="8"/>
      <c r="S4242" s="8"/>
      <c r="T4242" s="8"/>
      <c r="U4242" s="8"/>
      <c r="V4242" s="8"/>
      <c r="W4242" s="8"/>
      <c r="X4242" s="771"/>
      <c r="Y4242" s="771"/>
      <c r="Z4242" s="771"/>
      <c r="AA4242" s="771"/>
      <c r="AB4242" s="771"/>
      <c r="AC4242" s="771"/>
      <c r="AD4242" s="771"/>
      <c r="AE4242" s="771"/>
      <c r="AF4242" s="771"/>
      <c r="AG4242" s="771"/>
      <c r="AH4242" s="771"/>
      <c r="AI4242" s="771"/>
      <c r="AJ4242" s="771"/>
      <c r="AK4242" s="771"/>
      <c r="AL4242" s="771"/>
      <c r="AM4242" s="771"/>
      <c r="AN4242" s="771"/>
      <c r="AO4242" s="771"/>
      <c r="AP4242" s="771"/>
      <c r="AQ4242" s="771"/>
      <c r="AR4242" s="771"/>
      <c r="AS4242" s="771"/>
      <c r="AT4242" s="771"/>
      <c r="AU4242" s="771"/>
    </row>
    <row r="4243" spans="1:47" s="15" customFormat="1" x14ac:dyDescent="0.2">
      <c r="A4243" s="8"/>
      <c r="B4243" s="8"/>
      <c r="C4243" s="11"/>
      <c r="D4243" s="11"/>
      <c r="E4243" s="84"/>
      <c r="F4243" s="83"/>
      <c r="H4243" s="8"/>
      <c r="I4243" s="8"/>
      <c r="J4243" s="8"/>
      <c r="K4243" s="8"/>
      <c r="L4243" s="8"/>
      <c r="M4243" s="8"/>
      <c r="N4243" s="8"/>
      <c r="O4243" s="8"/>
      <c r="P4243" s="8"/>
      <c r="Q4243" s="8"/>
      <c r="R4243" s="8"/>
      <c r="S4243" s="8"/>
      <c r="T4243" s="8"/>
      <c r="U4243" s="8"/>
      <c r="V4243" s="8"/>
      <c r="W4243" s="8"/>
      <c r="X4243" s="771"/>
      <c r="Y4243" s="771"/>
      <c r="Z4243" s="771"/>
      <c r="AA4243" s="771"/>
      <c r="AB4243" s="771"/>
      <c r="AC4243" s="771"/>
      <c r="AD4243" s="771"/>
      <c r="AE4243" s="771"/>
      <c r="AF4243" s="771"/>
      <c r="AG4243" s="771"/>
      <c r="AH4243" s="771"/>
      <c r="AI4243" s="771"/>
      <c r="AJ4243" s="771"/>
      <c r="AK4243" s="771"/>
      <c r="AL4243" s="771"/>
      <c r="AM4243" s="771"/>
      <c r="AN4243" s="771"/>
      <c r="AO4243" s="771"/>
      <c r="AP4243" s="771"/>
      <c r="AQ4243" s="771"/>
      <c r="AR4243" s="771"/>
      <c r="AS4243" s="771"/>
      <c r="AT4243" s="771"/>
      <c r="AU4243" s="771"/>
    </row>
    <row r="4244" spans="1:47" s="15" customFormat="1" x14ac:dyDescent="0.2">
      <c r="A4244" s="8"/>
      <c r="B4244" s="8"/>
      <c r="C4244" s="11"/>
      <c r="D4244" s="11"/>
      <c r="E4244" s="84"/>
      <c r="F4244" s="83"/>
      <c r="H4244" s="8"/>
      <c r="I4244" s="8"/>
      <c r="J4244" s="8"/>
      <c r="K4244" s="8"/>
      <c r="L4244" s="8"/>
      <c r="M4244" s="8"/>
      <c r="N4244" s="8"/>
      <c r="O4244" s="8"/>
      <c r="P4244" s="8"/>
      <c r="Q4244" s="8"/>
      <c r="R4244" s="8"/>
      <c r="S4244" s="8"/>
      <c r="T4244" s="8"/>
      <c r="U4244" s="8"/>
      <c r="V4244" s="8"/>
      <c r="W4244" s="8"/>
      <c r="X4244" s="771"/>
      <c r="Y4244" s="771"/>
      <c r="Z4244" s="771"/>
      <c r="AA4244" s="771"/>
      <c r="AB4244" s="771"/>
      <c r="AC4244" s="771"/>
      <c r="AD4244" s="771"/>
      <c r="AE4244" s="771"/>
      <c r="AF4244" s="771"/>
      <c r="AG4244" s="771"/>
      <c r="AH4244" s="771"/>
      <c r="AI4244" s="771"/>
      <c r="AJ4244" s="771"/>
      <c r="AK4244" s="771"/>
      <c r="AL4244" s="771"/>
      <c r="AM4244" s="771"/>
      <c r="AN4244" s="771"/>
      <c r="AO4244" s="771"/>
      <c r="AP4244" s="771"/>
      <c r="AQ4244" s="771"/>
      <c r="AR4244" s="771"/>
      <c r="AS4244" s="771"/>
      <c r="AT4244" s="771"/>
      <c r="AU4244" s="771"/>
    </row>
    <row r="4245" spans="1:47" s="15" customFormat="1" x14ac:dyDescent="0.2">
      <c r="A4245" s="8"/>
      <c r="B4245" s="8"/>
      <c r="C4245" s="11"/>
      <c r="D4245" s="11"/>
      <c r="E4245" s="84"/>
      <c r="F4245" s="83"/>
      <c r="H4245" s="8"/>
      <c r="I4245" s="8"/>
      <c r="J4245" s="8"/>
      <c r="K4245" s="8"/>
      <c r="L4245" s="8"/>
      <c r="M4245" s="8"/>
      <c r="N4245" s="8"/>
      <c r="O4245" s="8"/>
      <c r="P4245" s="8"/>
      <c r="Q4245" s="8"/>
      <c r="R4245" s="8"/>
      <c r="S4245" s="8"/>
      <c r="T4245" s="8"/>
      <c r="U4245" s="8"/>
      <c r="V4245" s="8"/>
      <c r="W4245" s="8"/>
      <c r="X4245" s="771"/>
      <c r="Y4245" s="771"/>
      <c r="Z4245" s="771"/>
      <c r="AA4245" s="771"/>
      <c r="AB4245" s="771"/>
      <c r="AC4245" s="771"/>
      <c r="AD4245" s="771"/>
      <c r="AE4245" s="771"/>
      <c r="AF4245" s="771"/>
      <c r="AG4245" s="771"/>
      <c r="AH4245" s="771"/>
      <c r="AI4245" s="771"/>
      <c r="AJ4245" s="771"/>
      <c r="AK4245" s="771"/>
      <c r="AL4245" s="771"/>
      <c r="AM4245" s="771"/>
      <c r="AN4245" s="771"/>
      <c r="AO4245" s="771"/>
      <c r="AP4245" s="771"/>
      <c r="AQ4245" s="771"/>
      <c r="AR4245" s="771"/>
      <c r="AS4245" s="771"/>
      <c r="AT4245" s="771"/>
      <c r="AU4245" s="771"/>
    </row>
    <row r="4246" spans="1:47" s="15" customFormat="1" x14ac:dyDescent="0.2">
      <c r="A4246" s="8"/>
      <c r="B4246" s="8"/>
      <c r="C4246" s="11"/>
      <c r="D4246" s="11"/>
      <c r="E4246" s="84"/>
      <c r="F4246" s="83"/>
      <c r="H4246" s="8"/>
      <c r="I4246" s="8"/>
      <c r="J4246" s="8"/>
      <c r="K4246" s="8"/>
      <c r="L4246" s="8"/>
      <c r="M4246" s="8"/>
      <c r="N4246" s="8"/>
      <c r="O4246" s="8"/>
      <c r="P4246" s="8"/>
      <c r="Q4246" s="8"/>
      <c r="R4246" s="8"/>
      <c r="S4246" s="8"/>
      <c r="T4246" s="8"/>
      <c r="U4246" s="8"/>
      <c r="V4246" s="8"/>
      <c r="W4246" s="8"/>
      <c r="X4246" s="771"/>
      <c r="Y4246" s="771"/>
      <c r="Z4246" s="771"/>
      <c r="AA4246" s="771"/>
      <c r="AB4246" s="771"/>
      <c r="AC4246" s="771"/>
      <c r="AD4246" s="771"/>
      <c r="AE4246" s="771"/>
      <c r="AF4246" s="771"/>
      <c r="AG4246" s="771"/>
      <c r="AH4246" s="771"/>
      <c r="AI4246" s="771"/>
      <c r="AJ4246" s="771"/>
      <c r="AK4246" s="771"/>
      <c r="AL4246" s="771"/>
      <c r="AM4246" s="771"/>
      <c r="AN4246" s="771"/>
      <c r="AO4246" s="771"/>
      <c r="AP4246" s="771"/>
      <c r="AQ4246" s="771"/>
      <c r="AR4246" s="771"/>
      <c r="AS4246" s="771"/>
      <c r="AT4246" s="771"/>
      <c r="AU4246" s="771"/>
    </row>
    <row r="4247" spans="1:47" s="15" customFormat="1" x14ac:dyDescent="0.2">
      <c r="A4247" s="8"/>
      <c r="B4247" s="8"/>
      <c r="C4247" s="11"/>
      <c r="D4247" s="11"/>
      <c r="E4247" s="84"/>
      <c r="F4247" s="83"/>
      <c r="H4247" s="8"/>
      <c r="I4247" s="8"/>
      <c r="J4247" s="8"/>
      <c r="K4247" s="8"/>
      <c r="L4247" s="8"/>
      <c r="M4247" s="8"/>
      <c r="N4247" s="8"/>
      <c r="O4247" s="8"/>
      <c r="P4247" s="8"/>
      <c r="Q4247" s="8"/>
      <c r="R4247" s="8"/>
      <c r="S4247" s="8"/>
      <c r="T4247" s="8"/>
      <c r="U4247" s="8"/>
      <c r="V4247" s="8"/>
      <c r="W4247" s="8"/>
      <c r="X4247" s="771"/>
      <c r="Y4247" s="771"/>
      <c r="Z4247" s="771"/>
      <c r="AA4247" s="771"/>
      <c r="AB4247" s="771"/>
      <c r="AC4247" s="771"/>
      <c r="AD4247" s="771"/>
      <c r="AE4247" s="771"/>
      <c r="AF4247" s="771"/>
      <c r="AG4247" s="771"/>
      <c r="AH4247" s="771"/>
      <c r="AI4247" s="771"/>
      <c r="AJ4247" s="771"/>
      <c r="AK4247" s="771"/>
      <c r="AL4247" s="771"/>
      <c r="AM4247" s="771"/>
      <c r="AN4247" s="771"/>
      <c r="AO4247" s="771"/>
      <c r="AP4247" s="771"/>
      <c r="AQ4247" s="771"/>
      <c r="AR4247" s="771"/>
      <c r="AS4247" s="771"/>
      <c r="AT4247" s="771"/>
      <c r="AU4247" s="771"/>
    </row>
    <row r="4248" spans="1:47" s="15" customFormat="1" x14ac:dyDescent="0.2">
      <c r="A4248" s="8"/>
      <c r="B4248" s="8"/>
      <c r="C4248" s="11"/>
      <c r="D4248" s="11"/>
      <c r="E4248" s="84"/>
      <c r="F4248" s="83"/>
      <c r="H4248" s="8"/>
      <c r="I4248" s="8"/>
      <c r="J4248" s="8"/>
      <c r="K4248" s="8"/>
      <c r="L4248" s="8"/>
      <c r="M4248" s="8"/>
      <c r="N4248" s="8"/>
      <c r="O4248" s="8"/>
      <c r="P4248" s="8"/>
      <c r="Q4248" s="8"/>
      <c r="R4248" s="8"/>
      <c r="S4248" s="8"/>
      <c r="T4248" s="8"/>
      <c r="U4248" s="8"/>
      <c r="V4248" s="8"/>
      <c r="W4248" s="8"/>
      <c r="X4248" s="771"/>
      <c r="Y4248" s="771"/>
      <c r="Z4248" s="771"/>
      <c r="AA4248" s="771"/>
      <c r="AB4248" s="771"/>
      <c r="AC4248" s="771"/>
      <c r="AD4248" s="771"/>
      <c r="AE4248" s="771"/>
      <c r="AF4248" s="771"/>
      <c r="AG4248" s="771"/>
      <c r="AH4248" s="771"/>
      <c r="AI4248" s="771"/>
      <c r="AJ4248" s="771"/>
      <c r="AK4248" s="771"/>
      <c r="AL4248" s="771"/>
      <c r="AM4248" s="771"/>
      <c r="AN4248" s="771"/>
      <c r="AO4248" s="771"/>
      <c r="AP4248" s="771"/>
      <c r="AQ4248" s="771"/>
      <c r="AR4248" s="771"/>
      <c r="AS4248" s="771"/>
      <c r="AT4248" s="771"/>
      <c r="AU4248" s="771"/>
    </row>
    <row r="4249" spans="1:47" s="15" customFormat="1" x14ac:dyDescent="0.2">
      <c r="A4249" s="8"/>
      <c r="B4249" s="8"/>
      <c r="C4249" s="11"/>
      <c r="D4249" s="11"/>
      <c r="E4249" s="84"/>
      <c r="F4249" s="83"/>
      <c r="H4249" s="8"/>
      <c r="I4249" s="8"/>
      <c r="J4249" s="8"/>
      <c r="K4249" s="8"/>
      <c r="L4249" s="8"/>
      <c r="M4249" s="8"/>
      <c r="N4249" s="8"/>
      <c r="O4249" s="8"/>
      <c r="P4249" s="8"/>
      <c r="Q4249" s="8"/>
      <c r="R4249" s="8"/>
      <c r="S4249" s="8"/>
      <c r="T4249" s="8"/>
      <c r="U4249" s="8"/>
      <c r="V4249" s="8"/>
      <c r="W4249" s="8"/>
      <c r="X4249" s="771"/>
      <c r="Y4249" s="771"/>
      <c r="Z4249" s="771"/>
      <c r="AA4249" s="771"/>
      <c r="AB4249" s="771"/>
      <c r="AC4249" s="771"/>
      <c r="AD4249" s="771"/>
      <c r="AE4249" s="771"/>
      <c r="AF4249" s="771"/>
      <c r="AG4249" s="771"/>
      <c r="AH4249" s="771"/>
      <c r="AI4249" s="771"/>
      <c r="AJ4249" s="771"/>
      <c r="AK4249" s="771"/>
      <c r="AL4249" s="771"/>
      <c r="AM4249" s="771"/>
      <c r="AN4249" s="771"/>
      <c r="AO4249" s="771"/>
      <c r="AP4249" s="771"/>
      <c r="AQ4249" s="771"/>
      <c r="AR4249" s="771"/>
      <c r="AS4249" s="771"/>
      <c r="AT4249" s="771"/>
      <c r="AU4249" s="771"/>
    </row>
    <row r="4250" spans="1:47" s="15" customFormat="1" x14ac:dyDescent="0.2">
      <c r="A4250" s="8"/>
      <c r="B4250" s="8"/>
      <c r="C4250" s="11"/>
      <c r="D4250" s="11"/>
      <c r="E4250" s="84"/>
      <c r="F4250" s="83"/>
      <c r="H4250" s="8"/>
      <c r="I4250" s="8"/>
      <c r="J4250" s="8"/>
      <c r="K4250" s="8"/>
      <c r="L4250" s="8"/>
      <c r="M4250" s="8"/>
      <c r="N4250" s="8"/>
      <c r="O4250" s="8"/>
      <c r="P4250" s="8"/>
      <c r="Q4250" s="8"/>
      <c r="R4250" s="8"/>
      <c r="S4250" s="8"/>
      <c r="T4250" s="8"/>
      <c r="U4250" s="8"/>
      <c r="V4250" s="8"/>
      <c r="W4250" s="8"/>
      <c r="X4250" s="771"/>
      <c r="Y4250" s="771"/>
      <c r="Z4250" s="771"/>
      <c r="AA4250" s="771"/>
      <c r="AB4250" s="771"/>
      <c r="AC4250" s="771"/>
      <c r="AD4250" s="771"/>
      <c r="AE4250" s="771"/>
      <c r="AF4250" s="771"/>
      <c r="AG4250" s="771"/>
      <c r="AH4250" s="771"/>
      <c r="AI4250" s="771"/>
      <c r="AJ4250" s="771"/>
      <c r="AK4250" s="771"/>
      <c r="AL4250" s="771"/>
      <c r="AM4250" s="771"/>
      <c r="AN4250" s="771"/>
      <c r="AO4250" s="771"/>
      <c r="AP4250" s="771"/>
      <c r="AQ4250" s="771"/>
      <c r="AR4250" s="771"/>
      <c r="AS4250" s="771"/>
      <c r="AT4250" s="771"/>
      <c r="AU4250" s="771"/>
    </row>
    <row r="4251" spans="1:47" s="15" customFormat="1" x14ac:dyDescent="0.2">
      <c r="A4251" s="8"/>
      <c r="B4251" s="8"/>
      <c r="C4251" s="11"/>
      <c r="D4251" s="11"/>
      <c r="E4251" s="84"/>
      <c r="F4251" s="83"/>
      <c r="H4251" s="8"/>
      <c r="I4251" s="8"/>
      <c r="J4251" s="8"/>
      <c r="K4251" s="8"/>
      <c r="L4251" s="8"/>
      <c r="M4251" s="8"/>
      <c r="N4251" s="8"/>
      <c r="O4251" s="8"/>
      <c r="P4251" s="8"/>
      <c r="Q4251" s="8"/>
      <c r="R4251" s="8"/>
      <c r="S4251" s="8"/>
      <c r="T4251" s="8"/>
      <c r="U4251" s="8"/>
      <c r="V4251" s="8"/>
      <c r="W4251" s="8"/>
      <c r="X4251" s="771"/>
      <c r="Y4251" s="771"/>
      <c r="Z4251" s="771"/>
      <c r="AA4251" s="771"/>
      <c r="AB4251" s="771"/>
      <c r="AC4251" s="771"/>
      <c r="AD4251" s="771"/>
      <c r="AE4251" s="771"/>
      <c r="AF4251" s="771"/>
      <c r="AG4251" s="771"/>
      <c r="AH4251" s="771"/>
      <c r="AI4251" s="771"/>
      <c r="AJ4251" s="771"/>
      <c r="AK4251" s="771"/>
      <c r="AL4251" s="771"/>
      <c r="AM4251" s="771"/>
      <c r="AN4251" s="771"/>
      <c r="AO4251" s="771"/>
      <c r="AP4251" s="771"/>
      <c r="AQ4251" s="771"/>
      <c r="AR4251" s="771"/>
      <c r="AS4251" s="771"/>
      <c r="AT4251" s="771"/>
      <c r="AU4251" s="771"/>
    </row>
    <row r="4252" spans="1:47" s="15" customFormat="1" x14ac:dyDescent="0.2">
      <c r="A4252" s="8"/>
      <c r="B4252" s="8"/>
      <c r="C4252" s="11"/>
      <c r="D4252" s="11"/>
      <c r="E4252" s="84"/>
      <c r="F4252" s="83"/>
      <c r="H4252" s="8"/>
      <c r="I4252" s="8"/>
      <c r="J4252" s="8"/>
      <c r="K4252" s="8"/>
      <c r="L4252" s="8"/>
      <c r="M4252" s="8"/>
      <c r="N4252" s="8"/>
      <c r="O4252" s="8"/>
      <c r="P4252" s="8"/>
      <c r="Q4252" s="8"/>
      <c r="R4252" s="8"/>
      <c r="S4252" s="8"/>
      <c r="T4252" s="8"/>
      <c r="U4252" s="8"/>
      <c r="V4252" s="8"/>
      <c r="W4252" s="8"/>
      <c r="X4252" s="771"/>
      <c r="Y4252" s="771"/>
      <c r="Z4252" s="771"/>
      <c r="AA4252" s="771"/>
      <c r="AB4252" s="771"/>
      <c r="AC4252" s="771"/>
      <c r="AD4252" s="771"/>
      <c r="AE4252" s="771"/>
      <c r="AF4252" s="771"/>
      <c r="AG4252" s="771"/>
      <c r="AH4252" s="771"/>
      <c r="AI4252" s="771"/>
      <c r="AJ4252" s="771"/>
      <c r="AK4252" s="771"/>
      <c r="AL4252" s="771"/>
      <c r="AM4252" s="771"/>
      <c r="AN4252" s="771"/>
      <c r="AO4252" s="771"/>
      <c r="AP4252" s="771"/>
      <c r="AQ4252" s="771"/>
      <c r="AR4252" s="771"/>
      <c r="AS4252" s="771"/>
      <c r="AT4252" s="771"/>
      <c r="AU4252" s="771"/>
    </row>
    <row r="4253" spans="1:47" s="15" customFormat="1" x14ac:dyDescent="0.2">
      <c r="A4253" s="8"/>
      <c r="B4253" s="8"/>
      <c r="C4253" s="11"/>
      <c r="D4253" s="11"/>
      <c r="E4253" s="84"/>
      <c r="F4253" s="83"/>
      <c r="H4253" s="8"/>
      <c r="I4253" s="8"/>
      <c r="J4253" s="8"/>
      <c r="K4253" s="8"/>
      <c r="L4253" s="8"/>
      <c r="M4253" s="8"/>
      <c r="N4253" s="8"/>
      <c r="O4253" s="8"/>
      <c r="P4253" s="8"/>
      <c r="Q4253" s="8"/>
      <c r="R4253" s="8"/>
      <c r="S4253" s="8"/>
      <c r="T4253" s="8"/>
      <c r="U4253" s="8"/>
      <c r="V4253" s="8"/>
      <c r="W4253" s="8"/>
      <c r="X4253" s="771"/>
      <c r="Y4253" s="771"/>
      <c r="Z4253" s="771"/>
      <c r="AA4253" s="771"/>
      <c r="AB4253" s="771"/>
      <c r="AC4253" s="771"/>
      <c r="AD4253" s="771"/>
      <c r="AE4253" s="771"/>
      <c r="AF4253" s="771"/>
      <c r="AG4253" s="771"/>
      <c r="AH4253" s="771"/>
      <c r="AI4253" s="771"/>
      <c r="AJ4253" s="771"/>
      <c r="AK4253" s="771"/>
      <c r="AL4253" s="771"/>
      <c r="AM4253" s="771"/>
      <c r="AN4253" s="771"/>
      <c r="AO4253" s="771"/>
      <c r="AP4253" s="771"/>
      <c r="AQ4253" s="771"/>
      <c r="AR4253" s="771"/>
      <c r="AS4253" s="771"/>
      <c r="AT4253" s="771"/>
      <c r="AU4253" s="771"/>
    </row>
    <row r="4254" spans="1:47" s="15" customFormat="1" x14ac:dyDescent="0.2">
      <c r="A4254" s="8"/>
      <c r="B4254" s="8"/>
      <c r="C4254" s="11"/>
      <c r="D4254" s="11"/>
      <c r="E4254" s="84"/>
      <c r="F4254" s="83"/>
      <c r="H4254" s="8"/>
      <c r="I4254" s="8"/>
      <c r="J4254" s="8"/>
      <c r="K4254" s="8"/>
      <c r="L4254" s="8"/>
      <c r="M4254" s="8"/>
      <c r="N4254" s="8"/>
      <c r="O4254" s="8"/>
      <c r="P4254" s="8"/>
      <c r="Q4254" s="8"/>
      <c r="R4254" s="8"/>
      <c r="S4254" s="8"/>
      <c r="T4254" s="8"/>
      <c r="U4254" s="8"/>
      <c r="V4254" s="8"/>
      <c r="W4254" s="8"/>
      <c r="X4254" s="771"/>
      <c r="Y4254" s="771"/>
      <c r="Z4254" s="771"/>
      <c r="AA4254" s="771"/>
      <c r="AB4254" s="771"/>
      <c r="AC4254" s="771"/>
      <c r="AD4254" s="771"/>
      <c r="AE4254" s="771"/>
      <c r="AF4254" s="771"/>
      <c r="AG4254" s="771"/>
      <c r="AH4254" s="771"/>
      <c r="AI4254" s="771"/>
      <c r="AJ4254" s="771"/>
      <c r="AK4254" s="771"/>
      <c r="AL4254" s="771"/>
      <c r="AM4254" s="771"/>
      <c r="AN4254" s="771"/>
      <c r="AO4254" s="771"/>
      <c r="AP4254" s="771"/>
      <c r="AQ4254" s="771"/>
      <c r="AR4254" s="771"/>
      <c r="AS4254" s="771"/>
      <c r="AT4254" s="771"/>
      <c r="AU4254" s="771"/>
    </row>
    <row r="4255" spans="1:47" s="15" customFormat="1" x14ac:dyDescent="0.2">
      <c r="A4255" s="8"/>
      <c r="B4255" s="8"/>
      <c r="C4255" s="11"/>
      <c r="D4255" s="11"/>
      <c r="E4255" s="84"/>
      <c r="F4255" s="83"/>
      <c r="H4255" s="8"/>
      <c r="I4255" s="8"/>
      <c r="J4255" s="8"/>
      <c r="K4255" s="8"/>
      <c r="L4255" s="8"/>
      <c r="M4255" s="8"/>
      <c r="N4255" s="8"/>
      <c r="O4255" s="8"/>
      <c r="P4255" s="8"/>
      <c r="Q4255" s="8"/>
      <c r="R4255" s="8"/>
      <c r="S4255" s="8"/>
      <c r="T4255" s="8"/>
      <c r="U4255" s="8"/>
      <c r="V4255" s="8"/>
      <c r="W4255" s="8"/>
      <c r="X4255" s="771"/>
      <c r="Y4255" s="771"/>
      <c r="Z4255" s="771"/>
      <c r="AA4255" s="771"/>
      <c r="AB4255" s="771"/>
      <c r="AC4255" s="771"/>
      <c r="AD4255" s="771"/>
      <c r="AE4255" s="771"/>
      <c r="AF4255" s="771"/>
      <c r="AG4255" s="771"/>
      <c r="AH4255" s="771"/>
      <c r="AI4255" s="771"/>
      <c r="AJ4255" s="771"/>
      <c r="AK4255" s="771"/>
      <c r="AL4255" s="771"/>
      <c r="AM4255" s="771"/>
      <c r="AN4255" s="771"/>
      <c r="AO4255" s="771"/>
      <c r="AP4255" s="771"/>
      <c r="AQ4255" s="771"/>
      <c r="AR4255" s="771"/>
      <c r="AS4255" s="771"/>
      <c r="AT4255" s="771"/>
      <c r="AU4255" s="771"/>
    </row>
    <row r="4256" spans="1:47" s="15" customFormat="1" x14ac:dyDescent="0.2">
      <c r="A4256" s="8"/>
      <c r="B4256" s="8"/>
      <c r="C4256" s="11"/>
      <c r="D4256" s="11"/>
      <c r="E4256" s="84"/>
      <c r="F4256" s="83"/>
      <c r="H4256" s="8"/>
      <c r="I4256" s="8"/>
      <c r="J4256" s="8"/>
      <c r="K4256" s="8"/>
      <c r="L4256" s="8"/>
      <c r="M4256" s="8"/>
      <c r="N4256" s="8"/>
      <c r="O4256" s="8"/>
      <c r="P4256" s="8"/>
      <c r="Q4256" s="8"/>
      <c r="R4256" s="8"/>
      <c r="S4256" s="8"/>
      <c r="T4256" s="8"/>
      <c r="U4256" s="8"/>
      <c r="V4256" s="8"/>
      <c r="W4256" s="8"/>
      <c r="X4256" s="771"/>
      <c r="Y4256" s="771"/>
      <c r="Z4256" s="771"/>
      <c r="AA4256" s="771"/>
      <c r="AB4256" s="771"/>
      <c r="AC4256" s="771"/>
      <c r="AD4256" s="771"/>
      <c r="AE4256" s="771"/>
      <c r="AF4256" s="771"/>
      <c r="AG4256" s="771"/>
      <c r="AH4256" s="771"/>
      <c r="AI4256" s="771"/>
      <c r="AJ4256" s="771"/>
      <c r="AK4256" s="771"/>
      <c r="AL4256" s="771"/>
      <c r="AM4256" s="771"/>
      <c r="AN4256" s="771"/>
      <c r="AO4256" s="771"/>
      <c r="AP4256" s="771"/>
      <c r="AQ4256" s="771"/>
      <c r="AR4256" s="771"/>
      <c r="AS4256" s="771"/>
      <c r="AT4256" s="771"/>
      <c r="AU4256" s="771"/>
    </row>
    <row r="4257" spans="1:47" s="15" customFormat="1" x14ac:dyDescent="0.2">
      <c r="A4257" s="8"/>
      <c r="B4257" s="8"/>
      <c r="C4257" s="11"/>
      <c r="D4257" s="11"/>
      <c r="E4257" s="84"/>
      <c r="F4257" s="83"/>
      <c r="H4257" s="8"/>
      <c r="I4257" s="8"/>
      <c r="J4257" s="8"/>
      <c r="K4257" s="8"/>
      <c r="L4257" s="8"/>
      <c r="M4257" s="8"/>
      <c r="N4257" s="8"/>
      <c r="O4257" s="8"/>
      <c r="P4257" s="8"/>
      <c r="Q4257" s="8"/>
      <c r="R4257" s="8"/>
      <c r="S4257" s="8"/>
      <c r="T4257" s="8"/>
      <c r="U4257" s="8"/>
      <c r="V4257" s="8"/>
      <c r="W4257" s="8"/>
      <c r="X4257" s="771"/>
      <c r="Y4257" s="771"/>
      <c r="Z4257" s="771"/>
      <c r="AA4257" s="771"/>
      <c r="AB4257" s="771"/>
      <c r="AC4257" s="771"/>
      <c r="AD4257" s="771"/>
      <c r="AE4257" s="771"/>
      <c r="AF4257" s="771"/>
      <c r="AG4257" s="771"/>
      <c r="AH4257" s="771"/>
      <c r="AI4257" s="771"/>
      <c r="AJ4257" s="771"/>
      <c r="AK4257" s="771"/>
      <c r="AL4257" s="771"/>
      <c r="AM4257" s="771"/>
      <c r="AN4257" s="771"/>
      <c r="AO4257" s="771"/>
      <c r="AP4257" s="771"/>
      <c r="AQ4257" s="771"/>
      <c r="AR4257" s="771"/>
      <c r="AS4257" s="771"/>
      <c r="AT4257" s="771"/>
      <c r="AU4257" s="771"/>
    </row>
    <row r="4258" spans="1:47" s="15" customFormat="1" x14ac:dyDescent="0.2">
      <c r="A4258" s="8"/>
      <c r="B4258" s="8"/>
      <c r="C4258" s="11"/>
      <c r="D4258" s="11"/>
      <c r="E4258" s="84"/>
      <c r="F4258" s="83"/>
      <c r="H4258" s="8"/>
      <c r="I4258" s="8"/>
      <c r="J4258" s="8"/>
      <c r="K4258" s="8"/>
      <c r="L4258" s="8"/>
      <c r="M4258" s="8"/>
      <c r="N4258" s="8"/>
      <c r="O4258" s="8"/>
      <c r="P4258" s="8"/>
      <c r="Q4258" s="8"/>
      <c r="R4258" s="8"/>
      <c r="S4258" s="8"/>
      <c r="T4258" s="8"/>
      <c r="U4258" s="8"/>
      <c r="V4258" s="8"/>
      <c r="W4258" s="8"/>
      <c r="X4258" s="771"/>
      <c r="Y4258" s="771"/>
      <c r="Z4258" s="771"/>
      <c r="AA4258" s="771"/>
      <c r="AB4258" s="771"/>
      <c r="AC4258" s="771"/>
      <c r="AD4258" s="771"/>
      <c r="AE4258" s="771"/>
      <c r="AF4258" s="771"/>
      <c r="AG4258" s="771"/>
      <c r="AH4258" s="771"/>
      <c r="AI4258" s="771"/>
      <c r="AJ4258" s="771"/>
      <c r="AK4258" s="771"/>
      <c r="AL4258" s="771"/>
      <c r="AM4258" s="771"/>
      <c r="AN4258" s="771"/>
      <c r="AO4258" s="771"/>
      <c r="AP4258" s="771"/>
      <c r="AQ4258" s="771"/>
      <c r="AR4258" s="771"/>
      <c r="AS4258" s="771"/>
      <c r="AT4258" s="771"/>
      <c r="AU4258" s="771"/>
    </row>
    <row r="4259" spans="1:47" s="15" customFormat="1" x14ac:dyDescent="0.2">
      <c r="A4259" s="8"/>
      <c r="B4259" s="8"/>
      <c r="C4259" s="11"/>
      <c r="D4259" s="11"/>
      <c r="E4259" s="84"/>
      <c r="F4259" s="83"/>
      <c r="H4259" s="8"/>
      <c r="I4259" s="8"/>
      <c r="J4259" s="8"/>
      <c r="K4259" s="8"/>
      <c r="L4259" s="8"/>
      <c r="M4259" s="8"/>
      <c r="N4259" s="8"/>
      <c r="O4259" s="8"/>
      <c r="P4259" s="8"/>
      <c r="Q4259" s="8"/>
      <c r="R4259" s="8"/>
      <c r="S4259" s="8"/>
      <c r="T4259" s="8"/>
      <c r="U4259" s="8"/>
      <c r="V4259" s="8"/>
      <c r="W4259" s="8"/>
      <c r="X4259" s="771"/>
      <c r="Y4259" s="771"/>
      <c r="Z4259" s="771"/>
      <c r="AA4259" s="771"/>
      <c r="AB4259" s="771"/>
      <c r="AC4259" s="771"/>
      <c r="AD4259" s="771"/>
      <c r="AE4259" s="771"/>
      <c r="AF4259" s="771"/>
      <c r="AG4259" s="771"/>
      <c r="AH4259" s="771"/>
      <c r="AI4259" s="771"/>
      <c r="AJ4259" s="771"/>
      <c r="AK4259" s="771"/>
      <c r="AL4259" s="771"/>
      <c r="AM4259" s="771"/>
      <c r="AN4259" s="771"/>
      <c r="AO4259" s="771"/>
      <c r="AP4259" s="771"/>
      <c r="AQ4259" s="771"/>
      <c r="AR4259" s="771"/>
      <c r="AS4259" s="771"/>
      <c r="AT4259" s="771"/>
      <c r="AU4259" s="771"/>
    </row>
    <row r="4260" spans="1:47" s="15" customFormat="1" x14ac:dyDescent="0.2">
      <c r="A4260" s="8"/>
      <c r="B4260" s="8"/>
      <c r="C4260" s="11"/>
      <c r="D4260" s="11"/>
      <c r="E4260" s="84"/>
      <c r="F4260" s="83"/>
      <c r="H4260" s="8"/>
      <c r="I4260" s="8"/>
      <c r="J4260" s="8"/>
      <c r="K4260" s="8"/>
      <c r="L4260" s="8"/>
      <c r="M4260" s="8"/>
      <c r="N4260" s="8"/>
      <c r="O4260" s="8"/>
      <c r="P4260" s="8"/>
      <c r="Q4260" s="8"/>
      <c r="R4260" s="8"/>
      <c r="S4260" s="8"/>
      <c r="T4260" s="8"/>
      <c r="U4260" s="8"/>
      <c r="V4260" s="8"/>
      <c r="W4260" s="8"/>
      <c r="X4260" s="771"/>
      <c r="Y4260" s="771"/>
      <c r="Z4260" s="771"/>
      <c r="AA4260" s="771"/>
      <c r="AB4260" s="771"/>
      <c r="AC4260" s="771"/>
      <c r="AD4260" s="771"/>
      <c r="AE4260" s="771"/>
      <c r="AF4260" s="771"/>
      <c r="AG4260" s="771"/>
      <c r="AH4260" s="771"/>
      <c r="AI4260" s="771"/>
      <c r="AJ4260" s="771"/>
      <c r="AK4260" s="771"/>
      <c r="AL4260" s="771"/>
      <c r="AM4260" s="771"/>
      <c r="AN4260" s="771"/>
      <c r="AO4260" s="771"/>
      <c r="AP4260" s="771"/>
      <c r="AQ4260" s="771"/>
      <c r="AR4260" s="771"/>
      <c r="AS4260" s="771"/>
      <c r="AT4260" s="771"/>
      <c r="AU4260" s="771"/>
    </row>
    <row r="4261" spans="1:47" s="15" customFormat="1" x14ac:dyDescent="0.2">
      <c r="A4261" s="8"/>
      <c r="B4261" s="8"/>
      <c r="C4261" s="11"/>
      <c r="D4261" s="11"/>
      <c r="E4261" s="84"/>
      <c r="F4261" s="83"/>
      <c r="H4261" s="8"/>
      <c r="I4261" s="8"/>
      <c r="J4261" s="8"/>
      <c r="K4261" s="8"/>
      <c r="L4261" s="8"/>
      <c r="M4261" s="8"/>
      <c r="N4261" s="8"/>
      <c r="O4261" s="8"/>
      <c r="P4261" s="8"/>
      <c r="Q4261" s="8"/>
      <c r="R4261" s="8"/>
      <c r="S4261" s="8"/>
      <c r="T4261" s="8"/>
      <c r="U4261" s="8"/>
      <c r="V4261" s="8"/>
      <c r="W4261" s="8"/>
      <c r="X4261" s="771"/>
      <c r="Y4261" s="771"/>
      <c r="Z4261" s="771"/>
      <c r="AA4261" s="771"/>
      <c r="AB4261" s="771"/>
      <c r="AC4261" s="771"/>
      <c r="AD4261" s="771"/>
      <c r="AE4261" s="771"/>
      <c r="AF4261" s="771"/>
      <c r="AG4261" s="771"/>
      <c r="AH4261" s="771"/>
      <c r="AI4261" s="771"/>
      <c r="AJ4261" s="771"/>
      <c r="AK4261" s="771"/>
      <c r="AL4261" s="771"/>
      <c r="AM4261" s="771"/>
      <c r="AN4261" s="771"/>
      <c r="AO4261" s="771"/>
      <c r="AP4261" s="771"/>
      <c r="AQ4261" s="771"/>
      <c r="AR4261" s="771"/>
      <c r="AS4261" s="771"/>
      <c r="AT4261" s="771"/>
      <c r="AU4261" s="771"/>
    </row>
    <row r="4262" spans="1:47" s="15" customFormat="1" x14ac:dyDescent="0.2">
      <c r="A4262" s="8"/>
      <c r="B4262" s="8"/>
      <c r="C4262" s="11"/>
      <c r="D4262" s="11"/>
      <c r="E4262" s="84"/>
      <c r="F4262" s="83"/>
      <c r="H4262" s="8"/>
      <c r="I4262" s="8"/>
      <c r="J4262" s="8"/>
      <c r="K4262" s="8"/>
      <c r="L4262" s="8"/>
      <c r="M4262" s="8"/>
      <c r="N4262" s="8"/>
      <c r="O4262" s="8"/>
      <c r="P4262" s="8"/>
      <c r="Q4262" s="8"/>
      <c r="R4262" s="8"/>
      <c r="S4262" s="8"/>
      <c r="T4262" s="8"/>
      <c r="U4262" s="8"/>
      <c r="V4262" s="8"/>
      <c r="W4262" s="8"/>
      <c r="X4262" s="771"/>
      <c r="Y4262" s="771"/>
      <c r="Z4262" s="771"/>
      <c r="AA4262" s="771"/>
      <c r="AB4262" s="771"/>
      <c r="AC4262" s="771"/>
      <c r="AD4262" s="771"/>
      <c r="AE4262" s="771"/>
      <c r="AF4262" s="771"/>
      <c r="AG4262" s="771"/>
      <c r="AH4262" s="771"/>
      <c r="AI4262" s="771"/>
      <c r="AJ4262" s="771"/>
      <c r="AK4262" s="771"/>
      <c r="AL4262" s="771"/>
      <c r="AM4262" s="771"/>
      <c r="AN4262" s="771"/>
      <c r="AO4262" s="771"/>
      <c r="AP4262" s="771"/>
      <c r="AQ4262" s="771"/>
      <c r="AR4262" s="771"/>
      <c r="AS4262" s="771"/>
      <c r="AT4262" s="771"/>
      <c r="AU4262" s="771"/>
    </row>
    <row r="4263" spans="1:47" s="15" customFormat="1" x14ac:dyDescent="0.2">
      <c r="A4263" s="8"/>
      <c r="B4263" s="8"/>
      <c r="C4263" s="11"/>
      <c r="D4263" s="11"/>
      <c r="E4263" s="84"/>
      <c r="F4263" s="83"/>
      <c r="H4263" s="8"/>
      <c r="I4263" s="8"/>
      <c r="J4263" s="8"/>
      <c r="K4263" s="8"/>
      <c r="L4263" s="8"/>
      <c r="M4263" s="8"/>
      <c r="N4263" s="8"/>
      <c r="O4263" s="8"/>
      <c r="P4263" s="8"/>
      <c r="Q4263" s="8"/>
      <c r="R4263" s="8"/>
      <c r="S4263" s="8"/>
      <c r="T4263" s="8"/>
      <c r="U4263" s="8"/>
      <c r="V4263" s="8"/>
      <c r="W4263" s="8"/>
      <c r="X4263" s="771"/>
      <c r="Y4263" s="771"/>
      <c r="Z4263" s="771"/>
      <c r="AA4263" s="771"/>
      <c r="AB4263" s="771"/>
      <c r="AC4263" s="771"/>
      <c r="AD4263" s="771"/>
      <c r="AE4263" s="771"/>
      <c r="AF4263" s="771"/>
      <c r="AG4263" s="771"/>
      <c r="AH4263" s="771"/>
      <c r="AI4263" s="771"/>
      <c r="AJ4263" s="771"/>
      <c r="AK4263" s="771"/>
      <c r="AL4263" s="771"/>
      <c r="AM4263" s="771"/>
      <c r="AN4263" s="771"/>
      <c r="AO4263" s="771"/>
      <c r="AP4263" s="771"/>
      <c r="AQ4263" s="771"/>
      <c r="AR4263" s="771"/>
      <c r="AS4263" s="771"/>
      <c r="AT4263" s="771"/>
      <c r="AU4263" s="771"/>
    </row>
    <row r="4264" spans="1:47" s="15" customFormat="1" x14ac:dyDescent="0.2">
      <c r="A4264" s="8"/>
      <c r="B4264" s="8"/>
      <c r="C4264" s="11"/>
      <c r="D4264" s="11"/>
      <c r="E4264" s="84"/>
      <c r="F4264" s="83"/>
      <c r="H4264" s="8"/>
      <c r="I4264" s="8"/>
      <c r="J4264" s="8"/>
      <c r="K4264" s="8"/>
      <c r="L4264" s="8"/>
      <c r="M4264" s="8"/>
      <c r="N4264" s="8"/>
      <c r="O4264" s="8"/>
      <c r="P4264" s="8"/>
      <c r="Q4264" s="8"/>
      <c r="R4264" s="8"/>
      <c r="S4264" s="8"/>
      <c r="T4264" s="8"/>
      <c r="U4264" s="8"/>
      <c r="V4264" s="8"/>
      <c r="W4264" s="8"/>
      <c r="X4264" s="771"/>
      <c r="Y4264" s="771"/>
      <c r="Z4264" s="771"/>
      <c r="AA4264" s="771"/>
      <c r="AB4264" s="771"/>
      <c r="AC4264" s="771"/>
      <c r="AD4264" s="771"/>
      <c r="AE4264" s="771"/>
      <c r="AF4264" s="771"/>
      <c r="AG4264" s="771"/>
      <c r="AH4264" s="771"/>
      <c r="AI4264" s="771"/>
      <c r="AJ4264" s="771"/>
      <c r="AK4264" s="771"/>
      <c r="AL4264" s="771"/>
      <c r="AM4264" s="771"/>
      <c r="AN4264" s="771"/>
      <c r="AO4264" s="771"/>
      <c r="AP4264" s="771"/>
      <c r="AQ4264" s="771"/>
      <c r="AR4264" s="771"/>
      <c r="AS4264" s="771"/>
      <c r="AT4264" s="771"/>
      <c r="AU4264" s="771"/>
    </row>
    <row r="4265" spans="1:47" s="15" customFormat="1" x14ac:dyDescent="0.2">
      <c r="A4265" s="8"/>
      <c r="B4265" s="8"/>
      <c r="C4265" s="11"/>
      <c r="D4265" s="11"/>
      <c r="E4265" s="84"/>
      <c r="F4265" s="83"/>
      <c r="H4265" s="8"/>
      <c r="I4265" s="8"/>
      <c r="J4265" s="8"/>
      <c r="K4265" s="8"/>
      <c r="L4265" s="8"/>
      <c r="M4265" s="8"/>
      <c r="N4265" s="8"/>
      <c r="O4265" s="8"/>
      <c r="P4265" s="8"/>
      <c r="Q4265" s="8"/>
      <c r="R4265" s="8"/>
      <c r="S4265" s="8"/>
      <c r="T4265" s="8"/>
      <c r="U4265" s="8"/>
      <c r="V4265" s="8"/>
      <c r="W4265" s="8"/>
      <c r="X4265" s="771"/>
      <c r="Y4265" s="771"/>
      <c r="Z4265" s="771"/>
      <c r="AA4265" s="771"/>
      <c r="AB4265" s="771"/>
      <c r="AC4265" s="771"/>
      <c r="AD4265" s="771"/>
      <c r="AE4265" s="771"/>
      <c r="AF4265" s="771"/>
      <c r="AG4265" s="771"/>
      <c r="AH4265" s="771"/>
      <c r="AI4265" s="771"/>
      <c r="AJ4265" s="771"/>
      <c r="AK4265" s="771"/>
      <c r="AL4265" s="771"/>
      <c r="AM4265" s="771"/>
      <c r="AN4265" s="771"/>
      <c r="AO4265" s="771"/>
      <c r="AP4265" s="771"/>
      <c r="AQ4265" s="771"/>
      <c r="AR4265" s="771"/>
      <c r="AS4265" s="771"/>
      <c r="AT4265" s="771"/>
      <c r="AU4265" s="771"/>
    </row>
    <row r="4266" spans="1:47" s="15" customFormat="1" x14ac:dyDescent="0.2">
      <c r="A4266" s="8"/>
      <c r="B4266" s="8"/>
      <c r="C4266" s="11"/>
      <c r="D4266" s="11"/>
      <c r="E4266" s="84"/>
      <c r="F4266" s="83"/>
      <c r="H4266" s="8"/>
      <c r="I4266" s="8"/>
      <c r="J4266" s="8"/>
      <c r="K4266" s="8"/>
      <c r="L4266" s="8"/>
      <c r="M4266" s="8"/>
      <c r="N4266" s="8"/>
      <c r="O4266" s="8"/>
      <c r="P4266" s="8"/>
      <c r="Q4266" s="8"/>
      <c r="R4266" s="8"/>
      <c r="S4266" s="8"/>
      <c r="T4266" s="8"/>
      <c r="U4266" s="8"/>
      <c r="V4266" s="8"/>
      <c r="W4266" s="8"/>
      <c r="X4266" s="771"/>
      <c r="Y4266" s="771"/>
      <c r="Z4266" s="771"/>
      <c r="AA4266" s="771"/>
      <c r="AB4266" s="771"/>
      <c r="AC4266" s="771"/>
      <c r="AD4266" s="771"/>
      <c r="AE4266" s="771"/>
      <c r="AF4266" s="771"/>
      <c r="AG4266" s="771"/>
      <c r="AH4266" s="771"/>
      <c r="AI4266" s="771"/>
      <c r="AJ4266" s="771"/>
      <c r="AK4266" s="771"/>
      <c r="AL4266" s="771"/>
      <c r="AM4266" s="771"/>
      <c r="AN4266" s="771"/>
      <c r="AO4266" s="771"/>
      <c r="AP4266" s="771"/>
      <c r="AQ4266" s="771"/>
      <c r="AR4266" s="771"/>
      <c r="AS4266" s="771"/>
      <c r="AT4266" s="771"/>
      <c r="AU4266" s="771"/>
    </row>
    <row r="4267" spans="1:47" s="15" customFormat="1" x14ac:dyDescent="0.2">
      <c r="A4267" s="8"/>
      <c r="B4267" s="8"/>
      <c r="C4267" s="11"/>
      <c r="D4267" s="11"/>
      <c r="E4267" s="84"/>
      <c r="F4267" s="83"/>
      <c r="H4267" s="8"/>
      <c r="I4267" s="8"/>
      <c r="J4267" s="8"/>
      <c r="K4267" s="8"/>
      <c r="L4267" s="8"/>
      <c r="M4267" s="8"/>
      <c r="N4267" s="8"/>
      <c r="O4267" s="8"/>
      <c r="P4267" s="8"/>
      <c r="Q4267" s="8"/>
      <c r="R4267" s="8"/>
      <c r="S4267" s="8"/>
      <c r="T4267" s="8"/>
      <c r="U4267" s="8"/>
      <c r="V4267" s="8"/>
      <c r="W4267" s="8"/>
      <c r="X4267" s="771"/>
      <c r="Y4267" s="771"/>
      <c r="Z4267" s="771"/>
      <c r="AA4267" s="771"/>
      <c r="AB4267" s="771"/>
      <c r="AC4267" s="771"/>
      <c r="AD4267" s="771"/>
      <c r="AE4267" s="771"/>
      <c r="AF4267" s="771"/>
      <c r="AG4267" s="771"/>
      <c r="AH4267" s="771"/>
      <c r="AI4267" s="771"/>
      <c r="AJ4267" s="771"/>
      <c r="AK4267" s="771"/>
      <c r="AL4267" s="771"/>
      <c r="AM4267" s="771"/>
      <c r="AN4267" s="771"/>
      <c r="AO4267" s="771"/>
      <c r="AP4267" s="771"/>
      <c r="AQ4267" s="771"/>
      <c r="AR4267" s="771"/>
      <c r="AS4267" s="771"/>
      <c r="AT4267" s="771"/>
      <c r="AU4267" s="771"/>
    </row>
    <row r="4268" spans="1:47" s="15" customFormat="1" x14ac:dyDescent="0.2">
      <c r="A4268" s="8"/>
      <c r="B4268" s="8"/>
      <c r="C4268" s="11"/>
      <c r="D4268" s="11"/>
      <c r="E4268" s="84"/>
      <c r="F4268" s="83"/>
      <c r="H4268" s="8"/>
      <c r="I4268" s="8"/>
      <c r="J4268" s="8"/>
      <c r="K4268" s="8"/>
      <c r="L4268" s="8"/>
      <c r="M4268" s="8"/>
      <c r="N4268" s="8"/>
      <c r="O4268" s="8"/>
      <c r="P4268" s="8"/>
      <c r="Q4268" s="8"/>
      <c r="R4268" s="8"/>
      <c r="S4268" s="8"/>
      <c r="T4268" s="8"/>
      <c r="U4268" s="8"/>
      <c r="V4268" s="8"/>
      <c r="W4268" s="8"/>
      <c r="X4268" s="771"/>
      <c r="Y4268" s="771"/>
      <c r="Z4268" s="771"/>
      <c r="AA4268" s="771"/>
      <c r="AB4268" s="771"/>
      <c r="AC4268" s="771"/>
      <c r="AD4268" s="771"/>
      <c r="AE4268" s="771"/>
      <c r="AF4268" s="771"/>
      <c r="AG4268" s="771"/>
      <c r="AH4268" s="771"/>
      <c r="AI4268" s="771"/>
      <c r="AJ4268" s="771"/>
      <c r="AK4268" s="771"/>
      <c r="AL4268" s="771"/>
      <c r="AM4268" s="771"/>
      <c r="AN4268" s="771"/>
      <c r="AO4268" s="771"/>
      <c r="AP4268" s="771"/>
      <c r="AQ4268" s="771"/>
      <c r="AR4268" s="771"/>
      <c r="AS4268" s="771"/>
      <c r="AT4268" s="771"/>
      <c r="AU4268" s="771"/>
    </row>
    <row r="4269" spans="1:47" s="15" customFormat="1" x14ac:dyDescent="0.2">
      <c r="A4269" s="8"/>
      <c r="B4269" s="8"/>
      <c r="C4269" s="11"/>
      <c r="D4269" s="11"/>
      <c r="E4269" s="84"/>
      <c r="F4269" s="83"/>
      <c r="H4269" s="8"/>
      <c r="I4269" s="8"/>
      <c r="J4269" s="8"/>
      <c r="K4269" s="8"/>
      <c r="L4269" s="8"/>
      <c r="M4269" s="8"/>
      <c r="N4269" s="8"/>
      <c r="O4269" s="8"/>
      <c r="P4269" s="8"/>
      <c r="Q4269" s="8"/>
      <c r="R4269" s="8"/>
      <c r="S4269" s="8"/>
      <c r="T4269" s="8"/>
      <c r="U4269" s="8"/>
      <c r="V4269" s="8"/>
      <c r="W4269" s="8"/>
      <c r="X4269" s="771"/>
      <c r="Y4269" s="771"/>
      <c r="Z4269" s="771"/>
      <c r="AA4269" s="771"/>
      <c r="AB4269" s="771"/>
      <c r="AC4269" s="771"/>
      <c r="AD4269" s="771"/>
      <c r="AE4269" s="771"/>
      <c r="AF4269" s="771"/>
      <c r="AG4269" s="771"/>
      <c r="AH4269" s="771"/>
      <c r="AI4269" s="771"/>
      <c r="AJ4269" s="771"/>
      <c r="AK4269" s="771"/>
      <c r="AL4269" s="771"/>
      <c r="AM4269" s="771"/>
      <c r="AN4269" s="771"/>
      <c r="AO4269" s="771"/>
      <c r="AP4269" s="771"/>
      <c r="AQ4269" s="771"/>
      <c r="AR4269" s="771"/>
      <c r="AS4269" s="771"/>
      <c r="AT4269" s="771"/>
      <c r="AU4269" s="771"/>
    </row>
    <row r="4270" spans="1:47" s="15" customFormat="1" x14ac:dyDescent="0.2">
      <c r="A4270" s="8"/>
      <c r="B4270" s="8"/>
      <c r="C4270" s="11"/>
      <c r="D4270" s="11"/>
      <c r="E4270" s="84"/>
      <c r="F4270" s="83"/>
      <c r="H4270" s="8"/>
      <c r="I4270" s="8"/>
      <c r="J4270" s="8"/>
      <c r="K4270" s="8"/>
      <c r="L4270" s="8"/>
      <c r="M4270" s="8"/>
      <c r="N4270" s="8"/>
      <c r="O4270" s="8"/>
      <c r="P4270" s="8"/>
      <c r="Q4270" s="8"/>
      <c r="R4270" s="8"/>
      <c r="S4270" s="8"/>
      <c r="T4270" s="8"/>
      <c r="U4270" s="8"/>
      <c r="V4270" s="8"/>
      <c r="W4270" s="8"/>
      <c r="X4270" s="771"/>
      <c r="Y4270" s="771"/>
      <c r="Z4270" s="771"/>
      <c r="AA4270" s="771"/>
      <c r="AB4270" s="771"/>
      <c r="AC4270" s="771"/>
      <c r="AD4270" s="771"/>
      <c r="AE4270" s="771"/>
      <c r="AF4270" s="771"/>
      <c r="AG4270" s="771"/>
      <c r="AH4270" s="771"/>
      <c r="AI4270" s="771"/>
      <c r="AJ4270" s="771"/>
      <c r="AK4270" s="771"/>
      <c r="AL4270" s="771"/>
      <c r="AM4270" s="771"/>
      <c r="AN4270" s="771"/>
      <c r="AO4270" s="771"/>
      <c r="AP4270" s="771"/>
      <c r="AQ4270" s="771"/>
      <c r="AR4270" s="771"/>
      <c r="AS4270" s="771"/>
      <c r="AT4270" s="771"/>
      <c r="AU4270" s="771"/>
    </row>
    <row r="4271" spans="1:47" s="15" customFormat="1" x14ac:dyDescent="0.2">
      <c r="A4271" s="8"/>
      <c r="B4271" s="8"/>
      <c r="C4271" s="11"/>
      <c r="D4271" s="11"/>
      <c r="E4271" s="84"/>
      <c r="F4271" s="83"/>
      <c r="H4271" s="8"/>
      <c r="I4271" s="8"/>
      <c r="J4271" s="8"/>
      <c r="K4271" s="8"/>
      <c r="L4271" s="8"/>
      <c r="M4271" s="8"/>
      <c r="N4271" s="8"/>
      <c r="O4271" s="8"/>
      <c r="P4271" s="8"/>
      <c r="Q4271" s="8"/>
      <c r="R4271" s="8"/>
      <c r="S4271" s="8"/>
      <c r="T4271" s="8"/>
      <c r="U4271" s="8"/>
      <c r="V4271" s="8"/>
      <c r="W4271" s="8"/>
      <c r="X4271" s="771"/>
      <c r="Y4271" s="771"/>
      <c r="Z4271" s="771"/>
      <c r="AA4271" s="771"/>
      <c r="AB4271" s="771"/>
      <c r="AC4271" s="771"/>
      <c r="AD4271" s="771"/>
      <c r="AE4271" s="771"/>
      <c r="AF4271" s="771"/>
      <c r="AG4271" s="771"/>
      <c r="AH4271" s="771"/>
      <c r="AI4271" s="771"/>
      <c r="AJ4271" s="771"/>
      <c r="AK4271" s="771"/>
      <c r="AL4271" s="771"/>
      <c r="AM4271" s="771"/>
      <c r="AN4271" s="771"/>
      <c r="AO4271" s="771"/>
      <c r="AP4271" s="771"/>
      <c r="AQ4271" s="771"/>
      <c r="AR4271" s="771"/>
      <c r="AS4271" s="771"/>
      <c r="AT4271" s="771"/>
      <c r="AU4271" s="771"/>
    </row>
    <row r="4272" spans="1:47" s="15" customFormat="1" x14ac:dyDescent="0.2">
      <c r="A4272" s="8"/>
      <c r="B4272" s="8"/>
      <c r="C4272" s="11"/>
      <c r="D4272" s="11"/>
      <c r="E4272" s="84"/>
      <c r="F4272" s="83"/>
      <c r="H4272" s="8"/>
      <c r="I4272" s="8"/>
      <c r="J4272" s="8"/>
      <c r="K4272" s="8"/>
      <c r="L4272" s="8"/>
      <c r="M4272" s="8"/>
      <c r="N4272" s="8"/>
      <c r="O4272" s="8"/>
      <c r="P4272" s="8"/>
      <c r="Q4272" s="8"/>
      <c r="R4272" s="8"/>
      <c r="S4272" s="8"/>
      <c r="T4272" s="8"/>
      <c r="U4272" s="8"/>
      <c r="V4272" s="8"/>
      <c r="W4272" s="8"/>
      <c r="X4272" s="771"/>
      <c r="Y4272" s="771"/>
      <c r="Z4272" s="771"/>
      <c r="AA4272" s="771"/>
      <c r="AB4272" s="771"/>
      <c r="AC4272" s="771"/>
      <c r="AD4272" s="771"/>
      <c r="AE4272" s="771"/>
      <c r="AF4272" s="771"/>
      <c r="AG4272" s="771"/>
      <c r="AH4272" s="771"/>
      <c r="AI4272" s="771"/>
      <c r="AJ4272" s="771"/>
      <c r="AK4272" s="771"/>
      <c r="AL4272" s="771"/>
      <c r="AM4272" s="771"/>
      <c r="AN4272" s="771"/>
      <c r="AO4272" s="771"/>
      <c r="AP4272" s="771"/>
      <c r="AQ4272" s="771"/>
      <c r="AR4272" s="771"/>
      <c r="AS4272" s="771"/>
      <c r="AT4272" s="771"/>
      <c r="AU4272" s="771"/>
    </row>
    <row r="4273" spans="1:47" s="15" customFormat="1" x14ac:dyDescent="0.2">
      <c r="A4273" s="8"/>
      <c r="B4273" s="8"/>
      <c r="C4273" s="11"/>
      <c r="D4273" s="11"/>
      <c r="E4273" s="84"/>
      <c r="F4273" s="83"/>
      <c r="H4273" s="8"/>
      <c r="I4273" s="8"/>
      <c r="J4273" s="8"/>
      <c r="K4273" s="8"/>
      <c r="L4273" s="8"/>
      <c r="M4273" s="8"/>
      <c r="N4273" s="8"/>
      <c r="O4273" s="8"/>
      <c r="P4273" s="8"/>
      <c r="Q4273" s="8"/>
      <c r="R4273" s="8"/>
      <c r="S4273" s="8"/>
      <c r="T4273" s="8"/>
      <c r="U4273" s="8"/>
      <c r="V4273" s="8"/>
      <c r="W4273" s="8"/>
      <c r="X4273" s="771"/>
      <c r="Y4273" s="771"/>
      <c r="Z4273" s="771"/>
      <c r="AA4273" s="771"/>
      <c r="AB4273" s="771"/>
      <c r="AC4273" s="771"/>
      <c r="AD4273" s="771"/>
      <c r="AE4273" s="771"/>
      <c r="AF4273" s="771"/>
      <c r="AG4273" s="771"/>
      <c r="AH4273" s="771"/>
      <c r="AI4273" s="771"/>
      <c r="AJ4273" s="771"/>
      <c r="AK4273" s="771"/>
      <c r="AL4273" s="771"/>
      <c r="AM4273" s="771"/>
      <c r="AN4273" s="771"/>
      <c r="AO4273" s="771"/>
      <c r="AP4273" s="771"/>
      <c r="AQ4273" s="771"/>
      <c r="AR4273" s="771"/>
      <c r="AS4273" s="771"/>
      <c r="AT4273" s="771"/>
      <c r="AU4273" s="771"/>
    </row>
    <row r="4274" spans="1:47" s="15" customFormat="1" x14ac:dyDescent="0.2">
      <c r="A4274" s="8"/>
      <c r="B4274" s="8"/>
      <c r="C4274" s="11"/>
      <c r="D4274" s="11"/>
      <c r="E4274" s="84"/>
      <c r="F4274" s="83"/>
      <c r="H4274" s="8"/>
      <c r="I4274" s="8"/>
      <c r="J4274" s="8"/>
      <c r="K4274" s="8"/>
      <c r="L4274" s="8"/>
      <c r="M4274" s="8"/>
      <c r="N4274" s="8"/>
      <c r="O4274" s="8"/>
      <c r="P4274" s="8"/>
      <c r="Q4274" s="8"/>
      <c r="R4274" s="8"/>
      <c r="S4274" s="8"/>
      <c r="T4274" s="8"/>
      <c r="U4274" s="8"/>
      <c r="V4274" s="8"/>
      <c r="W4274" s="8"/>
      <c r="X4274" s="771"/>
      <c r="Y4274" s="771"/>
      <c r="Z4274" s="771"/>
      <c r="AA4274" s="771"/>
      <c r="AB4274" s="771"/>
      <c r="AC4274" s="771"/>
      <c r="AD4274" s="771"/>
      <c r="AE4274" s="771"/>
      <c r="AF4274" s="771"/>
      <c r="AG4274" s="771"/>
      <c r="AH4274" s="771"/>
      <c r="AI4274" s="771"/>
      <c r="AJ4274" s="771"/>
      <c r="AK4274" s="771"/>
      <c r="AL4274" s="771"/>
      <c r="AM4274" s="771"/>
      <c r="AN4274" s="771"/>
      <c r="AO4274" s="771"/>
      <c r="AP4274" s="771"/>
      <c r="AQ4274" s="771"/>
      <c r="AR4274" s="771"/>
      <c r="AS4274" s="771"/>
      <c r="AT4274" s="771"/>
      <c r="AU4274" s="771"/>
    </row>
    <row r="4275" spans="1:47" s="15" customFormat="1" x14ac:dyDescent="0.2">
      <c r="A4275" s="8"/>
      <c r="B4275" s="8"/>
      <c r="C4275" s="11"/>
      <c r="D4275" s="11"/>
      <c r="E4275" s="84"/>
      <c r="F4275" s="83"/>
      <c r="H4275" s="8"/>
      <c r="I4275" s="8"/>
      <c r="J4275" s="8"/>
      <c r="K4275" s="8"/>
      <c r="L4275" s="8"/>
      <c r="M4275" s="8"/>
      <c r="N4275" s="8"/>
      <c r="O4275" s="8"/>
      <c r="P4275" s="8"/>
      <c r="Q4275" s="8"/>
      <c r="R4275" s="8"/>
      <c r="S4275" s="8"/>
      <c r="T4275" s="8"/>
      <c r="U4275" s="8"/>
      <c r="V4275" s="8"/>
      <c r="W4275" s="8"/>
      <c r="X4275" s="771"/>
      <c r="Y4275" s="771"/>
      <c r="Z4275" s="771"/>
      <c r="AA4275" s="771"/>
      <c r="AB4275" s="771"/>
      <c r="AC4275" s="771"/>
      <c r="AD4275" s="771"/>
      <c r="AE4275" s="771"/>
      <c r="AF4275" s="771"/>
      <c r="AG4275" s="771"/>
      <c r="AH4275" s="771"/>
      <c r="AI4275" s="771"/>
      <c r="AJ4275" s="771"/>
      <c r="AK4275" s="771"/>
      <c r="AL4275" s="771"/>
      <c r="AM4275" s="771"/>
      <c r="AN4275" s="771"/>
      <c r="AO4275" s="771"/>
      <c r="AP4275" s="771"/>
      <c r="AQ4275" s="771"/>
      <c r="AR4275" s="771"/>
      <c r="AS4275" s="771"/>
      <c r="AT4275" s="771"/>
      <c r="AU4275" s="771"/>
    </row>
    <row r="4276" spans="1:47" s="15" customFormat="1" x14ac:dyDescent="0.2">
      <c r="A4276" s="8"/>
      <c r="B4276" s="8"/>
      <c r="C4276" s="11"/>
      <c r="D4276" s="11"/>
      <c r="E4276" s="84"/>
      <c r="F4276" s="83"/>
      <c r="H4276" s="8"/>
      <c r="I4276" s="8"/>
      <c r="J4276" s="8"/>
      <c r="K4276" s="8"/>
      <c r="L4276" s="8"/>
      <c r="M4276" s="8"/>
      <c r="N4276" s="8"/>
      <c r="O4276" s="8"/>
      <c r="P4276" s="8"/>
      <c r="Q4276" s="8"/>
      <c r="R4276" s="8"/>
      <c r="S4276" s="8"/>
      <c r="T4276" s="8"/>
      <c r="U4276" s="8"/>
      <c r="V4276" s="8"/>
      <c r="W4276" s="8"/>
      <c r="X4276" s="771"/>
      <c r="Y4276" s="771"/>
      <c r="Z4276" s="771"/>
      <c r="AA4276" s="771"/>
      <c r="AB4276" s="771"/>
      <c r="AC4276" s="771"/>
      <c r="AD4276" s="771"/>
      <c r="AE4276" s="771"/>
      <c r="AF4276" s="771"/>
      <c r="AG4276" s="771"/>
      <c r="AH4276" s="771"/>
      <c r="AI4276" s="771"/>
      <c r="AJ4276" s="771"/>
      <c r="AK4276" s="771"/>
      <c r="AL4276" s="771"/>
      <c r="AM4276" s="771"/>
      <c r="AN4276" s="771"/>
      <c r="AO4276" s="771"/>
      <c r="AP4276" s="771"/>
      <c r="AQ4276" s="771"/>
      <c r="AR4276" s="771"/>
      <c r="AS4276" s="771"/>
      <c r="AT4276" s="771"/>
      <c r="AU4276" s="771"/>
    </row>
    <row r="4277" spans="1:47" s="15" customFormat="1" x14ac:dyDescent="0.2">
      <c r="A4277" s="8"/>
      <c r="B4277" s="8"/>
      <c r="C4277" s="11"/>
      <c r="D4277" s="11"/>
      <c r="E4277" s="84"/>
      <c r="F4277" s="83"/>
      <c r="H4277" s="8"/>
      <c r="I4277" s="8"/>
      <c r="J4277" s="8"/>
      <c r="K4277" s="8"/>
      <c r="L4277" s="8"/>
      <c r="M4277" s="8"/>
      <c r="N4277" s="8"/>
      <c r="O4277" s="8"/>
      <c r="P4277" s="8"/>
      <c r="Q4277" s="8"/>
      <c r="R4277" s="8"/>
      <c r="S4277" s="8"/>
      <c r="T4277" s="8"/>
      <c r="U4277" s="8"/>
      <c r="V4277" s="8"/>
      <c r="W4277" s="8"/>
      <c r="X4277" s="771"/>
      <c r="Y4277" s="771"/>
      <c r="Z4277" s="771"/>
      <c r="AA4277" s="771"/>
      <c r="AB4277" s="771"/>
      <c r="AC4277" s="771"/>
      <c r="AD4277" s="771"/>
      <c r="AE4277" s="771"/>
      <c r="AF4277" s="771"/>
      <c r="AG4277" s="771"/>
      <c r="AH4277" s="771"/>
      <c r="AI4277" s="771"/>
      <c r="AJ4277" s="771"/>
      <c r="AK4277" s="771"/>
      <c r="AL4277" s="771"/>
      <c r="AM4277" s="771"/>
      <c r="AN4277" s="771"/>
      <c r="AO4277" s="771"/>
      <c r="AP4277" s="771"/>
      <c r="AQ4277" s="771"/>
      <c r="AR4277" s="771"/>
      <c r="AS4277" s="771"/>
      <c r="AT4277" s="771"/>
      <c r="AU4277" s="771"/>
    </row>
    <row r="4278" spans="1:47" s="15" customFormat="1" x14ac:dyDescent="0.2">
      <c r="A4278" s="8"/>
      <c r="B4278" s="8"/>
      <c r="C4278" s="11"/>
      <c r="D4278" s="11"/>
      <c r="E4278" s="84"/>
      <c r="F4278" s="83"/>
      <c r="H4278" s="8"/>
      <c r="I4278" s="8"/>
      <c r="J4278" s="8"/>
      <c r="K4278" s="8"/>
      <c r="L4278" s="8"/>
      <c r="M4278" s="8"/>
      <c r="N4278" s="8"/>
      <c r="O4278" s="8"/>
      <c r="P4278" s="8"/>
      <c r="Q4278" s="8"/>
      <c r="R4278" s="8"/>
      <c r="S4278" s="8"/>
      <c r="T4278" s="8"/>
      <c r="U4278" s="8"/>
      <c r="V4278" s="8"/>
      <c r="W4278" s="8"/>
      <c r="X4278" s="771"/>
      <c r="Y4278" s="771"/>
      <c r="Z4278" s="771"/>
      <c r="AA4278" s="771"/>
      <c r="AB4278" s="771"/>
      <c r="AC4278" s="771"/>
      <c r="AD4278" s="771"/>
      <c r="AE4278" s="771"/>
      <c r="AF4278" s="771"/>
      <c r="AG4278" s="771"/>
      <c r="AH4278" s="771"/>
      <c r="AI4278" s="771"/>
      <c r="AJ4278" s="771"/>
      <c r="AK4278" s="771"/>
      <c r="AL4278" s="771"/>
      <c r="AM4278" s="771"/>
      <c r="AN4278" s="771"/>
      <c r="AO4278" s="771"/>
      <c r="AP4278" s="771"/>
      <c r="AQ4278" s="771"/>
      <c r="AR4278" s="771"/>
      <c r="AS4278" s="771"/>
      <c r="AT4278" s="771"/>
      <c r="AU4278" s="771"/>
    </row>
    <row r="4279" spans="1:47" s="15" customFormat="1" x14ac:dyDescent="0.2">
      <c r="A4279" s="8"/>
      <c r="B4279" s="8"/>
      <c r="C4279" s="11"/>
      <c r="D4279" s="11"/>
      <c r="E4279" s="84"/>
      <c r="F4279" s="83"/>
      <c r="H4279" s="8"/>
      <c r="I4279" s="8"/>
      <c r="J4279" s="8"/>
      <c r="K4279" s="8"/>
      <c r="L4279" s="8"/>
      <c r="M4279" s="8"/>
      <c r="N4279" s="8"/>
      <c r="O4279" s="8"/>
      <c r="P4279" s="8"/>
      <c r="Q4279" s="8"/>
      <c r="R4279" s="8"/>
      <c r="S4279" s="8"/>
      <c r="T4279" s="8"/>
      <c r="U4279" s="8"/>
      <c r="V4279" s="8"/>
      <c r="W4279" s="8"/>
      <c r="X4279" s="771"/>
      <c r="Y4279" s="771"/>
      <c r="Z4279" s="771"/>
      <c r="AA4279" s="771"/>
      <c r="AB4279" s="771"/>
      <c r="AC4279" s="771"/>
      <c r="AD4279" s="771"/>
      <c r="AE4279" s="771"/>
      <c r="AF4279" s="771"/>
      <c r="AG4279" s="771"/>
      <c r="AH4279" s="771"/>
      <c r="AI4279" s="771"/>
      <c r="AJ4279" s="771"/>
      <c r="AK4279" s="771"/>
      <c r="AL4279" s="771"/>
      <c r="AM4279" s="771"/>
      <c r="AN4279" s="771"/>
      <c r="AO4279" s="771"/>
      <c r="AP4279" s="771"/>
      <c r="AQ4279" s="771"/>
      <c r="AR4279" s="771"/>
      <c r="AS4279" s="771"/>
      <c r="AT4279" s="771"/>
      <c r="AU4279" s="771"/>
    </row>
    <row r="4280" spans="1:47" s="15" customFormat="1" x14ac:dyDescent="0.2">
      <c r="A4280" s="8"/>
      <c r="B4280" s="8"/>
      <c r="C4280" s="11"/>
      <c r="D4280" s="11"/>
      <c r="E4280" s="84"/>
      <c r="F4280" s="83"/>
      <c r="H4280" s="8"/>
      <c r="I4280" s="8"/>
      <c r="J4280" s="8"/>
      <c r="K4280" s="8"/>
      <c r="L4280" s="8"/>
      <c r="M4280" s="8"/>
      <c r="N4280" s="8"/>
      <c r="O4280" s="8"/>
      <c r="P4280" s="8"/>
      <c r="Q4280" s="8"/>
      <c r="R4280" s="8"/>
      <c r="S4280" s="8"/>
      <c r="T4280" s="8"/>
      <c r="U4280" s="8"/>
      <c r="V4280" s="8"/>
      <c r="W4280" s="8"/>
      <c r="X4280" s="771"/>
      <c r="Y4280" s="771"/>
      <c r="Z4280" s="771"/>
      <c r="AA4280" s="771"/>
      <c r="AB4280" s="771"/>
      <c r="AC4280" s="771"/>
      <c r="AD4280" s="771"/>
      <c r="AE4280" s="771"/>
      <c r="AF4280" s="771"/>
      <c r="AG4280" s="771"/>
      <c r="AH4280" s="771"/>
      <c r="AI4280" s="771"/>
      <c r="AJ4280" s="771"/>
      <c r="AK4280" s="771"/>
      <c r="AL4280" s="771"/>
      <c r="AM4280" s="771"/>
      <c r="AN4280" s="771"/>
      <c r="AO4280" s="771"/>
      <c r="AP4280" s="771"/>
      <c r="AQ4280" s="771"/>
      <c r="AR4280" s="771"/>
      <c r="AS4280" s="771"/>
      <c r="AT4280" s="771"/>
      <c r="AU4280" s="771"/>
    </row>
    <row r="4281" spans="1:47" s="15" customFormat="1" x14ac:dyDescent="0.2">
      <c r="A4281" s="8"/>
      <c r="B4281" s="8"/>
      <c r="C4281" s="11"/>
      <c r="D4281" s="11"/>
      <c r="E4281" s="84"/>
      <c r="F4281" s="83"/>
      <c r="H4281" s="8"/>
      <c r="I4281" s="8"/>
      <c r="J4281" s="8"/>
      <c r="K4281" s="8"/>
      <c r="L4281" s="8"/>
      <c r="M4281" s="8"/>
      <c r="N4281" s="8"/>
      <c r="O4281" s="8"/>
      <c r="P4281" s="8"/>
      <c r="Q4281" s="8"/>
      <c r="R4281" s="8"/>
      <c r="S4281" s="8"/>
      <c r="T4281" s="8"/>
      <c r="U4281" s="8"/>
      <c r="V4281" s="8"/>
      <c r="W4281" s="8"/>
      <c r="X4281" s="771"/>
      <c r="Y4281" s="771"/>
      <c r="Z4281" s="771"/>
      <c r="AA4281" s="771"/>
      <c r="AB4281" s="771"/>
      <c r="AC4281" s="771"/>
      <c r="AD4281" s="771"/>
      <c r="AE4281" s="771"/>
      <c r="AF4281" s="771"/>
      <c r="AG4281" s="771"/>
      <c r="AH4281" s="771"/>
      <c r="AI4281" s="771"/>
      <c r="AJ4281" s="771"/>
      <c r="AK4281" s="771"/>
      <c r="AL4281" s="771"/>
      <c r="AM4281" s="771"/>
      <c r="AN4281" s="771"/>
      <c r="AO4281" s="771"/>
      <c r="AP4281" s="771"/>
      <c r="AQ4281" s="771"/>
      <c r="AR4281" s="771"/>
      <c r="AS4281" s="771"/>
      <c r="AT4281" s="771"/>
      <c r="AU4281" s="771"/>
    </row>
    <row r="4282" spans="1:47" s="15" customFormat="1" x14ac:dyDescent="0.2">
      <c r="A4282" s="8"/>
      <c r="B4282" s="8"/>
      <c r="C4282" s="11"/>
      <c r="D4282" s="11"/>
      <c r="E4282" s="84"/>
      <c r="F4282" s="83"/>
      <c r="H4282" s="8"/>
      <c r="I4282" s="8"/>
      <c r="J4282" s="8"/>
      <c r="K4282" s="8"/>
      <c r="L4282" s="8"/>
      <c r="M4282" s="8"/>
      <c r="N4282" s="8"/>
      <c r="O4282" s="8"/>
      <c r="P4282" s="8"/>
      <c r="Q4282" s="8"/>
      <c r="R4282" s="8"/>
      <c r="S4282" s="8"/>
      <c r="T4282" s="8"/>
      <c r="U4282" s="8"/>
      <c r="V4282" s="8"/>
      <c r="W4282" s="8"/>
      <c r="X4282" s="771"/>
      <c r="Y4282" s="771"/>
      <c r="Z4282" s="771"/>
      <c r="AA4282" s="771"/>
      <c r="AB4282" s="771"/>
      <c r="AC4282" s="771"/>
      <c r="AD4282" s="771"/>
      <c r="AE4282" s="771"/>
      <c r="AF4282" s="771"/>
      <c r="AG4282" s="771"/>
      <c r="AH4282" s="771"/>
      <c r="AI4282" s="771"/>
      <c r="AJ4282" s="771"/>
      <c r="AK4282" s="771"/>
      <c r="AL4282" s="771"/>
      <c r="AM4282" s="771"/>
      <c r="AN4282" s="771"/>
      <c r="AO4282" s="771"/>
      <c r="AP4282" s="771"/>
      <c r="AQ4282" s="771"/>
      <c r="AR4282" s="771"/>
      <c r="AS4282" s="771"/>
      <c r="AT4282" s="771"/>
      <c r="AU4282" s="771"/>
    </row>
    <row r="4283" spans="1:47" s="15" customFormat="1" x14ac:dyDescent="0.2">
      <c r="A4283" s="8"/>
      <c r="B4283" s="8"/>
      <c r="C4283" s="11"/>
      <c r="D4283" s="11"/>
      <c r="E4283" s="84"/>
      <c r="F4283" s="83"/>
      <c r="H4283" s="8"/>
      <c r="I4283" s="8"/>
      <c r="J4283" s="8"/>
      <c r="K4283" s="8"/>
      <c r="L4283" s="8"/>
      <c r="M4283" s="8"/>
      <c r="N4283" s="8"/>
      <c r="O4283" s="8"/>
      <c r="P4283" s="8"/>
      <c r="Q4283" s="8"/>
      <c r="R4283" s="8"/>
      <c r="S4283" s="8"/>
      <c r="T4283" s="8"/>
      <c r="U4283" s="8"/>
      <c r="V4283" s="8"/>
      <c r="W4283" s="8"/>
      <c r="X4283" s="771"/>
      <c r="Y4283" s="771"/>
      <c r="Z4283" s="771"/>
      <c r="AA4283" s="771"/>
      <c r="AB4283" s="771"/>
      <c r="AC4283" s="771"/>
      <c r="AD4283" s="771"/>
      <c r="AE4283" s="771"/>
      <c r="AF4283" s="771"/>
      <c r="AG4283" s="771"/>
      <c r="AH4283" s="771"/>
      <c r="AI4283" s="771"/>
      <c r="AJ4283" s="771"/>
      <c r="AK4283" s="771"/>
      <c r="AL4283" s="771"/>
      <c r="AM4283" s="771"/>
      <c r="AN4283" s="771"/>
      <c r="AO4283" s="771"/>
      <c r="AP4283" s="771"/>
      <c r="AQ4283" s="771"/>
      <c r="AR4283" s="771"/>
      <c r="AS4283" s="771"/>
      <c r="AT4283" s="771"/>
      <c r="AU4283" s="771"/>
    </row>
    <row r="4284" spans="1:47" s="15" customFormat="1" x14ac:dyDescent="0.2">
      <c r="A4284" s="8"/>
      <c r="B4284" s="8"/>
      <c r="C4284" s="11"/>
      <c r="D4284" s="11"/>
      <c r="E4284" s="84"/>
      <c r="F4284" s="83"/>
      <c r="H4284" s="8"/>
      <c r="I4284" s="8"/>
      <c r="J4284" s="8"/>
      <c r="K4284" s="8"/>
      <c r="L4284" s="8"/>
      <c r="M4284" s="8"/>
      <c r="N4284" s="8"/>
      <c r="O4284" s="8"/>
      <c r="P4284" s="8"/>
      <c r="Q4284" s="8"/>
      <c r="R4284" s="8"/>
      <c r="S4284" s="8"/>
      <c r="T4284" s="8"/>
      <c r="U4284" s="8"/>
      <c r="V4284" s="8"/>
      <c r="W4284" s="8"/>
      <c r="X4284" s="771"/>
      <c r="Y4284" s="771"/>
      <c r="Z4284" s="771"/>
      <c r="AA4284" s="771"/>
      <c r="AB4284" s="771"/>
      <c r="AC4284" s="771"/>
      <c r="AD4284" s="771"/>
      <c r="AE4284" s="771"/>
      <c r="AF4284" s="771"/>
      <c r="AG4284" s="771"/>
      <c r="AH4284" s="771"/>
      <c r="AI4284" s="771"/>
      <c r="AJ4284" s="771"/>
      <c r="AK4284" s="771"/>
      <c r="AL4284" s="771"/>
      <c r="AM4284" s="771"/>
      <c r="AN4284" s="771"/>
      <c r="AO4284" s="771"/>
      <c r="AP4284" s="771"/>
      <c r="AQ4284" s="771"/>
      <c r="AR4284" s="771"/>
      <c r="AS4284" s="771"/>
      <c r="AT4284" s="771"/>
      <c r="AU4284" s="771"/>
    </row>
    <row r="4285" spans="1:47" s="15" customFormat="1" x14ac:dyDescent="0.2">
      <c r="A4285" s="8"/>
      <c r="B4285" s="8"/>
      <c r="C4285" s="11"/>
      <c r="D4285" s="11"/>
      <c r="E4285" s="84"/>
      <c r="F4285" s="83"/>
      <c r="H4285" s="8"/>
      <c r="I4285" s="8"/>
      <c r="J4285" s="8"/>
      <c r="K4285" s="8"/>
      <c r="L4285" s="8"/>
      <c r="M4285" s="8"/>
      <c r="N4285" s="8"/>
      <c r="O4285" s="8"/>
      <c r="P4285" s="8"/>
      <c r="Q4285" s="8"/>
      <c r="R4285" s="8"/>
      <c r="S4285" s="8"/>
      <c r="T4285" s="8"/>
      <c r="U4285" s="8"/>
      <c r="V4285" s="8"/>
      <c r="W4285" s="8"/>
      <c r="X4285" s="771"/>
      <c r="Y4285" s="771"/>
      <c r="Z4285" s="771"/>
      <c r="AA4285" s="771"/>
      <c r="AB4285" s="771"/>
      <c r="AC4285" s="771"/>
      <c r="AD4285" s="771"/>
      <c r="AE4285" s="771"/>
      <c r="AF4285" s="771"/>
      <c r="AG4285" s="771"/>
      <c r="AH4285" s="771"/>
      <c r="AI4285" s="771"/>
      <c r="AJ4285" s="771"/>
      <c r="AK4285" s="771"/>
      <c r="AL4285" s="771"/>
      <c r="AM4285" s="771"/>
      <c r="AN4285" s="771"/>
      <c r="AO4285" s="771"/>
      <c r="AP4285" s="771"/>
      <c r="AQ4285" s="771"/>
      <c r="AR4285" s="771"/>
      <c r="AS4285" s="771"/>
      <c r="AT4285" s="771"/>
      <c r="AU4285" s="771"/>
    </row>
    <row r="4286" spans="1:47" s="15" customFormat="1" x14ac:dyDescent="0.2">
      <c r="A4286" s="8"/>
      <c r="B4286" s="8"/>
      <c r="C4286" s="11"/>
      <c r="D4286" s="11"/>
      <c r="E4286" s="84"/>
      <c r="F4286" s="83"/>
      <c r="H4286" s="8"/>
      <c r="I4286" s="8"/>
      <c r="J4286" s="8"/>
      <c r="K4286" s="8"/>
      <c r="L4286" s="8"/>
      <c r="M4286" s="8"/>
      <c r="N4286" s="8"/>
      <c r="O4286" s="8"/>
      <c r="P4286" s="8"/>
      <c r="Q4286" s="8"/>
      <c r="R4286" s="8"/>
      <c r="S4286" s="8"/>
      <c r="T4286" s="8"/>
      <c r="U4286" s="8"/>
      <c r="V4286" s="8"/>
      <c r="W4286" s="8"/>
      <c r="X4286" s="771"/>
      <c r="Y4286" s="771"/>
      <c r="Z4286" s="771"/>
      <c r="AA4286" s="771"/>
      <c r="AB4286" s="771"/>
      <c r="AC4286" s="771"/>
      <c r="AD4286" s="771"/>
      <c r="AE4286" s="771"/>
      <c r="AF4286" s="771"/>
      <c r="AG4286" s="771"/>
      <c r="AH4286" s="771"/>
      <c r="AI4286" s="771"/>
      <c r="AJ4286" s="771"/>
      <c r="AK4286" s="771"/>
      <c r="AL4286" s="771"/>
      <c r="AM4286" s="771"/>
      <c r="AN4286" s="771"/>
      <c r="AO4286" s="771"/>
      <c r="AP4286" s="771"/>
      <c r="AQ4286" s="771"/>
      <c r="AR4286" s="771"/>
      <c r="AS4286" s="771"/>
      <c r="AT4286" s="771"/>
      <c r="AU4286" s="771"/>
    </row>
    <row r="4287" spans="1:47" s="15" customFormat="1" x14ac:dyDescent="0.2">
      <c r="A4287" s="8"/>
      <c r="B4287" s="8"/>
      <c r="C4287" s="11"/>
      <c r="D4287" s="11"/>
      <c r="E4287" s="84"/>
      <c r="F4287" s="83"/>
      <c r="H4287" s="8"/>
      <c r="I4287" s="8"/>
      <c r="J4287" s="8"/>
      <c r="K4287" s="8"/>
      <c r="L4287" s="8"/>
      <c r="M4287" s="8"/>
      <c r="N4287" s="8"/>
      <c r="O4287" s="8"/>
      <c r="P4287" s="8"/>
      <c r="Q4287" s="8"/>
      <c r="R4287" s="8"/>
      <c r="S4287" s="8"/>
      <c r="T4287" s="8"/>
      <c r="U4287" s="8"/>
      <c r="V4287" s="8"/>
      <c r="W4287" s="8"/>
      <c r="X4287" s="771"/>
      <c r="Y4287" s="771"/>
      <c r="Z4287" s="771"/>
      <c r="AA4287" s="771"/>
      <c r="AB4287" s="771"/>
      <c r="AC4287" s="771"/>
      <c r="AD4287" s="771"/>
      <c r="AE4287" s="771"/>
      <c r="AF4287" s="771"/>
      <c r="AG4287" s="771"/>
      <c r="AH4287" s="771"/>
      <c r="AI4287" s="771"/>
      <c r="AJ4287" s="771"/>
      <c r="AK4287" s="771"/>
      <c r="AL4287" s="771"/>
      <c r="AM4287" s="771"/>
      <c r="AN4287" s="771"/>
      <c r="AO4287" s="771"/>
      <c r="AP4287" s="771"/>
      <c r="AQ4287" s="771"/>
      <c r="AR4287" s="771"/>
      <c r="AS4287" s="771"/>
      <c r="AT4287" s="771"/>
      <c r="AU4287" s="771"/>
    </row>
    <row r="4288" spans="1:47" s="15" customFormat="1" x14ac:dyDescent="0.2">
      <c r="A4288" s="8"/>
      <c r="B4288" s="8"/>
      <c r="C4288" s="11"/>
      <c r="D4288" s="11"/>
      <c r="E4288" s="84"/>
      <c r="F4288" s="83"/>
      <c r="H4288" s="8"/>
      <c r="I4288" s="8"/>
      <c r="J4288" s="8"/>
      <c r="K4288" s="8"/>
      <c r="L4288" s="8"/>
      <c r="M4288" s="8"/>
      <c r="N4288" s="8"/>
      <c r="O4288" s="8"/>
      <c r="P4288" s="8"/>
      <c r="Q4288" s="8"/>
      <c r="R4288" s="8"/>
      <c r="S4288" s="8"/>
      <c r="T4288" s="8"/>
      <c r="U4288" s="8"/>
      <c r="V4288" s="8"/>
      <c r="W4288" s="8"/>
      <c r="X4288" s="771"/>
      <c r="Y4288" s="771"/>
      <c r="Z4288" s="771"/>
      <c r="AA4288" s="771"/>
      <c r="AB4288" s="771"/>
      <c r="AC4288" s="771"/>
      <c r="AD4288" s="771"/>
      <c r="AE4288" s="771"/>
      <c r="AF4288" s="771"/>
      <c r="AG4288" s="771"/>
      <c r="AH4288" s="771"/>
      <c r="AI4288" s="771"/>
      <c r="AJ4288" s="771"/>
      <c r="AK4288" s="771"/>
      <c r="AL4288" s="771"/>
      <c r="AM4288" s="771"/>
      <c r="AN4288" s="771"/>
      <c r="AO4288" s="771"/>
      <c r="AP4288" s="771"/>
      <c r="AQ4288" s="771"/>
      <c r="AR4288" s="771"/>
      <c r="AS4288" s="771"/>
      <c r="AT4288" s="771"/>
      <c r="AU4288" s="771"/>
    </row>
    <row r="4289" spans="1:47" s="15" customFormat="1" x14ac:dyDescent="0.2">
      <c r="A4289" s="8"/>
      <c r="B4289" s="8"/>
      <c r="C4289" s="11"/>
      <c r="D4289" s="11"/>
      <c r="E4289" s="84"/>
      <c r="F4289" s="83"/>
      <c r="H4289" s="8"/>
      <c r="I4289" s="8"/>
      <c r="J4289" s="8"/>
      <c r="K4289" s="8"/>
      <c r="L4289" s="8"/>
      <c r="M4289" s="8"/>
      <c r="N4289" s="8"/>
      <c r="O4289" s="8"/>
      <c r="P4289" s="8"/>
      <c r="Q4289" s="8"/>
      <c r="R4289" s="8"/>
      <c r="S4289" s="8"/>
      <c r="T4289" s="8"/>
      <c r="U4289" s="8"/>
      <c r="V4289" s="8"/>
      <c r="W4289" s="8"/>
      <c r="X4289" s="771"/>
      <c r="Y4289" s="771"/>
      <c r="Z4289" s="771"/>
      <c r="AA4289" s="771"/>
      <c r="AB4289" s="771"/>
      <c r="AC4289" s="771"/>
      <c r="AD4289" s="771"/>
      <c r="AE4289" s="771"/>
      <c r="AF4289" s="771"/>
      <c r="AG4289" s="771"/>
      <c r="AH4289" s="771"/>
      <c r="AI4289" s="771"/>
      <c r="AJ4289" s="771"/>
      <c r="AK4289" s="771"/>
      <c r="AL4289" s="771"/>
      <c r="AM4289" s="771"/>
      <c r="AN4289" s="771"/>
      <c r="AO4289" s="771"/>
      <c r="AP4289" s="771"/>
      <c r="AQ4289" s="771"/>
      <c r="AR4289" s="771"/>
      <c r="AS4289" s="771"/>
      <c r="AT4289" s="771"/>
      <c r="AU4289" s="771"/>
    </row>
    <row r="4290" spans="1:47" s="15" customFormat="1" x14ac:dyDescent="0.2">
      <c r="A4290" s="8"/>
      <c r="B4290" s="8"/>
      <c r="C4290" s="11"/>
      <c r="D4290" s="11"/>
      <c r="E4290" s="84"/>
      <c r="F4290" s="83"/>
      <c r="H4290" s="8"/>
      <c r="I4290" s="8"/>
      <c r="J4290" s="8"/>
      <c r="K4290" s="8"/>
      <c r="L4290" s="8"/>
      <c r="M4290" s="8"/>
      <c r="N4290" s="8"/>
      <c r="O4290" s="8"/>
      <c r="P4290" s="8"/>
      <c r="Q4290" s="8"/>
      <c r="R4290" s="8"/>
      <c r="S4290" s="8"/>
      <c r="T4290" s="8"/>
      <c r="U4290" s="8"/>
      <c r="V4290" s="8"/>
      <c r="W4290" s="8"/>
      <c r="X4290" s="771"/>
      <c r="Y4290" s="771"/>
      <c r="Z4290" s="771"/>
      <c r="AA4290" s="771"/>
      <c r="AB4290" s="771"/>
      <c r="AC4290" s="771"/>
      <c r="AD4290" s="771"/>
      <c r="AE4290" s="771"/>
      <c r="AF4290" s="771"/>
      <c r="AG4290" s="771"/>
      <c r="AH4290" s="771"/>
      <c r="AI4290" s="771"/>
      <c r="AJ4290" s="771"/>
      <c r="AK4290" s="771"/>
      <c r="AL4290" s="771"/>
      <c r="AM4290" s="771"/>
      <c r="AN4290" s="771"/>
      <c r="AO4290" s="771"/>
      <c r="AP4290" s="771"/>
      <c r="AQ4290" s="771"/>
      <c r="AR4290" s="771"/>
      <c r="AS4290" s="771"/>
      <c r="AT4290" s="771"/>
      <c r="AU4290" s="771"/>
    </row>
    <row r="4291" spans="1:47" s="15" customFormat="1" x14ac:dyDescent="0.2">
      <c r="A4291" s="8"/>
      <c r="B4291" s="8"/>
      <c r="C4291" s="11"/>
      <c r="D4291" s="11"/>
      <c r="E4291" s="84"/>
      <c r="F4291" s="83"/>
      <c r="H4291" s="8"/>
      <c r="I4291" s="8"/>
      <c r="J4291" s="8"/>
      <c r="K4291" s="8"/>
      <c r="L4291" s="8"/>
      <c r="M4291" s="8"/>
      <c r="N4291" s="8"/>
      <c r="O4291" s="8"/>
      <c r="P4291" s="8"/>
      <c r="Q4291" s="8"/>
      <c r="R4291" s="8"/>
      <c r="S4291" s="8"/>
      <c r="T4291" s="8"/>
      <c r="U4291" s="8"/>
      <c r="V4291" s="8"/>
      <c r="W4291" s="8"/>
      <c r="X4291" s="771"/>
      <c r="Y4291" s="771"/>
      <c r="Z4291" s="771"/>
      <c r="AA4291" s="771"/>
      <c r="AB4291" s="771"/>
      <c r="AC4291" s="771"/>
      <c r="AD4291" s="771"/>
      <c r="AE4291" s="771"/>
      <c r="AF4291" s="771"/>
      <c r="AG4291" s="771"/>
      <c r="AH4291" s="771"/>
      <c r="AI4291" s="771"/>
      <c r="AJ4291" s="771"/>
      <c r="AK4291" s="771"/>
      <c r="AL4291" s="771"/>
      <c r="AM4291" s="771"/>
      <c r="AN4291" s="771"/>
      <c r="AO4291" s="771"/>
      <c r="AP4291" s="771"/>
      <c r="AQ4291" s="771"/>
      <c r="AR4291" s="771"/>
      <c r="AS4291" s="771"/>
      <c r="AT4291" s="771"/>
      <c r="AU4291" s="771"/>
    </row>
    <row r="4292" spans="1:47" s="15" customFormat="1" x14ac:dyDescent="0.2">
      <c r="A4292" s="8"/>
      <c r="B4292" s="8"/>
      <c r="C4292" s="11"/>
      <c r="D4292" s="11"/>
      <c r="E4292" s="84"/>
      <c r="F4292" s="83"/>
      <c r="H4292" s="8"/>
      <c r="I4292" s="8"/>
      <c r="J4292" s="8"/>
      <c r="K4292" s="8"/>
      <c r="L4292" s="8"/>
      <c r="M4292" s="8"/>
      <c r="N4292" s="8"/>
      <c r="O4292" s="8"/>
      <c r="P4292" s="8"/>
      <c r="Q4292" s="8"/>
      <c r="R4292" s="8"/>
      <c r="S4292" s="8"/>
      <c r="T4292" s="8"/>
      <c r="U4292" s="8"/>
      <c r="V4292" s="8"/>
      <c r="W4292" s="8"/>
      <c r="X4292" s="771"/>
      <c r="Y4292" s="771"/>
      <c r="Z4292" s="771"/>
      <c r="AA4292" s="771"/>
      <c r="AB4292" s="771"/>
      <c r="AC4292" s="771"/>
      <c r="AD4292" s="771"/>
      <c r="AE4292" s="771"/>
      <c r="AF4292" s="771"/>
      <c r="AG4292" s="771"/>
      <c r="AH4292" s="771"/>
      <c r="AI4292" s="771"/>
      <c r="AJ4292" s="771"/>
      <c r="AK4292" s="771"/>
      <c r="AL4292" s="771"/>
      <c r="AM4292" s="771"/>
      <c r="AN4292" s="771"/>
      <c r="AO4292" s="771"/>
      <c r="AP4292" s="771"/>
      <c r="AQ4292" s="771"/>
      <c r="AR4292" s="771"/>
      <c r="AS4292" s="771"/>
      <c r="AT4292" s="771"/>
      <c r="AU4292" s="771"/>
    </row>
    <row r="4293" spans="1:47" s="15" customFormat="1" x14ac:dyDescent="0.2">
      <c r="A4293" s="8"/>
      <c r="B4293" s="8"/>
      <c r="C4293" s="11"/>
      <c r="D4293" s="11"/>
      <c r="E4293" s="84"/>
      <c r="F4293" s="83"/>
      <c r="H4293" s="8"/>
      <c r="I4293" s="8"/>
      <c r="J4293" s="8"/>
      <c r="K4293" s="8"/>
      <c r="L4293" s="8"/>
      <c r="M4293" s="8"/>
      <c r="N4293" s="8"/>
      <c r="O4293" s="8"/>
      <c r="P4293" s="8"/>
      <c r="Q4293" s="8"/>
      <c r="R4293" s="8"/>
      <c r="S4293" s="8"/>
      <c r="T4293" s="8"/>
      <c r="U4293" s="8"/>
      <c r="V4293" s="8"/>
      <c r="W4293" s="8"/>
      <c r="X4293" s="771"/>
      <c r="Y4293" s="771"/>
      <c r="Z4293" s="771"/>
      <c r="AA4293" s="771"/>
      <c r="AB4293" s="771"/>
      <c r="AC4293" s="771"/>
      <c r="AD4293" s="771"/>
      <c r="AE4293" s="771"/>
      <c r="AF4293" s="771"/>
      <c r="AG4293" s="771"/>
      <c r="AH4293" s="771"/>
      <c r="AI4293" s="771"/>
      <c r="AJ4293" s="771"/>
      <c r="AK4293" s="771"/>
      <c r="AL4293" s="771"/>
      <c r="AM4293" s="771"/>
      <c r="AN4293" s="771"/>
      <c r="AO4293" s="771"/>
      <c r="AP4293" s="771"/>
      <c r="AQ4293" s="771"/>
      <c r="AR4293" s="771"/>
      <c r="AS4293" s="771"/>
      <c r="AT4293" s="771"/>
      <c r="AU4293" s="771"/>
    </row>
    <row r="4294" spans="1:47" s="15" customFormat="1" x14ac:dyDescent="0.2">
      <c r="A4294" s="8"/>
      <c r="B4294" s="8"/>
      <c r="C4294" s="11"/>
      <c r="D4294" s="11"/>
      <c r="E4294" s="84"/>
      <c r="F4294" s="83"/>
      <c r="H4294" s="8"/>
      <c r="I4294" s="8"/>
      <c r="J4294" s="8"/>
      <c r="K4294" s="8"/>
      <c r="L4294" s="8"/>
      <c r="M4294" s="8"/>
      <c r="N4294" s="8"/>
      <c r="O4294" s="8"/>
      <c r="P4294" s="8"/>
      <c r="Q4294" s="8"/>
      <c r="R4294" s="8"/>
      <c r="S4294" s="8"/>
      <c r="T4294" s="8"/>
      <c r="U4294" s="8"/>
      <c r="V4294" s="8"/>
      <c r="W4294" s="8"/>
      <c r="X4294" s="771"/>
      <c r="Y4294" s="771"/>
      <c r="Z4294" s="771"/>
      <c r="AA4294" s="771"/>
      <c r="AB4294" s="771"/>
      <c r="AC4294" s="771"/>
      <c r="AD4294" s="771"/>
      <c r="AE4294" s="771"/>
      <c r="AF4294" s="771"/>
      <c r="AG4294" s="771"/>
      <c r="AH4294" s="771"/>
      <c r="AI4294" s="771"/>
      <c r="AJ4294" s="771"/>
      <c r="AK4294" s="771"/>
      <c r="AL4294" s="771"/>
      <c r="AM4294" s="771"/>
      <c r="AN4294" s="771"/>
      <c r="AO4294" s="771"/>
      <c r="AP4294" s="771"/>
      <c r="AQ4294" s="771"/>
      <c r="AR4294" s="771"/>
      <c r="AS4294" s="771"/>
      <c r="AT4294" s="771"/>
      <c r="AU4294" s="771"/>
    </row>
    <row r="4295" spans="1:47" s="15" customFormat="1" x14ac:dyDescent="0.2">
      <c r="A4295" s="8"/>
      <c r="B4295" s="8"/>
      <c r="C4295" s="11"/>
      <c r="D4295" s="11"/>
      <c r="E4295" s="84"/>
      <c r="F4295" s="83"/>
      <c r="H4295" s="8"/>
      <c r="I4295" s="8"/>
      <c r="J4295" s="8"/>
      <c r="K4295" s="8"/>
      <c r="L4295" s="8"/>
      <c r="M4295" s="8"/>
      <c r="N4295" s="8"/>
      <c r="O4295" s="8"/>
      <c r="P4295" s="8"/>
      <c r="Q4295" s="8"/>
      <c r="R4295" s="8"/>
      <c r="S4295" s="8"/>
      <c r="T4295" s="8"/>
      <c r="U4295" s="8"/>
      <c r="V4295" s="8"/>
      <c r="W4295" s="8"/>
      <c r="X4295" s="771"/>
      <c r="Y4295" s="771"/>
      <c r="Z4295" s="771"/>
      <c r="AA4295" s="771"/>
      <c r="AB4295" s="771"/>
      <c r="AC4295" s="771"/>
      <c r="AD4295" s="771"/>
      <c r="AE4295" s="771"/>
      <c r="AF4295" s="771"/>
      <c r="AG4295" s="771"/>
      <c r="AH4295" s="771"/>
      <c r="AI4295" s="771"/>
      <c r="AJ4295" s="771"/>
      <c r="AK4295" s="771"/>
      <c r="AL4295" s="771"/>
      <c r="AM4295" s="771"/>
      <c r="AN4295" s="771"/>
      <c r="AO4295" s="771"/>
      <c r="AP4295" s="771"/>
      <c r="AQ4295" s="771"/>
      <c r="AR4295" s="771"/>
      <c r="AS4295" s="771"/>
      <c r="AT4295" s="771"/>
      <c r="AU4295" s="771"/>
    </row>
    <row r="4296" spans="1:47" s="15" customFormat="1" x14ac:dyDescent="0.2">
      <c r="A4296" s="8"/>
      <c r="B4296" s="8"/>
      <c r="C4296" s="11"/>
      <c r="D4296" s="11"/>
      <c r="E4296" s="84"/>
      <c r="F4296" s="83"/>
      <c r="H4296" s="8"/>
      <c r="I4296" s="8"/>
      <c r="J4296" s="8"/>
      <c r="K4296" s="8"/>
      <c r="L4296" s="8"/>
      <c r="M4296" s="8"/>
      <c r="N4296" s="8"/>
      <c r="O4296" s="8"/>
      <c r="P4296" s="8"/>
      <c r="Q4296" s="8"/>
      <c r="R4296" s="8"/>
      <c r="S4296" s="8"/>
      <c r="T4296" s="8"/>
      <c r="U4296" s="8"/>
      <c r="V4296" s="8"/>
      <c r="W4296" s="8"/>
      <c r="X4296" s="771"/>
      <c r="Y4296" s="771"/>
      <c r="Z4296" s="771"/>
      <c r="AA4296" s="771"/>
      <c r="AB4296" s="771"/>
      <c r="AC4296" s="771"/>
      <c r="AD4296" s="771"/>
      <c r="AE4296" s="771"/>
      <c r="AF4296" s="771"/>
      <c r="AG4296" s="771"/>
      <c r="AH4296" s="771"/>
      <c r="AI4296" s="771"/>
      <c r="AJ4296" s="771"/>
      <c r="AK4296" s="771"/>
      <c r="AL4296" s="771"/>
      <c r="AM4296" s="771"/>
      <c r="AN4296" s="771"/>
      <c r="AO4296" s="771"/>
      <c r="AP4296" s="771"/>
      <c r="AQ4296" s="771"/>
      <c r="AR4296" s="771"/>
      <c r="AS4296" s="771"/>
      <c r="AT4296" s="771"/>
      <c r="AU4296" s="771"/>
    </row>
    <row r="4297" spans="1:47" s="15" customFormat="1" x14ac:dyDescent="0.2">
      <c r="A4297" s="8"/>
      <c r="B4297" s="8"/>
      <c r="C4297" s="11"/>
      <c r="D4297" s="11"/>
      <c r="E4297" s="84"/>
      <c r="F4297" s="83"/>
      <c r="H4297" s="8"/>
      <c r="I4297" s="8"/>
      <c r="J4297" s="8"/>
      <c r="K4297" s="8"/>
      <c r="L4297" s="8"/>
      <c r="M4297" s="8"/>
      <c r="N4297" s="8"/>
      <c r="O4297" s="8"/>
      <c r="P4297" s="8"/>
      <c r="Q4297" s="8"/>
      <c r="R4297" s="8"/>
      <c r="S4297" s="8"/>
      <c r="T4297" s="8"/>
      <c r="U4297" s="8"/>
      <c r="V4297" s="8"/>
      <c r="W4297" s="8"/>
      <c r="X4297" s="771"/>
      <c r="Y4297" s="771"/>
      <c r="Z4297" s="771"/>
      <c r="AA4297" s="771"/>
      <c r="AB4297" s="771"/>
      <c r="AC4297" s="771"/>
      <c r="AD4297" s="771"/>
      <c r="AE4297" s="771"/>
      <c r="AF4297" s="771"/>
      <c r="AG4297" s="771"/>
      <c r="AH4297" s="771"/>
      <c r="AI4297" s="771"/>
      <c r="AJ4297" s="771"/>
      <c r="AK4297" s="771"/>
      <c r="AL4297" s="771"/>
      <c r="AM4297" s="771"/>
      <c r="AN4297" s="771"/>
      <c r="AO4297" s="771"/>
      <c r="AP4297" s="771"/>
      <c r="AQ4297" s="771"/>
      <c r="AR4297" s="771"/>
      <c r="AS4297" s="771"/>
      <c r="AT4297" s="771"/>
      <c r="AU4297" s="771"/>
    </row>
    <row r="4298" spans="1:47" s="15" customFormat="1" x14ac:dyDescent="0.2">
      <c r="A4298" s="8"/>
      <c r="B4298" s="8"/>
      <c r="C4298" s="11"/>
      <c r="D4298" s="11"/>
      <c r="E4298" s="84"/>
      <c r="F4298" s="83"/>
      <c r="H4298" s="8"/>
      <c r="I4298" s="8"/>
      <c r="J4298" s="8"/>
      <c r="K4298" s="8"/>
      <c r="L4298" s="8"/>
      <c r="M4298" s="8"/>
      <c r="N4298" s="8"/>
      <c r="O4298" s="8"/>
      <c r="P4298" s="8"/>
      <c r="Q4298" s="8"/>
      <c r="R4298" s="8"/>
      <c r="S4298" s="8"/>
      <c r="T4298" s="8"/>
      <c r="U4298" s="8"/>
      <c r="V4298" s="8"/>
      <c r="W4298" s="8"/>
      <c r="X4298" s="771"/>
      <c r="Y4298" s="771"/>
      <c r="Z4298" s="771"/>
      <c r="AA4298" s="771"/>
      <c r="AB4298" s="771"/>
      <c r="AC4298" s="771"/>
      <c r="AD4298" s="771"/>
      <c r="AE4298" s="771"/>
      <c r="AF4298" s="771"/>
      <c r="AG4298" s="771"/>
      <c r="AH4298" s="771"/>
      <c r="AI4298" s="771"/>
      <c r="AJ4298" s="771"/>
      <c r="AK4298" s="771"/>
      <c r="AL4298" s="771"/>
      <c r="AM4298" s="771"/>
      <c r="AN4298" s="771"/>
      <c r="AO4298" s="771"/>
      <c r="AP4298" s="771"/>
      <c r="AQ4298" s="771"/>
      <c r="AR4298" s="771"/>
      <c r="AS4298" s="771"/>
      <c r="AT4298" s="771"/>
      <c r="AU4298" s="771"/>
    </row>
    <row r="4299" spans="1:47" s="15" customFormat="1" x14ac:dyDescent="0.2">
      <c r="A4299" s="8"/>
      <c r="B4299" s="8"/>
      <c r="C4299" s="11"/>
      <c r="D4299" s="11"/>
      <c r="E4299" s="84"/>
      <c r="F4299" s="83"/>
      <c r="H4299" s="8"/>
      <c r="I4299" s="8"/>
      <c r="J4299" s="8"/>
      <c r="K4299" s="8"/>
      <c r="L4299" s="8"/>
      <c r="M4299" s="8"/>
      <c r="N4299" s="8"/>
      <c r="O4299" s="8"/>
      <c r="P4299" s="8"/>
      <c r="Q4299" s="8"/>
      <c r="R4299" s="8"/>
      <c r="S4299" s="8"/>
      <c r="T4299" s="8"/>
      <c r="U4299" s="8"/>
      <c r="V4299" s="8"/>
      <c r="W4299" s="8"/>
      <c r="X4299" s="771"/>
      <c r="Y4299" s="771"/>
      <c r="Z4299" s="771"/>
      <c r="AA4299" s="771"/>
      <c r="AB4299" s="771"/>
      <c r="AC4299" s="771"/>
      <c r="AD4299" s="771"/>
      <c r="AE4299" s="771"/>
      <c r="AF4299" s="771"/>
      <c r="AG4299" s="771"/>
      <c r="AH4299" s="771"/>
      <c r="AI4299" s="771"/>
      <c r="AJ4299" s="771"/>
      <c r="AK4299" s="771"/>
      <c r="AL4299" s="771"/>
      <c r="AM4299" s="771"/>
      <c r="AN4299" s="771"/>
      <c r="AO4299" s="771"/>
      <c r="AP4299" s="771"/>
      <c r="AQ4299" s="771"/>
      <c r="AR4299" s="771"/>
      <c r="AS4299" s="771"/>
      <c r="AT4299" s="771"/>
      <c r="AU4299" s="771"/>
    </row>
    <row r="4300" spans="1:47" s="15" customFormat="1" x14ac:dyDescent="0.2">
      <c r="A4300" s="8"/>
      <c r="B4300" s="8"/>
      <c r="C4300" s="11"/>
      <c r="D4300" s="11"/>
      <c r="E4300" s="84"/>
      <c r="F4300" s="83"/>
      <c r="H4300" s="8"/>
      <c r="I4300" s="8"/>
      <c r="J4300" s="8"/>
      <c r="K4300" s="8"/>
      <c r="L4300" s="8"/>
      <c r="M4300" s="8"/>
      <c r="N4300" s="8"/>
      <c r="O4300" s="8"/>
      <c r="P4300" s="8"/>
      <c r="Q4300" s="8"/>
      <c r="R4300" s="8"/>
      <c r="S4300" s="8"/>
      <c r="T4300" s="8"/>
      <c r="U4300" s="8"/>
      <c r="V4300" s="8"/>
      <c r="W4300" s="8"/>
      <c r="X4300" s="771"/>
      <c r="Y4300" s="771"/>
      <c r="Z4300" s="771"/>
      <c r="AA4300" s="771"/>
      <c r="AB4300" s="771"/>
      <c r="AC4300" s="771"/>
      <c r="AD4300" s="771"/>
      <c r="AE4300" s="771"/>
      <c r="AF4300" s="771"/>
      <c r="AG4300" s="771"/>
      <c r="AH4300" s="771"/>
      <c r="AI4300" s="771"/>
      <c r="AJ4300" s="771"/>
      <c r="AK4300" s="771"/>
      <c r="AL4300" s="771"/>
      <c r="AM4300" s="771"/>
      <c r="AN4300" s="771"/>
      <c r="AO4300" s="771"/>
      <c r="AP4300" s="771"/>
      <c r="AQ4300" s="771"/>
      <c r="AR4300" s="771"/>
      <c r="AS4300" s="771"/>
      <c r="AT4300" s="771"/>
      <c r="AU4300" s="771"/>
    </row>
    <row r="4301" spans="1:47" s="15" customFormat="1" x14ac:dyDescent="0.2">
      <c r="A4301" s="8"/>
      <c r="B4301" s="8"/>
      <c r="C4301" s="11"/>
      <c r="D4301" s="11"/>
      <c r="E4301" s="84"/>
      <c r="F4301" s="83"/>
      <c r="H4301" s="8"/>
      <c r="I4301" s="8"/>
      <c r="J4301" s="8"/>
      <c r="K4301" s="8"/>
      <c r="L4301" s="8"/>
      <c r="M4301" s="8"/>
      <c r="N4301" s="8"/>
      <c r="O4301" s="8"/>
      <c r="P4301" s="8"/>
      <c r="Q4301" s="8"/>
      <c r="R4301" s="8"/>
      <c r="S4301" s="8"/>
      <c r="T4301" s="8"/>
      <c r="U4301" s="8"/>
      <c r="V4301" s="8"/>
      <c r="W4301" s="8"/>
      <c r="X4301" s="771"/>
      <c r="Y4301" s="771"/>
      <c r="Z4301" s="771"/>
      <c r="AA4301" s="771"/>
      <c r="AB4301" s="771"/>
      <c r="AC4301" s="771"/>
      <c r="AD4301" s="771"/>
      <c r="AE4301" s="771"/>
      <c r="AF4301" s="771"/>
      <c r="AG4301" s="771"/>
      <c r="AH4301" s="771"/>
      <c r="AI4301" s="771"/>
      <c r="AJ4301" s="771"/>
      <c r="AK4301" s="771"/>
      <c r="AL4301" s="771"/>
      <c r="AM4301" s="771"/>
      <c r="AN4301" s="771"/>
      <c r="AO4301" s="771"/>
      <c r="AP4301" s="771"/>
      <c r="AQ4301" s="771"/>
      <c r="AR4301" s="771"/>
      <c r="AS4301" s="771"/>
      <c r="AT4301" s="771"/>
      <c r="AU4301" s="771"/>
    </row>
    <row r="4302" spans="1:47" s="15" customFormat="1" x14ac:dyDescent="0.2">
      <c r="A4302" s="8"/>
      <c r="B4302" s="8"/>
      <c r="C4302" s="11"/>
      <c r="D4302" s="11"/>
      <c r="E4302" s="84"/>
      <c r="F4302" s="83"/>
      <c r="H4302" s="8"/>
      <c r="I4302" s="8"/>
      <c r="J4302" s="8"/>
      <c r="K4302" s="8"/>
      <c r="L4302" s="8"/>
      <c r="M4302" s="8"/>
      <c r="N4302" s="8"/>
      <c r="O4302" s="8"/>
      <c r="P4302" s="8"/>
      <c r="Q4302" s="8"/>
      <c r="R4302" s="8"/>
      <c r="S4302" s="8"/>
      <c r="T4302" s="8"/>
      <c r="U4302" s="8"/>
      <c r="V4302" s="8"/>
      <c r="W4302" s="8"/>
      <c r="X4302" s="771"/>
      <c r="Y4302" s="771"/>
      <c r="Z4302" s="771"/>
      <c r="AA4302" s="771"/>
      <c r="AB4302" s="771"/>
      <c r="AC4302" s="771"/>
      <c r="AD4302" s="771"/>
      <c r="AE4302" s="771"/>
      <c r="AF4302" s="771"/>
      <c r="AG4302" s="771"/>
      <c r="AH4302" s="771"/>
      <c r="AI4302" s="771"/>
      <c r="AJ4302" s="771"/>
      <c r="AK4302" s="771"/>
      <c r="AL4302" s="771"/>
      <c r="AM4302" s="771"/>
      <c r="AN4302" s="771"/>
      <c r="AO4302" s="771"/>
      <c r="AP4302" s="771"/>
      <c r="AQ4302" s="771"/>
      <c r="AR4302" s="771"/>
      <c r="AS4302" s="771"/>
      <c r="AT4302" s="771"/>
      <c r="AU4302" s="771"/>
    </row>
    <row r="4303" spans="1:47" s="15" customFormat="1" x14ac:dyDescent="0.2">
      <c r="A4303" s="8"/>
      <c r="B4303" s="8"/>
      <c r="C4303" s="11"/>
      <c r="D4303" s="11"/>
      <c r="E4303" s="84"/>
      <c r="F4303" s="83"/>
      <c r="H4303" s="8"/>
      <c r="I4303" s="8"/>
      <c r="J4303" s="8"/>
      <c r="K4303" s="8"/>
      <c r="L4303" s="8"/>
      <c r="M4303" s="8"/>
      <c r="N4303" s="8"/>
      <c r="O4303" s="8"/>
      <c r="P4303" s="8"/>
      <c r="Q4303" s="8"/>
      <c r="R4303" s="8"/>
      <c r="S4303" s="8"/>
      <c r="T4303" s="8"/>
      <c r="U4303" s="8"/>
      <c r="V4303" s="8"/>
      <c r="W4303" s="8"/>
      <c r="X4303" s="771"/>
      <c r="Y4303" s="771"/>
      <c r="Z4303" s="771"/>
      <c r="AA4303" s="771"/>
      <c r="AB4303" s="771"/>
      <c r="AC4303" s="771"/>
      <c r="AD4303" s="771"/>
      <c r="AE4303" s="771"/>
      <c r="AF4303" s="771"/>
      <c r="AG4303" s="771"/>
      <c r="AH4303" s="771"/>
      <c r="AI4303" s="771"/>
      <c r="AJ4303" s="771"/>
      <c r="AK4303" s="771"/>
      <c r="AL4303" s="771"/>
      <c r="AM4303" s="771"/>
      <c r="AN4303" s="771"/>
      <c r="AO4303" s="771"/>
      <c r="AP4303" s="771"/>
      <c r="AQ4303" s="771"/>
      <c r="AR4303" s="771"/>
      <c r="AS4303" s="771"/>
      <c r="AT4303" s="771"/>
      <c r="AU4303" s="771"/>
    </row>
    <row r="4304" spans="1:47" s="15" customFormat="1" x14ac:dyDescent="0.2">
      <c r="A4304" s="8"/>
      <c r="B4304" s="8"/>
      <c r="C4304" s="11"/>
      <c r="D4304" s="11"/>
      <c r="E4304" s="84"/>
      <c r="F4304" s="83"/>
      <c r="H4304" s="8"/>
      <c r="I4304" s="8"/>
      <c r="J4304" s="8"/>
      <c r="K4304" s="8"/>
      <c r="L4304" s="8"/>
      <c r="M4304" s="8"/>
      <c r="N4304" s="8"/>
      <c r="O4304" s="8"/>
      <c r="P4304" s="8"/>
      <c r="Q4304" s="8"/>
      <c r="R4304" s="8"/>
      <c r="S4304" s="8"/>
      <c r="T4304" s="8"/>
      <c r="U4304" s="8"/>
      <c r="V4304" s="8"/>
      <c r="W4304" s="8"/>
      <c r="X4304" s="771"/>
      <c r="Y4304" s="771"/>
      <c r="Z4304" s="771"/>
      <c r="AA4304" s="771"/>
      <c r="AB4304" s="771"/>
      <c r="AC4304" s="771"/>
      <c r="AD4304" s="771"/>
      <c r="AE4304" s="771"/>
      <c r="AF4304" s="771"/>
      <c r="AG4304" s="771"/>
      <c r="AH4304" s="771"/>
      <c r="AI4304" s="771"/>
      <c r="AJ4304" s="771"/>
      <c r="AK4304" s="771"/>
      <c r="AL4304" s="771"/>
      <c r="AM4304" s="771"/>
      <c r="AN4304" s="771"/>
      <c r="AO4304" s="771"/>
      <c r="AP4304" s="771"/>
      <c r="AQ4304" s="771"/>
      <c r="AR4304" s="771"/>
      <c r="AS4304" s="771"/>
      <c r="AT4304" s="771"/>
      <c r="AU4304" s="771"/>
    </row>
    <row r="4305" spans="1:47" s="15" customFormat="1" x14ac:dyDescent="0.2">
      <c r="A4305" s="8"/>
      <c r="B4305" s="8"/>
      <c r="C4305" s="11"/>
      <c r="D4305" s="11"/>
      <c r="E4305" s="84"/>
      <c r="F4305" s="83"/>
      <c r="H4305" s="8"/>
      <c r="I4305" s="8"/>
      <c r="J4305" s="8"/>
      <c r="K4305" s="8"/>
      <c r="L4305" s="8"/>
      <c r="M4305" s="8"/>
      <c r="N4305" s="8"/>
      <c r="O4305" s="8"/>
      <c r="P4305" s="8"/>
      <c r="Q4305" s="8"/>
      <c r="R4305" s="8"/>
      <c r="S4305" s="8"/>
      <c r="T4305" s="8"/>
      <c r="U4305" s="8"/>
      <c r="V4305" s="8"/>
      <c r="W4305" s="8"/>
      <c r="X4305" s="771"/>
      <c r="Y4305" s="771"/>
      <c r="Z4305" s="771"/>
      <c r="AA4305" s="771"/>
      <c r="AB4305" s="771"/>
      <c r="AC4305" s="771"/>
      <c r="AD4305" s="771"/>
      <c r="AE4305" s="771"/>
      <c r="AF4305" s="771"/>
      <c r="AG4305" s="771"/>
      <c r="AH4305" s="771"/>
      <c r="AI4305" s="771"/>
      <c r="AJ4305" s="771"/>
      <c r="AK4305" s="771"/>
      <c r="AL4305" s="771"/>
      <c r="AM4305" s="771"/>
      <c r="AN4305" s="771"/>
      <c r="AO4305" s="771"/>
      <c r="AP4305" s="771"/>
      <c r="AQ4305" s="771"/>
      <c r="AR4305" s="771"/>
      <c r="AS4305" s="771"/>
      <c r="AT4305" s="771"/>
      <c r="AU4305" s="771"/>
    </row>
    <row r="4306" spans="1:47" s="15" customFormat="1" x14ac:dyDescent="0.2">
      <c r="A4306" s="8"/>
      <c r="B4306" s="8"/>
      <c r="C4306" s="11"/>
      <c r="D4306" s="11"/>
      <c r="E4306" s="84"/>
      <c r="F4306" s="83"/>
      <c r="H4306" s="8"/>
      <c r="I4306" s="8"/>
      <c r="J4306" s="8"/>
      <c r="K4306" s="8"/>
      <c r="L4306" s="8"/>
      <c r="M4306" s="8"/>
      <c r="N4306" s="8"/>
      <c r="O4306" s="8"/>
      <c r="P4306" s="8"/>
      <c r="Q4306" s="8"/>
      <c r="R4306" s="8"/>
      <c r="S4306" s="8"/>
      <c r="T4306" s="8"/>
      <c r="U4306" s="8"/>
      <c r="V4306" s="8"/>
      <c r="W4306" s="8"/>
      <c r="X4306" s="771"/>
      <c r="Y4306" s="771"/>
      <c r="Z4306" s="771"/>
      <c r="AA4306" s="771"/>
      <c r="AB4306" s="771"/>
      <c r="AC4306" s="771"/>
      <c r="AD4306" s="771"/>
      <c r="AE4306" s="771"/>
      <c r="AF4306" s="771"/>
      <c r="AG4306" s="771"/>
      <c r="AH4306" s="771"/>
      <c r="AI4306" s="771"/>
      <c r="AJ4306" s="771"/>
      <c r="AK4306" s="771"/>
      <c r="AL4306" s="771"/>
      <c r="AM4306" s="771"/>
      <c r="AN4306" s="771"/>
      <c r="AO4306" s="771"/>
      <c r="AP4306" s="771"/>
      <c r="AQ4306" s="771"/>
      <c r="AR4306" s="771"/>
      <c r="AS4306" s="771"/>
      <c r="AT4306" s="771"/>
      <c r="AU4306" s="771"/>
    </row>
    <row r="4307" spans="1:47" s="15" customFormat="1" x14ac:dyDescent="0.2">
      <c r="A4307" s="8"/>
      <c r="B4307" s="8"/>
      <c r="C4307" s="11"/>
      <c r="D4307" s="11"/>
      <c r="E4307" s="84"/>
      <c r="F4307" s="83"/>
      <c r="H4307" s="8"/>
      <c r="I4307" s="8"/>
      <c r="J4307" s="8"/>
      <c r="K4307" s="8"/>
      <c r="L4307" s="8"/>
      <c r="M4307" s="8"/>
      <c r="N4307" s="8"/>
      <c r="O4307" s="8"/>
      <c r="P4307" s="8"/>
      <c r="Q4307" s="8"/>
      <c r="R4307" s="8"/>
      <c r="S4307" s="8"/>
      <c r="T4307" s="8"/>
      <c r="U4307" s="8"/>
      <c r="V4307" s="8"/>
      <c r="W4307" s="8"/>
      <c r="X4307" s="771"/>
      <c r="Y4307" s="771"/>
      <c r="Z4307" s="771"/>
      <c r="AA4307" s="771"/>
      <c r="AB4307" s="771"/>
      <c r="AC4307" s="771"/>
      <c r="AD4307" s="771"/>
      <c r="AE4307" s="771"/>
      <c r="AF4307" s="771"/>
      <c r="AG4307" s="771"/>
      <c r="AH4307" s="771"/>
      <c r="AI4307" s="771"/>
      <c r="AJ4307" s="771"/>
      <c r="AK4307" s="771"/>
      <c r="AL4307" s="771"/>
      <c r="AM4307" s="771"/>
      <c r="AN4307" s="771"/>
      <c r="AO4307" s="771"/>
      <c r="AP4307" s="771"/>
      <c r="AQ4307" s="771"/>
      <c r="AR4307" s="771"/>
      <c r="AS4307" s="771"/>
      <c r="AT4307" s="771"/>
      <c r="AU4307" s="771"/>
    </row>
    <row r="4308" spans="1:47" s="15" customFormat="1" x14ac:dyDescent="0.2">
      <c r="A4308" s="8"/>
      <c r="B4308" s="8"/>
      <c r="C4308" s="11"/>
      <c r="D4308" s="11"/>
      <c r="E4308" s="84"/>
      <c r="F4308" s="83"/>
      <c r="H4308" s="8"/>
      <c r="I4308" s="8"/>
      <c r="J4308" s="8"/>
      <c r="K4308" s="8"/>
      <c r="L4308" s="8"/>
      <c r="M4308" s="8"/>
      <c r="N4308" s="8"/>
      <c r="O4308" s="8"/>
      <c r="P4308" s="8"/>
      <c r="Q4308" s="8"/>
      <c r="R4308" s="8"/>
      <c r="S4308" s="8"/>
      <c r="T4308" s="8"/>
      <c r="U4308" s="8"/>
      <c r="V4308" s="8"/>
      <c r="W4308" s="8"/>
      <c r="X4308" s="771"/>
      <c r="Y4308" s="771"/>
      <c r="Z4308" s="771"/>
      <c r="AA4308" s="771"/>
      <c r="AB4308" s="771"/>
      <c r="AC4308" s="771"/>
      <c r="AD4308" s="771"/>
      <c r="AE4308" s="771"/>
      <c r="AF4308" s="771"/>
      <c r="AG4308" s="771"/>
      <c r="AH4308" s="771"/>
      <c r="AI4308" s="771"/>
      <c r="AJ4308" s="771"/>
      <c r="AK4308" s="771"/>
      <c r="AL4308" s="771"/>
      <c r="AM4308" s="771"/>
      <c r="AN4308" s="771"/>
      <c r="AO4308" s="771"/>
      <c r="AP4308" s="771"/>
      <c r="AQ4308" s="771"/>
      <c r="AR4308" s="771"/>
      <c r="AS4308" s="771"/>
      <c r="AT4308" s="771"/>
      <c r="AU4308" s="771"/>
    </row>
    <row r="4309" spans="1:47" s="15" customFormat="1" x14ac:dyDescent="0.2">
      <c r="A4309" s="8"/>
      <c r="B4309" s="8"/>
      <c r="C4309" s="11"/>
      <c r="D4309" s="11"/>
      <c r="E4309" s="84"/>
      <c r="F4309" s="83"/>
      <c r="H4309" s="8"/>
      <c r="I4309" s="8"/>
      <c r="J4309" s="8"/>
      <c r="K4309" s="8"/>
      <c r="L4309" s="8"/>
      <c r="M4309" s="8"/>
      <c r="N4309" s="8"/>
      <c r="O4309" s="8"/>
      <c r="P4309" s="8"/>
      <c r="Q4309" s="8"/>
      <c r="R4309" s="8"/>
      <c r="S4309" s="8"/>
      <c r="T4309" s="8"/>
      <c r="U4309" s="8"/>
      <c r="V4309" s="8"/>
      <c r="W4309" s="8"/>
      <c r="X4309" s="771"/>
      <c r="Y4309" s="771"/>
      <c r="Z4309" s="771"/>
      <c r="AA4309" s="771"/>
      <c r="AB4309" s="771"/>
      <c r="AC4309" s="771"/>
      <c r="AD4309" s="771"/>
      <c r="AE4309" s="771"/>
      <c r="AF4309" s="771"/>
      <c r="AG4309" s="771"/>
      <c r="AH4309" s="771"/>
      <c r="AI4309" s="771"/>
      <c r="AJ4309" s="771"/>
      <c r="AK4309" s="771"/>
      <c r="AL4309" s="771"/>
      <c r="AM4309" s="771"/>
      <c r="AN4309" s="771"/>
      <c r="AO4309" s="771"/>
      <c r="AP4309" s="771"/>
      <c r="AQ4309" s="771"/>
      <c r="AR4309" s="771"/>
      <c r="AS4309" s="771"/>
      <c r="AT4309" s="771"/>
      <c r="AU4309" s="771"/>
    </row>
    <row r="4310" spans="1:47" s="15" customFormat="1" x14ac:dyDescent="0.2">
      <c r="A4310" s="8"/>
      <c r="B4310" s="8"/>
      <c r="C4310" s="11"/>
      <c r="D4310" s="11"/>
      <c r="E4310" s="84"/>
      <c r="F4310" s="83"/>
      <c r="H4310" s="8"/>
      <c r="I4310" s="8"/>
      <c r="J4310" s="8"/>
      <c r="K4310" s="8"/>
      <c r="L4310" s="8"/>
      <c r="M4310" s="8"/>
      <c r="N4310" s="8"/>
      <c r="O4310" s="8"/>
      <c r="P4310" s="8"/>
      <c r="Q4310" s="8"/>
      <c r="R4310" s="8"/>
      <c r="S4310" s="8"/>
      <c r="T4310" s="8"/>
      <c r="U4310" s="8"/>
      <c r="V4310" s="8"/>
      <c r="W4310" s="8"/>
      <c r="X4310" s="771"/>
      <c r="Y4310" s="771"/>
      <c r="Z4310" s="771"/>
      <c r="AA4310" s="771"/>
      <c r="AB4310" s="771"/>
      <c r="AC4310" s="771"/>
      <c r="AD4310" s="771"/>
      <c r="AE4310" s="771"/>
      <c r="AF4310" s="771"/>
      <c r="AG4310" s="771"/>
      <c r="AH4310" s="771"/>
      <c r="AI4310" s="771"/>
      <c r="AJ4310" s="771"/>
      <c r="AK4310" s="771"/>
      <c r="AL4310" s="771"/>
      <c r="AM4310" s="771"/>
      <c r="AN4310" s="771"/>
      <c r="AO4310" s="771"/>
      <c r="AP4310" s="771"/>
      <c r="AQ4310" s="771"/>
      <c r="AR4310" s="771"/>
      <c r="AS4310" s="771"/>
      <c r="AT4310" s="771"/>
      <c r="AU4310" s="771"/>
    </row>
    <row r="4311" spans="1:47" s="15" customFormat="1" x14ac:dyDescent="0.2">
      <c r="A4311" s="8"/>
      <c r="B4311" s="8"/>
      <c r="C4311" s="11"/>
      <c r="D4311" s="11"/>
      <c r="E4311" s="84"/>
      <c r="F4311" s="83"/>
      <c r="H4311" s="8"/>
      <c r="I4311" s="8"/>
      <c r="J4311" s="8"/>
      <c r="K4311" s="8"/>
      <c r="L4311" s="8"/>
      <c r="M4311" s="8"/>
      <c r="N4311" s="8"/>
      <c r="O4311" s="8"/>
      <c r="P4311" s="8"/>
      <c r="Q4311" s="8"/>
      <c r="R4311" s="8"/>
      <c r="S4311" s="8"/>
      <c r="T4311" s="8"/>
      <c r="U4311" s="8"/>
      <c r="V4311" s="8"/>
      <c r="W4311" s="8"/>
      <c r="X4311" s="771"/>
      <c r="Y4311" s="771"/>
      <c r="Z4311" s="771"/>
      <c r="AA4311" s="771"/>
      <c r="AB4311" s="771"/>
      <c r="AC4311" s="771"/>
      <c r="AD4311" s="771"/>
      <c r="AE4311" s="771"/>
      <c r="AF4311" s="771"/>
      <c r="AG4311" s="771"/>
      <c r="AH4311" s="771"/>
      <c r="AI4311" s="771"/>
      <c r="AJ4311" s="771"/>
      <c r="AK4311" s="771"/>
      <c r="AL4311" s="771"/>
      <c r="AM4311" s="771"/>
      <c r="AN4311" s="771"/>
      <c r="AO4311" s="771"/>
      <c r="AP4311" s="771"/>
      <c r="AQ4311" s="771"/>
      <c r="AR4311" s="771"/>
      <c r="AS4311" s="771"/>
      <c r="AT4311" s="771"/>
      <c r="AU4311" s="771"/>
    </row>
    <row r="4312" spans="1:47" s="15" customFormat="1" x14ac:dyDescent="0.2">
      <c r="A4312" s="8"/>
      <c r="B4312" s="8"/>
      <c r="C4312" s="11"/>
      <c r="D4312" s="11"/>
      <c r="E4312" s="84"/>
      <c r="F4312" s="83"/>
      <c r="H4312" s="8"/>
      <c r="I4312" s="8"/>
      <c r="J4312" s="8"/>
      <c r="K4312" s="8"/>
      <c r="L4312" s="8"/>
      <c r="M4312" s="8"/>
      <c r="N4312" s="8"/>
      <c r="O4312" s="8"/>
      <c r="P4312" s="8"/>
      <c r="Q4312" s="8"/>
      <c r="R4312" s="8"/>
      <c r="S4312" s="8"/>
      <c r="T4312" s="8"/>
      <c r="U4312" s="8"/>
      <c r="V4312" s="8"/>
      <c r="W4312" s="8"/>
      <c r="X4312" s="771"/>
      <c r="Y4312" s="771"/>
      <c r="Z4312" s="771"/>
      <c r="AA4312" s="771"/>
      <c r="AB4312" s="771"/>
      <c r="AC4312" s="771"/>
      <c r="AD4312" s="771"/>
      <c r="AE4312" s="771"/>
      <c r="AF4312" s="771"/>
      <c r="AG4312" s="771"/>
      <c r="AH4312" s="771"/>
      <c r="AI4312" s="771"/>
      <c r="AJ4312" s="771"/>
      <c r="AK4312" s="771"/>
      <c r="AL4312" s="771"/>
      <c r="AM4312" s="771"/>
      <c r="AN4312" s="771"/>
      <c r="AO4312" s="771"/>
      <c r="AP4312" s="771"/>
      <c r="AQ4312" s="771"/>
      <c r="AR4312" s="771"/>
      <c r="AS4312" s="771"/>
      <c r="AT4312" s="771"/>
      <c r="AU4312" s="771"/>
    </row>
    <row r="4313" spans="1:47" s="15" customFormat="1" x14ac:dyDescent="0.2">
      <c r="A4313" s="8"/>
      <c r="B4313" s="8"/>
      <c r="C4313" s="11"/>
      <c r="D4313" s="11"/>
      <c r="E4313" s="84"/>
      <c r="F4313" s="83"/>
      <c r="H4313" s="8"/>
      <c r="I4313" s="8"/>
      <c r="J4313" s="8"/>
      <c r="K4313" s="8"/>
      <c r="L4313" s="8"/>
      <c r="M4313" s="8"/>
      <c r="N4313" s="8"/>
      <c r="O4313" s="8"/>
      <c r="P4313" s="8"/>
      <c r="Q4313" s="8"/>
      <c r="R4313" s="8"/>
      <c r="S4313" s="8"/>
      <c r="T4313" s="8"/>
      <c r="U4313" s="8"/>
      <c r="V4313" s="8"/>
      <c r="W4313" s="8"/>
      <c r="X4313" s="771"/>
      <c r="Y4313" s="771"/>
      <c r="Z4313" s="771"/>
      <c r="AA4313" s="771"/>
      <c r="AB4313" s="771"/>
      <c r="AC4313" s="771"/>
      <c r="AD4313" s="771"/>
      <c r="AE4313" s="771"/>
      <c r="AF4313" s="771"/>
      <c r="AG4313" s="771"/>
      <c r="AH4313" s="771"/>
      <c r="AI4313" s="771"/>
      <c r="AJ4313" s="771"/>
      <c r="AK4313" s="771"/>
      <c r="AL4313" s="771"/>
      <c r="AM4313" s="771"/>
      <c r="AN4313" s="771"/>
      <c r="AO4313" s="771"/>
      <c r="AP4313" s="771"/>
      <c r="AQ4313" s="771"/>
      <c r="AR4313" s="771"/>
      <c r="AS4313" s="771"/>
      <c r="AT4313" s="771"/>
      <c r="AU4313" s="771"/>
    </row>
    <row r="4314" spans="1:47" s="15" customFormat="1" x14ac:dyDescent="0.2">
      <c r="A4314" s="8"/>
      <c r="B4314" s="8"/>
      <c r="C4314" s="11"/>
      <c r="D4314" s="11"/>
      <c r="E4314" s="84"/>
      <c r="F4314" s="83"/>
      <c r="H4314" s="8"/>
      <c r="I4314" s="8"/>
      <c r="J4314" s="8"/>
      <c r="K4314" s="8"/>
      <c r="L4314" s="8"/>
      <c r="M4314" s="8"/>
      <c r="N4314" s="8"/>
      <c r="O4314" s="8"/>
      <c r="P4314" s="8"/>
      <c r="Q4314" s="8"/>
      <c r="R4314" s="8"/>
      <c r="S4314" s="8"/>
      <c r="T4314" s="8"/>
      <c r="U4314" s="8"/>
      <c r="V4314" s="8"/>
      <c r="W4314" s="8"/>
      <c r="X4314" s="771"/>
      <c r="Y4314" s="771"/>
      <c r="Z4314" s="771"/>
      <c r="AA4314" s="771"/>
      <c r="AB4314" s="771"/>
      <c r="AC4314" s="771"/>
      <c r="AD4314" s="771"/>
      <c r="AE4314" s="771"/>
      <c r="AF4314" s="771"/>
      <c r="AG4314" s="771"/>
      <c r="AH4314" s="771"/>
      <c r="AI4314" s="771"/>
      <c r="AJ4314" s="771"/>
      <c r="AK4314" s="771"/>
      <c r="AL4314" s="771"/>
      <c r="AM4314" s="771"/>
      <c r="AN4314" s="771"/>
      <c r="AO4314" s="771"/>
      <c r="AP4314" s="771"/>
      <c r="AQ4314" s="771"/>
      <c r="AR4314" s="771"/>
      <c r="AS4314" s="771"/>
      <c r="AT4314" s="771"/>
      <c r="AU4314" s="771"/>
    </row>
    <row r="4315" spans="1:47" s="15" customFormat="1" x14ac:dyDescent="0.2">
      <c r="A4315" s="8"/>
      <c r="B4315" s="8"/>
      <c r="C4315" s="11"/>
      <c r="D4315" s="11"/>
      <c r="E4315" s="84"/>
      <c r="F4315" s="83"/>
      <c r="H4315" s="8"/>
      <c r="I4315" s="8"/>
      <c r="J4315" s="8"/>
      <c r="K4315" s="8"/>
      <c r="L4315" s="8"/>
      <c r="M4315" s="8"/>
      <c r="N4315" s="8"/>
      <c r="O4315" s="8"/>
      <c r="P4315" s="8"/>
      <c r="Q4315" s="8"/>
      <c r="R4315" s="8"/>
      <c r="S4315" s="8"/>
      <c r="T4315" s="8"/>
      <c r="U4315" s="8"/>
      <c r="V4315" s="8"/>
      <c r="W4315" s="8"/>
      <c r="X4315" s="771"/>
      <c r="Y4315" s="771"/>
      <c r="Z4315" s="771"/>
      <c r="AA4315" s="771"/>
      <c r="AB4315" s="771"/>
      <c r="AC4315" s="771"/>
      <c r="AD4315" s="771"/>
      <c r="AE4315" s="771"/>
      <c r="AF4315" s="771"/>
      <c r="AG4315" s="771"/>
      <c r="AH4315" s="771"/>
      <c r="AI4315" s="771"/>
      <c r="AJ4315" s="771"/>
      <c r="AK4315" s="771"/>
      <c r="AL4315" s="771"/>
      <c r="AM4315" s="771"/>
      <c r="AN4315" s="771"/>
      <c r="AO4315" s="771"/>
      <c r="AP4315" s="771"/>
      <c r="AQ4315" s="771"/>
      <c r="AR4315" s="771"/>
      <c r="AS4315" s="771"/>
      <c r="AT4315" s="771"/>
      <c r="AU4315" s="771"/>
    </row>
    <row r="4316" spans="1:47" s="15" customFormat="1" x14ac:dyDescent="0.2">
      <c r="A4316" s="8"/>
      <c r="B4316" s="8"/>
      <c r="C4316" s="11"/>
      <c r="D4316" s="11"/>
      <c r="E4316" s="84"/>
      <c r="F4316" s="83"/>
      <c r="H4316" s="8"/>
      <c r="I4316" s="8"/>
      <c r="J4316" s="8"/>
      <c r="K4316" s="8"/>
      <c r="L4316" s="8"/>
      <c r="M4316" s="8"/>
      <c r="N4316" s="8"/>
      <c r="O4316" s="8"/>
      <c r="P4316" s="8"/>
      <c r="Q4316" s="8"/>
      <c r="R4316" s="8"/>
      <c r="S4316" s="8"/>
      <c r="T4316" s="8"/>
      <c r="U4316" s="8"/>
      <c r="V4316" s="8"/>
      <c r="W4316" s="8"/>
      <c r="X4316" s="771"/>
      <c r="Y4316" s="771"/>
      <c r="Z4316" s="771"/>
      <c r="AA4316" s="771"/>
      <c r="AB4316" s="771"/>
      <c r="AC4316" s="771"/>
      <c r="AD4316" s="771"/>
      <c r="AE4316" s="771"/>
      <c r="AF4316" s="771"/>
      <c r="AG4316" s="771"/>
      <c r="AH4316" s="771"/>
      <c r="AI4316" s="771"/>
      <c r="AJ4316" s="771"/>
      <c r="AK4316" s="771"/>
      <c r="AL4316" s="771"/>
      <c r="AM4316" s="771"/>
      <c r="AN4316" s="771"/>
      <c r="AO4316" s="771"/>
      <c r="AP4316" s="771"/>
      <c r="AQ4316" s="771"/>
      <c r="AR4316" s="771"/>
      <c r="AS4316" s="771"/>
      <c r="AT4316" s="771"/>
      <c r="AU4316" s="771"/>
    </row>
    <row r="4317" spans="1:47" s="15" customFormat="1" x14ac:dyDescent="0.2">
      <c r="A4317" s="8"/>
      <c r="B4317" s="8"/>
      <c r="C4317" s="11"/>
      <c r="D4317" s="11"/>
      <c r="E4317" s="84"/>
      <c r="F4317" s="83"/>
      <c r="H4317" s="8"/>
      <c r="I4317" s="8"/>
      <c r="J4317" s="8"/>
      <c r="K4317" s="8"/>
      <c r="L4317" s="8"/>
      <c r="M4317" s="8"/>
      <c r="N4317" s="8"/>
      <c r="O4317" s="8"/>
      <c r="P4317" s="8"/>
      <c r="Q4317" s="8"/>
      <c r="R4317" s="8"/>
      <c r="S4317" s="8"/>
      <c r="T4317" s="8"/>
      <c r="U4317" s="8"/>
      <c r="V4317" s="8"/>
      <c r="W4317" s="8"/>
      <c r="X4317" s="771"/>
      <c r="Y4317" s="771"/>
      <c r="Z4317" s="771"/>
      <c r="AA4317" s="771"/>
      <c r="AB4317" s="771"/>
      <c r="AC4317" s="771"/>
      <c r="AD4317" s="771"/>
      <c r="AE4317" s="771"/>
      <c r="AF4317" s="771"/>
      <c r="AG4317" s="771"/>
      <c r="AH4317" s="771"/>
      <c r="AI4317" s="771"/>
      <c r="AJ4317" s="771"/>
      <c r="AK4317" s="771"/>
      <c r="AL4317" s="771"/>
      <c r="AM4317" s="771"/>
      <c r="AN4317" s="771"/>
      <c r="AO4317" s="771"/>
      <c r="AP4317" s="771"/>
      <c r="AQ4317" s="771"/>
      <c r="AR4317" s="771"/>
      <c r="AS4317" s="771"/>
      <c r="AT4317" s="771"/>
      <c r="AU4317" s="771"/>
    </row>
    <row r="4318" spans="1:47" s="15" customFormat="1" x14ac:dyDescent="0.2">
      <c r="A4318" s="8"/>
      <c r="B4318" s="8"/>
      <c r="C4318" s="11"/>
      <c r="D4318" s="11"/>
      <c r="E4318" s="84"/>
      <c r="F4318" s="83"/>
      <c r="H4318" s="8"/>
      <c r="I4318" s="8"/>
      <c r="J4318" s="8"/>
      <c r="K4318" s="8"/>
      <c r="L4318" s="8"/>
      <c r="M4318" s="8"/>
      <c r="N4318" s="8"/>
      <c r="O4318" s="8"/>
      <c r="P4318" s="8"/>
      <c r="Q4318" s="8"/>
      <c r="R4318" s="8"/>
      <c r="S4318" s="8"/>
      <c r="T4318" s="8"/>
      <c r="U4318" s="8"/>
      <c r="V4318" s="8"/>
      <c r="W4318" s="8"/>
      <c r="X4318" s="771"/>
      <c r="Y4318" s="771"/>
      <c r="Z4318" s="771"/>
      <c r="AA4318" s="771"/>
      <c r="AB4318" s="771"/>
      <c r="AC4318" s="771"/>
      <c r="AD4318" s="771"/>
      <c r="AE4318" s="771"/>
      <c r="AF4318" s="771"/>
      <c r="AG4318" s="771"/>
      <c r="AH4318" s="771"/>
      <c r="AI4318" s="771"/>
      <c r="AJ4318" s="771"/>
      <c r="AK4318" s="771"/>
      <c r="AL4318" s="771"/>
      <c r="AM4318" s="771"/>
      <c r="AN4318" s="771"/>
      <c r="AO4318" s="771"/>
      <c r="AP4318" s="771"/>
      <c r="AQ4318" s="771"/>
      <c r="AR4318" s="771"/>
      <c r="AS4318" s="771"/>
      <c r="AT4318" s="771"/>
      <c r="AU4318" s="771"/>
    </row>
    <row r="4319" spans="1:47" s="15" customFormat="1" x14ac:dyDescent="0.2">
      <c r="A4319" s="8"/>
      <c r="B4319" s="8"/>
      <c r="C4319" s="11"/>
      <c r="D4319" s="11"/>
      <c r="E4319" s="84"/>
      <c r="F4319" s="83"/>
      <c r="H4319" s="8"/>
      <c r="I4319" s="8"/>
      <c r="J4319" s="8"/>
      <c r="K4319" s="8"/>
      <c r="L4319" s="8"/>
      <c r="M4319" s="8"/>
      <c r="N4319" s="8"/>
      <c r="O4319" s="8"/>
      <c r="P4319" s="8"/>
      <c r="Q4319" s="8"/>
      <c r="R4319" s="8"/>
      <c r="S4319" s="8"/>
      <c r="T4319" s="8"/>
      <c r="U4319" s="8"/>
      <c r="V4319" s="8"/>
      <c r="W4319" s="8"/>
      <c r="X4319" s="771"/>
      <c r="Y4319" s="771"/>
      <c r="Z4319" s="771"/>
      <c r="AA4319" s="771"/>
      <c r="AB4319" s="771"/>
      <c r="AC4319" s="771"/>
      <c r="AD4319" s="771"/>
      <c r="AE4319" s="771"/>
      <c r="AF4319" s="771"/>
      <c r="AG4319" s="771"/>
      <c r="AH4319" s="771"/>
      <c r="AI4319" s="771"/>
      <c r="AJ4319" s="771"/>
      <c r="AK4319" s="771"/>
      <c r="AL4319" s="771"/>
      <c r="AM4319" s="771"/>
      <c r="AN4319" s="771"/>
      <c r="AO4319" s="771"/>
      <c r="AP4319" s="771"/>
      <c r="AQ4319" s="771"/>
      <c r="AR4319" s="771"/>
      <c r="AS4319" s="771"/>
      <c r="AT4319" s="771"/>
      <c r="AU4319" s="771"/>
    </row>
    <row r="4320" spans="1:47" s="15" customFormat="1" x14ac:dyDescent="0.2">
      <c r="A4320" s="8"/>
      <c r="B4320" s="8"/>
      <c r="C4320" s="11"/>
      <c r="D4320" s="11"/>
      <c r="E4320" s="84"/>
      <c r="F4320" s="83"/>
      <c r="H4320" s="8"/>
      <c r="I4320" s="8"/>
      <c r="J4320" s="8"/>
      <c r="K4320" s="8"/>
      <c r="L4320" s="8"/>
      <c r="M4320" s="8"/>
      <c r="N4320" s="8"/>
      <c r="O4320" s="8"/>
      <c r="P4320" s="8"/>
      <c r="Q4320" s="8"/>
      <c r="R4320" s="8"/>
      <c r="S4320" s="8"/>
      <c r="T4320" s="8"/>
      <c r="U4320" s="8"/>
      <c r="V4320" s="8"/>
      <c r="W4320" s="8"/>
      <c r="X4320" s="771"/>
      <c r="Y4320" s="771"/>
      <c r="Z4320" s="771"/>
      <c r="AA4320" s="771"/>
      <c r="AB4320" s="771"/>
      <c r="AC4320" s="771"/>
      <c r="AD4320" s="771"/>
      <c r="AE4320" s="771"/>
      <c r="AF4320" s="771"/>
      <c r="AG4320" s="771"/>
      <c r="AH4320" s="771"/>
      <c r="AI4320" s="771"/>
      <c r="AJ4320" s="771"/>
      <c r="AK4320" s="771"/>
      <c r="AL4320" s="771"/>
      <c r="AM4320" s="771"/>
      <c r="AN4320" s="771"/>
      <c r="AO4320" s="771"/>
      <c r="AP4320" s="771"/>
      <c r="AQ4320" s="771"/>
      <c r="AR4320" s="771"/>
      <c r="AS4320" s="771"/>
      <c r="AT4320" s="771"/>
      <c r="AU4320" s="771"/>
    </row>
    <row r="4321" spans="1:47" s="15" customFormat="1" x14ac:dyDescent="0.2">
      <c r="A4321" s="8"/>
      <c r="B4321" s="8"/>
      <c r="C4321" s="11"/>
      <c r="D4321" s="11"/>
      <c r="E4321" s="84"/>
      <c r="F4321" s="83"/>
      <c r="H4321" s="8"/>
      <c r="I4321" s="8"/>
      <c r="J4321" s="8"/>
      <c r="K4321" s="8"/>
      <c r="L4321" s="8"/>
      <c r="M4321" s="8"/>
      <c r="N4321" s="8"/>
      <c r="O4321" s="8"/>
      <c r="P4321" s="8"/>
      <c r="Q4321" s="8"/>
      <c r="R4321" s="8"/>
      <c r="S4321" s="8"/>
      <c r="T4321" s="8"/>
      <c r="U4321" s="8"/>
      <c r="V4321" s="8"/>
      <c r="W4321" s="8"/>
      <c r="X4321" s="771"/>
      <c r="Y4321" s="771"/>
      <c r="Z4321" s="771"/>
      <c r="AA4321" s="771"/>
      <c r="AB4321" s="771"/>
      <c r="AC4321" s="771"/>
      <c r="AD4321" s="771"/>
      <c r="AE4321" s="771"/>
      <c r="AF4321" s="771"/>
      <c r="AG4321" s="771"/>
      <c r="AH4321" s="771"/>
      <c r="AI4321" s="771"/>
      <c r="AJ4321" s="771"/>
      <c r="AK4321" s="771"/>
      <c r="AL4321" s="771"/>
      <c r="AM4321" s="771"/>
      <c r="AN4321" s="771"/>
      <c r="AO4321" s="771"/>
      <c r="AP4321" s="771"/>
      <c r="AQ4321" s="771"/>
      <c r="AR4321" s="771"/>
      <c r="AS4321" s="771"/>
      <c r="AT4321" s="771"/>
      <c r="AU4321" s="771"/>
    </row>
    <row r="4322" spans="1:47" s="15" customFormat="1" x14ac:dyDescent="0.2">
      <c r="A4322" s="8"/>
      <c r="B4322" s="8"/>
      <c r="C4322" s="11"/>
      <c r="D4322" s="11"/>
      <c r="E4322" s="84"/>
      <c r="F4322" s="83"/>
      <c r="H4322" s="8"/>
      <c r="I4322" s="8"/>
      <c r="J4322" s="8"/>
      <c r="K4322" s="8"/>
      <c r="L4322" s="8"/>
      <c r="M4322" s="8"/>
      <c r="N4322" s="8"/>
      <c r="O4322" s="8"/>
      <c r="P4322" s="8"/>
      <c r="Q4322" s="8"/>
      <c r="R4322" s="8"/>
      <c r="S4322" s="8"/>
      <c r="T4322" s="8"/>
      <c r="U4322" s="8"/>
      <c r="V4322" s="8"/>
      <c r="W4322" s="8"/>
      <c r="X4322" s="771"/>
      <c r="Y4322" s="771"/>
      <c r="Z4322" s="771"/>
      <c r="AA4322" s="771"/>
      <c r="AB4322" s="771"/>
      <c r="AC4322" s="771"/>
      <c r="AD4322" s="771"/>
      <c r="AE4322" s="771"/>
      <c r="AF4322" s="771"/>
      <c r="AG4322" s="771"/>
      <c r="AH4322" s="771"/>
      <c r="AI4322" s="771"/>
      <c r="AJ4322" s="771"/>
      <c r="AK4322" s="771"/>
      <c r="AL4322" s="771"/>
      <c r="AM4322" s="771"/>
      <c r="AN4322" s="771"/>
      <c r="AO4322" s="771"/>
      <c r="AP4322" s="771"/>
      <c r="AQ4322" s="771"/>
      <c r="AR4322" s="771"/>
      <c r="AS4322" s="771"/>
      <c r="AT4322" s="771"/>
      <c r="AU4322" s="771"/>
    </row>
    <row r="4323" spans="1:47" s="15" customFormat="1" x14ac:dyDescent="0.2">
      <c r="A4323" s="8"/>
      <c r="B4323" s="8"/>
      <c r="C4323" s="11"/>
      <c r="D4323" s="11"/>
      <c r="E4323" s="84"/>
      <c r="F4323" s="83"/>
      <c r="H4323" s="8"/>
      <c r="I4323" s="8"/>
      <c r="J4323" s="8"/>
      <c r="K4323" s="8"/>
      <c r="L4323" s="8"/>
      <c r="M4323" s="8"/>
      <c r="N4323" s="8"/>
      <c r="O4323" s="8"/>
      <c r="P4323" s="8"/>
      <c r="Q4323" s="8"/>
      <c r="R4323" s="8"/>
      <c r="S4323" s="8"/>
      <c r="T4323" s="8"/>
      <c r="U4323" s="8"/>
      <c r="V4323" s="8"/>
      <c r="W4323" s="8"/>
      <c r="X4323" s="771"/>
      <c r="Y4323" s="771"/>
      <c r="Z4323" s="771"/>
      <c r="AA4323" s="771"/>
      <c r="AB4323" s="771"/>
      <c r="AC4323" s="771"/>
      <c r="AD4323" s="771"/>
      <c r="AE4323" s="771"/>
      <c r="AF4323" s="771"/>
      <c r="AG4323" s="771"/>
      <c r="AH4323" s="771"/>
      <c r="AI4323" s="771"/>
      <c r="AJ4323" s="771"/>
      <c r="AK4323" s="771"/>
      <c r="AL4323" s="771"/>
      <c r="AM4323" s="771"/>
      <c r="AN4323" s="771"/>
      <c r="AO4323" s="771"/>
      <c r="AP4323" s="771"/>
      <c r="AQ4323" s="771"/>
      <c r="AR4323" s="771"/>
      <c r="AS4323" s="771"/>
      <c r="AT4323" s="771"/>
      <c r="AU4323" s="771"/>
    </row>
    <row r="4324" spans="1:47" s="15" customFormat="1" x14ac:dyDescent="0.2">
      <c r="A4324" s="8"/>
      <c r="B4324" s="8"/>
      <c r="C4324" s="11"/>
      <c r="D4324" s="11"/>
      <c r="E4324" s="84"/>
      <c r="F4324" s="83"/>
      <c r="H4324" s="8"/>
      <c r="I4324" s="8"/>
      <c r="J4324" s="8"/>
      <c r="K4324" s="8"/>
      <c r="L4324" s="8"/>
      <c r="M4324" s="8"/>
      <c r="N4324" s="8"/>
      <c r="O4324" s="8"/>
      <c r="P4324" s="8"/>
      <c r="Q4324" s="8"/>
      <c r="R4324" s="8"/>
      <c r="S4324" s="8"/>
      <c r="T4324" s="8"/>
      <c r="U4324" s="8"/>
      <c r="V4324" s="8"/>
      <c r="W4324" s="8"/>
      <c r="X4324" s="771"/>
      <c r="Y4324" s="771"/>
      <c r="Z4324" s="771"/>
      <c r="AA4324" s="771"/>
      <c r="AB4324" s="771"/>
      <c r="AC4324" s="771"/>
      <c r="AD4324" s="771"/>
      <c r="AE4324" s="771"/>
      <c r="AF4324" s="771"/>
      <c r="AG4324" s="771"/>
      <c r="AH4324" s="771"/>
      <c r="AI4324" s="771"/>
      <c r="AJ4324" s="771"/>
      <c r="AK4324" s="771"/>
      <c r="AL4324" s="771"/>
      <c r="AM4324" s="771"/>
      <c r="AN4324" s="771"/>
      <c r="AO4324" s="771"/>
      <c r="AP4324" s="771"/>
      <c r="AQ4324" s="771"/>
      <c r="AR4324" s="771"/>
      <c r="AS4324" s="771"/>
      <c r="AT4324" s="771"/>
      <c r="AU4324" s="771"/>
    </row>
    <row r="4325" spans="1:47" s="15" customFormat="1" x14ac:dyDescent="0.2">
      <c r="A4325" s="8"/>
      <c r="B4325" s="8"/>
      <c r="C4325" s="11"/>
      <c r="D4325" s="11"/>
      <c r="E4325" s="84"/>
      <c r="F4325" s="83"/>
      <c r="H4325" s="8"/>
      <c r="I4325" s="8"/>
      <c r="J4325" s="8"/>
      <c r="K4325" s="8"/>
      <c r="L4325" s="8"/>
      <c r="M4325" s="8"/>
      <c r="N4325" s="8"/>
      <c r="O4325" s="8"/>
      <c r="P4325" s="8"/>
      <c r="Q4325" s="8"/>
      <c r="R4325" s="8"/>
      <c r="S4325" s="8"/>
      <c r="T4325" s="8"/>
      <c r="U4325" s="8"/>
      <c r="V4325" s="8"/>
      <c r="W4325" s="8"/>
      <c r="X4325" s="771"/>
      <c r="Y4325" s="771"/>
      <c r="Z4325" s="771"/>
      <c r="AA4325" s="771"/>
      <c r="AB4325" s="771"/>
      <c r="AC4325" s="771"/>
      <c r="AD4325" s="771"/>
      <c r="AE4325" s="771"/>
      <c r="AF4325" s="771"/>
      <c r="AG4325" s="771"/>
      <c r="AH4325" s="771"/>
      <c r="AI4325" s="771"/>
      <c r="AJ4325" s="771"/>
      <c r="AK4325" s="771"/>
      <c r="AL4325" s="771"/>
      <c r="AM4325" s="771"/>
      <c r="AN4325" s="771"/>
      <c r="AO4325" s="771"/>
      <c r="AP4325" s="771"/>
      <c r="AQ4325" s="771"/>
      <c r="AR4325" s="771"/>
      <c r="AS4325" s="771"/>
      <c r="AT4325" s="771"/>
      <c r="AU4325" s="771"/>
    </row>
    <row r="4326" spans="1:47" s="15" customFormat="1" x14ac:dyDescent="0.2">
      <c r="A4326" s="8"/>
      <c r="B4326" s="8"/>
      <c r="C4326" s="11"/>
      <c r="D4326" s="11"/>
      <c r="E4326" s="84"/>
      <c r="F4326" s="83"/>
      <c r="H4326" s="8"/>
      <c r="I4326" s="8"/>
      <c r="J4326" s="8"/>
      <c r="K4326" s="8"/>
      <c r="L4326" s="8"/>
      <c r="M4326" s="8"/>
      <c r="N4326" s="8"/>
      <c r="O4326" s="8"/>
      <c r="P4326" s="8"/>
      <c r="Q4326" s="8"/>
      <c r="R4326" s="8"/>
      <c r="S4326" s="8"/>
      <c r="T4326" s="8"/>
      <c r="U4326" s="8"/>
      <c r="V4326" s="8"/>
      <c r="W4326" s="8"/>
      <c r="X4326" s="771"/>
      <c r="Y4326" s="771"/>
      <c r="Z4326" s="771"/>
      <c r="AA4326" s="771"/>
      <c r="AB4326" s="771"/>
      <c r="AC4326" s="771"/>
      <c r="AD4326" s="771"/>
      <c r="AE4326" s="771"/>
      <c r="AF4326" s="771"/>
      <c r="AG4326" s="771"/>
      <c r="AH4326" s="771"/>
      <c r="AI4326" s="771"/>
      <c r="AJ4326" s="771"/>
      <c r="AK4326" s="771"/>
      <c r="AL4326" s="771"/>
      <c r="AM4326" s="771"/>
      <c r="AN4326" s="771"/>
      <c r="AO4326" s="771"/>
      <c r="AP4326" s="771"/>
      <c r="AQ4326" s="771"/>
      <c r="AR4326" s="771"/>
      <c r="AS4326" s="771"/>
      <c r="AT4326" s="771"/>
      <c r="AU4326" s="771"/>
    </row>
    <row r="4327" spans="1:47" s="15" customFormat="1" x14ac:dyDescent="0.2">
      <c r="A4327" s="8"/>
      <c r="B4327" s="8"/>
      <c r="C4327" s="11"/>
      <c r="D4327" s="11"/>
      <c r="E4327" s="84"/>
      <c r="F4327" s="83"/>
      <c r="H4327" s="8"/>
      <c r="I4327" s="8"/>
      <c r="J4327" s="8"/>
      <c r="K4327" s="8"/>
      <c r="L4327" s="8"/>
      <c r="M4327" s="8"/>
      <c r="N4327" s="8"/>
      <c r="O4327" s="8"/>
      <c r="P4327" s="8"/>
      <c r="Q4327" s="8"/>
      <c r="R4327" s="8"/>
      <c r="S4327" s="8"/>
      <c r="T4327" s="8"/>
      <c r="U4327" s="8"/>
      <c r="V4327" s="8"/>
      <c r="W4327" s="8"/>
      <c r="X4327" s="771"/>
      <c r="Y4327" s="771"/>
      <c r="Z4327" s="771"/>
      <c r="AA4327" s="771"/>
      <c r="AB4327" s="771"/>
      <c r="AC4327" s="771"/>
      <c r="AD4327" s="771"/>
      <c r="AE4327" s="771"/>
      <c r="AF4327" s="771"/>
      <c r="AG4327" s="771"/>
      <c r="AH4327" s="771"/>
      <c r="AI4327" s="771"/>
      <c r="AJ4327" s="771"/>
      <c r="AK4327" s="771"/>
      <c r="AL4327" s="771"/>
      <c r="AM4327" s="771"/>
      <c r="AN4327" s="771"/>
      <c r="AO4327" s="771"/>
      <c r="AP4327" s="771"/>
      <c r="AQ4327" s="771"/>
      <c r="AR4327" s="771"/>
      <c r="AS4327" s="771"/>
      <c r="AT4327" s="771"/>
      <c r="AU4327" s="771"/>
    </row>
    <row r="4328" spans="1:47" s="15" customFormat="1" x14ac:dyDescent="0.2">
      <c r="A4328" s="8"/>
      <c r="B4328" s="8"/>
      <c r="C4328" s="11"/>
      <c r="D4328" s="11"/>
      <c r="E4328" s="84"/>
      <c r="F4328" s="83"/>
      <c r="H4328" s="8"/>
      <c r="I4328" s="8"/>
      <c r="J4328" s="8"/>
      <c r="K4328" s="8"/>
      <c r="L4328" s="8"/>
      <c r="M4328" s="8"/>
      <c r="N4328" s="8"/>
      <c r="O4328" s="8"/>
      <c r="P4328" s="8"/>
      <c r="Q4328" s="8"/>
      <c r="R4328" s="8"/>
      <c r="S4328" s="8"/>
      <c r="T4328" s="8"/>
      <c r="U4328" s="8"/>
      <c r="V4328" s="8"/>
      <c r="W4328" s="8"/>
      <c r="X4328" s="771"/>
      <c r="Y4328" s="771"/>
      <c r="Z4328" s="771"/>
      <c r="AA4328" s="771"/>
      <c r="AB4328" s="771"/>
      <c r="AC4328" s="771"/>
      <c r="AD4328" s="771"/>
      <c r="AE4328" s="771"/>
      <c r="AF4328" s="771"/>
      <c r="AG4328" s="771"/>
      <c r="AH4328" s="771"/>
      <c r="AI4328" s="771"/>
      <c r="AJ4328" s="771"/>
      <c r="AK4328" s="771"/>
      <c r="AL4328" s="771"/>
      <c r="AM4328" s="771"/>
      <c r="AN4328" s="771"/>
      <c r="AO4328" s="771"/>
      <c r="AP4328" s="771"/>
      <c r="AQ4328" s="771"/>
      <c r="AR4328" s="771"/>
      <c r="AS4328" s="771"/>
      <c r="AT4328" s="771"/>
      <c r="AU4328" s="771"/>
    </row>
    <row r="4329" spans="1:47" s="15" customFormat="1" x14ac:dyDescent="0.2">
      <c r="A4329" s="8"/>
      <c r="B4329" s="8"/>
      <c r="C4329" s="11"/>
      <c r="D4329" s="11"/>
      <c r="E4329" s="84"/>
      <c r="F4329" s="83"/>
      <c r="H4329" s="8"/>
      <c r="I4329" s="8"/>
      <c r="J4329" s="8"/>
      <c r="K4329" s="8"/>
      <c r="L4329" s="8"/>
      <c r="M4329" s="8"/>
      <c r="N4329" s="8"/>
      <c r="O4329" s="8"/>
      <c r="P4329" s="8"/>
      <c r="Q4329" s="8"/>
      <c r="R4329" s="8"/>
      <c r="S4329" s="8"/>
      <c r="T4329" s="8"/>
      <c r="U4329" s="8"/>
      <c r="V4329" s="8"/>
      <c r="W4329" s="8"/>
      <c r="X4329" s="771"/>
      <c r="Y4329" s="771"/>
      <c r="Z4329" s="771"/>
      <c r="AA4329" s="771"/>
      <c r="AB4329" s="771"/>
      <c r="AC4329" s="771"/>
      <c r="AD4329" s="771"/>
      <c r="AE4329" s="771"/>
      <c r="AF4329" s="771"/>
      <c r="AG4329" s="771"/>
      <c r="AH4329" s="771"/>
      <c r="AI4329" s="771"/>
      <c r="AJ4329" s="771"/>
      <c r="AK4329" s="771"/>
      <c r="AL4329" s="771"/>
      <c r="AM4329" s="771"/>
      <c r="AN4329" s="771"/>
      <c r="AO4329" s="771"/>
      <c r="AP4329" s="771"/>
      <c r="AQ4329" s="771"/>
      <c r="AR4329" s="771"/>
      <c r="AS4329" s="771"/>
      <c r="AT4329" s="771"/>
      <c r="AU4329" s="771"/>
    </row>
    <row r="4330" spans="1:47" s="15" customFormat="1" x14ac:dyDescent="0.2">
      <c r="A4330" s="8"/>
      <c r="B4330" s="8"/>
      <c r="C4330" s="11"/>
      <c r="D4330" s="11"/>
      <c r="E4330" s="84"/>
      <c r="F4330" s="83"/>
      <c r="H4330" s="8"/>
      <c r="I4330" s="8"/>
      <c r="J4330" s="8"/>
      <c r="K4330" s="8"/>
      <c r="L4330" s="8"/>
      <c r="M4330" s="8"/>
      <c r="N4330" s="8"/>
      <c r="O4330" s="8"/>
      <c r="P4330" s="8"/>
      <c r="Q4330" s="8"/>
      <c r="R4330" s="8"/>
      <c r="S4330" s="8"/>
      <c r="T4330" s="8"/>
      <c r="U4330" s="8"/>
      <c r="V4330" s="8"/>
      <c r="W4330" s="8"/>
      <c r="X4330" s="771"/>
      <c r="Y4330" s="771"/>
      <c r="Z4330" s="771"/>
      <c r="AA4330" s="771"/>
      <c r="AB4330" s="771"/>
      <c r="AC4330" s="771"/>
      <c r="AD4330" s="771"/>
      <c r="AE4330" s="771"/>
      <c r="AF4330" s="771"/>
      <c r="AG4330" s="771"/>
      <c r="AH4330" s="771"/>
      <c r="AI4330" s="771"/>
      <c r="AJ4330" s="771"/>
      <c r="AK4330" s="771"/>
      <c r="AL4330" s="771"/>
      <c r="AM4330" s="771"/>
      <c r="AN4330" s="771"/>
      <c r="AO4330" s="771"/>
      <c r="AP4330" s="771"/>
      <c r="AQ4330" s="771"/>
      <c r="AR4330" s="771"/>
      <c r="AS4330" s="771"/>
      <c r="AT4330" s="771"/>
      <c r="AU4330" s="771"/>
    </row>
    <row r="4331" spans="1:47" s="15" customFormat="1" x14ac:dyDescent="0.2">
      <c r="A4331" s="8"/>
      <c r="B4331" s="8"/>
      <c r="C4331" s="11"/>
      <c r="D4331" s="11"/>
      <c r="E4331" s="84"/>
      <c r="F4331" s="83"/>
      <c r="H4331" s="8"/>
      <c r="I4331" s="8"/>
      <c r="J4331" s="8"/>
      <c r="K4331" s="8"/>
      <c r="L4331" s="8"/>
      <c r="M4331" s="8"/>
      <c r="N4331" s="8"/>
      <c r="O4331" s="8"/>
      <c r="P4331" s="8"/>
      <c r="Q4331" s="8"/>
      <c r="R4331" s="8"/>
      <c r="S4331" s="8"/>
      <c r="T4331" s="8"/>
      <c r="U4331" s="8"/>
      <c r="V4331" s="8"/>
      <c r="W4331" s="8"/>
      <c r="X4331" s="771"/>
      <c r="Y4331" s="771"/>
      <c r="Z4331" s="771"/>
      <c r="AA4331" s="771"/>
      <c r="AB4331" s="771"/>
      <c r="AC4331" s="771"/>
      <c r="AD4331" s="771"/>
      <c r="AE4331" s="771"/>
      <c r="AF4331" s="771"/>
      <c r="AG4331" s="771"/>
      <c r="AH4331" s="771"/>
      <c r="AI4331" s="771"/>
      <c r="AJ4331" s="771"/>
      <c r="AK4331" s="771"/>
      <c r="AL4331" s="771"/>
      <c r="AM4331" s="771"/>
      <c r="AN4331" s="771"/>
      <c r="AO4331" s="771"/>
      <c r="AP4331" s="771"/>
      <c r="AQ4331" s="771"/>
      <c r="AR4331" s="771"/>
      <c r="AS4331" s="771"/>
      <c r="AT4331" s="771"/>
      <c r="AU4331" s="771"/>
    </row>
    <row r="4332" spans="1:47" s="15" customFormat="1" x14ac:dyDescent="0.2">
      <c r="A4332" s="8"/>
      <c r="B4332" s="8"/>
      <c r="C4332" s="11"/>
      <c r="D4332" s="11"/>
      <c r="E4332" s="84"/>
      <c r="F4332" s="83"/>
      <c r="H4332" s="8"/>
      <c r="I4332" s="8"/>
      <c r="J4332" s="8"/>
      <c r="K4332" s="8"/>
      <c r="L4332" s="8"/>
      <c r="M4332" s="8"/>
      <c r="N4332" s="8"/>
      <c r="O4332" s="8"/>
      <c r="P4332" s="8"/>
      <c r="Q4332" s="8"/>
      <c r="R4332" s="8"/>
      <c r="S4332" s="8"/>
      <c r="T4332" s="8"/>
      <c r="U4332" s="8"/>
      <c r="V4332" s="8"/>
      <c r="W4332" s="8"/>
      <c r="X4332" s="771"/>
      <c r="Y4332" s="771"/>
      <c r="Z4332" s="771"/>
      <c r="AA4332" s="771"/>
      <c r="AB4332" s="771"/>
      <c r="AC4332" s="771"/>
      <c r="AD4332" s="771"/>
      <c r="AE4332" s="771"/>
      <c r="AF4332" s="771"/>
      <c r="AG4332" s="771"/>
      <c r="AH4332" s="771"/>
      <c r="AI4332" s="771"/>
      <c r="AJ4332" s="771"/>
      <c r="AK4332" s="771"/>
      <c r="AL4332" s="771"/>
      <c r="AM4332" s="771"/>
      <c r="AN4332" s="771"/>
      <c r="AO4332" s="771"/>
      <c r="AP4332" s="771"/>
      <c r="AQ4332" s="771"/>
      <c r="AR4332" s="771"/>
      <c r="AS4332" s="771"/>
      <c r="AT4332" s="771"/>
      <c r="AU4332" s="771"/>
    </row>
    <row r="4333" spans="1:47" s="15" customFormat="1" x14ac:dyDescent="0.2">
      <c r="A4333" s="8"/>
      <c r="B4333" s="8"/>
      <c r="C4333" s="11"/>
      <c r="D4333" s="11"/>
      <c r="E4333" s="84"/>
      <c r="F4333" s="83"/>
      <c r="H4333" s="8"/>
      <c r="I4333" s="8"/>
      <c r="J4333" s="8"/>
      <c r="K4333" s="8"/>
      <c r="L4333" s="8"/>
      <c r="M4333" s="8"/>
      <c r="N4333" s="8"/>
      <c r="O4333" s="8"/>
      <c r="P4333" s="8"/>
      <c r="Q4333" s="8"/>
      <c r="R4333" s="8"/>
      <c r="S4333" s="8"/>
      <c r="T4333" s="8"/>
      <c r="U4333" s="8"/>
      <c r="V4333" s="8"/>
      <c r="W4333" s="8"/>
      <c r="X4333" s="771"/>
      <c r="Y4333" s="771"/>
      <c r="Z4333" s="771"/>
      <c r="AA4333" s="771"/>
      <c r="AB4333" s="771"/>
      <c r="AC4333" s="771"/>
      <c r="AD4333" s="771"/>
      <c r="AE4333" s="771"/>
      <c r="AF4333" s="771"/>
      <c r="AG4333" s="771"/>
      <c r="AH4333" s="771"/>
      <c r="AI4333" s="771"/>
      <c r="AJ4333" s="771"/>
      <c r="AK4333" s="771"/>
      <c r="AL4333" s="771"/>
      <c r="AM4333" s="771"/>
      <c r="AN4333" s="771"/>
      <c r="AO4333" s="771"/>
      <c r="AP4333" s="771"/>
      <c r="AQ4333" s="771"/>
      <c r="AR4333" s="771"/>
      <c r="AS4333" s="771"/>
      <c r="AT4333" s="771"/>
      <c r="AU4333" s="771"/>
    </row>
    <row r="4334" spans="1:47" s="15" customFormat="1" x14ac:dyDescent="0.2">
      <c r="A4334" s="8"/>
      <c r="B4334" s="8"/>
      <c r="C4334" s="11"/>
      <c r="D4334" s="11"/>
      <c r="E4334" s="84"/>
      <c r="F4334" s="83"/>
      <c r="H4334" s="8"/>
      <c r="I4334" s="8"/>
      <c r="J4334" s="8"/>
      <c r="K4334" s="8"/>
      <c r="L4334" s="8"/>
      <c r="M4334" s="8"/>
      <c r="N4334" s="8"/>
      <c r="O4334" s="8"/>
      <c r="P4334" s="8"/>
      <c r="Q4334" s="8"/>
      <c r="R4334" s="8"/>
      <c r="S4334" s="8"/>
      <c r="T4334" s="8"/>
      <c r="U4334" s="8"/>
      <c r="V4334" s="8"/>
      <c r="W4334" s="8"/>
      <c r="X4334" s="771"/>
      <c r="Y4334" s="771"/>
      <c r="Z4334" s="771"/>
      <c r="AA4334" s="771"/>
      <c r="AB4334" s="771"/>
      <c r="AC4334" s="771"/>
      <c r="AD4334" s="771"/>
      <c r="AE4334" s="771"/>
      <c r="AF4334" s="771"/>
      <c r="AG4334" s="771"/>
      <c r="AH4334" s="771"/>
      <c r="AI4334" s="771"/>
      <c r="AJ4334" s="771"/>
      <c r="AK4334" s="771"/>
      <c r="AL4334" s="771"/>
      <c r="AM4334" s="771"/>
      <c r="AN4334" s="771"/>
      <c r="AO4334" s="771"/>
      <c r="AP4334" s="771"/>
      <c r="AQ4334" s="771"/>
      <c r="AR4334" s="771"/>
      <c r="AS4334" s="771"/>
      <c r="AT4334" s="771"/>
      <c r="AU4334" s="771"/>
    </row>
    <row r="4335" spans="1:47" s="15" customFormat="1" x14ac:dyDescent="0.2">
      <c r="A4335" s="8"/>
      <c r="B4335" s="8"/>
      <c r="C4335" s="11"/>
      <c r="D4335" s="11"/>
      <c r="E4335" s="84"/>
      <c r="F4335" s="83"/>
      <c r="H4335" s="8"/>
      <c r="I4335" s="8"/>
      <c r="J4335" s="8"/>
      <c r="K4335" s="8"/>
      <c r="L4335" s="8"/>
      <c r="M4335" s="8"/>
      <c r="N4335" s="8"/>
      <c r="O4335" s="8"/>
      <c r="P4335" s="8"/>
      <c r="Q4335" s="8"/>
      <c r="R4335" s="8"/>
      <c r="S4335" s="8"/>
      <c r="T4335" s="8"/>
      <c r="U4335" s="8"/>
      <c r="V4335" s="8"/>
      <c r="W4335" s="8"/>
      <c r="X4335" s="771"/>
      <c r="Y4335" s="771"/>
      <c r="Z4335" s="771"/>
      <c r="AA4335" s="771"/>
      <c r="AB4335" s="771"/>
      <c r="AC4335" s="771"/>
      <c r="AD4335" s="771"/>
      <c r="AE4335" s="771"/>
      <c r="AF4335" s="771"/>
      <c r="AG4335" s="771"/>
      <c r="AH4335" s="771"/>
      <c r="AI4335" s="771"/>
      <c r="AJ4335" s="771"/>
      <c r="AK4335" s="771"/>
      <c r="AL4335" s="771"/>
      <c r="AM4335" s="771"/>
      <c r="AN4335" s="771"/>
      <c r="AO4335" s="771"/>
      <c r="AP4335" s="771"/>
      <c r="AQ4335" s="771"/>
      <c r="AR4335" s="771"/>
      <c r="AS4335" s="771"/>
      <c r="AT4335" s="771"/>
      <c r="AU4335" s="771"/>
    </row>
    <row r="4336" spans="1:47" s="15" customFormat="1" x14ac:dyDescent="0.2">
      <c r="A4336" s="8"/>
      <c r="B4336" s="8"/>
      <c r="C4336" s="11"/>
      <c r="D4336" s="11"/>
      <c r="E4336" s="84"/>
      <c r="F4336" s="83"/>
      <c r="H4336" s="8"/>
      <c r="I4336" s="8"/>
      <c r="J4336" s="8"/>
      <c r="K4336" s="8"/>
      <c r="L4336" s="8"/>
      <c r="M4336" s="8"/>
      <c r="N4336" s="8"/>
      <c r="O4336" s="8"/>
      <c r="P4336" s="8"/>
      <c r="Q4336" s="8"/>
      <c r="R4336" s="8"/>
      <c r="S4336" s="8"/>
      <c r="T4336" s="8"/>
      <c r="U4336" s="8"/>
      <c r="V4336" s="8"/>
      <c r="W4336" s="8"/>
      <c r="X4336" s="771"/>
      <c r="Y4336" s="771"/>
      <c r="Z4336" s="771"/>
      <c r="AA4336" s="771"/>
      <c r="AB4336" s="771"/>
      <c r="AC4336" s="771"/>
      <c r="AD4336" s="771"/>
      <c r="AE4336" s="771"/>
      <c r="AF4336" s="771"/>
      <c r="AG4336" s="771"/>
      <c r="AH4336" s="771"/>
      <c r="AI4336" s="771"/>
      <c r="AJ4336" s="771"/>
      <c r="AK4336" s="771"/>
      <c r="AL4336" s="771"/>
      <c r="AM4336" s="771"/>
      <c r="AN4336" s="771"/>
      <c r="AO4336" s="771"/>
      <c r="AP4336" s="771"/>
      <c r="AQ4336" s="771"/>
      <c r="AR4336" s="771"/>
      <c r="AS4336" s="771"/>
      <c r="AT4336" s="771"/>
      <c r="AU4336" s="771"/>
    </row>
    <row r="4337" spans="1:47" s="15" customFormat="1" x14ac:dyDescent="0.2">
      <c r="A4337" s="8"/>
      <c r="B4337" s="8"/>
      <c r="C4337" s="11"/>
      <c r="D4337" s="11"/>
      <c r="E4337" s="84"/>
      <c r="F4337" s="83"/>
      <c r="H4337" s="8"/>
      <c r="I4337" s="8"/>
      <c r="J4337" s="8"/>
      <c r="K4337" s="8"/>
      <c r="L4337" s="8"/>
      <c r="M4337" s="8"/>
      <c r="N4337" s="8"/>
      <c r="O4337" s="8"/>
      <c r="P4337" s="8"/>
      <c r="Q4337" s="8"/>
      <c r="R4337" s="8"/>
      <c r="S4337" s="8"/>
      <c r="T4337" s="8"/>
      <c r="U4337" s="8"/>
      <c r="V4337" s="8"/>
      <c r="W4337" s="8"/>
      <c r="X4337" s="771"/>
      <c r="Y4337" s="771"/>
      <c r="Z4337" s="771"/>
      <c r="AA4337" s="771"/>
      <c r="AB4337" s="771"/>
      <c r="AC4337" s="771"/>
      <c r="AD4337" s="771"/>
      <c r="AE4337" s="771"/>
      <c r="AF4337" s="771"/>
      <c r="AG4337" s="771"/>
      <c r="AH4337" s="771"/>
      <c r="AI4337" s="771"/>
      <c r="AJ4337" s="771"/>
      <c r="AK4337" s="771"/>
      <c r="AL4337" s="771"/>
      <c r="AM4337" s="771"/>
      <c r="AN4337" s="771"/>
      <c r="AO4337" s="771"/>
      <c r="AP4337" s="771"/>
      <c r="AQ4337" s="771"/>
      <c r="AR4337" s="771"/>
      <c r="AS4337" s="771"/>
      <c r="AT4337" s="771"/>
      <c r="AU4337" s="771"/>
    </row>
    <row r="4338" spans="1:47" s="15" customFormat="1" x14ac:dyDescent="0.2">
      <c r="A4338" s="8"/>
      <c r="B4338" s="8"/>
      <c r="C4338" s="11"/>
      <c r="D4338" s="11"/>
      <c r="E4338" s="84"/>
      <c r="F4338" s="83"/>
      <c r="H4338" s="8"/>
      <c r="I4338" s="8"/>
      <c r="J4338" s="8"/>
      <c r="K4338" s="8"/>
      <c r="L4338" s="8"/>
      <c r="M4338" s="8"/>
      <c r="N4338" s="8"/>
      <c r="O4338" s="8"/>
      <c r="P4338" s="8"/>
      <c r="Q4338" s="8"/>
      <c r="R4338" s="8"/>
      <c r="S4338" s="8"/>
      <c r="T4338" s="8"/>
      <c r="U4338" s="8"/>
      <c r="V4338" s="8"/>
      <c r="W4338" s="8"/>
      <c r="X4338" s="771"/>
      <c r="Y4338" s="771"/>
      <c r="Z4338" s="771"/>
      <c r="AA4338" s="771"/>
      <c r="AB4338" s="771"/>
      <c r="AC4338" s="771"/>
      <c r="AD4338" s="771"/>
      <c r="AE4338" s="771"/>
      <c r="AF4338" s="771"/>
      <c r="AG4338" s="771"/>
      <c r="AH4338" s="771"/>
      <c r="AI4338" s="771"/>
      <c r="AJ4338" s="771"/>
      <c r="AK4338" s="771"/>
      <c r="AL4338" s="771"/>
      <c r="AM4338" s="771"/>
      <c r="AN4338" s="771"/>
      <c r="AO4338" s="771"/>
      <c r="AP4338" s="771"/>
      <c r="AQ4338" s="771"/>
      <c r="AR4338" s="771"/>
      <c r="AS4338" s="771"/>
      <c r="AT4338" s="771"/>
      <c r="AU4338" s="771"/>
    </row>
    <row r="4339" spans="1:47" s="15" customFormat="1" x14ac:dyDescent="0.2">
      <c r="A4339" s="8"/>
      <c r="B4339" s="8"/>
      <c r="C4339" s="11"/>
      <c r="D4339" s="11"/>
      <c r="E4339" s="84"/>
      <c r="F4339" s="83"/>
      <c r="H4339" s="8"/>
      <c r="I4339" s="8"/>
      <c r="J4339" s="8"/>
      <c r="K4339" s="8"/>
      <c r="L4339" s="8"/>
      <c r="M4339" s="8"/>
      <c r="N4339" s="8"/>
      <c r="O4339" s="8"/>
      <c r="P4339" s="8"/>
      <c r="Q4339" s="8"/>
      <c r="R4339" s="8"/>
      <c r="S4339" s="8"/>
      <c r="T4339" s="8"/>
      <c r="U4339" s="8"/>
      <c r="V4339" s="8"/>
      <c r="W4339" s="8"/>
      <c r="X4339" s="771"/>
      <c r="Y4339" s="771"/>
      <c r="Z4339" s="771"/>
      <c r="AA4339" s="771"/>
      <c r="AB4339" s="771"/>
      <c r="AC4339" s="771"/>
      <c r="AD4339" s="771"/>
      <c r="AE4339" s="771"/>
      <c r="AF4339" s="771"/>
      <c r="AG4339" s="771"/>
      <c r="AH4339" s="771"/>
      <c r="AI4339" s="771"/>
      <c r="AJ4339" s="771"/>
      <c r="AK4339" s="771"/>
      <c r="AL4339" s="771"/>
      <c r="AM4339" s="771"/>
      <c r="AN4339" s="771"/>
      <c r="AO4339" s="771"/>
      <c r="AP4339" s="771"/>
      <c r="AQ4339" s="771"/>
      <c r="AR4339" s="771"/>
      <c r="AS4339" s="771"/>
      <c r="AT4339" s="771"/>
      <c r="AU4339" s="771"/>
    </row>
    <row r="4340" spans="1:47" s="15" customFormat="1" x14ac:dyDescent="0.2">
      <c r="A4340" s="8"/>
      <c r="B4340" s="8"/>
      <c r="C4340" s="11"/>
      <c r="D4340" s="11"/>
      <c r="E4340" s="84"/>
      <c r="F4340" s="83"/>
      <c r="H4340" s="8"/>
      <c r="I4340" s="8"/>
      <c r="J4340" s="8"/>
      <c r="K4340" s="8"/>
      <c r="L4340" s="8"/>
      <c r="M4340" s="8"/>
      <c r="N4340" s="8"/>
      <c r="O4340" s="8"/>
      <c r="P4340" s="8"/>
      <c r="Q4340" s="8"/>
      <c r="R4340" s="8"/>
      <c r="S4340" s="8"/>
      <c r="T4340" s="8"/>
      <c r="U4340" s="8"/>
      <c r="V4340" s="8"/>
      <c r="W4340" s="8"/>
      <c r="X4340" s="771"/>
      <c r="Y4340" s="771"/>
      <c r="Z4340" s="771"/>
      <c r="AA4340" s="771"/>
      <c r="AB4340" s="771"/>
      <c r="AC4340" s="771"/>
      <c r="AD4340" s="771"/>
      <c r="AE4340" s="771"/>
      <c r="AF4340" s="771"/>
      <c r="AG4340" s="771"/>
      <c r="AH4340" s="771"/>
      <c r="AI4340" s="771"/>
      <c r="AJ4340" s="771"/>
      <c r="AK4340" s="771"/>
      <c r="AL4340" s="771"/>
      <c r="AM4340" s="771"/>
      <c r="AN4340" s="771"/>
      <c r="AO4340" s="771"/>
      <c r="AP4340" s="771"/>
      <c r="AQ4340" s="771"/>
      <c r="AR4340" s="771"/>
      <c r="AS4340" s="771"/>
      <c r="AT4340" s="771"/>
      <c r="AU4340" s="771"/>
    </row>
    <row r="4341" spans="1:47" s="15" customFormat="1" x14ac:dyDescent="0.2">
      <c r="A4341" s="8"/>
      <c r="B4341" s="8"/>
      <c r="C4341" s="11"/>
      <c r="D4341" s="11"/>
      <c r="E4341" s="84"/>
      <c r="F4341" s="83"/>
      <c r="H4341" s="8"/>
      <c r="I4341" s="8"/>
      <c r="J4341" s="8"/>
      <c r="K4341" s="8"/>
      <c r="L4341" s="8"/>
      <c r="M4341" s="8"/>
      <c r="N4341" s="8"/>
      <c r="O4341" s="8"/>
      <c r="P4341" s="8"/>
      <c r="Q4341" s="8"/>
      <c r="R4341" s="8"/>
      <c r="S4341" s="8"/>
      <c r="T4341" s="8"/>
      <c r="U4341" s="8"/>
      <c r="V4341" s="8"/>
      <c r="W4341" s="8"/>
      <c r="X4341" s="771"/>
      <c r="Y4341" s="771"/>
      <c r="Z4341" s="771"/>
      <c r="AA4341" s="771"/>
      <c r="AB4341" s="771"/>
      <c r="AC4341" s="771"/>
      <c r="AD4341" s="771"/>
      <c r="AE4341" s="771"/>
      <c r="AF4341" s="771"/>
      <c r="AG4341" s="771"/>
      <c r="AH4341" s="771"/>
      <c r="AI4341" s="771"/>
      <c r="AJ4341" s="771"/>
      <c r="AK4341" s="771"/>
      <c r="AL4341" s="771"/>
      <c r="AM4341" s="771"/>
      <c r="AN4341" s="771"/>
      <c r="AO4341" s="771"/>
      <c r="AP4341" s="771"/>
      <c r="AQ4341" s="771"/>
      <c r="AR4341" s="771"/>
      <c r="AS4341" s="771"/>
      <c r="AT4341" s="771"/>
      <c r="AU4341" s="771"/>
    </row>
    <row r="4342" spans="1:47" s="15" customFormat="1" x14ac:dyDescent="0.2">
      <c r="A4342" s="8"/>
      <c r="B4342" s="8"/>
      <c r="C4342" s="11"/>
      <c r="D4342" s="11"/>
      <c r="E4342" s="84"/>
      <c r="F4342" s="83"/>
      <c r="H4342" s="8"/>
      <c r="I4342" s="8"/>
      <c r="J4342" s="8"/>
      <c r="K4342" s="8"/>
      <c r="L4342" s="8"/>
      <c r="M4342" s="8"/>
      <c r="N4342" s="8"/>
      <c r="O4342" s="8"/>
      <c r="P4342" s="8"/>
      <c r="Q4342" s="8"/>
      <c r="R4342" s="8"/>
      <c r="S4342" s="8"/>
      <c r="T4342" s="8"/>
      <c r="U4342" s="8"/>
      <c r="V4342" s="8"/>
      <c r="W4342" s="8"/>
      <c r="X4342" s="771"/>
      <c r="Y4342" s="771"/>
      <c r="Z4342" s="771"/>
      <c r="AA4342" s="771"/>
      <c r="AB4342" s="771"/>
      <c r="AC4342" s="771"/>
      <c r="AD4342" s="771"/>
      <c r="AE4342" s="771"/>
      <c r="AF4342" s="771"/>
      <c r="AG4342" s="771"/>
      <c r="AH4342" s="771"/>
      <c r="AI4342" s="771"/>
      <c r="AJ4342" s="771"/>
      <c r="AK4342" s="771"/>
      <c r="AL4342" s="771"/>
      <c r="AM4342" s="771"/>
      <c r="AN4342" s="771"/>
      <c r="AO4342" s="771"/>
      <c r="AP4342" s="771"/>
      <c r="AQ4342" s="771"/>
      <c r="AR4342" s="771"/>
      <c r="AS4342" s="771"/>
      <c r="AT4342" s="771"/>
      <c r="AU4342" s="771"/>
    </row>
    <row r="4343" spans="1:47" s="15" customFormat="1" x14ac:dyDescent="0.2">
      <c r="A4343" s="8"/>
      <c r="B4343" s="8"/>
      <c r="C4343" s="11"/>
      <c r="D4343" s="11"/>
      <c r="E4343" s="84"/>
      <c r="F4343" s="83"/>
      <c r="H4343" s="8"/>
      <c r="I4343" s="8"/>
      <c r="J4343" s="8"/>
      <c r="K4343" s="8"/>
      <c r="L4343" s="8"/>
      <c r="M4343" s="8"/>
      <c r="N4343" s="8"/>
      <c r="O4343" s="8"/>
      <c r="P4343" s="8"/>
      <c r="Q4343" s="8"/>
      <c r="R4343" s="8"/>
      <c r="S4343" s="8"/>
      <c r="T4343" s="8"/>
      <c r="U4343" s="8"/>
      <c r="V4343" s="8"/>
      <c r="W4343" s="8"/>
      <c r="X4343" s="771"/>
      <c r="Y4343" s="771"/>
      <c r="Z4343" s="771"/>
      <c r="AA4343" s="771"/>
      <c r="AB4343" s="771"/>
      <c r="AC4343" s="771"/>
      <c r="AD4343" s="771"/>
      <c r="AE4343" s="771"/>
      <c r="AF4343" s="771"/>
      <c r="AG4343" s="771"/>
      <c r="AH4343" s="771"/>
      <c r="AI4343" s="771"/>
      <c r="AJ4343" s="771"/>
      <c r="AK4343" s="771"/>
      <c r="AL4343" s="771"/>
      <c r="AM4343" s="771"/>
      <c r="AN4343" s="771"/>
      <c r="AO4343" s="771"/>
      <c r="AP4343" s="771"/>
      <c r="AQ4343" s="771"/>
      <c r="AR4343" s="771"/>
      <c r="AS4343" s="771"/>
      <c r="AT4343" s="771"/>
      <c r="AU4343" s="771"/>
    </row>
    <row r="4344" spans="1:47" s="15" customFormat="1" x14ac:dyDescent="0.2">
      <c r="A4344" s="8"/>
      <c r="B4344" s="8"/>
      <c r="C4344" s="11"/>
      <c r="D4344" s="11"/>
      <c r="E4344" s="84"/>
      <c r="F4344" s="83"/>
      <c r="H4344" s="8"/>
      <c r="I4344" s="8"/>
      <c r="J4344" s="8"/>
      <c r="K4344" s="8"/>
      <c r="L4344" s="8"/>
      <c r="M4344" s="8"/>
      <c r="N4344" s="8"/>
      <c r="O4344" s="8"/>
      <c r="P4344" s="8"/>
      <c r="Q4344" s="8"/>
      <c r="R4344" s="8"/>
      <c r="S4344" s="8"/>
      <c r="T4344" s="8"/>
      <c r="U4344" s="8"/>
      <c r="V4344" s="8"/>
      <c r="W4344" s="8"/>
      <c r="X4344" s="771"/>
      <c r="Y4344" s="771"/>
      <c r="Z4344" s="771"/>
      <c r="AA4344" s="771"/>
      <c r="AB4344" s="771"/>
      <c r="AC4344" s="771"/>
      <c r="AD4344" s="771"/>
      <c r="AE4344" s="771"/>
      <c r="AF4344" s="771"/>
      <c r="AG4344" s="771"/>
      <c r="AH4344" s="771"/>
      <c r="AI4344" s="771"/>
      <c r="AJ4344" s="771"/>
      <c r="AK4344" s="771"/>
      <c r="AL4344" s="771"/>
      <c r="AM4344" s="771"/>
      <c r="AN4344" s="771"/>
      <c r="AO4344" s="771"/>
      <c r="AP4344" s="771"/>
      <c r="AQ4344" s="771"/>
      <c r="AR4344" s="771"/>
      <c r="AS4344" s="771"/>
      <c r="AT4344" s="771"/>
      <c r="AU4344" s="771"/>
    </row>
    <row r="4345" spans="1:47" s="15" customFormat="1" x14ac:dyDescent="0.2">
      <c r="A4345" s="8"/>
      <c r="B4345" s="8"/>
      <c r="C4345" s="11"/>
      <c r="D4345" s="11"/>
      <c r="E4345" s="84"/>
      <c r="F4345" s="83"/>
      <c r="H4345" s="8"/>
      <c r="I4345" s="8"/>
      <c r="J4345" s="8"/>
      <c r="K4345" s="8"/>
      <c r="L4345" s="8"/>
      <c r="M4345" s="8"/>
      <c r="N4345" s="8"/>
      <c r="O4345" s="8"/>
      <c r="P4345" s="8"/>
      <c r="Q4345" s="8"/>
      <c r="R4345" s="8"/>
      <c r="S4345" s="8"/>
      <c r="T4345" s="8"/>
      <c r="U4345" s="8"/>
      <c r="V4345" s="8"/>
      <c r="W4345" s="8"/>
      <c r="X4345" s="771"/>
      <c r="Y4345" s="771"/>
      <c r="Z4345" s="771"/>
      <c r="AA4345" s="771"/>
      <c r="AB4345" s="771"/>
      <c r="AC4345" s="771"/>
      <c r="AD4345" s="771"/>
      <c r="AE4345" s="771"/>
      <c r="AF4345" s="771"/>
      <c r="AG4345" s="771"/>
      <c r="AH4345" s="771"/>
      <c r="AI4345" s="771"/>
      <c r="AJ4345" s="771"/>
      <c r="AK4345" s="771"/>
      <c r="AL4345" s="771"/>
      <c r="AM4345" s="771"/>
      <c r="AN4345" s="771"/>
      <c r="AO4345" s="771"/>
      <c r="AP4345" s="771"/>
      <c r="AQ4345" s="771"/>
      <c r="AR4345" s="771"/>
      <c r="AS4345" s="771"/>
      <c r="AT4345" s="771"/>
      <c r="AU4345" s="771"/>
    </row>
    <row r="4346" spans="1:47" s="15" customFormat="1" x14ac:dyDescent="0.2">
      <c r="A4346" s="8"/>
      <c r="B4346" s="8"/>
      <c r="C4346" s="11"/>
      <c r="D4346" s="11"/>
      <c r="E4346" s="84"/>
      <c r="F4346" s="83"/>
      <c r="H4346" s="8"/>
      <c r="I4346" s="8"/>
      <c r="J4346" s="8"/>
      <c r="K4346" s="8"/>
      <c r="L4346" s="8"/>
      <c r="M4346" s="8"/>
      <c r="N4346" s="8"/>
      <c r="O4346" s="8"/>
      <c r="P4346" s="8"/>
      <c r="Q4346" s="8"/>
      <c r="R4346" s="8"/>
      <c r="S4346" s="8"/>
      <c r="T4346" s="8"/>
      <c r="U4346" s="8"/>
      <c r="V4346" s="8"/>
      <c r="W4346" s="8"/>
      <c r="X4346" s="771"/>
      <c r="Y4346" s="771"/>
      <c r="Z4346" s="771"/>
      <c r="AA4346" s="771"/>
      <c r="AB4346" s="771"/>
      <c r="AC4346" s="771"/>
      <c r="AD4346" s="771"/>
      <c r="AE4346" s="771"/>
      <c r="AF4346" s="771"/>
      <c r="AG4346" s="771"/>
      <c r="AH4346" s="771"/>
      <c r="AI4346" s="771"/>
      <c r="AJ4346" s="771"/>
      <c r="AK4346" s="771"/>
      <c r="AL4346" s="771"/>
      <c r="AM4346" s="771"/>
      <c r="AN4346" s="771"/>
      <c r="AO4346" s="771"/>
      <c r="AP4346" s="771"/>
      <c r="AQ4346" s="771"/>
      <c r="AR4346" s="771"/>
      <c r="AS4346" s="771"/>
      <c r="AT4346" s="771"/>
      <c r="AU4346" s="771"/>
    </row>
    <row r="4347" spans="1:47" s="15" customFormat="1" x14ac:dyDescent="0.2">
      <c r="A4347" s="8"/>
      <c r="B4347" s="8"/>
      <c r="C4347" s="11"/>
      <c r="D4347" s="11"/>
      <c r="E4347" s="84"/>
      <c r="F4347" s="83"/>
      <c r="H4347" s="8"/>
      <c r="I4347" s="8"/>
      <c r="J4347" s="8"/>
      <c r="K4347" s="8"/>
      <c r="L4347" s="8"/>
      <c r="M4347" s="8"/>
      <c r="N4347" s="8"/>
      <c r="O4347" s="8"/>
      <c r="P4347" s="8"/>
      <c r="Q4347" s="8"/>
      <c r="R4347" s="8"/>
      <c r="S4347" s="8"/>
      <c r="T4347" s="8"/>
      <c r="U4347" s="8"/>
      <c r="V4347" s="8"/>
      <c r="W4347" s="8"/>
      <c r="X4347" s="771"/>
      <c r="Y4347" s="771"/>
      <c r="Z4347" s="771"/>
      <c r="AA4347" s="771"/>
      <c r="AB4347" s="771"/>
      <c r="AC4347" s="771"/>
      <c r="AD4347" s="771"/>
      <c r="AE4347" s="771"/>
      <c r="AF4347" s="771"/>
      <c r="AG4347" s="771"/>
      <c r="AH4347" s="771"/>
      <c r="AI4347" s="771"/>
      <c r="AJ4347" s="771"/>
      <c r="AK4347" s="771"/>
      <c r="AL4347" s="771"/>
      <c r="AM4347" s="771"/>
      <c r="AN4347" s="771"/>
      <c r="AO4347" s="771"/>
      <c r="AP4347" s="771"/>
      <c r="AQ4347" s="771"/>
      <c r="AR4347" s="771"/>
      <c r="AS4347" s="771"/>
      <c r="AT4347" s="771"/>
      <c r="AU4347" s="771"/>
    </row>
    <row r="4348" spans="1:47" s="15" customFormat="1" x14ac:dyDescent="0.2">
      <c r="A4348" s="8"/>
      <c r="B4348" s="8"/>
      <c r="C4348" s="11"/>
      <c r="D4348" s="11"/>
      <c r="E4348" s="84"/>
      <c r="F4348" s="83"/>
      <c r="H4348" s="8"/>
      <c r="I4348" s="8"/>
      <c r="J4348" s="8"/>
      <c r="K4348" s="8"/>
      <c r="L4348" s="8"/>
      <c r="M4348" s="8"/>
      <c r="N4348" s="8"/>
      <c r="O4348" s="8"/>
      <c r="P4348" s="8"/>
      <c r="Q4348" s="8"/>
      <c r="R4348" s="8"/>
      <c r="S4348" s="8"/>
      <c r="T4348" s="8"/>
      <c r="U4348" s="8"/>
      <c r="V4348" s="8"/>
      <c r="W4348" s="8"/>
      <c r="X4348" s="771"/>
      <c r="Y4348" s="771"/>
      <c r="Z4348" s="771"/>
      <c r="AA4348" s="771"/>
      <c r="AB4348" s="771"/>
      <c r="AC4348" s="771"/>
      <c r="AD4348" s="771"/>
      <c r="AE4348" s="771"/>
      <c r="AF4348" s="771"/>
      <c r="AG4348" s="771"/>
      <c r="AH4348" s="771"/>
      <c r="AI4348" s="771"/>
      <c r="AJ4348" s="771"/>
      <c r="AK4348" s="771"/>
      <c r="AL4348" s="771"/>
      <c r="AM4348" s="771"/>
      <c r="AN4348" s="771"/>
      <c r="AO4348" s="771"/>
      <c r="AP4348" s="771"/>
      <c r="AQ4348" s="771"/>
      <c r="AR4348" s="771"/>
      <c r="AS4348" s="771"/>
      <c r="AT4348" s="771"/>
      <c r="AU4348" s="771"/>
    </row>
    <row r="4349" spans="1:47" s="15" customFormat="1" x14ac:dyDescent="0.2">
      <c r="A4349" s="8"/>
      <c r="B4349" s="8"/>
      <c r="C4349" s="11"/>
      <c r="D4349" s="11"/>
      <c r="E4349" s="84"/>
      <c r="F4349" s="83"/>
      <c r="H4349" s="8"/>
      <c r="I4349" s="8"/>
      <c r="J4349" s="8"/>
      <c r="K4349" s="8"/>
      <c r="L4349" s="8"/>
      <c r="M4349" s="8"/>
      <c r="N4349" s="8"/>
      <c r="O4349" s="8"/>
      <c r="P4349" s="8"/>
      <c r="Q4349" s="8"/>
      <c r="R4349" s="8"/>
      <c r="S4349" s="8"/>
      <c r="T4349" s="8"/>
      <c r="U4349" s="8"/>
      <c r="V4349" s="8"/>
      <c r="W4349" s="8"/>
      <c r="X4349" s="771"/>
      <c r="Y4349" s="771"/>
      <c r="Z4349" s="771"/>
      <c r="AA4349" s="771"/>
      <c r="AB4349" s="771"/>
      <c r="AC4349" s="771"/>
      <c r="AD4349" s="771"/>
      <c r="AE4349" s="771"/>
      <c r="AF4349" s="771"/>
      <c r="AG4349" s="771"/>
      <c r="AH4349" s="771"/>
      <c r="AI4349" s="771"/>
      <c r="AJ4349" s="771"/>
      <c r="AK4349" s="771"/>
      <c r="AL4349" s="771"/>
      <c r="AM4349" s="771"/>
      <c r="AN4349" s="771"/>
      <c r="AO4349" s="771"/>
      <c r="AP4349" s="771"/>
      <c r="AQ4349" s="771"/>
      <c r="AR4349" s="771"/>
      <c r="AS4349" s="771"/>
      <c r="AT4349" s="771"/>
      <c r="AU4349" s="771"/>
    </row>
    <row r="4350" spans="1:47" s="15" customFormat="1" x14ac:dyDescent="0.2">
      <c r="A4350" s="8"/>
      <c r="B4350" s="8"/>
      <c r="C4350" s="11"/>
      <c r="D4350" s="11"/>
      <c r="E4350" s="84"/>
      <c r="F4350" s="83"/>
      <c r="H4350" s="8"/>
      <c r="I4350" s="8"/>
      <c r="J4350" s="8"/>
      <c r="K4350" s="8"/>
      <c r="L4350" s="8"/>
      <c r="M4350" s="8"/>
      <c r="N4350" s="8"/>
      <c r="O4350" s="8"/>
      <c r="P4350" s="8"/>
      <c r="Q4350" s="8"/>
      <c r="R4350" s="8"/>
      <c r="S4350" s="8"/>
      <c r="T4350" s="8"/>
      <c r="U4350" s="8"/>
      <c r="V4350" s="8"/>
      <c r="W4350" s="8"/>
      <c r="X4350" s="771"/>
      <c r="Y4350" s="771"/>
      <c r="Z4350" s="771"/>
      <c r="AA4350" s="771"/>
      <c r="AB4350" s="771"/>
      <c r="AC4350" s="771"/>
      <c r="AD4350" s="771"/>
      <c r="AE4350" s="771"/>
      <c r="AF4350" s="771"/>
      <c r="AG4350" s="771"/>
      <c r="AH4350" s="771"/>
      <c r="AI4350" s="771"/>
      <c r="AJ4350" s="771"/>
      <c r="AK4350" s="771"/>
      <c r="AL4350" s="771"/>
      <c r="AM4350" s="771"/>
      <c r="AN4350" s="771"/>
      <c r="AO4350" s="771"/>
      <c r="AP4350" s="771"/>
      <c r="AQ4350" s="771"/>
      <c r="AR4350" s="771"/>
      <c r="AS4350" s="771"/>
      <c r="AT4350" s="771"/>
      <c r="AU4350" s="771"/>
    </row>
    <row r="4351" spans="1:47" s="15" customFormat="1" x14ac:dyDescent="0.2">
      <c r="A4351" s="8"/>
      <c r="B4351" s="8"/>
      <c r="C4351" s="11"/>
      <c r="D4351" s="11"/>
      <c r="E4351" s="84"/>
      <c r="F4351" s="83"/>
      <c r="H4351" s="8"/>
      <c r="I4351" s="8"/>
      <c r="J4351" s="8"/>
      <c r="K4351" s="8"/>
      <c r="L4351" s="8"/>
      <c r="M4351" s="8"/>
      <c r="N4351" s="8"/>
      <c r="O4351" s="8"/>
      <c r="P4351" s="8"/>
      <c r="Q4351" s="8"/>
      <c r="R4351" s="8"/>
      <c r="S4351" s="8"/>
      <c r="T4351" s="8"/>
      <c r="U4351" s="8"/>
      <c r="V4351" s="8"/>
      <c r="W4351" s="8"/>
      <c r="X4351" s="771"/>
      <c r="Y4351" s="771"/>
      <c r="Z4351" s="771"/>
      <c r="AA4351" s="771"/>
      <c r="AB4351" s="771"/>
      <c r="AC4351" s="771"/>
      <c r="AD4351" s="771"/>
      <c r="AE4351" s="771"/>
      <c r="AF4351" s="771"/>
      <c r="AG4351" s="771"/>
      <c r="AH4351" s="771"/>
      <c r="AI4351" s="771"/>
      <c r="AJ4351" s="771"/>
      <c r="AK4351" s="771"/>
      <c r="AL4351" s="771"/>
      <c r="AM4351" s="771"/>
      <c r="AN4351" s="771"/>
      <c r="AO4351" s="771"/>
      <c r="AP4351" s="771"/>
      <c r="AQ4351" s="771"/>
      <c r="AR4351" s="771"/>
      <c r="AS4351" s="771"/>
      <c r="AT4351" s="771"/>
      <c r="AU4351" s="771"/>
    </row>
    <row r="4352" spans="1:47" s="15" customFormat="1" x14ac:dyDescent="0.2">
      <c r="A4352" s="8"/>
      <c r="B4352" s="8"/>
      <c r="C4352" s="11"/>
      <c r="D4352" s="11"/>
      <c r="E4352" s="84"/>
      <c r="F4352" s="83"/>
      <c r="H4352" s="8"/>
      <c r="I4352" s="8"/>
      <c r="J4352" s="8"/>
      <c r="K4352" s="8"/>
      <c r="L4352" s="8"/>
      <c r="M4352" s="8"/>
      <c r="N4352" s="8"/>
      <c r="O4352" s="8"/>
      <c r="P4352" s="8"/>
      <c r="Q4352" s="8"/>
      <c r="R4352" s="8"/>
      <c r="S4352" s="8"/>
      <c r="T4352" s="8"/>
      <c r="U4352" s="8"/>
      <c r="V4352" s="8"/>
      <c r="W4352" s="8"/>
      <c r="X4352" s="771"/>
      <c r="Y4352" s="771"/>
      <c r="Z4352" s="771"/>
      <c r="AA4352" s="771"/>
      <c r="AB4352" s="771"/>
      <c r="AC4352" s="771"/>
      <c r="AD4352" s="771"/>
      <c r="AE4352" s="771"/>
      <c r="AF4352" s="771"/>
      <c r="AG4352" s="771"/>
      <c r="AH4352" s="771"/>
      <c r="AI4352" s="771"/>
      <c r="AJ4352" s="771"/>
      <c r="AK4352" s="771"/>
      <c r="AL4352" s="771"/>
      <c r="AM4352" s="771"/>
      <c r="AN4352" s="771"/>
      <c r="AO4352" s="771"/>
      <c r="AP4352" s="771"/>
      <c r="AQ4352" s="771"/>
      <c r="AR4352" s="771"/>
      <c r="AS4352" s="771"/>
      <c r="AT4352" s="771"/>
      <c r="AU4352" s="771"/>
    </row>
    <row r="4353" spans="1:47" s="15" customFormat="1" x14ac:dyDescent="0.2">
      <c r="A4353" s="8"/>
      <c r="B4353" s="8"/>
      <c r="C4353" s="11"/>
      <c r="D4353" s="11"/>
      <c r="E4353" s="84"/>
      <c r="F4353" s="83"/>
      <c r="H4353" s="8"/>
      <c r="I4353" s="8"/>
      <c r="J4353" s="8"/>
      <c r="K4353" s="8"/>
      <c r="L4353" s="8"/>
      <c r="M4353" s="8"/>
      <c r="N4353" s="8"/>
      <c r="O4353" s="8"/>
      <c r="P4353" s="8"/>
      <c r="Q4353" s="8"/>
      <c r="R4353" s="8"/>
      <c r="S4353" s="8"/>
      <c r="T4353" s="8"/>
      <c r="U4353" s="8"/>
      <c r="V4353" s="8"/>
      <c r="W4353" s="8"/>
      <c r="X4353" s="771"/>
      <c r="Y4353" s="771"/>
      <c r="Z4353" s="771"/>
      <c r="AA4353" s="771"/>
      <c r="AB4353" s="771"/>
      <c r="AC4353" s="771"/>
      <c r="AD4353" s="771"/>
      <c r="AE4353" s="771"/>
      <c r="AF4353" s="771"/>
      <c r="AG4353" s="771"/>
      <c r="AH4353" s="771"/>
      <c r="AI4353" s="771"/>
      <c r="AJ4353" s="771"/>
      <c r="AK4353" s="771"/>
      <c r="AL4353" s="771"/>
      <c r="AM4353" s="771"/>
      <c r="AN4353" s="771"/>
      <c r="AO4353" s="771"/>
      <c r="AP4353" s="771"/>
      <c r="AQ4353" s="771"/>
      <c r="AR4353" s="771"/>
      <c r="AS4353" s="771"/>
      <c r="AT4353" s="771"/>
      <c r="AU4353" s="771"/>
    </row>
    <row r="4354" spans="1:47" s="15" customFormat="1" x14ac:dyDescent="0.2">
      <c r="A4354" s="8"/>
      <c r="B4354" s="8"/>
      <c r="C4354" s="11"/>
      <c r="D4354" s="11"/>
      <c r="E4354" s="84"/>
      <c r="F4354" s="83"/>
      <c r="H4354" s="8"/>
      <c r="I4354" s="8"/>
      <c r="J4354" s="8"/>
      <c r="K4354" s="8"/>
      <c r="L4354" s="8"/>
      <c r="M4354" s="8"/>
      <c r="N4354" s="8"/>
      <c r="O4354" s="8"/>
      <c r="P4354" s="8"/>
      <c r="Q4354" s="8"/>
      <c r="R4354" s="8"/>
      <c r="S4354" s="8"/>
      <c r="T4354" s="8"/>
      <c r="U4354" s="8"/>
      <c r="V4354" s="8"/>
      <c r="W4354" s="8"/>
      <c r="X4354" s="771"/>
      <c r="Y4354" s="771"/>
      <c r="Z4354" s="771"/>
      <c r="AA4354" s="771"/>
      <c r="AB4354" s="771"/>
      <c r="AC4354" s="771"/>
      <c r="AD4354" s="771"/>
      <c r="AE4354" s="771"/>
      <c r="AF4354" s="771"/>
      <c r="AG4354" s="771"/>
      <c r="AH4354" s="771"/>
      <c r="AI4354" s="771"/>
      <c r="AJ4354" s="771"/>
      <c r="AK4354" s="771"/>
      <c r="AL4354" s="771"/>
      <c r="AM4354" s="771"/>
      <c r="AN4354" s="771"/>
      <c r="AO4354" s="771"/>
      <c r="AP4354" s="771"/>
      <c r="AQ4354" s="771"/>
      <c r="AR4354" s="771"/>
      <c r="AS4354" s="771"/>
      <c r="AT4354" s="771"/>
      <c r="AU4354" s="771"/>
    </row>
    <row r="4355" spans="1:47" s="15" customFormat="1" x14ac:dyDescent="0.2">
      <c r="A4355" s="8"/>
      <c r="B4355" s="8"/>
      <c r="C4355" s="11"/>
      <c r="D4355" s="11"/>
      <c r="E4355" s="84"/>
      <c r="F4355" s="83"/>
      <c r="H4355" s="8"/>
      <c r="I4355" s="8"/>
      <c r="J4355" s="8"/>
      <c r="K4355" s="8"/>
      <c r="L4355" s="8"/>
      <c r="M4355" s="8"/>
      <c r="N4355" s="8"/>
      <c r="O4355" s="8"/>
      <c r="P4355" s="8"/>
      <c r="Q4355" s="8"/>
      <c r="R4355" s="8"/>
      <c r="S4355" s="8"/>
      <c r="T4355" s="8"/>
      <c r="U4355" s="8"/>
      <c r="V4355" s="8"/>
      <c r="W4355" s="8"/>
      <c r="X4355" s="771"/>
      <c r="Y4355" s="771"/>
      <c r="Z4355" s="771"/>
      <c r="AA4355" s="771"/>
      <c r="AB4355" s="771"/>
      <c r="AC4355" s="771"/>
      <c r="AD4355" s="771"/>
      <c r="AE4355" s="771"/>
      <c r="AF4355" s="771"/>
      <c r="AG4355" s="771"/>
      <c r="AH4355" s="771"/>
      <c r="AI4355" s="771"/>
      <c r="AJ4355" s="771"/>
      <c r="AK4355" s="771"/>
      <c r="AL4355" s="771"/>
      <c r="AM4355" s="771"/>
      <c r="AN4355" s="771"/>
      <c r="AO4355" s="771"/>
      <c r="AP4355" s="771"/>
      <c r="AQ4355" s="771"/>
      <c r="AR4355" s="771"/>
      <c r="AS4355" s="771"/>
      <c r="AT4355" s="771"/>
      <c r="AU4355" s="771"/>
    </row>
    <row r="4356" spans="1:47" s="15" customFormat="1" x14ac:dyDescent="0.2">
      <c r="A4356" s="8"/>
      <c r="B4356" s="8"/>
      <c r="C4356" s="11"/>
      <c r="D4356" s="11"/>
      <c r="E4356" s="84"/>
      <c r="F4356" s="83"/>
      <c r="H4356" s="8"/>
      <c r="I4356" s="8"/>
      <c r="J4356" s="8"/>
      <c r="K4356" s="8"/>
      <c r="L4356" s="8"/>
      <c r="M4356" s="8"/>
      <c r="N4356" s="8"/>
      <c r="O4356" s="8"/>
      <c r="P4356" s="8"/>
      <c r="Q4356" s="8"/>
      <c r="R4356" s="8"/>
      <c r="S4356" s="8"/>
      <c r="T4356" s="8"/>
      <c r="U4356" s="8"/>
      <c r="V4356" s="8"/>
      <c r="W4356" s="8"/>
      <c r="X4356" s="771"/>
      <c r="Y4356" s="771"/>
      <c r="Z4356" s="771"/>
      <c r="AA4356" s="771"/>
      <c r="AB4356" s="771"/>
      <c r="AC4356" s="771"/>
      <c r="AD4356" s="771"/>
      <c r="AE4356" s="771"/>
      <c r="AF4356" s="771"/>
      <c r="AG4356" s="771"/>
      <c r="AH4356" s="771"/>
      <c r="AI4356" s="771"/>
      <c r="AJ4356" s="771"/>
      <c r="AK4356" s="771"/>
      <c r="AL4356" s="771"/>
      <c r="AM4356" s="771"/>
      <c r="AN4356" s="771"/>
      <c r="AO4356" s="771"/>
      <c r="AP4356" s="771"/>
      <c r="AQ4356" s="771"/>
      <c r="AR4356" s="771"/>
      <c r="AS4356" s="771"/>
      <c r="AT4356" s="771"/>
      <c r="AU4356" s="771"/>
    </row>
    <row r="4357" spans="1:47" s="15" customFormat="1" x14ac:dyDescent="0.2">
      <c r="A4357" s="8"/>
      <c r="B4357" s="8"/>
      <c r="C4357" s="11"/>
      <c r="D4357" s="11"/>
      <c r="E4357" s="84"/>
      <c r="F4357" s="83"/>
      <c r="H4357" s="8"/>
      <c r="I4357" s="8"/>
      <c r="J4357" s="8"/>
      <c r="K4357" s="8"/>
      <c r="L4357" s="8"/>
      <c r="M4357" s="8"/>
      <c r="N4357" s="8"/>
      <c r="O4357" s="8"/>
      <c r="P4357" s="8"/>
      <c r="Q4357" s="8"/>
      <c r="R4357" s="8"/>
      <c r="S4357" s="8"/>
      <c r="T4357" s="8"/>
      <c r="U4357" s="8"/>
      <c r="V4357" s="8"/>
      <c r="W4357" s="8"/>
      <c r="X4357" s="771"/>
      <c r="Y4357" s="771"/>
      <c r="Z4357" s="771"/>
      <c r="AA4357" s="771"/>
      <c r="AB4357" s="771"/>
      <c r="AC4357" s="771"/>
      <c r="AD4357" s="771"/>
      <c r="AE4357" s="771"/>
      <c r="AF4357" s="771"/>
      <c r="AG4357" s="771"/>
      <c r="AH4357" s="771"/>
      <c r="AI4357" s="771"/>
      <c r="AJ4357" s="771"/>
      <c r="AK4357" s="771"/>
      <c r="AL4357" s="771"/>
      <c r="AM4357" s="771"/>
      <c r="AN4357" s="771"/>
      <c r="AO4357" s="771"/>
      <c r="AP4357" s="771"/>
      <c r="AQ4357" s="771"/>
      <c r="AR4357" s="771"/>
      <c r="AS4357" s="771"/>
      <c r="AT4357" s="771"/>
      <c r="AU4357" s="771"/>
    </row>
    <row r="4358" spans="1:47" s="15" customFormat="1" x14ac:dyDescent="0.2">
      <c r="A4358" s="8"/>
      <c r="B4358" s="8"/>
      <c r="C4358" s="11"/>
      <c r="D4358" s="11"/>
      <c r="E4358" s="84"/>
      <c r="F4358" s="83"/>
      <c r="H4358" s="8"/>
      <c r="I4358" s="8"/>
      <c r="J4358" s="8"/>
      <c r="K4358" s="8"/>
      <c r="L4358" s="8"/>
      <c r="M4358" s="8"/>
      <c r="N4358" s="8"/>
      <c r="O4358" s="8"/>
      <c r="P4358" s="8"/>
      <c r="Q4358" s="8"/>
      <c r="R4358" s="8"/>
      <c r="S4358" s="8"/>
      <c r="T4358" s="8"/>
      <c r="U4358" s="8"/>
      <c r="V4358" s="8"/>
      <c r="W4358" s="8"/>
      <c r="X4358" s="771"/>
      <c r="Y4358" s="771"/>
      <c r="Z4358" s="771"/>
      <c r="AA4358" s="771"/>
      <c r="AB4358" s="771"/>
      <c r="AC4358" s="771"/>
      <c r="AD4358" s="771"/>
      <c r="AE4358" s="771"/>
      <c r="AF4358" s="771"/>
      <c r="AG4358" s="771"/>
      <c r="AH4358" s="771"/>
      <c r="AI4358" s="771"/>
      <c r="AJ4358" s="771"/>
      <c r="AK4358" s="771"/>
      <c r="AL4358" s="771"/>
      <c r="AM4358" s="771"/>
      <c r="AN4358" s="771"/>
      <c r="AO4358" s="771"/>
      <c r="AP4358" s="771"/>
      <c r="AQ4358" s="771"/>
      <c r="AR4358" s="771"/>
      <c r="AS4358" s="771"/>
      <c r="AT4358" s="771"/>
      <c r="AU4358" s="771"/>
    </row>
    <row r="4359" spans="1:47" s="15" customFormat="1" x14ac:dyDescent="0.2">
      <c r="A4359" s="8"/>
      <c r="B4359" s="8"/>
      <c r="C4359" s="11"/>
      <c r="D4359" s="11"/>
      <c r="E4359" s="84"/>
      <c r="F4359" s="83"/>
      <c r="H4359" s="8"/>
      <c r="I4359" s="8"/>
      <c r="J4359" s="8"/>
      <c r="K4359" s="8"/>
      <c r="L4359" s="8"/>
      <c r="M4359" s="8"/>
      <c r="N4359" s="8"/>
      <c r="O4359" s="8"/>
      <c r="P4359" s="8"/>
      <c r="Q4359" s="8"/>
      <c r="R4359" s="8"/>
      <c r="S4359" s="8"/>
      <c r="T4359" s="8"/>
      <c r="U4359" s="8"/>
      <c r="V4359" s="8"/>
      <c r="W4359" s="8"/>
      <c r="X4359" s="771"/>
      <c r="Y4359" s="771"/>
      <c r="Z4359" s="771"/>
      <c r="AA4359" s="771"/>
      <c r="AB4359" s="771"/>
      <c r="AC4359" s="771"/>
      <c r="AD4359" s="771"/>
      <c r="AE4359" s="771"/>
      <c r="AF4359" s="771"/>
      <c r="AG4359" s="771"/>
      <c r="AH4359" s="771"/>
      <c r="AI4359" s="771"/>
      <c r="AJ4359" s="771"/>
      <c r="AK4359" s="771"/>
      <c r="AL4359" s="771"/>
      <c r="AM4359" s="771"/>
      <c r="AN4359" s="771"/>
      <c r="AO4359" s="771"/>
      <c r="AP4359" s="771"/>
      <c r="AQ4359" s="771"/>
      <c r="AR4359" s="771"/>
      <c r="AS4359" s="771"/>
      <c r="AT4359" s="771"/>
      <c r="AU4359" s="771"/>
    </row>
    <row r="4360" spans="1:47" s="15" customFormat="1" x14ac:dyDescent="0.2">
      <c r="A4360" s="8"/>
      <c r="B4360" s="8"/>
      <c r="C4360" s="11"/>
      <c r="D4360" s="11"/>
      <c r="E4360" s="84"/>
      <c r="F4360" s="83"/>
      <c r="H4360" s="8"/>
      <c r="I4360" s="8"/>
      <c r="J4360" s="8"/>
      <c r="K4360" s="8"/>
      <c r="L4360" s="8"/>
      <c r="M4360" s="8"/>
      <c r="N4360" s="8"/>
      <c r="O4360" s="8"/>
      <c r="P4360" s="8"/>
      <c r="Q4360" s="8"/>
      <c r="R4360" s="8"/>
      <c r="S4360" s="8"/>
      <c r="T4360" s="8"/>
      <c r="U4360" s="8"/>
      <c r="V4360" s="8"/>
      <c r="W4360" s="8"/>
      <c r="X4360" s="771"/>
      <c r="Y4360" s="771"/>
      <c r="Z4360" s="771"/>
      <c r="AA4360" s="771"/>
      <c r="AB4360" s="771"/>
      <c r="AC4360" s="771"/>
      <c r="AD4360" s="771"/>
      <c r="AE4360" s="771"/>
      <c r="AF4360" s="771"/>
      <c r="AG4360" s="771"/>
      <c r="AH4360" s="771"/>
      <c r="AI4360" s="771"/>
      <c r="AJ4360" s="771"/>
      <c r="AK4360" s="771"/>
      <c r="AL4360" s="771"/>
      <c r="AM4360" s="771"/>
      <c r="AN4360" s="771"/>
      <c r="AO4360" s="771"/>
      <c r="AP4360" s="771"/>
      <c r="AQ4360" s="771"/>
      <c r="AR4360" s="771"/>
      <c r="AS4360" s="771"/>
      <c r="AT4360" s="771"/>
      <c r="AU4360" s="771"/>
    </row>
    <row r="4361" spans="1:47" s="15" customFormat="1" x14ac:dyDescent="0.2">
      <c r="A4361" s="8"/>
      <c r="B4361" s="8"/>
      <c r="C4361" s="11"/>
      <c r="D4361" s="11"/>
      <c r="E4361" s="84"/>
      <c r="F4361" s="83"/>
      <c r="H4361" s="8"/>
      <c r="I4361" s="8"/>
      <c r="J4361" s="8"/>
      <c r="K4361" s="8"/>
      <c r="L4361" s="8"/>
      <c r="M4361" s="8"/>
      <c r="N4361" s="8"/>
      <c r="O4361" s="8"/>
      <c r="P4361" s="8"/>
      <c r="Q4361" s="8"/>
      <c r="R4361" s="8"/>
      <c r="S4361" s="8"/>
      <c r="T4361" s="8"/>
      <c r="U4361" s="8"/>
      <c r="V4361" s="8"/>
      <c r="W4361" s="8"/>
      <c r="X4361" s="771"/>
      <c r="Y4361" s="771"/>
      <c r="Z4361" s="771"/>
      <c r="AA4361" s="771"/>
      <c r="AB4361" s="771"/>
      <c r="AC4361" s="771"/>
      <c r="AD4361" s="771"/>
      <c r="AE4361" s="771"/>
      <c r="AF4361" s="771"/>
      <c r="AG4361" s="771"/>
      <c r="AH4361" s="771"/>
      <c r="AI4361" s="771"/>
      <c r="AJ4361" s="771"/>
      <c r="AK4361" s="771"/>
      <c r="AL4361" s="771"/>
      <c r="AM4361" s="771"/>
      <c r="AN4361" s="771"/>
      <c r="AO4361" s="771"/>
      <c r="AP4361" s="771"/>
      <c r="AQ4361" s="771"/>
      <c r="AR4361" s="771"/>
      <c r="AS4361" s="771"/>
      <c r="AT4361" s="771"/>
      <c r="AU4361" s="771"/>
    </row>
    <row r="4362" spans="1:47" s="15" customFormat="1" x14ac:dyDescent="0.2">
      <c r="A4362" s="8"/>
      <c r="B4362" s="8"/>
      <c r="C4362" s="11"/>
      <c r="D4362" s="11"/>
      <c r="E4362" s="84"/>
      <c r="F4362" s="83"/>
      <c r="H4362" s="8"/>
      <c r="I4362" s="8"/>
      <c r="J4362" s="8"/>
      <c r="K4362" s="8"/>
      <c r="L4362" s="8"/>
      <c r="M4362" s="8"/>
      <c r="N4362" s="8"/>
      <c r="O4362" s="8"/>
      <c r="P4362" s="8"/>
      <c r="Q4362" s="8"/>
      <c r="R4362" s="8"/>
      <c r="S4362" s="8"/>
      <c r="T4362" s="8"/>
      <c r="U4362" s="8"/>
      <c r="V4362" s="8"/>
      <c r="W4362" s="8"/>
      <c r="X4362" s="771"/>
      <c r="Y4362" s="771"/>
      <c r="Z4362" s="771"/>
      <c r="AA4362" s="771"/>
      <c r="AB4362" s="771"/>
      <c r="AC4362" s="771"/>
      <c r="AD4362" s="771"/>
      <c r="AE4362" s="771"/>
      <c r="AF4362" s="771"/>
      <c r="AG4362" s="771"/>
      <c r="AH4362" s="771"/>
      <c r="AI4362" s="771"/>
      <c r="AJ4362" s="771"/>
      <c r="AK4362" s="771"/>
      <c r="AL4362" s="771"/>
      <c r="AM4362" s="771"/>
      <c r="AN4362" s="771"/>
      <c r="AO4362" s="771"/>
      <c r="AP4362" s="771"/>
      <c r="AQ4362" s="771"/>
      <c r="AR4362" s="771"/>
      <c r="AS4362" s="771"/>
      <c r="AT4362" s="771"/>
      <c r="AU4362" s="771"/>
    </row>
    <row r="4363" spans="1:47" s="15" customFormat="1" x14ac:dyDescent="0.2">
      <c r="A4363" s="8"/>
      <c r="B4363" s="8"/>
      <c r="C4363" s="11"/>
      <c r="D4363" s="11"/>
      <c r="E4363" s="84"/>
      <c r="F4363" s="83"/>
      <c r="H4363" s="8"/>
      <c r="I4363" s="8"/>
      <c r="J4363" s="8"/>
      <c r="K4363" s="8"/>
      <c r="L4363" s="8"/>
      <c r="M4363" s="8"/>
      <c r="N4363" s="8"/>
      <c r="O4363" s="8"/>
      <c r="P4363" s="8"/>
      <c r="Q4363" s="8"/>
      <c r="R4363" s="8"/>
      <c r="S4363" s="8"/>
      <c r="T4363" s="8"/>
      <c r="U4363" s="8"/>
      <c r="V4363" s="8"/>
      <c r="W4363" s="8"/>
      <c r="X4363" s="771"/>
      <c r="Y4363" s="771"/>
      <c r="Z4363" s="771"/>
      <c r="AA4363" s="771"/>
      <c r="AB4363" s="771"/>
      <c r="AC4363" s="771"/>
      <c r="AD4363" s="771"/>
      <c r="AE4363" s="771"/>
      <c r="AF4363" s="771"/>
      <c r="AG4363" s="771"/>
      <c r="AH4363" s="771"/>
      <c r="AI4363" s="771"/>
      <c r="AJ4363" s="771"/>
      <c r="AK4363" s="771"/>
      <c r="AL4363" s="771"/>
      <c r="AM4363" s="771"/>
      <c r="AN4363" s="771"/>
      <c r="AO4363" s="771"/>
      <c r="AP4363" s="771"/>
      <c r="AQ4363" s="771"/>
      <c r="AR4363" s="771"/>
      <c r="AS4363" s="771"/>
      <c r="AT4363" s="771"/>
      <c r="AU4363" s="771"/>
    </row>
    <row r="4364" spans="1:47" s="15" customFormat="1" x14ac:dyDescent="0.2">
      <c r="A4364" s="8"/>
      <c r="B4364" s="8"/>
      <c r="C4364" s="11"/>
      <c r="D4364" s="11"/>
      <c r="E4364" s="84"/>
      <c r="F4364" s="83"/>
      <c r="H4364" s="8"/>
      <c r="I4364" s="8"/>
      <c r="J4364" s="8"/>
      <c r="K4364" s="8"/>
      <c r="L4364" s="8"/>
      <c r="M4364" s="8"/>
      <c r="N4364" s="8"/>
      <c r="O4364" s="8"/>
      <c r="P4364" s="8"/>
      <c r="Q4364" s="8"/>
      <c r="R4364" s="8"/>
      <c r="S4364" s="8"/>
      <c r="T4364" s="8"/>
      <c r="U4364" s="8"/>
      <c r="V4364" s="8"/>
      <c r="W4364" s="8"/>
      <c r="X4364" s="771"/>
      <c r="Y4364" s="771"/>
      <c r="Z4364" s="771"/>
      <c r="AA4364" s="771"/>
      <c r="AB4364" s="771"/>
      <c r="AC4364" s="771"/>
      <c r="AD4364" s="771"/>
      <c r="AE4364" s="771"/>
      <c r="AF4364" s="771"/>
      <c r="AG4364" s="771"/>
      <c r="AH4364" s="771"/>
      <c r="AI4364" s="771"/>
      <c r="AJ4364" s="771"/>
      <c r="AK4364" s="771"/>
      <c r="AL4364" s="771"/>
      <c r="AM4364" s="771"/>
      <c r="AN4364" s="771"/>
      <c r="AO4364" s="771"/>
      <c r="AP4364" s="771"/>
      <c r="AQ4364" s="771"/>
      <c r="AR4364" s="771"/>
      <c r="AS4364" s="771"/>
      <c r="AT4364" s="771"/>
      <c r="AU4364" s="771"/>
    </row>
    <row r="4365" spans="1:47" s="15" customFormat="1" x14ac:dyDescent="0.2">
      <c r="A4365" s="8"/>
      <c r="B4365" s="8"/>
      <c r="C4365" s="11"/>
      <c r="D4365" s="11"/>
      <c r="E4365" s="84"/>
      <c r="F4365" s="83"/>
      <c r="H4365" s="8"/>
      <c r="I4365" s="8"/>
      <c r="J4365" s="8"/>
      <c r="K4365" s="8"/>
      <c r="L4365" s="8"/>
      <c r="M4365" s="8"/>
      <c r="N4365" s="8"/>
      <c r="O4365" s="8"/>
      <c r="P4365" s="8"/>
      <c r="Q4365" s="8"/>
      <c r="R4365" s="8"/>
      <c r="S4365" s="8"/>
      <c r="T4365" s="8"/>
      <c r="U4365" s="8"/>
      <c r="V4365" s="8"/>
      <c r="W4365" s="8"/>
      <c r="X4365" s="771"/>
      <c r="Y4365" s="771"/>
      <c r="Z4365" s="771"/>
      <c r="AA4365" s="771"/>
      <c r="AB4365" s="771"/>
      <c r="AC4365" s="771"/>
      <c r="AD4365" s="771"/>
      <c r="AE4365" s="771"/>
      <c r="AF4365" s="771"/>
      <c r="AG4365" s="771"/>
      <c r="AH4365" s="771"/>
      <c r="AI4365" s="771"/>
      <c r="AJ4365" s="771"/>
      <c r="AK4365" s="771"/>
      <c r="AL4365" s="771"/>
      <c r="AM4365" s="771"/>
      <c r="AN4365" s="771"/>
      <c r="AO4365" s="771"/>
      <c r="AP4365" s="771"/>
      <c r="AQ4365" s="771"/>
      <c r="AR4365" s="771"/>
      <c r="AS4365" s="771"/>
      <c r="AT4365" s="771"/>
      <c r="AU4365" s="771"/>
    </row>
    <row r="4366" spans="1:47" s="15" customFormat="1" x14ac:dyDescent="0.2">
      <c r="A4366" s="8"/>
      <c r="B4366" s="8"/>
      <c r="C4366" s="11"/>
      <c r="D4366" s="11"/>
      <c r="E4366" s="84"/>
      <c r="F4366" s="83"/>
      <c r="H4366" s="8"/>
      <c r="I4366" s="8"/>
      <c r="J4366" s="8"/>
      <c r="K4366" s="8"/>
      <c r="L4366" s="8"/>
      <c r="M4366" s="8"/>
      <c r="N4366" s="8"/>
      <c r="O4366" s="8"/>
      <c r="P4366" s="8"/>
      <c r="Q4366" s="8"/>
      <c r="R4366" s="8"/>
      <c r="S4366" s="8"/>
      <c r="T4366" s="8"/>
      <c r="U4366" s="8"/>
      <c r="V4366" s="8"/>
      <c r="W4366" s="8"/>
      <c r="X4366" s="771"/>
      <c r="Y4366" s="771"/>
      <c r="Z4366" s="771"/>
      <c r="AA4366" s="771"/>
      <c r="AB4366" s="771"/>
      <c r="AC4366" s="771"/>
      <c r="AD4366" s="771"/>
      <c r="AE4366" s="771"/>
      <c r="AF4366" s="771"/>
      <c r="AG4366" s="771"/>
      <c r="AH4366" s="771"/>
      <c r="AI4366" s="771"/>
      <c r="AJ4366" s="771"/>
      <c r="AK4366" s="771"/>
      <c r="AL4366" s="771"/>
      <c r="AM4366" s="771"/>
      <c r="AN4366" s="771"/>
      <c r="AO4366" s="771"/>
      <c r="AP4366" s="771"/>
      <c r="AQ4366" s="771"/>
      <c r="AR4366" s="771"/>
      <c r="AS4366" s="771"/>
      <c r="AT4366" s="771"/>
      <c r="AU4366" s="771"/>
    </row>
    <row r="4367" spans="1:47" s="15" customFormat="1" x14ac:dyDescent="0.2">
      <c r="A4367" s="8"/>
      <c r="B4367" s="8"/>
      <c r="C4367" s="11"/>
      <c r="D4367" s="11"/>
      <c r="E4367" s="84"/>
      <c r="F4367" s="83"/>
      <c r="H4367" s="8"/>
      <c r="I4367" s="8"/>
      <c r="J4367" s="8"/>
      <c r="K4367" s="8"/>
      <c r="L4367" s="8"/>
      <c r="M4367" s="8"/>
      <c r="N4367" s="8"/>
      <c r="O4367" s="8"/>
      <c r="P4367" s="8"/>
      <c r="Q4367" s="8"/>
      <c r="R4367" s="8"/>
      <c r="S4367" s="8"/>
      <c r="T4367" s="8"/>
      <c r="U4367" s="8"/>
      <c r="V4367" s="8"/>
      <c r="W4367" s="8"/>
      <c r="X4367" s="771"/>
      <c r="Y4367" s="771"/>
      <c r="Z4367" s="771"/>
      <c r="AA4367" s="771"/>
      <c r="AB4367" s="771"/>
      <c r="AC4367" s="771"/>
      <c r="AD4367" s="771"/>
      <c r="AE4367" s="771"/>
      <c r="AF4367" s="771"/>
      <c r="AG4367" s="771"/>
      <c r="AH4367" s="771"/>
      <c r="AI4367" s="771"/>
      <c r="AJ4367" s="771"/>
      <c r="AK4367" s="771"/>
      <c r="AL4367" s="771"/>
      <c r="AM4367" s="771"/>
      <c r="AN4367" s="771"/>
      <c r="AO4367" s="771"/>
      <c r="AP4367" s="771"/>
      <c r="AQ4367" s="771"/>
      <c r="AR4367" s="771"/>
      <c r="AS4367" s="771"/>
      <c r="AT4367" s="771"/>
      <c r="AU4367" s="771"/>
    </row>
    <row r="4368" spans="1:47" s="15" customFormat="1" x14ac:dyDescent="0.2">
      <c r="A4368" s="8"/>
      <c r="B4368" s="8"/>
      <c r="C4368" s="11"/>
      <c r="D4368" s="11"/>
      <c r="E4368" s="84"/>
      <c r="F4368" s="83"/>
      <c r="H4368" s="8"/>
      <c r="I4368" s="8"/>
      <c r="J4368" s="8"/>
      <c r="K4368" s="8"/>
      <c r="L4368" s="8"/>
      <c r="M4368" s="8"/>
      <c r="N4368" s="8"/>
      <c r="O4368" s="8"/>
      <c r="P4368" s="8"/>
      <c r="Q4368" s="8"/>
      <c r="R4368" s="8"/>
      <c r="S4368" s="8"/>
      <c r="T4368" s="8"/>
      <c r="U4368" s="8"/>
      <c r="V4368" s="8"/>
      <c r="W4368" s="8"/>
      <c r="X4368" s="771"/>
      <c r="Y4368" s="771"/>
      <c r="Z4368" s="771"/>
      <c r="AA4368" s="771"/>
      <c r="AB4368" s="771"/>
      <c r="AC4368" s="771"/>
      <c r="AD4368" s="771"/>
      <c r="AE4368" s="771"/>
      <c r="AF4368" s="771"/>
      <c r="AG4368" s="771"/>
      <c r="AH4368" s="771"/>
      <c r="AI4368" s="771"/>
      <c r="AJ4368" s="771"/>
      <c r="AK4368" s="771"/>
      <c r="AL4368" s="771"/>
      <c r="AM4368" s="771"/>
      <c r="AN4368" s="771"/>
      <c r="AO4368" s="771"/>
      <c r="AP4368" s="771"/>
      <c r="AQ4368" s="771"/>
      <c r="AR4368" s="771"/>
      <c r="AS4368" s="771"/>
      <c r="AT4368" s="771"/>
      <c r="AU4368" s="771"/>
    </row>
    <row r="4369" spans="1:47" s="15" customFormat="1" x14ac:dyDescent="0.2">
      <c r="A4369" s="8"/>
      <c r="B4369" s="8"/>
      <c r="C4369" s="11"/>
      <c r="D4369" s="11"/>
      <c r="E4369" s="84"/>
      <c r="F4369" s="83"/>
      <c r="H4369" s="8"/>
      <c r="I4369" s="8"/>
      <c r="J4369" s="8"/>
      <c r="K4369" s="8"/>
      <c r="L4369" s="8"/>
      <c r="M4369" s="8"/>
      <c r="N4369" s="8"/>
      <c r="O4369" s="8"/>
      <c r="P4369" s="8"/>
      <c r="Q4369" s="8"/>
      <c r="R4369" s="8"/>
      <c r="S4369" s="8"/>
      <c r="T4369" s="8"/>
      <c r="U4369" s="8"/>
      <c r="V4369" s="8"/>
      <c r="W4369" s="8"/>
      <c r="X4369" s="771"/>
      <c r="Y4369" s="771"/>
      <c r="Z4369" s="771"/>
      <c r="AA4369" s="771"/>
      <c r="AB4369" s="771"/>
      <c r="AC4369" s="771"/>
      <c r="AD4369" s="771"/>
      <c r="AE4369" s="771"/>
      <c r="AF4369" s="771"/>
      <c r="AG4369" s="771"/>
      <c r="AH4369" s="771"/>
      <c r="AI4369" s="771"/>
      <c r="AJ4369" s="771"/>
      <c r="AK4369" s="771"/>
      <c r="AL4369" s="771"/>
      <c r="AM4369" s="771"/>
      <c r="AN4369" s="771"/>
      <c r="AO4369" s="771"/>
      <c r="AP4369" s="771"/>
      <c r="AQ4369" s="771"/>
      <c r="AR4369" s="771"/>
      <c r="AS4369" s="771"/>
      <c r="AT4369" s="771"/>
      <c r="AU4369" s="771"/>
    </row>
    <row r="4370" spans="1:47" s="15" customFormat="1" x14ac:dyDescent="0.2">
      <c r="A4370" s="8"/>
      <c r="B4370" s="8"/>
      <c r="C4370" s="11"/>
      <c r="D4370" s="11"/>
      <c r="E4370" s="84"/>
      <c r="F4370" s="83"/>
      <c r="H4370" s="8"/>
      <c r="I4370" s="8"/>
      <c r="J4370" s="8"/>
      <c r="K4370" s="8"/>
      <c r="L4370" s="8"/>
      <c r="M4370" s="8"/>
      <c r="N4370" s="8"/>
      <c r="O4370" s="8"/>
      <c r="P4370" s="8"/>
      <c r="Q4370" s="8"/>
      <c r="R4370" s="8"/>
      <c r="S4370" s="8"/>
      <c r="T4370" s="8"/>
      <c r="U4370" s="8"/>
      <c r="V4370" s="8"/>
      <c r="W4370" s="8"/>
      <c r="X4370" s="771"/>
      <c r="Y4370" s="771"/>
      <c r="Z4370" s="771"/>
      <c r="AA4370" s="771"/>
      <c r="AB4370" s="771"/>
      <c r="AC4370" s="771"/>
      <c r="AD4370" s="771"/>
      <c r="AE4370" s="771"/>
      <c r="AF4370" s="771"/>
      <c r="AG4370" s="771"/>
      <c r="AH4370" s="771"/>
      <c r="AI4370" s="771"/>
      <c r="AJ4370" s="771"/>
      <c r="AK4370" s="771"/>
      <c r="AL4370" s="771"/>
      <c r="AM4370" s="771"/>
      <c r="AN4370" s="771"/>
      <c r="AO4370" s="771"/>
      <c r="AP4370" s="771"/>
      <c r="AQ4370" s="771"/>
      <c r="AR4370" s="771"/>
      <c r="AS4370" s="771"/>
      <c r="AT4370" s="771"/>
      <c r="AU4370" s="771"/>
    </row>
    <row r="4371" spans="1:47" s="15" customFormat="1" x14ac:dyDescent="0.2">
      <c r="A4371" s="8"/>
      <c r="B4371" s="8"/>
      <c r="C4371" s="11"/>
      <c r="D4371" s="11"/>
      <c r="E4371" s="84"/>
      <c r="F4371" s="83"/>
      <c r="H4371" s="8"/>
      <c r="I4371" s="8"/>
      <c r="J4371" s="8"/>
      <c r="K4371" s="8"/>
      <c r="L4371" s="8"/>
      <c r="M4371" s="8"/>
      <c r="N4371" s="8"/>
      <c r="O4371" s="8"/>
      <c r="P4371" s="8"/>
      <c r="Q4371" s="8"/>
      <c r="R4371" s="8"/>
      <c r="S4371" s="8"/>
      <c r="T4371" s="8"/>
      <c r="U4371" s="8"/>
      <c r="V4371" s="8"/>
      <c r="W4371" s="8"/>
      <c r="X4371" s="771"/>
      <c r="Y4371" s="771"/>
      <c r="Z4371" s="771"/>
      <c r="AA4371" s="771"/>
      <c r="AB4371" s="771"/>
      <c r="AC4371" s="771"/>
      <c r="AD4371" s="771"/>
      <c r="AE4371" s="771"/>
      <c r="AF4371" s="771"/>
      <c r="AG4371" s="771"/>
      <c r="AH4371" s="771"/>
      <c r="AI4371" s="771"/>
      <c r="AJ4371" s="771"/>
      <c r="AK4371" s="771"/>
      <c r="AL4371" s="771"/>
      <c r="AM4371" s="771"/>
      <c r="AN4371" s="771"/>
      <c r="AO4371" s="771"/>
      <c r="AP4371" s="771"/>
      <c r="AQ4371" s="771"/>
      <c r="AR4371" s="771"/>
      <c r="AS4371" s="771"/>
      <c r="AT4371" s="771"/>
      <c r="AU4371" s="771"/>
    </row>
    <row r="4372" spans="1:47" s="15" customFormat="1" x14ac:dyDescent="0.2">
      <c r="A4372" s="8"/>
      <c r="B4372" s="8"/>
      <c r="C4372" s="11"/>
      <c r="D4372" s="11"/>
      <c r="E4372" s="84"/>
      <c r="F4372" s="83"/>
      <c r="H4372" s="8"/>
      <c r="I4372" s="8"/>
      <c r="J4372" s="8"/>
      <c r="K4372" s="8"/>
      <c r="L4372" s="8"/>
      <c r="M4372" s="8"/>
      <c r="N4372" s="8"/>
      <c r="O4372" s="8"/>
      <c r="P4372" s="8"/>
      <c r="Q4372" s="8"/>
      <c r="R4372" s="8"/>
      <c r="S4372" s="8"/>
      <c r="T4372" s="8"/>
      <c r="U4372" s="8"/>
      <c r="V4372" s="8"/>
      <c r="W4372" s="8"/>
      <c r="X4372" s="771"/>
      <c r="Y4372" s="771"/>
      <c r="Z4372" s="771"/>
      <c r="AA4372" s="771"/>
      <c r="AB4372" s="771"/>
      <c r="AC4372" s="771"/>
      <c r="AD4372" s="771"/>
      <c r="AE4372" s="771"/>
      <c r="AF4372" s="771"/>
      <c r="AG4372" s="771"/>
      <c r="AH4372" s="771"/>
      <c r="AI4372" s="771"/>
      <c r="AJ4372" s="771"/>
      <c r="AK4372" s="771"/>
      <c r="AL4372" s="771"/>
      <c r="AM4372" s="771"/>
      <c r="AN4372" s="771"/>
      <c r="AO4372" s="771"/>
      <c r="AP4372" s="771"/>
      <c r="AQ4372" s="771"/>
      <c r="AR4372" s="771"/>
      <c r="AS4372" s="771"/>
      <c r="AT4372" s="771"/>
      <c r="AU4372" s="771"/>
    </row>
    <row r="4373" spans="1:47" s="15" customFormat="1" x14ac:dyDescent="0.2">
      <c r="A4373" s="8"/>
      <c r="B4373" s="8"/>
      <c r="C4373" s="11"/>
      <c r="D4373" s="11"/>
      <c r="E4373" s="84"/>
      <c r="F4373" s="83"/>
      <c r="H4373" s="8"/>
      <c r="I4373" s="8"/>
      <c r="J4373" s="8"/>
      <c r="K4373" s="8"/>
      <c r="L4373" s="8"/>
      <c r="M4373" s="8"/>
      <c r="N4373" s="8"/>
      <c r="O4373" s="8"/>
      <c r="P4373" s="8"/>
      <c r="Q4373" s="8"/>
      <c r="R4373" s="8"/>
      <c r="S4373" s="8"/>
      <c r="T4373" s="8"/>
      <c r="U4373" s="8"/>
      <c r="V4373" s="8"/>
      <c r="W4373" s="8"/>
      <c r="X4373" s="771"/>
      <c r="Y4373" s="771"/>
      <c r="Z4373" s="771"/>
      <c r="AA4373" s="771"/>
      <c r="AB4373" s="771"/>
      <c r="AC4373" s="771"/>
      <c r="AD4373" s="771"/>
      <c r="AE4373" s="771"/>
      <c r="AF4373" s="771"/>
      <c r="AG4373" s="771"/>
      <c r="AH4373" s="771"/>
      <c r="AI4373" s="771"/>
      <c r="AJ4373" s="771"/>
      <c r="AK4373" s="771"/>
      <c r="AL4373" s="771"/>
      <c r="AM4373" s="771"/>
      <c r="AN4373" s="771"/>
      <c r="AO4373" s="771"/>
      <c r="AP4373" s="771"/>
      <c r="AQ4373" s="771"/>
      <c r="AR4373" s="771"/>
      <c r="AS4373" s="771"/>
      <c r="AT4373" s="771"/>
      <c r="AU4373" s="771"/>
    </row>
    <row r="4374" spans="1:47" s="15" customFormat="1" x14ac:dyDescent="0.2">
      <c r="A4374" s="8"/>
      <c r="B4374" s="8"/>
      <c r="C4374" s="11"/>
      <c r="D4374" s="11"/>
      <c r="E4374" s="84"/>
      <c r="F4374" s="83"/>
      <c r="H4374" s="8"/>
      <c r="I4374" s="8"/>
      <c r="J4374" s="8"/>
      <c r="K4374" s="8"/>
      <c r="L4374" s="8"/>
      <c r="M4374" s="8"/>
      <c r="N4374" s="8"/>
      <c r="O4374" s="8"/>
      <c r="P4374" s="8"/>
      <c r="Q4374" s="8"/>
      <c r="R4374" s="8"/>
      <c r="S4374" s="8"/>
      <c r="T4374" s="8"/>
      <c r="U4374" s="8"/>
      <c r="V4374" s="8"/>
      <c r="W4374" s="8"/>
      <c r="X4374" s="771"/>
      <c r="Y4374" s="771"/>
      <c r="Z4374" s="771"/>
      <c r="AA4374" s="771"/>
      <c r="AB4374" s="771"/>
      <c r="AC4374" s="771"/>
      <c r="AD4374" s="771"/>
      <c r="AE4374" s="771"/>
      <c r="AF4374" s="771"/>
      <c r="AG4374" s="771"/>
      <c r="AH4374" s="771"/>
      <c r="AI4374" s="771"/>
      <c r="AJ4374" s="771"/>
      <c r="AK4374" s="771"/>
      <c r="AL4374" s="771"/>
      <c r="AM4374" s="771"/>
      <c r="AN4374" s="771"/>
      <c r="AO4374" s="771"/>
      <c r="AP4374" s="771"/>
      <c r="AQ4374" s="771"/>
      <c r="AR4374" s="771"/>
      <c r="AS4374" s="771"/>
      <c r="AT4374" s="771"/>
      <c r="AU4374" s="771"/>
    </row>
    <row r="4375" spans="1:47" s="15" customFormat="1" x14ac:dyDescent="0.2">
      <c r="A4375" s="8"/>
      <c r="B4375" s="8"/>
      <c r="C4375" s="11"/>
      <c r="D4375" s="11"/>
      <c r="E4375" s="84"/>
      <c r="F4375" s="83"/>
      <c r="H4375" s="8"/>
      <c r="I4375" s="8"/>
      <c r="J4375" s="8"/>
      <c r="K4375" s="8"/>
      <c r="L4375" s="8"/>
      <c r="M4375" s="8"/>
      <c r="N4375" s="8"/>
      <c r="O4375" s="8"/>
      <c r="P4375" s="8"/>
      <c r="Q4375" s="8"/>
      <c r="R4375" s="8"/>
      <c r="S4375" s="8"/>
      <c r="T4375" s="8"/>
      <c r="U4375" s="8"/>
      <c r="V4375" s="8"/>
      <c r="W4375" s="8"/>
      <c r="X4375" s="771"/>
      <c r="Y4375" s="771"/>
      <c r="Z4375" s="771"/>
      <c r="AA4375" s="771"/>
      <c r="AB4375" s="771"/>
      <c r="AC4375" s="771"/>
      <c r="AD4375" s="771"/>
      <c r="AE4375" s="771"/>
      <c r="AF4375" s="771"/>
      <c r="AG4375" s="771"/>
      <c r="AH4375" s="771"/>
      <c r="AI4375" s="771"/>
      <c r="AJ4375" s="771"/>
      <c r="AK4375" s="771"/>
      <c r="AL4375" s="771"/>
      <c r="AM4375" s="771"/>
      <c r="AN4375" s="771"/>
      <c r="AO4375" s="771"/>
      <c r="AP4375" s="771"/>
      <c r="AQ4375" s="771"/>
      <c r="AR4375" s="771"/>
      <c r="AS4375" s="771"/>
      <c r="AT4375" s="771"/>
      <c r="AU4375" s="771"/>
    </row>
    <row r="4376" spans="1:47" s="15" customFormat="1" x14ac:dyDescent="0.2">
      <c r="A4376" s="8"/>
      <c r="B4376" s="8"/>
      <c r="C4376" s="11"/>
      <c r="D4376" s="11"/>
      <c r="E4376" s="84"/>
      <c r="F4376" s="83"/>
      <c r="H4376" s="8"/>
      <c r="I4376" s="8"/>
      <c r="J4376" s="8"/>
      <c r="K4376" s="8"/>
      <c r="L4376" s="8"/>
      <c r="M4376" s="8"/>
      <c r="N4376" s="8"/>
      <c r="O4376" s="8"/>
      <c r="P4376" s="8"/>
      <c r="Q4376" s="8"/>
      <c r="R4376" s="8"/>
      <c r="S4376" s="8"/>
      <c r="T4376" s="8"/>
      <c r="U4376" s="8"/>
      <c r="V4376" s="8"/>
      <c r="W4376" s="8"/>
      <c r="X4376" s="771"/>
      <c r="Y4376" s="771"/>
      <c r="Z4376" s="771"/>
      <c r="AA4376" s="771"/>
      <c r="AB4376" s="771"/>
      <c r="AC4376" s="771"/>
      <c r="AD4376" s="771"/>
      <c r="AE4376" s="771"/>
      <c r="AF4376" s="771"/>
      <c r="AG4376" s="771"/>
      <c r="AH4376" s="771"/>
      <c r="AI4376" s="771"/>
      <c r="AJ4376" s="771"/>
      <c r="AK4376" s="771"/>
      <c r="AL4376" s="771"/>
      <c r="AM4376" s="771"/>
      <c r="AN4376" s="771"/>
      <c r="AO4376" s="771"/>
      <c r="AP4376" s="771"/>
      <c r="AQ4376" s="771"/>
      <c r="AR4376" s="771"/>
      <c r="AS4376" s="771"/>
      <c r="AT4376" s="771"/>
      <c r="AU4376" s="771"/>
    </row>
    <row r="4377" spans="1:47" s="15" customFormat="1" x14ac:dyDescent="0.2">
      <c r="A4377" s="8"/>
      <c r="B4377" s="8"/>
      <c r="C4377" s="11"/>
      <c r="D4377" s="11"/>
      <c r="E4377" s="84"/>
      <c r="F4377" s="83"/>
      <c r="H4377" s="8"/>
      <c r="I4377" s="8"/>
      <c r="J4377" s="8"/>
      <c r="K4377" s="8"/>
      <c r="L4377" s="8"/>
      <c r="M4377" s="8"/>
      <c r="N4377" s="8"/>
      <c r="O4377" s="8"/>
      <c r="P4377" s="8"/>
      <c r="Q4377" s="8"/>
      <c r="R4377" s="8"/>
      <c r="S4377" s="8"/>
      <c r="T4377" s="8"/>
      <c r="U4377" s="8"/>
      <c r="V4377" s="8"/>
      <c r="W4377" s="8"/>
      <c r="X4377" s="771"/>
      <c r="Y4377" s="771"/>
      <c r="Z4377" s="771"/>
      <c r="AA4377" s="771"/>
      <c r="AB4377" s="771"/>
      <c r="AC4377" s="771"/>
      <c r="AD4377" s="771"/>
      <c r="AE4377" s="771"/>
      <c r="AF4377" s="771"/>
      <c r="AG4377" s="771"/>
      <c r="AH4377" s="771"/>
      <c r="AI4377" s="771"/>
      <c r="AJ4377" s="771"/>
      <c r="AK4377" s="771"/>
      <c r="AL4377" s="771"/>
      <c r="AM4377" s="771"/>
      <c r="AN4377" s="771"/>
      <c r="AO4377" s="771"/>
      <c r="AP4377" s="771"/>
      <c r="AQ4377" s="771"/>
      <c r="AR4377" s="771"/>
      <c r="AS4377" s="771"/>
      <c r="AT4377" s="771"/>
      <c r="AU4377" s="771"/>
    </row>
    <row r="4378" spans="1:47" s="15" customFormat="1" x14ac:dyDescent="0.2">
      <c r="A4378" s="8"/>
      <c r="B4378" s="8"/>
      <c r="C4378" s="11"/>
      <c r="D4378" s="11"/>
      <c r="E4378" s="84"/>
      <c r="F4378" s="83"/>
      <c r="H4378" s="8"/>
      <c r="I4378" s="8"/>
      <c r="J4378" s="8"/>
      <c r="K4378" s="8"/>
      <c r="L4378" s="8"/>
      <c r="M4378" s="8"/>
      <c r="N4378" s="8"/>
      <c r="O4378" s="8"/>
      <c r="P4378" s="8"/>
      <c r="Q4378" s="8"/>
      <c r="R4378" s="8"/>
      <c r="S4378" s="8"/>
      <c r="T4378" s="8"/>
      <c r="U4378" s="8"/>
      <c r="V4378" s="8"/>
      <c r="W4378" s="8"/>
      <c r="X4378" s="771"/>
      <c r="Y4378" s="771"/>
      <c r="Z4378" s="771"/>
      <c r="AA4378" s="771"/>
      <c r="AB4378" s="771"/>
      <c r="AC4378" s="771"/>
      <c r="AD4378" s="771"/>
      <c r="AE4378" s="771"/>
      <c r="AF4378" s="771"/>
      <c r="AG4378" s="771"/>
      <c r="AH4378" s="771"/>
      <c r="AI4378" s="771"/>
      <c r="AJ4378" s="771"/>
      <c r="AK4378" s="771"/>
      <c r="AL4378" s="771"/>
      <c r="AM4378" s="771"/>
      <c r="AN4378" s="771"/>
      <c r="AO4378" s="771"/>
      <c r="AP4378" s="771"/>
      <c r="AQ4378" s="771"/>
      <c r="AR4378" s="771"/>
      <c r="AS4378" s="771"/>
      <c r="AT4378" s="771"/>
      <c r="AU4378" s="771"/>
    </row>
    <row r="4379" spans="1:47" s="15" customFormat="1" x14ac:dyDescent="0.2">
      <c r="A4379" s="8"/>
      <c r="B4379" s="8"/>
      <c r="C4379" s="11"/>
      <c r="D4379" s="11"/>
      <c r="E4379" s="84"/>
      <c r="F4379" s="83"/>
      <c r="H4379" s="8"/>
      <c r="I4379" s="8"/>
      <c r="J4379" s="8"/>
      <c r="K4379" s="8"/>
      <c r="L4379" s="8"/>
      <c r="M4379" s="8"/>
      <c r="N4379" s="8"/>
      <c r="O4379" s="8"/>
      <c r="P4379" s="8"/>
      <c r="Q4379" s="8"/>
      <c r="R4379" s="8"/>
      <c r="S4379" s="8"/>
      <c r="T4379" s="8"/>
      <c r="U4379" s="8"/>
      <c r="V4379" s="8"/>
      <c r="W4379" s="8"/>
      <c r="X4379" s="771"/>
      <c r="Y4379" s="771"/>
      <c r="Z4379" s="771"/>
      <c r="AA4379" s="771"/>
      <c r="AB4379" s="771"/>
      <c r="AC4379" s="771"/>
      <c r="AD4379" s="771"/>
      <c r="AE4379" s="771"/>
      <c r="AF4379" s="771"/>
      <c r="AG4379" s="771"/>
      <c r="AH4379" s="771"/>
      <c r="AI4379" s="771"/>
      <c r="AJ4379" s="771"/>
      <c r="AK4379" s="771"/>
      <c r="AL4379" s="771"/>
      <c r="AM4379" s="771"/>
      <c r="AN4379" s="771"/>
      <c r="AO4379" s="771"/>
      <c r="AP4379" s="771"/>
      <c r="AQ4379" s="771"/>
      <c r="AR4379" s="771"/>
      <c r="AS4379" s="771"/>
      <c r="AT4379" s="771"/>
      <c r="AU4379" s="771"/>
    </row>
    <row r="4380" spans="1:47" s="15" customFormat="1" x14ac:dyDescent="0.2">
      <c r="A4380" s="8"/>
      <c r="B4380" s="8"/>
      <c r="C4380" s="11"/>
      <c r="D4380" s="11"/>
      <c r="E4380" s="84"/>
      <c r="F4380" s="83"/>
      <c r="H4380" s="8"/>
      <c r="I4380" s="8"/>
      <c r="J4380" s="8"/>
      <c r="K4380" s="8"/>
      <c r="L4380" s="8"/>
      <c r="M4380" s="8"/>
      <c r="N4380" s="8"/>
      <c r="O4380" s="8"/>
      <c r="P4380" s="8"/>
      <c r="Q4380" s="8"/>
      <c r="R4380" s="8"/>
      <c r="S4380" s="8"/>
      <c r="T4380" s="8"/>
      <c r="U4380" s="8"/>
      <c r="V4380" s="8"/>
      <c r="W4380" s="8"/>
      <c r="X4380" s="771"/>
      <c r="Y4380" s="771"/>
      <c r="Z4380" s="771"/>
      <c r="AA4380" s="771"/>
      <c r="AB4380" s="771"/>
      <c r="AC4380" s="771"/>
      <c r="AD4380" s="771"/>
      <c r="AE4380" s="771"/>
      <c r="AF4380" s="771"/>
      <c r="AG4380" s="771"/>
      <c r="AH4380" s="771"/>
      <c r="AI4380" s="771"/>
      <c r="AJ4380" s="771"/>
      <c r="AK4380" s="771"/>
      <c r="AL4380" s="771"/>
      <c r="AM4380" s="771"/>
      <c r="AN4380" s="771"/>
      <c r="AO4380" s="771"/>
      <c r="AP4380" s="771"/>
      <c r="AQ4380" s="771"/>
      <c r="AR4380" s="771"/>
      <c r="AS4380" s="771"/>
      <c r="AT4380" s="771"/>
      <c r="AU4380" s="771"/>
    </row>
    <row r="4381" spans="1:47" s="15" customFormat="1" x14ac:dyDescent="0.2">
      <c r="A4381" s="8"/>
      <c r="B4381" s="8"/>
      <c r="C4381" s="11"/>
      <c r="D4381" s="11"/>
      <c r="E4381" s="84"/>
      <c r="F4381" s="83"/>
      <c r="H4381" s="8"/>
      <c r="I4381" s="8"/>
      <c r="J4381" s="8"/>
      <c r="K4381" s="8"/>
      <c r="L4381" s="8"/>
      <c r="M4381" s="8"/>
      <c r="N4381" s="8"/>
      <c r="O4381" s="8"/>
      <c r="P4381" s="8"/>
      <c r="Q4381" s="8"/>
      <c r="R4381" s="8"/>
      <c r="S4381" s="8"/>
      <c r="T4381" s="8"/>
      <c r="U4381" s="8"/>
      <c r="V4381" s="8"/>
      <c r="W4381" s="8"/>
      <c r="X4381" s="771"/>
      <c r="Y4381" s="771"/>
      <c r="Z4381" s="771"/>
      <c r="AA4381" s="771"/>
      <c r="AB4381" s="771"/>
      <c r="AC4381" s="771"/>
      <c r="AD4381" s="771"/>
      <c r="AE4381" s="771"/>
      <c r="AF4381" s="771"/>
      <c r="AG4381" s="771"/>
      <c r="AH4381" s="771"/>
      <c r="AI4381" s="771"/>
      <c r="AJ4381" s="771"/>
      <c r="AK4381" s="771"/>
      <c r="AL4381" s="771"/>
      <c r="AM4381" s="771"/>
      <c r="AN4381" s="771"/>
      <c r="AO4381" s="771"/>
      <c r="AP4381" s="771"/>
      <c r="AQ4381" s="771"/>
      <c r="AR4381" s="771"/>
      <c r="AS4381" s="771"/>
      <c r="AT4381" s="771"/>
      <c r="AU4381" s="771"/>
    </row>
    <row r="4382" spans="1:47" s="15" customFormat="1" x14ac:dyDescent="0.2">
      <c r="A4382" s="8"/>
      <c r="B4382" s="8"/>
      <c r="C4382" s="11"/>
      <c r="D4382" s="11"/>
      <c r="E4382" s="84"/>
      <c r="F4382" s="83"/>
      <c r="H4382" s="8"/>
      <c r="I4382" s="8"/>
      <c r="J4382" s="8"/>
      <c r="K4382" s="8"/>
      <c r="L4382" s="8"/>
      <c r="M4382" s="8"/>
      <c r="N4382" s="8"/>
      <c r="O4382" s="8"/>
      <c r="P4382" s="8"/>
      <c r="Q4382" s="8"/>
      <c r="R4382" s="8"/>
      <c r="S4382" s="8"/>
      <c r="T4382" s="8"/>
      <c r="U4382" s="8"/>
      <c r="V4382" s="8"/>
      <c r="W4382" s="8"/>
      <c r="X4382" s="771"/>
      <c r="Y4382" s="771"/>
      <c r="Z4382" s="771"/>
      <c r="AA4382" s="771"/>
      <c r="AB4382" s="771"/>
      <c r="AC4382" s="771"/>
      <c r="AD4382" s="771"/>
      <c r="AE4382" s="771"/>
      <c r="AF4382" s="771"/>
      <c r="AG4382" s="771"/>
      <c r="AH4382" s="771"/>
      <c r="AI4382" s="771"/>
      <c r="AJ4382" s="771"/>
      <c r="AK4382" s="771"/>
      <c r="AL4382" s="771"/>
      <c r="AM4382" s="771"/>
      <c r="AN4382" s="771"/>
      <c r="AO4382" s="771"/>
      <c r="AP4382" s="771"/>
      <c r="AQ4382" s="771"/>
      <c r="AR4382" s="771"/>
      <c r="AS4382" s="771"/>
      <c r="AT4382" s="771"/>
      <c r="AU4382" s="771"/>
    </row>
    <row r="4383" spans="1:47" s="15" customFormat="1" x14ac:dyDescent="0.2">
      <c r="A4383" s="8"/>
      <c r="B4383" s="8"/>
      <c r="C4383" s="11"/>
      <c r="D4383" s="11"/>
      <c r="E4383" s="84"/>
      <c r="F4383" s="83"/>
      <c r="H4383" s="8"/>
      <c r="I4383" s="8"/>
      <c r="J4383" s="8"/>
      <c r="K4383" s="8"/>
      <c r="L4383" s="8"/>
      <c r="M4383" s="8"/>
      <c r="N4383" s="8"/>
      <c r="O4383" s="8"/>
      <c r="P4383" s="8"/>
      <c r="Q4383" s="8"/>
      <c r="R4383" s="8"/>
      <c r="S4383" s="8"/>
      <c r="T4383" s="8"/>
      <c r="U4383" s="8"/>
      <c r="V4383" s="8"/>
      <c r="W4383" s="8"/>
      <c r="X4383" s="771"/>
      <c r="Y4383" s="771"/>
      <c r="Z4383" s="771"/>
      <c r="AA4383" s="771"/>
      <c r="AB4383" s="771"/>
      <c r="AC4383" s="771"/>
      <c r="AD4383" s="771"/>
      <c r="AE4383" s="771"/>
      <c r="AF4383" s="771"/>
      <c r="AG4383" s="771"/>
      <c r="AH4383" s="771"/>
      <c r="AI4383" s="771"/>
      <c r="AJ4383" s="771"/>
      <c r="AK4383" s="771"/>
      <c r="AL4383" s="771"/>
      <c r="AM4383" s="771"/>
      <c r="AN4383" s="771"/>
      <c r="AO4383" s="771"/>
      <c r="AP4383" s="771"/>
      <c r="AQ4383" s="771"/>
      <c r="AR4383" s="771"/>
      <c r="AS4383" s="771"/>
      <c r="AT4383" s="771"/>
      <c r="AU4383" s="771"/>
    </row>
    <row r="4384" spans="1:47" s="15" customFormat="1" x14ac:dyDescent="0.2">
      <c r="A4384" s="8"/>
      <c r="B4384" s="8"/>
      <c r="C4384" s="11"/>
      <c r="D4384" s="11"/>
      <c r="E4384" s="84"/>
      <c r="F4384" s="83"/>
      <c r="H4384" s="8"/>
      <c r="I4384" s="8"/>
      <c r="J4384" s="8"/>
      <c r="K4384" s="8"/>
      <c r="L4384" s="8"/>
      <c r="M4384" s="8"/>
      <c r="N4384" s="8"/>
      <c r="O4384" s="8"/>
      <c r="P4384" s="8"/>
      <c r="Q4384" s="8"/>
      <c r="R4384" s="8"/>
      <c r="S4384" s="8"/>
      <c r="T4384" s="8"/>
      <c r="U4384" s="8"/>
      <c r="V4384" s="8"/>
      <c r="W4384" s="8"/>
      <c r="X4384" s="771"/>
      <c r="Y4384" s="771"/>
      <c r="Z4384" s="771"/>
      <c r="AA4384" s="771"/>
      <c r="AB4384" s="771"/>
      <c r="AC4384" s="771"/>
      <c r="AD4384" s="771"/>
      <c r="AE4384" s="771"/>
      <c r="AF4384" s="771"/>
      <c r="AG4384" s="771"/>
      <c r="AH4384" s="771"/>
      <c r="AI4384" s="771"/>
      <c r="AJ4384" s="771"/>
      <c r="AK4384" s="771"/>
      <c r="AL4384" s="771"/>
      <c r="AM4384" s="771"/>
      <c r="AN4384" s="771"/>
      <c r="AO4384" s="771"/>
      <c r="AP4384" s="771"/>
      <c r="AQ4384" s="771"/>
      <c r="AR4384" s="771"/>
      <c r="AS4384" s="771"/>
      <c r="AT4384" s="771"/>
      <c r="AU4384" s="771"/>
    </row>
    <row r="4385" spans="1:47" s="15" customFormat="1" x14ac:dyDescent="0.2">
      <c r="A4385" s="8"/>
      <c r="B4385" s="8"/>
      <c r="C4385" s="11"/>
      <c r="D4385" s="11"/>
      <c r="E4385" s="84"/>
      <c r="F4385" s="83"/>
      <c r="H4385" s="8"/>
      <c r="I4385" s="8"/>
      <c r="J4385" s="8"/>
      <c r="K4385" s="8"/>
      <c r="L4385" s="8"/>
      <c r="M4385" s="8"/>
      <c r="N4385" s="8"/>
      <c r="O4385" s="8"/>
      <c r="P4385" s="8"/>
      <c r="Q4385" s="8"/>
      <c r="R4385" s="8"/>
      <c r="S4385" s="8"/>
      <c r="T4385" s="8"/>
      <c r="U4385" s="8"/>
      <c r="V4385" s="8"/>
      <c r="W4385" s="8"/>
      <c r="X4385" s="771"/>
      <c r="Y4385" s="771"/>
      <c r="Z4385" s="771"/>
      <c r="AA4385" s="771"/>
      <c r="AB4385" s="771"/>
      <c r="AC4385" s="771"/>
      <c r="AD4385" s="771"/>
      <c r="AE4385" s="771"/>
      <c r="AF4385" s="771"/>
      <c r="AG4385" s="771"/>
      <c r="AH4385" s="771"/>
      <c r="AI4385" s="771"/>
      <c r="AJ4385" s="771"/>
      <c r="AK4385" s="771"/>
      <c r="AL4385" s="771"/>
      <c r="AM4385" s="771"/>
      <c r="AN4385" s="771"/>
      <c r="AO4385" s="771"/>
      <c r="AP4385" s="771"/>
      <c r="AQ4385" s="771"/>
      <c r="AR4385" s="771"/>
      <c r="AS4385" s="771"/>
      <c r="AT4385" s="771"/>
      <c r="AU4385" s="771"/>
    </row>
    <row r="4386" spans="1:47" s="15" customFormat="1" x14ac:dyDescent="0.2">
      <c r="A4386" s="8"/>
      <c r="B4386" s="8"/>
      <c r="C4386" s="11"/>
      <c r="D4386" s="11"/>
      <c r="E4386" s="84"/>
      <c r="F4386" s="83"/>
      <c r="H4386" s="8"/>
      <c r="I4386" s="8"/>
      <c r="J4386" s="8"/>
      <c r="K4386" s="8"/>
      <c r="L4386" s="8"/>
      <c r="M4386" s="8"/>
      <c r="N4386" s="8"/>
      <c r="O4386" s="8"/>
      <c r="P4386" s="8"/>
      <c r="Q4386" s="8"/>
      <c r="R4386" s="8"/>
      <c r="S4386" s="8"/>
      <c r="T4386" s="8"/>
      <c r="U4386" s="8"/>
      <c r="V4386" s="8"/>
      <c r="W4386" s="8"/>
      <c r="X4386" s="771"/>
      <c r="Y4386" s="771"/>
      <c r="Z4386" s="771"/>
      <c r="AA4386" s="771"/>
      <c r="AB4386" s="771"/>
      <c r="AC4386" s="771"/>
      <c r="AD4386" s="771"/>
      <c r="AE4386" s="771"/>
      <c r="AF4386" s="771"/>
      <c r="AG4386" s="771"/>
      <c r="AH4386" s="771"/>
      <c r="AI4386" s="771"/>
      <c r="AJ4386" s="771"/>
      <c r="AK4386" s="771"/>
      <c r="AL4386" s="771"/>
      <c r="AM4386" s="771"/>
      <c r="AN4386" s="771"/>
      <c r="AO4386" s="771"/>
      <c r="AP4386" s="771"/>
      <c r="AQ4386" s="771"/>
      <c r="AR4386" s="771"/>
      <c r="AS4386" s="771"/>
      <c r="AT4386" s="771"/>
      <c r="AU4386" s="771"/>
    </row>
    <row r="4387" spans="1:47" s="15" customFormat="1" x14ac:dyDescent="0.2">
      <c r="A4387" s="8"/>
      <c r="B4387" s="8"/>
      <c r="C4387" s="11"/>
      <c r="D4387" s="11"/>
      <c r="E4387" s="84"/>
      <c r="F4387" s="83"/>
      <c r="H4387" s="8"/>
      <c r="I4387" s="8"/>
      <c r="J4387" s="8"/>
      <c r="K4387" s="8"/>
      <c r="L4387" s="8"/>
      <c r="M4387" s="8"/>
      <c r="N4387" s="8"/>
      <c r="O4387" s="8"/>
      <c r="P4387" s="8"/>
      <c r="Q4387" s="8"/>
      <c r="R4387" s="8"/>
      <c r="S4387" s="8"/>
      <c r="T4387" s="8"/>
      <c r="U4387" s="8"/>
      <c r="V4387" s="8"/>
      <c r="W4387" s="8"/>
      <c r="X4387" s="771"/>
      <c r="Y4387" s="771"/>
      <c r="Z4387" s="771"/>
      <c r="AA4387" s="771"/>
      <c r="AB4387" s="771"/>
      <c r="AC4387" s="771"/>
      <c r="AD4387" s="771"/>
      <c r="AE4387" s="771"/>
      <c r="AF4387" s="771"/>
      <c r="AG4387" s="771"/>
      <c r="AH4387" s="771"/>
      <c r="AI4387" s="771"/>
      <c r="AJ4387" s="771"/>
      <c r="AK4387" s="771"/>
      <c r="AL4387" s="771"/>
      <c r="AM4387" s="771"/>
      <c r="AN4387" s="771"/>
      <c r="AO4387" s="771"/>
      <c r="AP4387" s="771"/>
      <c r="AQ4387" s="771"/>
      <c r="AR4387" s="771"/>
      <c r="AS4387" s="771"/>
      <c r="AT4387" s="771"/>
      <c r="AU4387" s="771"/>
    </row>
    <row r="4388" spans="1:47" s="15" customFormat="1" x14ac:dyDescent="0.2">
      <c r="A4388" s="8"/>
      <c r="B4388" s="8"/>
      <c r="C4388" s="11"/>
      <c r="D4388" s="11"/>
      <c r="E4388" s="84"/>
      <c r="F4388" s="83"/>
      <c r="H4388" s="8"/>
      <c r="I4388" s="8"/>
      <c r="J4388" s="8"/>
      <c r="K4388" s="8"/>
      <c r="L4388" s="8"/>
      <c r="M4388" s="8"/>
      <c r="N4388" s="8"/>
      <c r="O4388" s="8"/>
      <c r="P4388" s="8"/>
      <c r="Q4388" s="8"/>
      <c r="R4388" s="8"/>
      <c r="S4388" s="8"/>
      <c r="T4388" s="8"/>
      <c r="U4388" s="8"/>
      <c r="V4388" s="8"/>
      <c r="W4388" s="8"/>
      <c r="X4388" s="771"/>
      <c r="Y4388" s="771"/>
      <c r="Z4388" s="771"/>
      <c r="AA4388" s="771"/>
      <c r="AB4388" s="771"/>
      <c r="AC4388" s="771"/>
      <c r="AD4388" s="771"/>
      <c r="AE4388" s="771"/>
      <c r="AF4388" s="771"/>
      <c r="AG4388" s="771"/>
      <c r="AH4388" s="771"/>
      <c r="AI4388" s="771"/>
      <c r="AJ4388" s="771"/>
      <c r="AK4388" s="771"/>
      <c r="AL4388" s="771"/>
      <c r="AM4388" s="771"/>
      <c r="AN4388" s="771"/>
      <c r="AO4388" s="771"/>
      <c r="AP4388" s="771"/>
      <c r="AQ4388" s="771"/>
      <c r="AR4388" s="771"/>
      <c r="AS4388" s="771"/>
      <c r="AT4388" s="771"/>
      <c r="AU4388" s="771"/>
    </row>
    <row r="4389" spans="1:47" s="15" customFormat="1" x14ac:dyDescent="0.2">
      <c r="A4389" s="8"/>
      <c r="B4389" s="8"/>
      <c r="C4389" s="11"/>
      <c r="D4389" s="11"/>
      <c r="E4389" s="84"/>
      <c r="F4389" s="83"/>
      <c r="H4389" s="8"/>
      <c r="I4389" s="8"/>
      <c r="J4389" s="8"/>
      <c r="K4389" s="8"/>
      <c r="L4389" s="8"/>
      <c r="M4389" s="8"/>
      <c r="N4389" s="8"/>
      <c r="O4389" s="8"/>
      <c r="P4389" s="8"/>
      <c r="Q4389" s="8"/>
      <c r="R4389" s="8"/>
      <c r="S4389" s="8"/>
      <c r="T4389" s="8"/>
      <c r="U4389" s="8"/>
      <c r="V4389" s="8"/>
      <c r="W4389" s="8"/>
      <c r="X4389" s="771"/>
      <c r="Y4389" s="771"/>
      <c r="Z4389" s="771"/>
      <c r="AA4389" s="771"/>
      <c r="AB4389" s="771"/>
      <c r="AC4389" s="771"/>
      <c r="AD4389" s="771"/>
      <c r="AE4389" s="771"/>
      <c r="AF4389" s="771"/>
      <c r="AG4389" s="771"/>
      <c r="AH4389" s="771"/>
      <c r="AI4389" s="771"/>
      <c r="AJ4389" s="771"/>
      <c r="AK4389" s="771"/>
      <c r="AL4389" s="771"/>
      <c r="AM4389" s="771"/>
      <c r="AN4389" s="771"/>
      <c r="AO4389" s="771"/>
      <c r="AP4389" s="771"/>
      <c r="AQ4389" s="771"/>
      <c r="AR4389" s="771"/>
      <c r="AS4389" s="771"/>
      <c r="AT4389" s="771"/>
      <c r="AU4389" s="771"/>
    </row>
    <row r="4390" spans="1:47" s="15" customFormat="1" x14ac:dyDescent="0.2">
      <c r="A4390" s="8"/>
      <c r="B4390" s="8"/>
      <c r="C4390" s="11"/>
      <c r="D4390" s="11"/>
      <c r="E4390" s="84"/>
      <c r="F4390" s="83"/>
      <c r="H4390" s="8"/>
      <c r="I4390" s="8"/>
      <c r="J4390" s="8"/>
      <c r="K4390" s="8"/>
      <c r="L4390" s="8"/>
      <c r="M4390" s="8"/>
      <c r="N4390" s="8"/>
      <c r="O4390" s="8"/>
      <c r="P4390" s="8"/>
      <c r="Q4390" s="8"/>
      <c r="R4390" s="8"/>
      <c r="S4390" s="8"/>
      <c r="T4390" s="8"/>
      <c r="U4390" s="8"/>
      <c r="V4390" s="8"/>
      <c r="W4390" s="8"/>
      <c r="X4390" s="771"/>
      <c r="Y4390" s="771"/>
      <c r="Z4390" s="771"/>
      <c r="AA4390" s="771"/>
      <c r="AB4390" s="771"/>
      <c r="AC4390" s="771"/>
      <c r="AD4390" s="771"/>
      <c r="AE4390" s="771"/>
      <c r="AF4390" s="771"/>
      <c r="AG4390" s="771"/>
      <c r="AH4390" s="771"/>
      <c r="AI4390" s="771"/>
      <c r="AJ4390" s="771"/>
      <c r="AK4390" s="771"/>
      <c r="AL4390" s="771"/>
      <c r="AM4390" s="771"/>
      <c r="AN4390" s="771"/>
      <c r="AO4390" s="771"/>
      <c r="AP4390" s="771"/>
      <c r="AQ4390" s="771"/>
      <c r="AR4390" s="771"/>
      <c r="AS4390" s="771"/>
      <c r="AT4390" s="771"/>
      <c r="AU4390" s="771"/>
    </row>
    <row r="4391" spans="1:47" s="15" customFormat="1" x14ac:dyDescent="0.2">
      <c r="A4391" s="8"/>
      <c r="B4391" s="8"/>
      <c r="C4391" s="11"/>
      <c r="D4391" s="11"/>
      <c r="E4391" s="84"/>
      <c r="F4391" s="83"/>
      <c r="H4391" s="8"/>
      <c r="I4391" s="8"/>
      <c r="J4391" s="8"/>
      <c r="K4391" s="8"/>
      <c r="L4391" s="8"/>
      <c r="M4391" s="8"/>
      <c r="N4391" s="8"/>
      <c r="O4391" s="8"/>
      <c r="P4391" s="8"/>
      <c r="Q4391" s="8"/>
      <c r="R4391" s="8"/>
      <c r="S4391" s="8"/>
      <c r="T4391" s="8"/>
      <c r="U4391" s="8"/>
      <c r="V4391" s="8"/>
      <c r="W4391" s="8"/>
      <c r="X4391" s="771"/>
      <c r="Y4391" s="771"/>
      <c r="Z4391" s="771"/>
      <c r="AA4391" s="771"/>
      <c r="AB4391" s="771"/>
      <c r="AC4391" s="771"/>
      <c r="AD4391" s="771"/>
      <c r="AE4391" s="771"/>
      <c r="AF4391" s="771"/>
      <c r="AG4391" s="771"/>
      <c r="AH4391" s="771"/>
      <c r="AI4391" s="771"/>
      <c r="AJ4391" s="771"/>
      <c r="AK4391" s="771"/>
      <c r="AL4391" s="771"/>
      <c r="AM4391" s="771"/>
      <c r="AN4391" s="771"/>
      <c r="AO4391" s="771"/>
      <c r="AP4391" s="771"/>
      <c r="AQ4391" s="771"/>
      <c r="AR4391" s="771"/>
      <c r="AS4391" s="771"/>
      <c r="AT4391" s="771"/>
      <c r="AU4391" s="771"/>
    </row>
    <row r="4392" spans="1:47" s="15" customFormat="1" x14ac:dyDescent="0.2">
      <c r="A4392" s="8"/>
      <c r="B4392" s="8"/>
      <c r="C4392" s="11"/>
      <c r="D4392" s="11"/>
      <c r="E4392" s="84"/>
      <c r="F4392" s="83"/>
      <c r="H4392" s="8"/>
      <c r="I4392" s="8"/>
      <c r="J4392" s="8"/>
      <c r="K4392" s="8"/>
      <c r="L4392" s="8"/>
      <c r="M4392" s="8"/>
      <c r="N4392" s="8"/>
      <c r="O4392" s="8"/>
      <c r="P4392" s="8"/>
      <c r="Q4392" s="8"/>
      <c r="R4392" s="8"/>
      <c r="S4392" s="8"/>
      <c r="T4392" s="8"/>
      <c r="U4392" s="8"/>
      <c r="V4392" s="8"/>
      <c r="W4392" s="8"/>
      <c r="X4392" s="771"/>
      <c r="Y4392" s="771"/>
      <c r="Z4392" s="771"/>
      <c r="AA4392" s="771"/>
      <c r="AB4392" s="771"/>
      <c r="AC4392" s="771"/>
      <c r="AD4392" s="771"/>
      <c r="AE4392" s="771"/>
      <c r="AF4392" s="771"/>
      <c r="AG4392" s="771"/>
      <c r="AH4392" s="771"/>
      <c r="AI4392" s="771"/>
      <c r="AJ4392" s="771"/>
      <c r="AK4392" s="771"/>
      <c r="AL4392" s="771"/>
      <c r="AM4392" s="771"/>
      <c r="AN4392" s="771"/>
      <c r="AO4392" s="771"/>
      <c r="AP4392" s="771"/>
      <c r="AQ4392" s="771"/>
      <c r="AR4392" s="771"/>
      <c r="AS4392" s="771"/>
      <c r="AT4392" s="771"/>
      <c r="AU4392" s="771"/>
    </row>
    <row r="4393" spans="1:47" s="15" customFormat="1" x14ac:dyDescent="0.2">
      <c r="A4393" s="8"/>
      <c r="B4393" s="8"/>
      <c r="C4393" s="11"/>
      <c r="D4393" s="11"/>
      <c r="E4393" s="84"/>
      <c r="F4393" s="83"/>
      <c r="H4393" s="8"/>
      <c r="I4393" s="8"/>
      <c r="J4393" s="8"/>
      <c r="K4393" s="8"/>
      <c r="L4393" s="8"/>
      <c r="M4393" s="8"/>
      <c r="N4393" s="8"/>
      <c r="O4393" s="8"/>
      <c r="P4393" s="8"/>
      <c r="Q4393" s="8"/>
      <c r="R4393" s="8"/>
      <c r="S4393" s="8"/>
      <c r="T4393" s="8"/>
      <c r="U4393" s="8"/>
      <c r="V4393" s="8"/>
      <c r="W4393" s="8"/>
      <c r="X4393" s="771"/>
      <c r="Y4393" s="771"/>
      <c r="Z4393" s="771"/>
      <c r="AA4393" s="771"/>
      <c r="AB4393" s="771"/>
      <c r="AC4393" s="771"/>
      <c r="AD4393" s="771"/>
      <c r="AE4393" s="771"/>
      <c r="AF4393" s="771"/>
      <c r="AG4393" s="771"/>
      <c r="AH4393" s="771"/>
      <c r="AI4393" s="771"/>
      <c r="AJ4393" s="771"/>
      <c r="AK4393" s="771"/>
      <c r="AL4393" s="771"/>
      <c r="AM4393" s="771"/>
      <c r="AN4393" s="771"/>
      <c r="AO4393" s="771"/>
      <c r="AP4393" s="771"/>
      <c r="AQ4393" s="771"/>
      <c r="AR4393" s="771"/>
      <c r="AS4393" s="771"/>
      <c r="AT4393" s="771"/>
      <c r="AU4393" s="771"/>
    </row>
    <row r="4394" spans="1:47" s="15" customFormat="1" x14ac:dyDescent="0.2">
      <c r="A4394" s="8"/>
      <c r="B4394" s="8"/>
      <c r="C4394" s="11"/>
      <c r="D4394" s="11"/>
      <c r="E4394" s="84"/>
      <c r="F4394" s="83"/>
      <c r="H4394" s="8"/>
      <c r="I4394" s="8"/>
      <c r="J4394" s="8"/>
      <c r="K4394" s="8"/>
      <c r="L4394" s="8"/>
      <c r="M4394" s="8"/>
      <c r="N4394" s="8"/>
      <c r="O4394" s="8"/>
      <c r="P4394" s="8"/>
      <c r="Q4394" s="8"/>
      <c r="R4394" s="8"/>
      <c r="S4394" s="8"/>
      <c r="T4394" s="8"/>
      <c r="U4394" s="8"/>
      <c r="V4394" s="8"/>
      <c r="W4394" s="8"/>
      <c r="X4394" s="771"/>
      <c r="Y4394" s="771"/>
      <c r="Z4394" s="771"/>
      <c r="AA4394" s="771"/>
      <c r="AB4394" s="771"/>
      <c r="AC4394" s="771"/>
      <c r="AD4394" s="771"/>
      <c r="AE4394" s="771"/>
      <c r="AF4394" s="771"/>
      <c r="AG4394" s="771"/>
      <c r="AH4394" s="771"/>
      <c r="AI4394" s="771"/>
      <c r="AJ4394" s="771"/>
      <c r="AK4394" s="771"/>
      <c r="AL4394" s="771"/>
      <c r="AM4394" s="771"/>
      <c r="AN4394" s="771"/>
      <c r="AO4394" s="771"/>
      <c r="AP4394" s="771"/>
      <c r="AQ4394" s="771"/>
      <c r="AR4394" s="771"/>
      <c r="AS4394" s="771"/>
      <c r="AT4394" s="771"/>
      <c r="AU4394" s="771"/>
    </row>
    <row r="4395" spans="1:47" s="15" customFormat="1" x14ac:dyDescent="0.2">
      <c r="A4395" s="8"/>
      <c r="B4395" s="8"/>
      <c r="C4395" s="11"/>
      <c r="D4395" s="11"/>
      <c r="E4395" s="84"/>
      <c r="F4395" s="83"/>
      <c r="H4395" s="8"/>
      <c r="I4395" s="8"/>
      <c r="J4395" s="8"/>
      <c r="K4395" s="8"/>
      <c r="L4395" s="8"/>
      <c r="M4395" s="8"/>
      <c r="N4395" s="8"/>
      <c r="O4395" s="8"/>
      <c r="P4395" s="8"/>
      <c r="Q4395" s="8"/>
      <c r="R4395" s="8"/>
      <c r="S4395" s="8"/>
      <c r="T4395" s="8"/>
      <c r="U4395" s="8"/>
      <c r="V4395" s="8"/>
      <c r="W4395" s="8"/>
      <c r="X4395" s="771"/>
      <c r="Y4395" s="771"/>
      <c r="Z4395" s="771"/>
      <c r="AA4395" s="771"/>
      <c r="AB4395" s="771"/>
      <c r="AC4395" s="771"/>
      <c r="AD4395" s="771"/>
      <c r="AE4395" s="771"/>
      <c r="AF4395" s="771"/>
      <c r="AG4395" s="771"/>
      <c r="AH4395" s="771"/>
      <c r="AI4395" s="771"/>
      <c r="AJ4395" s="771"/>
      <c r="AK4395" s="771"/>
      <c r="AL4395" s="771"/>
      <c r="AM4395" s="771"/>
      <c r="AN4395" s="771"/>
      <c r="AO4395" s="771"/>
      <c r="AP4395" s="771"/>
      <c r="AQ4395" s="771"/>
      <c r="AR4395" s="771"/>
      <c r="AS4395" s="771"/>
      <c r="AT4395" s="771"/>
      <c r="AU4395" s="771"/>
    </row>
    <row r="4396" spans="1:47" s="15" customFormat="1" x14ac:dyDescent="0.2">
      <c r="A4396" s="8"/>
      <c r="B4396" s="8"/>
      <c r="C4396" s="11"/>
      <c r="D4396" s="11"/>
      <c r="E4396" s="84"/>
      <c r="F4396" s="83"/>
      <c r="H4396" s="8"/>
      <c r="I4396" s="8"/>
      <c r="J4396" s="8"/>
      <c r="K4396" s="8"/>
      <c r="L4396" s="8"/>
      <c r="M4396" s="8"/>
      <c r="N4396" s="8"/>
      <c r="O4396" s="8"/>
      <c r="P4396" s="8"/>
      <c r="Q4396" s="8"/>
      <c r="R4396" s="8"/>
      <c r="S4396" s="8"/>
      <c r="T4396" s="8"/>
      <c r="U4396" s="8"/>
      <c r="V4396" s="8"/>
      <c r="W4396" s="8"/>
      <c r="X4396" s="771"/>
      <c r="Y4396" s="771"/>
      <c r="Z4396" s="771"/>
      <c r="AA4396" s="771"/>
      <c r="AB4396" s="771"/>
      <c r="AC4396" s="771"/>
      <c r="AD4396" s="771"/>
      <c r="AE4396" s="771"/>
      <c r="AF4396" s="771"/>
      <c r="AG4396" s="771"/>
      <c r="AH4396" s="771"/>
      <c r="AI4396" s="771"/>
      <c r="AJ4396" s="771"/>
      <c r="AK4396" s="771"/>
      <c r="AL4396" s="771"/>
      <c r="AM4396" s="771"/>
      <c r="AN4396" s="771"/>
      <c r="AO4396" s="771"/>
      <c r="AP4396" s="771"/>
      <c r="AQ4396" s="771"/>
      <c r="AR4396" s="771"/>
      <c r="AS4396" s="771"/>
      <c r="AT4396" s="771"/>
      <c r="AU4396" s="771"/>
    </row>
    <row r="4397" spans="1:47" s="15" customFormat="1" x14ac:dyDescent="0.2">
      <c r="A4397" s="8"/>
      <c r="B4397" s="8"/>
      <c r="C4397" s="11"/>
      <c r="D4397" s="11"/>
      <c r="E4397" s="84"/>
      <c r="F4397" s="83"/>
      <c r="H4397" s="8"/>
      <c r="I4397" s="8"/>
      <c r="J4397" s="8"/>
      <c r="K4397" s="8"/>
      <c r="L4397" s="8"/>
      <c r="M4397" s="8"/>
      <c r="N4397" s="8"/>
      <c r="O4397" s="8"/>
      <c r="P4397" s="8"/>
      <c r="Q4397" s="8"/>
      <c r="R4397" s="8"/>
      <c r="S4397" s="8"/>
      <c r="T4397" s="8"/>
      <c r="U4397" s="8"/>
      <c r="V4397" s="8"/>
      <c r="W4397" s="8"/>
      <c r="X4397" s="771"/>
      <c r="Y4397" s="771"/>
      <c r="Z4397" s="771"/>
      <c r="AA4397" s="771"/>
      <c r="AB4397" s="771"/>
      <c r="AC4397" s="771"/>
      <c r="AD4397" s="771"/>
      <c r="AE4397" s="771"/>
      <c r="AF4397" s="771"/>
      <c r="AG4397" s="771"/>
      <c r="AH4397" s="771"/>
      <c r="AI4397" s="771"/>
      <c r="AJ4397" s="771"/>
      <c r="AK4397" s="771"/>
      <c r="AL4397" s="771"/>
      <c r="AM4397" s="771"/>
      <c r="AN4397" s="771"/>
      <c r="AO4397" s="771"/>
      <c r="AP4397" s="771"/>
      <c r="AQ4397" s="771"/>
      <c r="AR4397" s="771"/>
      <c r="AS4397" s="771"/>
      <c r="AT4397" s="771"/>
      <c r="AU4397" s="771"/>
    </row>
    <row r="4398" spans="1:47" s="15" customFormat="1" x14ac:dyDescent="0.2">
      <c r="A4398" s="8"/>
      <c r="B4398" s="8"/>
      <c r="C4398" s="11"/>
      <c r="D4398" s="11"/>
      <c r="E4398" s="84"/>
      <c r="F4398" s="83"/>
      <c r="H4398" s="8"/>
      <c r="I4398" s="8"/>
      <c r="J4398" s="8"/>
      <c r="K4398" s="8"/>
      <c r="L4398" s="8"/>
      <c r="M4398" s="8"/>
      <c r="N4398" s="8"/>
      <c r="O4398" s="8"/>
      <c r="P4398" s="8"/>
      <c r="Q4398" s="8"/>
      <c r="R4398" s="8"/>
      <c r="S4398" s="8"/>
      <c r="T4398" s="8"/>
      <c r="U4398" s="8"/>
      <c r="V4398" s="8"/>
      <c r="W4398" s="8"/>
      <c r="X4398" s="771"/>
      <c r="Y4398" s="771"/>
      <c r="Z4398" s="771"/>
      <c r="AA4398" s="771"/>
      <c r="AB4398" s="771"/>
      <c r="AC4398" s="771"/>
      <c r="AD4398" s="771"/>
      <c r="AE4398" s="771"/>
      <c r="AF4398" s="771"/>
      <c r="AG4398" s="771"/>
      <c r="AH4398" s="771"/>
      <c r="AI4398" s="771"/>
      <c r="AJ4398" s="771"/>
      <c r="AK4398" s="771"/>
      <c r="AL4398" s="771"/>
      <c r="AM4398" s="771"/>
      <c r="AN4398" s="771"/>
      <c r="AO4398" s="771"/>
      <c r="AP4398" s="771"/>
      <c r="AQ4398" s="771"/>
      <c r="AR4398" s="771"/>
      <c r="AS4398" s="771"/>
      <c r="AT4398" s="771"/>
      <c r="AU4398" s="771"/>
    </row>
    <row r="4399" spans="1:47" s="15" customFormat="1" x14ac:dyDescent="0.2">
      <c r="A4399" s="8"/>
      <c r="B4399" s="8"/>
      <c r="C4399" s="11"/>
      <c r="D4399" s="11"/>
      <c r="E4399" s="84"/>
      <c r="F4399" s="83"/>
      <c r="H4399" s="8"/>
      <c r="I4399" s="8"/>
      <c r="J4399" s="8"/>
      <c r="K4399" s="8"/>
      <c r="L4399" s="8"/>
      <c r="M4399" s="8"/>
      <c r="N4399" s="8"/>
      <c r="O4399" s="8"/>
      <c r="P4399" s="8"/>
      <c r="Q4399" s="8"/>
      <c r="R4399" s="8"/>
      <c r="S4399" s="8"/>
      <c r="T4399" s="8"/>
      <c r="U4399" s="8"/>
      <c r="V4399" s="8"/>
      <c r="W4399" s="8"/>
      <c r="X4399" s="771"/>
      <c r="Y4399" s="771"/>
      <c r="Z4399" s="771"/>
      <c r="AA4399" s="771"/>
      <c r="AB4399" s="771"/>
      <c r="AC4399" s="771"/>
      <c r="AD4399" s="771"/>
      <c r="AE4399" s="771"/>
      <c r="AF4399" s="771"/>
      <c r="AG4399" s="771"/>
      <c r="AH4399" s="771"/>
      <c r="AI4399" s="771"/>
      <c r="AJ4399" s="771"/>
      <c r="AK4399" s="771"/>
      <c r="AL4399" s="771"/>
      <c r="AM4399" s="771"/>
      <c r="AN4399" s="771"/>
      <c r="AO4399" s="771"/>
      <c r="AP4399" s="771"/>
      <c r="AQ4399" s="771"/>
      <c r="AR4399" s="771"/>
      <c r="AS4399" s="771"/>
      <c r="AT4399" s="771"/>
      <c r="AU4399" s="771"/>
    </row>
    <row r="4400" spans="1:47" s="15" customFormat="1" x14ac:dyDescent="0.2">
      <c r="A4400" s="8"/>
      <c r="B4400" s="8"/>
      <c r="C4400" s="11"/>
      <c r="D4400" s="11"/>
      <c r="E4400" s="84"/>
      <c r="F4400" s="83"/>
      <c r="H4400" s="8"/>
      <c r="I4400" s="8"/>
      <c r="J4400" s="8"/>
      <c r="K4400" s="8"/>
      <c r="L4400" s="8"/>
      <c r="M4400" s="8"/>
      <c r="N4400" s="8"/>
      <c r="O4400" s="8"/>
      <c r="P4400" s="8"/>
      <c r="Q4400" s="8"/>
      <c r="R4400" s="8"/>
      <c r="S4400" s="8"/>
      <c r="T4400" s="8"/>
      <c r="U4400" s="8"/>
      <c r="V4400" s="8"/>
      <c r="W4400" s="8"/>
      <c r="X4400" s="771"/>
      <c r="Y4400" s="771"/>
      <c r="Z4400" s="771"/>
      <c r="AA4400" s="771"/>
      <c r="AB4400" s="771"/>
      <c r="AC4400" s="771"/>
      <c r="AD4400" s="771"/>
      <c r="AE4400" s="771"/>
      <c r="AF4400" s="771"/>
      <c r="AG4400" s="771"/>
      <c r="AH4400" s="771"/>
      <c r="AI4400" s="771"/>
      <c r="AJ4400" s="771"/>
      <c r="AK4400" s="771"/>
      <c r="AL4400" s="771"/>
      <c r="AM4400" s="771"/>
      <c r="AN4400" s="771"/>
      <c r="AO4400" s="771"/>
      <c r="AP4400" s="771"/>
      <c r="AQ4400" s="771"/>
      <c r="AR4400" s="771"/>
      <c r="AS4400" s="771"/>
      <c r="AT4400" s="771"/>
      <c r="AU4400" s="771"/>
    </row>
    <row r="4401" spans="1:47" s="15" customFormat="1" x14ac:dyDescent="0.2">
      <c r="A4401" s="8"/>
      <c r="B4401" s="8"/>
      <c r="C4401" s="11"/>
      <c r="D4401" s="11"/>
      <c r="E4401" s="84"/>
      <c r="F4401" s="83"/>
      <c r="H4401" s="8"/>
      <c r="I4401" s="8"/>
      <c r="J4401" s="8"/>
      <c r="K4401" s="8"/>
      <c r="L4401" s="8"/>
      <c r="M4401" s="8"/>
      <c r="N4401" s="8"/>
      <c r="O4401" s="8"/>
      <c r="P4401" s="8"/>
      <c r="Q4401" s="8"/>
      <c r="R4401" s="8"/>
      <c r="S4401" s="8"/>
      <c r="T4401" s="8"/>
      <c r="U4401" s="8"/>
      <c r="V4401" s="8"/>
      <c r="W4401" s="8"/>
      <c r="X4401" s="771"/>
      <c r="Y4401" s="771"/>
      <c r="Z4401" s="771"/>
      <c r="AA4401" s="771"/>
      <c r="AB4401" s="771"/>
      <c r="AC4401" s="771"/>
      <c r="AD4401" s="771"/>
      <c r="AE4401" s="771"/>
      <c r="AF4401" s="771"/>
      <c r="AG4401" s="771"/>
      <c r="AH4401" s="771"/>
      <c r="AI4401" s="771"/>
      <c r="AJ4401" s="771"/>
      <c r="AK4401" s="771"/>
      <c r="AL4401" s="771"/>
      <c r="AM4401" s="771"/>
      <c r="AN4401" s="771"/>
      <c r="AO4401" s="771"/>
      <c r="AP4401" s="771"/>
      <c r="AQ4401" s="771"/>
      <c r="AR4401" s="771"/>
      <c r="AS4401" s="771"/>
      <c r="AT4401" s="771"/>
      <c r="AU4401" s="771"/>
    </row>
    <row r="4402" spans="1:47" s="15" customFormat="1" x14ac:dyDescent="0.2">
      <c r="A4402" s="8"/>
      <c r="B4402" s="8"/>
      <c r="C4402" s="11"/>
      <c r="D4402" s="11"/>
      <c r="E4402" s="84"/>
      <c r="F4402" s="83"/>
      <c r="H4402" s="8"/>
      <c r="I4402" s="8"/>
      <c r="J4402" s="8"/>
      <c r="K4402" s="8"/>
      <c r="L4402" s="8"/>
      <c r="M4402" s="8"/>
      <c r="N4402" s="8"/>
      <c r="O4402" s="8"/>
      <c r="P4402" s="8"/>
      <c r="Q4402" s="8"/>
      <c r="R4402" s="8"/>
      <c r="S4402" s="8"/>
      <c r="T4402" s="8"/>
      <c r="U4402" s="8"/>
      <c r="V4402" s="8"/>
      <c r="W4402" s="8"/>
      <c r="X4402" s="771"/>
      <c r="Y4402" s="771"/>
      <c r="Z4402" s="771"/>
      <c r="AA4402" s="771"/>
      <c r="AB4402" s="771"/>
      <c r="AC4402" s="771"/>
      <c r="AD4402" s="771"/>
      <c r="AE4402" s="771"/>
      <c r="AF4402" s="771"/>
      <c r="AG4402" s="771"/>
      <c r="AH4402" s="771"/>
      <c r="AI4402" s="771"/>
      <c r="AJ4402" s="771"/>
      <c r="AK4402" s="771"/>
      <c r="AL4402" s="771"/>
      <c r="AM4402" s="771"/>
      <c r="AN4402" s="771"/>
      <c r="AO4402" s="771"/>
      <c r="AP4402" s="771"/>
      <c r="AQ4402" s="771"/>
      <c r="AR4402" s="771"/>
      <c r="AS4402" s="771"/>
      <c r="AT4402" s="771"/>
      <c r="AU4402" s="771"/>
    </row>
    <row r="4403" spans="1:47" s="15" customFormat="1" x14ac:dyDescent="0.2">
      <c r="A4403" s="8"/>
      <c r="B4403" s="8"/>
      <c r="C4403" s="11"/>
      <c r="D4403" s="11"/>
      <c r="E4403" s="84"/>
      <c r="F4403" s="83"/>
      <c r="H4403" s="8"/>
      <c r="I4403" s="8"/>
      <c r="J4403" s="8"/>
      <c r="K4403" s="8"/>
      <c r="L4403" s="8"/>
      <c r="M4403" s="8"/>
      <c r="N4403" s="8"/>
      <c r="O4403" s="8"/>
      <c r="P4403" s="8"/>
      <c r="Q4403" s="8"/>
      <c r="R4403" s="8"/>
      <c r="S4403" s="8"/>
      <c r="T4403" s="8"/>
      <c r="U4403" s="8"/>
      <c r="V4403" s="8"/>
      <c r="W4403" s="8"/>
      <c r="X4403" s="771"/>
      <c r="Y4403" s="771"/>
      <c r="Z4403" s="771"/>
      <c r="AA4403" s="771"/>
      <c r="AB4403" s="771"/>
      <c r="AC4403" s="771"/>
      <c r="AD4403" s="771"/>
      <c r="AE4403" s="771"/>
      <c r="AF4403" s="771"/>
      <c r="AG4403" s="771"/>
      <c r="AH4403" s="771"/>
      <c r="AI4403" s="771"/>
      <c r="AJ4403" s="771"/>
      <c r="AK4403" s="771"/>
      <c r="AL4403" s="771"/>
      <c r="AM4403" s="771"/>
      <c r="AN4403" s="771"/>
      <c r="AO4403" s="771"/>
      <c r="AP4403" s="771"/>
      <c r="AQ4403" s="771"/>
      <c r="AR4403" s="771"/>
      <c r="AS4403" s="771"/>
      <c r="AT4403" s="771"/>
      <c r="AU4403" s="771"/>
    </row>
    <row r="4404" spans="1:47" s="15" customFormat="1" x14ac:dyDescent="0.2">
      <c r="A4404" s="8"/>
      <c r="B4404" s="8"/>
      <c r="C4404" s="11"/>
      <c r="D4404" s="11"/>
      <c r="E4404" s="84"/>
      <c r="F4404" s="83"/>
      <c r="H4404" s="8"/>
      <c r="I4404" s="8"/>
      <c r="J4404" s="8"/>
      <c r="K4404" s="8"/>
      <c r="L4404" s="8"/>
      <c r="M4404" s="8"/>
      <c r="N4404" s="8"/>
      <c r="O4404" s="8"/>
      <c r="P4404" s="8"/>
      <c r="Q4404" s="8"/>
      <c r="R4404" s="8"/>
      <c r="S4404" s="8"/>
      <c r="T4404" s="8"/>
      <c r="U4404" s="8"/>
      <c r="V4404" s="8"/>
      <c r="W4404" s="8"/>
      <c r="X4404" s="771"/>
      <c r="Y4404" s="771"/>
      <c r="Z4404" s="771"/>
      <c r="AA4404" s="771"/>
      <c r="AB4404" s="771"/>
      <c r="AC4404" s="771"/>
      <c r="AD4404" s="771"/>
      <c r="AE4404" s="771"/>
      <c r="AF4404" s="771"/>
      <c r="AG4404" s="771"/>
      <c r="AH4404" s="771"/>
      <c r="AI4404" s="771"/>
      <c r="AJ4404" s="771"/>
      <c r="AK4404" s="771"/>
      <c r="AL4404" s="771"/>
      <c r="AM4404" s="771"/>
      <c r="AN4404" s="771"/>
      <c r="AO4404" s="771"/>
      <c r="AP4404" s="771"/>
      <c r="AQ4404" s="771"/>
      <c r="AR4404" s="771"/>
      <c r="AS4404" s="771"/>
      <c r="AT4404" s="771"/>
      <c r="AU4404" s="771"/>
    </row>
    <row r="4405" spans="1:47" s="15" customFormat="1" x14ac:dyDescent="0.2">
      <c r="A4405" s="8"/>
      <c r="B4405" s="8"/>
      <c r="C4405" s="11"/>
      <c r="D4405" s="11"/>
      <c r="E4405" s="84"/>
      <c r="F4405" s="83"/>
      <c r="H4405" s="8"/>
      <c r="I4405" s="8"/>
      <c r="J4405" s="8"/>
      <c r="K4405" s="8"/>
      <c r="L4405" s="8"/>
      <c r="M4405" s="8"/>
      <c r="N4405" s="8"/>
      <c r="O4405" s="8"/>
      <c r="P4405" s="8"/>
      <c r="Q4405" s="8"/>
      <c r="R4405" s="8"/>
      <c r="S4405" s="8"/>
      <c r="T4405" s="8"/>
      <c r="U4405" s="8"/>
      <c r="V4405" s="8"/>
      <c r="W4405" s="8"/>
      <c r="X4405" s="771"/>
      <c r="Y4405" s="771"/>
      <c r="Z4405" s="771"/>
      <c r="AA4405" s="771"/>
      <c r="AB4405" s="771"/>
      <c r="AC4405" s="771"/>
      <c r="AD4405" s="771"/>
      <c r="AE4405" s="771"/>
      <c r="AF4405" s="771"/>
      <c r="AG4405" s="771"/>
      <c r="AH4405" s="771"/>
      <c r="AI4405" s="771"/>
      <c r="AJ4405" s="771"/>
      <c r="AK4405" s="771"/>
      <c r="AL4405" s="771"/>
      <c r="AM4405" s="771"/>
      <c r="AN4405" s="771"/>
      <c r="AO4405" s="771"/>
      <c r="AP4405" s="771"/>
      <c r="AQ4405" s="771"/>
      <c r="AR4405" s="771"/>
      <c r="AS4405" s="771"/>
      <c r="AT4405" s="771"/>
      <c r="AU4405" s="771"/>
    </row>
    <row r="4406" spans="1:47" s="15" customFormat="1" x14ac:dyDescent="0.2">
      <c r="A4406" s="8"/>
      <c r="B4406" s="8"/>
      <c r="C4406" s="11"/>
      <c r="D4406" s="11"/>
      <c r="E4406" s="84"/>
      <c r="F4406" s="83"/>
      <c r="H4406" s="8"/>
      <c r="I4406" s="8"/>
      <c r="J4406" s="8"/>
      <c r="K4406" s="8"/>
      <c r="L4406" s="8"/>
      <c r="M4406" s="8"/>
      <c r="N4406" s="8"/>
      <c r="O4406" s="8"/>
      <c r="P4406" s="8"/>
      <c r="Q4406" s="8"/>
      <c r="R4406" s="8"/>
      <c r="S4406" s="8"/>
      <c r="T4406" s="8"/>
      <c r="U4406" s="8"/>
      <c r="V4406" s="8"/>
      <c r="W4406" s="8"/>
      <c r="X4406" s="771"/>
      <c r="Y4406" s="771"/>
      <c r="Z4406" s="771"/>
      <c r="AA4406" s="771"/>
      <c r="AB4406" s="771"/>
      <c r="AC4406" s="771"/>
      <c r="AD4406" s="771"/>
      <c r="AE4406" s="771"/>
      <c r="AF4406" s="771"/>
      <c r="AG4406" s="771"/>
      <c r="AH4406" s="771"/>
      <c r="AI4406" s="771"/>
      <c r="AJ4406" s="771"/>
      <c r="AK4406" s="771"/>
      <c r="AL4406" s="771"/>
      <c r="AM4406" s="771"/>
      <c r="AN4406" s="771"/>
      <c r="AO4406" s="771"/>
      <c r="AP4406" s="771"/>
      <c r="AQ4406" s="771"/>
      <c r="AR4406" s="771"/>
      <c r="AS4406" s="771"/>
      <c r="AT4406" s="771"/>
      <c r="AU4406" s="771"/>
    </row>
    <row r="4407" spans="1:47" s="15" customFormat="1" x14ac:dyDescent="0.2">
      <c r="A4407" s="8"/>
      <c r="B4407" s="8"/>
      <c r="C4407" s="11"/>
      <c r="D4407" s="11"/>
      <c r="E4407" s="84"/>
      <c r="F4407" s="83"/>
      <c r="H4407" s="8"/>
      <c r="I4407" s="8"/>
      <c r="J4407" s="8"/>
      <c r="K4407" s="8"/>
      <c r="L4407" s="8"/>
      <c r="M4407" s="8"/>
      <c r="N4407" s="8"/>
      <c r="O4407" s="8"/>
      <c r="P4407" s="8"/>
      <c r="Q4407" s="8"/>
      <c r="R4407" s="8"/>
      <c r="S4407" s="8"/>
      <c r="T4407" s="8"/>
      <c r="U4407" s="8"/>
      <c r="V4407" s="8"/>
      <c r="W4407" s="8"/>
      <c r="X4407" s="771"/>
      <c r="Y4407" s="771"/>
      <c r="Z4407" s="771"/>
      <c r="AA4407" s="771"/>
      <c r="AB4407" s="771"/>
      <c r="AC4407" s="771"/>
      <c r="AD4407" s="771"/>
      <c r="AE4407" s="771"/>
      <c r="AF4407" s="771"/>
      <c r="AG4407" s="771"/>
      <c r="AH4407" s="771"/>
      <c r="AI4407" s="771"/>
      <c r="AJ4407" s="771"/>
      <c r="AK4407" s="771"/>
      <c r="AL4407" s="771"/>
      <c r="AM4407" s="771"/>
      <c r="AN4407" s="771"/>
      <c r="AO4407" s="771"/>
      <c r="AP4407" s="771"/>
      <c r="AQ4407" s="771"/>
      <c r="AR4407" s="771"/>
      <c r="AS4407" s="771"/>
      <c r="AT4407" s="771"/>
      <c r="AU4407" s="771"/>
    </row>
    <row r="4408" spans="1:47" s="15" customFormat="1" x14ac:dyDescent="0.2">
      <c r="A4408" s="8"/>
      <c r="B4408" s="8"/>
      <c r="C4408" s="11"/>
      <c r="D4408" s="11"/>
      <c r="E4408" s="84"/>
      <c r="F4408" s="83"/>
      <c r="H4408" s="8"/>
      <c r="I4408" s="8"/>
      <c r="J4408" s="8"/>
      <c r="K4408" s="8"/>
      <c r="L4408" s="8"/>
      <c r="M4408" s="8"/>
      <c r="N4408" s="8"/>
      <c r="O4408" s="8"/>
      <c r="P4408" s="8"/>
      <c r="Q4408" s="8"/>
      <c r="R4408" s="8"/>
      <c r="S4408" s="8"/>
      <c r="T4408" s="8"/>
      <c r="U4408" s="8"/>
      <c r="V4408" s="8"/>
      <c r="W4408" s="8"/>
      <c r="X4408" s="771"/>
      <c r="Y4408" s="771"/>
      <c r="Z4408" s="771"/>
      <c r="AA4408" s="771"/>
      <c r="AB4408" s="771"/>
      <c r="AC4408" s="771"/>
      <c r="AD4408" s="771"/>
      <c r="AE4408" s="771"/>
      <c r="AF4408" s="771"/>
      <c r="AG4408" s="771"/>
      <c r="AH4408" s="771"/>
      <c r="AI4408" s="771"/>
      <c r="AJ4408" s="771"/>
      <c r="AK4408" s="771"/>
      <c r="AL4408" s="771"/>
      <c r="AM4408" s="771"/>
      <c r="AN4408" s="771"/>
      <c r="AO4408" s="771"/>
      <c r="AP4408" s="771"/>
      <c r="AQ4408" s="771"/>
      <c r="AR4408" s="771"/>
      <c r="AS4408" s="771"/>
      <c r="AT4408" s="771"/>
      <c r="AU4408" s="771"/>
    </row>
    <row r="4409" spans="1:47" s="15" customFormat="1" x14ac:dyDescent="0.2">
      <c r="A4409" s="8"/>
      <c r="B4409" s="8"/>
      <c r="C4409" s="11"/>
      <c r="D4409" s="11"/>
      <c r="E4409" s="84"/>
      <c r="F4409" s="83"/>
      <c r="H4409" s="8"/>
      <c r="I4409" s="8"/>
      <c r="J4409" s="8"/>
      <c r="K4409" s="8"/>
      <c r="L4409" s="8"/>
      <c r="M4409" s="8"/>
      <c r="N4409" s="8"/>
      <c r="O4409" s="8"/>
      <c r="P4409" s="8"/>
      <c r="Q4409" s="8"/>
      <c r="R4409" s="8"/>
      <c r="S4409" s="8"/>
      <c r="T4409" s="8"/>
      <c r="U4409" s="8"/>
      <c r="V4409" s="8"/>
      <c r="W4409" s="8"/>
      <c r="X4409" s="771"/>
      <c r="Y4409" s="771"/>
      <c r="Z4409" s="771"/>
      <c r="AA4409" s="771"/>
      <c r="AB4409" s="771"/>
      <c r="AC4409" s="771"/>
      <c r="AD4409" s="771"/>
      <c r="AE4409" s="771"/>
      <c r="AF4409" s="771"/>
      <c r="AG4409" s="771"/>
      <c r="AH4409" s="771"/>
      <c r="AI4409" s="771"/>
      <c r="AJ4409" s="771"/>
      <c r="AK4409" s="771"/>
      <c r="AL4409" s="771"/>
      <c r="AM4409" s="771"/>
      <c r="AN4409" s="771"/>
      <c r="AO4409" s="771"/>
      <c r="AP4409" s="771"/>
      <c r="AQ4409" s="771"/>
      <c r="AR4409" s="771"/>
      <c r="AS4409" s="771"/>
      <c r="AT4409" s="771"/>
      <c r="AU4409" s="771"/>
    </row>
    <row r="4410" spans="1:47" s="15" customFormat="1" x14ac:dyDescent="0.2">
      <c r="A4410" s="8"/>
      <c r="B4410" s="8"/>
      <c r="C4410" s="11"/>
      <c r="D4410" s="11"/>
      <c r="E4410" s="84"/>
      <c r="F4410" s="83"/>
      <c r="H4410" s="8"/>
      <c r="I4410" s="8"/>
      <c r="J4410" s="8"/>
      <c r="K4410" s="8"/>
      <c r="L4410" s="8"/>
      <c r="M4410" s="8"/>
      <c r="N4410" s="8"/>
      <c r="O4410" s="8"/>
      <c r="P4410" s="8"/>
      <c r="Q4410" s="8"/>
      <c r="R4410" s="8"/>
      <c r="S4410" s="8"/>
      <c r="T4410" s="8"/>
      <c r="U4410" s="8"/>
      <c r="V4410" s="8"/>
      <c r="W4410" s="8"/>
      <c r="X4410" s="771"/>
      <c r="Y4410" s="771"/>
      <c r="Z4410" s="771"/>
      <c r="AA4410" s="771"/>
      <c r="AB4410" s="771"/>
      <c r="AC4410" s="771"/>
      <c r="AD4410" s="771"/>
      <c r="AE4410" s="771"/>
      <c r="AF4410" s="771"/>
      <c r="AG4410" s="771"/>
      <c r="AH4410" s="771"/>
      <c r="AI4410" s="771"/>
      <c r="AJ4410" s="771"/>
      <c r="AK4410" s="771"/>
      <c r="AL4410" s="771"/>
      <c r="AM4410" s="771"/>
      <c r="AN4410" s="771"/>
      <c r="AO4410" s="771"/>
      <c r="AP4410" s="771"/>
      <c r="AQ4410" s="771"/>
      <c r="AR4410" s="771"/>
      <c r="AS4410" s="771"/>
      <c r="AT4410" s="771"/>
      <c r="AU4410" s="771"/>
    </row>
    <row r="4411" spans="1:47" s="15" customFormat="1" x14ac:dyDescent="0.2">
      <c r="A4411" s="8"/>
      <c r="B4411" s="8"/>
      <c r="C4411" s="11"/>
      <c r="D4411" s="11"/>
      <c r="E4411" s="84"/>
      <c r="F4411" s="83"/>
      <c r="H4411" s="8"/>
      <c r="I4411" s="8"/>
      <c r="J4411" s="8"/>
      <c r="K4411" s="8"/>
      <c r="L4411" s="8"/>
      <c r="M4411" s="8"/>
      <c r="N4411" s="8"/>
      <c r="O4411" s="8"/>
      <c r="P4411" s="8"/>
      <c r="Q4411" s="8"/>
      <c r="R4411" s="8"/>
      <c r="S4411" s="8"/>
      <c r="T4411" s="8"/>
      <c r="U4411" s="8"/>
      <c r="V4411" s="8"/>
      <c r="W4411" s="8"/>
      <c r="X4411" s="771"/>
      <c r="Y4411" s="771"/>
      <c r="Z4411" s="771"/>
      <c r="AA4411" s="771"/>
      <c r="AB4411" s="771"/>
      <c r="AC4411" s="771"/>
      <c r="AD4411" s="771"/>
      <c r="AE4411" s="771"/>
      <c r="AF4411" s="771"/>
      <c r="AG4411" s="771"/>
      <c r="AH4411" s="771"/>
      <c r="AI4411" s="771"/>
      <c r="AJ4411" s="771"/>
      <c r="AK4411" s="771"/>
      <c r="AL4411" s="771"/>
      <c r="AM4411" s="771"/>
      <c r="AN4411" s="771"/>
      <c r="AO4411" s="771"/>
      <c r="AP4411" s="771"/>
      <c r="AQ4411" s="771"/>
      <c r="AR4411" s="771"/>
      <c r="AS4411" s="771"/>
      <c r="AT4411" s="771"/>
      <c r="AU4411" s="771"/>
    </row>
    <row r="4412" spans="1:47" s="15" customFormat="1" x14ac:dyDescent="0.2">
      <c r="A4412" s="8"/>
      <c r="B4412" s="8"/>
      <c r="C4412" s="11"/>
      <c r="D4412" s="11"/>
      <c r="E4412" s="84"/>
      <c r="F4412" s="83"/>
      <c r="H4412" s="8"/>
      <c r="I4412" s="8"/>
      <c r="J4412" s="8"/>
      <c r="K4412" s="8"/>
      <c r="L4412" s="8"/>
      <c r="M4412" s="8"/>
      <c r="N4412" s="8"/>
      <c r="O4412" s="8"/>
      <c r="P4412" s="8"/>
      <c r="Q4412" s="8"/>
      <c r="R4412" s="8"/>
      <c r="S4412" s="8"/>
      <c r="T4412" s="8"/>
      <c r="U4412" s="8"/>
      <c r="V4412" s="8"/>
      <c r="W4412" s="8"/>
      <c r="X4412" s="771"/>
      <c r="Y4412" s="771"/>
      <c r="Z4412" s="771"/>
      <c r="AA4412" s="771"/>
      <c r="AB4412" s="771"/>
      <c r="AC4412" s="771"/>
      <c r="AD4412" s="771"/>
      <c r="AE4412" s="771"/>
      <c r="AF4412" s="771"/>
      <c r="AG4412" s="771"/>
      <c r="AH4412" s="771"/>
      <c r="AI4412" s="771"/>
      <c r="AJ4412" s="771"/>
      <c r="AK4412" s="771"/>
      <c r="AL4412" s="771"/>
      <c r="AM4412" s="771"/>
      <c r="AN4412" s="771"/>
      <c r="AO4412" s="771"/>
      <c r="AP4412" s="771"/>
      <c r="AQ4412" s="771"/>
      <c r="AR4412" s="771"/>
      <c r="AS4412" s="771"/>
      <c r="AT4412" s="771"/>
      <c r="AU4412" s="771"/>
    </row>
    <row r="4413" spans="1:47" s="15" customFormat="1" x14ac:dyDescent="0.2">
      <c r="A4413" s="8"/>
      <c r="B4413" s="8"/>
      <c r="C4413" s="11"/>
      <c r="D4413" s="11"/>
      <c r="E4413" s="84"/>
      <c r="F4413" s="83"/>
      <c r="H4413" s="8"/>
      <c r="I4413" s="8"/>
      <c r="J4413" s="8"/>
      <c r="K4413" s="8"/>
      <c r="L4413" s="8"/>
      <c r="M4413" s="8"/>
      <c r="N4413" s="8"/>
      <c r="O4413" s="8"/>
      <c r="P4413" s="8"/>
      <c r="Q4413" s="8"/>
      <c r="R4413" s="8"/>
      <c r="S4413" s="8"/>
      <c r="T4413" s="8"/>
      <c r="U4413" s="8"/>
      <c r="V4413" s="8"/>
      <c r="W4413" s="8"/>
      <c r="X4413" s="771"/>
      <c r="Y4413" s="771"/>
      <c r="Z4413" s="771"/>
      <c r="AA4413" s="771"/>
      <c r="AB4413" s="771"/>
      <c r="AC4413" s="771"/>
      <c r="AD4413" s="771"/>
      <c r="AE4413" s="771"/>
      <c r="AF4413" s="771"/>
      <c r="AG4413" s="771"/>
      <c r="AH4413" s="771"/>
      <c r="AI4413" s="771"/>
      <c r="AJ4413" s="771"/>
      <c r="AK4413" s="771"/>
      <c r="AL4413" s="771"/>
      <c r="AM4413" s="771"/>
      <c r="AN4413" s="771"/>
      <c r="AO4413" s="771"/>
      <c r="AP4413" s="771"/>
      <c r="AQ4413" s="771"/>
      <c r="AR4413" s="771"/>
      <c r="AS4413" s="771"/>
      <c r="AT4413" s="771"/>
      <c r="AU4413" s="771"/>
    </row>
    <row r="4414" spans="1:47" s="15" customFormat="1" x14ac:dyDescent="0.2">
      <c r="A4414" s="8"/>
      <c r="B4414" s="8"/>
      <c r="C4414" s="11"/>
      <c r="D4414" s="11"/>
      <c r="E4414" s="84"/>
      <c r="F4414" s="83"/>
      <c r="H4414" s="8"/>
      <c r="I4414" s="8"/>
      <c r="J4414" s="8"/>
      <c r="K4414" s="8"/>
      <c r="L4414" s="8"/>
      <c r="M4414" s="8"/>
      <c r="N4414" s="8"/>
      <c r="O4414" s="8"/>
      <c r="P4414" s="8"/>
      <c r="Q4414" s="8"/>
      <c r="R4414" s="8"/>
      <c r="S4414" s="8"/>
      <c r="T4414" s="8"/>
      <c r="U4414" s="8"/>
      <c r="V4414" s="8"/>
      <c r="W4414" s="8"/>
      <c r="X4414" s="771"/>
      <c r="Y4414" s="771"/>
      <c r="Z4414" s="771"/>
      <c r="AA4414" s="771"/>
      <c r="AB4414" s="771"/>
      <c r="AC4414" s="771"/>
      <c r="AD4414" s="771"/>
      <c r="AE4414" s="771"/>
      <c r="AF4414" s="771"/>
      <c r="AG4414" s="771"/>
      <c r="AH4414" s="771"/>
      <c r="AI4414" s="771"/>
      <c r="AJ4414" s="771"/>
      <c r="AK4414" s="771"/>
      <c r="AL4414" s="771"/>
      <c r="AM4414" s="771"/>
      <c r="AN4414" s="771"/>
      <c r="AO4414" s="771"/>
      <c r="AP4414" s="771"/>
      <c r="AQ4414" s="771"/>
      <c r="AR4414" s="771"/>
      <c r="AS4414" s="771"/>
      <c r="AT4414" s="771"/>
      <c r="AU4414" s="771"/>
    </row>
    <row r="4415" spans="1:47" s="15" customFormat="1" x14ac:dyDescent="0.2">
      <c r="A4415" s="8"/>
      <c r="B4415" s="8"/>
      <c r="C4415" s="11"/>
      <c r="D4415" s="11"/>
      <c r="E4415" s="84"/>
      <c r="F4415" s="83"/>
      <c r="H4415" s="8"/>
      <c r="I4415" s="8"/>
      <c r="J4415" s="8"/>
      <c r="K4415" s="8"/>
      <c r="L4415" s="8"/>
      <c r="M4415" s="8"/>
      <c r="N4415" s="8"/>
      <c r="O4415" s="8"/>
      <c r="P4415" s="8"/>
      <c r="Q4415" s="8"/>
      <c r="R4415" s="8"/>
      <c r="S4415" s="8"/>
      <c r="T4415" s="8"/>
      <c r="U4415" s="8"/>
      <c r="V4415" s="8"/>
      <c r="W4415" s="8"/>
      <c r="X4415" s="771"/>
      <c r="Y4415" s="771"/>
      <c r="Z4415" s="771"/>
      <c r="AA4415" s="771"/>
      <c r="AB4415" s="771"/>
      <c r="AC4415" s="771"/>
      <c r="AD4415" s="771"/>
      <c r="AE4415" s="771"/>
      <c r="AF4415" s="771"/>
      <c r="AG4415" s="771"/>
      <c r="AH4415" s="771"/>
      <c r="AI4415" s="771"/>
      <c r="AJ4415" s="771"/>
      <c r="AK4415" s="771"/>
      <c r="AL4415" s="771"/>
      <c r="AM4415" s="771"/>
      <c r="AN4415" s="771"/>
      <c r="AO4415" s="771"/>
      <c r="AP4415" s="771"/>
      <c r="AQ4415" s="771"/>
      <c r="AR4415" s="771"/>
      <c r="AS4415" s="771"/>
      <c r="AT4415" s="771"/>
      <c r="AU4415" s="771"/>
    </row>
    <row r="4416" spans="1:47" s="15" customFormat="1" x14ac:dyDescent="0.2">
      <c r="A4416" s="8"/>
      <c r="B4416" s="8"/>
      <c r="C4416" s="11"/>
      <c r="D4416" s="11"/>
      <c r="E4416" s="84"/>
      <c r="F4416" s="83"/>
      <c r="H4416" s="8"/>
      <c r="I4416" s="8"/>
      <c r="J4416" s="8"/>
      <c r="K4416" s="8"/>
      <c r="L4416" s="8"/>
      <c r="M4416" s="8"/>
      <c r="N4416" s="8"/>
      <c r="O4416" s="8"/>
      <c r="P4416" s="8"/>
      <c r="Q4416" s="8"/>
      <c r="R4416" s="8"/>
      <c r="S4416" s="8"/>
      <c r="T4416" s="8"/>
      <c r="U4416" s="8"/>
      <c r="V4416" s="8"/>
      <c r="W4416" s="8"/>
      <c r="X4416" s="771"/>
      <c r="Y4416" s="771"/>
      <c r="Z4416" s="771"/>
      <c r="AA4416" s="771"/>
      <c r="AB4416" s="771"/>
      <c r="AC4416" s="771"/>
      <c r="AD4416" s="771"/>
      <c r="AE4416" s="771"/>
      <c r="AF4416" s="771"/>
      <c r="AG4416" s="771"/>
      <c r="AH4416" s="771"/>
      <c r="AI4416" s="771"/>
      <c r="AJ4416" s="771"/>
      <c r="AK4416" s="771"/>
      <c r="AL4416" s="771"/>
      <c r="AM4416" s="771"/>
      <c r="AN4416" s="771"/>
      <c r="AO4416" s="771"/>
      <c r="AP4416" s="771"/>
      <c r="AQ4416" s="771"/>
      <c r="AR4416" s="771"/>
      <c r="AS4416" s="771"/>
      <c r="AT4416" s="771"/>
      <c r="AU4416" s="771"/>
    </row>
    <row r="4417" spans="1:47" s="15" customFormat="1" x14ac:dyDescent="0.2">
      <c r="A4417" s="8"/>
      <c r="B4417" s="8"/>
      <c r="C4417" s="11"/>
      <c r="D4417" s="11"/>
      <c r="E4417" s="84"/>
      <c r="F4417" s="83"/>
      <c r="H4417" s="8"/>
      <c r="I4417" s="8"/>
      <c r="J4417" s="8"/>
      <c r="K4417" s="8"/>
      <c r="L4417" s="8"/>
      <c r="M4417" s="8"/>
      <c r="N4417" s="8"/>
      <c r="O4417" s="8"/>
      <c r="P4417" s="8"/>
      <c r="Q4417" s="8"/>
      <c r="R4417" s="8"/>
      <c r="S4417" s="8"/>
      <c r="T4417" s="8"/>
      <c r="U4417" s="8"/>
      <c r="V4417" s="8"/>
      <c r="W4417" s="8"/>
      <c r="X4417" s="771"/>
      <c r="Y4417" s="771"/>
      <c r="Z4417" s="771"/>
      <c r="AA4417" s="771"/>
      <c r="AB4417" s="771"/>
      <c r="AC4417" s="771"/>
      <c r="AD4417" s="771"/>
      <c r="AE4417" s="771"/>
      <c r="AF4417" s="771"/>
      <c r="AG4417" s="771"/>
      <c r="AH4417" s="771"/>
      <c r="AI4417" s="771"/>
      <c r="AJ4417" s="771"/>
      <c r="AK4417" s="771"/>
      <c r="AL4417" s="771"/>
      <c r="AM4417" s="771"/>
      <c r="AN4417" s="771"/>
      <c r="AO4417" s="771"/>
      <c r="AP4417" s="771"/>
      <c r="AQ4417" s="771"/>
      <c r="AR4417" s="771"/>
      <c r="AS4417" s="771"/>
      <c r="AT4417" s="771"/>
      <c r="AU4417" s="771"/>
    </row>
    <row r="4418" spans="1:47" s="15" customFormat="1" x14ac:dyDescent="0.2">
      <c r="A4418" s="8"/>
      <c r="B4418" s="8"/>
      <c r="C4418" s="11"/>
      <c r="D4418" s="11"/>
      <c r="E4418" s="84"/>
      <c r="F4418" s="83"/>
      <c r="H4418" s="8"/>
      <c r="I4418" s="8"/>
      <c r="J4418" s="8"/>
      <c r="K4418" s="8"/>
      <c r="L4418" s="8"/>
      <c r="M4418" s="8"/>
      <c r="N4418" s="8"/>
      <c r="O4418" s="8"/>
      <c r="P4418" s="8"/>
      <c r="Q4418" s="8"/>
      <c r="R4418" s="8"/>
      <c r="S4418" s="8"/>
      <c r="T4418" s="8"/>
      <c r="U4418" s="8"/>
      <c r="V4418" s="8"/>
      <c r="W4418" s="8"/>
      <c r="X4418" s="771"/>
      <c r="Y4418" s="771"/>
      <c r="Z4418" s="771"/>
      <c r="AA4418" s="771"/>
      <c r="AB4418" s="771"/>
      <c r="AC4418" s="771"/>
      <c r="AD4418" s="771"/>
      <c r="AE4418" s="771"/>
      <c r="AF4418" s="771"/>
      <c r="AG4418" s="771"/>
      <c r="AH4418" s="771"/>
      <c r="AI4418" s="771"/>
      <c r="AJ4418" s="771"/>
      <c r="AK4418" s="771"/>
      <c r="AL4418" s="771"/>
      <c r="AM4418" s="771"/>
      <c r="AN4418" s="771"/>
      <c r="AO4418" s="771"/>
      <c r="AP4418" s="771"/>
      <c r="AQ4418" s="771"/>
      <c r="AR4418" s="771"/>
      <c r="AS4418" s="771"/>
      <c r="AT4418" s="771"/>
      <c r="AU4418" s="771"/>
    </row>
    <row r="4419" spans="1:47" s="15" customFormat="1" x14ac:dyDescent="0.2">
      <c r="A4419" s="8"/>
      <c r="B4419" s="8"/>
      <c r="C4419" s="11"/>
      <c r="D4419" s="11"/>
      <c r="E4419" s="84"/>
      <c r="F4419" s="83"/>
      <c r="H4419" s="8"/>
      <c r="I4419" s="8"/>
      <c r="J4419" s="8"/>
      <c r="K4419" s="8"/>
      <c r="L4419" s="8"/>
      <c r="M4419" s="8"/>
      <c r="N4419" s="8"/>
      <c r="O4419" s="8"/>
      <c r="P4419" s="8"/>
      <c r="Q4419" s="8"/>
      <c r="R4419" s="8"/>
      <c r="S4419" s="8"/>
      <c r="T4419" s="8"/>
      <c r="U4419" s="8"/>
      <c r="V4419" s="8"/>
      <c r="W4419" s="8"/>
      <c r="X4419" s="771"/>
      <c r="Y4419" s="771"/>
      <c r="Z4419" s="771"/>
      <c r="AA4419" s="771"/>
      <c r="AB4419" s="771"/>
      <c r="AC4419" s="771"/>
      <c r="AD4419" s="771"/>
      <c r="AE4419" s="771"/>
      <c r="AF4419" s="771"/>
      <c r="AG4419" s="771"/>
      <c r="AH4419" s="771"/>
      <c r="AI4419" s="771"/>
      <c r="AJ4419" s="771"/>
      <c r="AK4419" s="771"/>
      <c r="AL4419" s="771"/>
      <c r="AM4419" s="771"/>
      <c r="AN4419" s="771"/>
      <c r="AO4419" s="771"/>
      <c r="AP4419" s="771"/>
      <c r="AQ4419" s="771"/>
      <c r="AR4419" s="771"/>
      <c r="AS4419" s="771"/>
      <c r="AT4419" s="771"/>
      <c r="AU4419" s="771"/>
    </row>
    <row r="4420" spans="1:47" s="15" customFormat="1" x14ac:dyDescent="0.2">
      <c r="A4420" s="8"/>
      <c r="B4420" s="8"/>
      <c r="C4420" s="11"/>
      <c r="D4420" s="11"/>
      <c r="E4420" s="84"/>
      <c r="F4420" s="83"/>
      <c r="H4420" s="8"/>
      <c r="I4420" s="8"/>
      <c r="J4420" s="8"/>
      <c r="K4420" s="8"/>
      <c r="L4420" s="8"/>
      <c r="M4420" s="8"/>
      <c r="N4420" s="8"/>
      <c r="O4420" s="8"/>
      <c r="P4420" s="8"/>
      <c r="Q4420" s="8"/>
      <c r="R4420" s="8"/>
      <c r="S4420" s="8"/>
      <c r="T4420" s="8"/>
      <c r="U4420" s="8"/>
      <c r="V4420" s="8"/>
      <c r="W4420" s="8"/>
      <c r="X4420" s="771"/>
      <c r="Y4420" s="771"/>
      <c r="Z4420" s="771"/>
      <c r="AA4420" s="771"/>
      <c r="AB4420" s="771"/>
      <c r="AC4420" s="771"/>
      <c r="AD4420" s="771"/>
      <c r="AE4420" s="771"/>
      <c r="AF4420" s="771"/>
      <c r="AG4420" s="771"/>
      <c r="AH4420" s="771"/>
      <c r="AI4420" s="771"/>
      <c r="AJ4420" s="771"/>
      <c r="AK4420" s="771"/>
      <c r="AL4420" s="771"/>
      <c r="AM4420" s="771"/>
      <c r="AN4420" s="771"/>
      <c r="AO4420" s="771"/>
      <c r="AP4420" s="771"/>
      <c r="AQ4420" s="771"/>
      <c r="AR4420" s="771"/>
      <c r="AS4420" s="771"/>
      <c r="AT4420" s="771"/>
      <c r="AU4420" s="771"/>
    </row>
    <row r="4421" spans="1:47" s="15" customFormat="1" x14ac:dyDescent="0.2">
      <c r="A4421" s="8"/>
      <c r="B4421" s="8"/>
      <c r="C4421" s="11"/>
      <c r="D4421" s="11"/>
      <c r="E4421" s="84"/>
      <c r="F4421" s="83"/>
      <c r="H4421" s="8"/>
      <c r="I4421" s="8"/>
      <c r="J4421" s="8"/>
      <c r="K4421" s="8"/>
      <c r="L4421" s="8"/>
      <c r="M4421" s="8"/>
      <c r="N4421" s="8"/>
      <c r="O4421" s="8"/>
      <c r="P4421" s="8"/>
      <c r="Q4421" s="8"/>
      <c r="R4421" s="8"/>
      <c r="S4421" s="8"/>
      <c r="T4421" s="8"/>
      <c r="U4421" s="8"/>
      <c r="V4421" s="8"/>
      <c r="W4421" s="8"/>
      <c r="X4421" s="771"/>
      <c r="Y4421" s="771"/>
      <c r="Z4421" s="771"/>
      <c r="AA4421" s="771"/>
      <c r="AB4421" s="771"/>
      <c r="AC4421" s="771"/>
      <c r="AD4421" s="771"/>
      <c r="AE4421" s="771"/>
      <c r="AF4421" s="771"/>
      <c r="AG4421" s="771"/>
      <c r="AH4421" s="771"/>
      <c r="AI4421" s="771"/>
      <c r="AJ4421" s="771"/>
      <c r="AK4421" s="771"/>
      <c r="AL4421" s="771"/>
      <c r="AM4421" s="771"/>
      <c r="AN4421" s="771"/>
      <c r="AO4421" s="771"/>
      <c r="AP4421" s="771"/>
      <c r="AQ4421" s="771"/>
      <c r="AR4421" s="771"/>
      <c r="AS4421" s="771"/>
      <c r="AT4421" s="771"/>
      <c r="AU4421" s="771"/>
    </row>
    <row r="4422" spans="1:47" s="15" customFormat="1" x14ac:dyDescent="0.2">
      <c r="A4422" s="8"/>
      <c r="B4422" s="8"/>
      <c r="C4422" s="11"/>
      <c r="D4422" s="11"/>
      <c r="E4422" s="84"/>
      <c r="F4422" s="83"/>
      <c r="H4422" s="8"/>
      <c r="I4422" s="8"/>
      <c r="J4422" s="8"/>
      <c r="K4422" s="8"/>
      <c r="L4422" s="8"/>
      <c r="M4422" s="8"/>
      <c r="N4422" s="8"/>
      <c r="O4422" s="8"/>
      <c r="P4422" s="8"/>
      <c r="Q4422" s="8"/>
      <c r="R4422" s="8"/>
      <c r="S4422" s="8"/>
      <c r="T4422" s="8"/>
      <c r="U4422" s="8"/>
      <c r="V4422" s="8"/>
      <c r="W4422" s="8"/>
      <c r="X4422" s="771"/>
      <c r="Y4422" s="771"/>
      <c r="Z4422" s="771"/>
      <c r="AA4422" s="771"/>
      <c r="AB4422" s="771"/>
      <c r="AC4422" s="771"/>
      <c r="AD4422" s="771"/>
      <c r="AE4422" s="771"/>
      <c r="AF4422" s="771"/>
      <c r="AG4422" s="771"/>
      <c r="AH4422" s="771"/>
      <c r="AI4422" s="771"/>
      <c r="AJ4422" s="771"/>
      <c r="AK4422" s="771"/>
      <c r="AL4422" s="771"/>
      <c r="AM4422" s="771"/>
      <c r="AN4422" s="771"/>
      <c r="AO4422" s="771"/>
      <c r="AP4422" s="771"/>
      <c r="AQ4422" s="771"/>
      <c r="AR4422" s="771"/>
      <c r="AS4422" s="771"/>
      <c r="AT4422" s="771"/>
      <c r="AU4422" s="771"/>
    </row>
    <row r="4423" spans="1:47" s="15" customFormat="1" x14ac:dyDescent="0.2">
      <c r="A4423" s="8"/>
      <c r="B4423" s="8"/>
      <c r="C4423" s="11"/>
      <c r="D4423" s="11"/>
      <c r="E4423" s="84"/>
      <c r="F4423" s="83"/>
      <c r="H4423" s="8"/>
      <c r="I4423" s="8"/>
      <c r="J4423" s="8"/>
      <c r="K4423" s="8"/>
      <c r="L4423" s="8"/>
      <c r="M4423" s="8"/>
      <c r="N4423" s="8"/>
      <c r="O4423" s="8"/>
      <c r="P4423" s="8"/>
      <c r="Q4423" s="8"/>
      <c r="R4423" s="8"/>
      <c r="S4423" s="8"/>
      <c r="T4423" s="8"/>
      <c r="U4423" s="8"/>
      <c r="V4423" s="8"/>
      <c r="W4423" s="8"/>
      <c r="X4423" s="771"/>
      <c r="Y4423" s="771"/>
      <c r="Z4423" s="771"/>
      <c r="AA4423" s="771"/>
      <c r="AB4423" s="771"/>
      <c r="AC4423" s="771"/>
      <c r="AD4423" s="771"/>
      <c r="AE4423" s="771"/>
      <c r="AF4423" s="771"/>
      <c r="AG4423" s="771"/>
      <c r="AH4423" s="771"/>
      <c r="AI4423" s="771"/>
      <c r="AJ4423" s="771"/>
      <c r="AK4423" s="771"/>
      <c r="AL4423" s="771"/>
      <c r="AM4423" s="771"/>
      <c r="AN4423" s="771"/>
      <c r="AO4423" s="771"/>
      <c r="AP4423" s="771"/>
      <c r="AQ4423" s="771"/>
      <c r="AR4423" s="771"/>
      <c r="AS4423" s="771"/>
      <c r="AT4423" s="771"/>
      <c r="AU4423" s="771"/>
    </row>
    <row r="4424" spans="1:47" s="15" customFormat="1" x14ac:dyDescent="0.2">
      <c r="A4424" s="8"/>
      <c r="B4424" s="8"/>
      <c r="C4424" s="11"/>
      <c r="D4424" s="11"/>
      <c r="E4424" s="84"/>
      <c r="F4424" s="83"/>
      <c r="H4424" s="8"/>
      <c r="I4424" s="8"/>
      <c r="J4424" s="8"/>
      <c r="K4424" s="8"/>
      <c r="L4424" s="8"/>
      <c r="M4424" s="8"/>
      <c r="N4424" s="8"/>
      <c r="O4424" s="8"/>
      <c r="P4424" s="8"/>
      <c r="Q4424" s="8"/>
      <c r="R4424" s="8"/>
      <c r="S4424" s="8"/>
      <c r="T4424" s="8"/>
      <c r="U4424" s="8"/>
      <c r="V4424" s="8"/>
      <c r="W4424" s="8"/>
      <c r="X4424" s="771"/>
      <c r="Y4424" s="771"/>
      <c r="Z4424" s="771"/>
      <c r="AA4424" s="771"/>
      <c r="AB4424" s="771"/>
      <c r="AC4424" s="771"/>
      <c r="AD4424" s="771"/>
      <c r="AE4424" s="771"/>
      <c r="AF4424" s="771"/>
      <c r="AG4424" s="771"/>
      <c r="AH4424" s="771"/>
      <c r="AI4424" s="771"/>
      <c r="AJ4424" s="771"/>
      <c r="AK4424" s="771"/>
      <c r="AL4424" s="771"/>
      <c r="AM4424" s="771"/>
      <c r="AN4424" s="771"/>
      <c r="AO4424" s="771"/>
      <c r="AP4424" s="771"/>
      <c r="AQ4424" s="771"/>
      <c r="AR4424" s="771"/>
      <c r="AS4424" s="771"/>
      <c r="AT4424" s="771"/>
      <c r="AU4424" s="771"/>
    </row>
    <row r="4425" spans="1:47" s="15" customFormat="1" x14ac:dyDescent="0.2">
      <c r="A4425" s="8"/>
      <c r="B4425" s="8"/>
      <c r="C4425" s="11"/>
      <c r="D4425" s="11"/>
      <c r="E4425" s="84"/>
      <c r="F4425" s="83"/>
      <c r="H4425" s="8"/>
      <c r="I4425" s="8"/>
      <c r="J4425" s="8"/>
      <c r="K4425" s="8"/>
      <c r="L4425" s="8"/>
      <c r="M4425" s="8"/>
      <c r="N4425" s="8"/>
      <c r="O4425" s="8"/>
      <c r="P4425" s="8"/>
      <c r="Q4425" s="8"/>
      <c r="R4425" s="8"/>
      <c r="S4425" s="8"/>
      <c r="T4425" s="8"/>
      <c r="U4425" s="8"/>
      <c r="V4425" s="8"/>
      <c r="W4425" s="8"/>
      <c r="X4425" s="771"/>
      <c r="Y4425" s="771"/>
      <c r="Z4425" s="771"/>
      <c r="AA4425" s="771"/>
      <c r="AB4425" s="771"/>
      <c r="AC4425" s="771"/>
      <c r="AD4425" s="771"/>
      <c r="AE4425" s="771"/>
      <c r="AF4425" s="771"/>
      <c r="AG4425" s="771"/>
      <c r="AH4425" s="771"/>
      <c r="AI4425" s="771"/>
      <c r="AJ4425" s="771"/>
      <c r="AK4425" s="771"/>
      <c r="AL4425" s="771"/>
      <c r="AM4425" s="771"/>
      <c r="AN4425" s="771"/>
      <c r="AO4425" s="771"/>
      <c r="AP4425" s="771"/>
      <c r="AQ4425" s="771"/>
      <c r="AR4425" s="771"/>
      <c r="AS4425" s="771"/>
      <c r="AT4425" s="771"/>
      <c r="AU4425" s="771"/>
    </row>
    <row r="4426" spans="1:47" s="15" customFormat="1" x14ac:dyDescent="0.2">
      <c r="A4426" s="8"/>
      <c r="B4426" s="8"/>
      <c r="C4426" s="11"/>
      <c r="D4426" s="11"/>
      <c r="E4426" s="84"/>
      <c r="F4426" s="83"/>
      <c r="H4426" s="8"/>
      <c r="I4426" s="8"/>
      <c r="J4426" s="8"/>
      <c r="K4426" s="8"/>
      <c r="L4426" s="8"/>
      <c r="M4426" s="8"/>
      <c r="N4426" s="8"/>
      <c r="O4426" s="8"/>
      <c r="P4426" s="8"/>
      <c r="Q4426" s="8"/>
      <c r="R4426" s="8"/>
      <c r="S4426" s="8"/>
      <c r="T4426" s="8"/>
      <c r="U4426" s="8"/>
      <c r="V4426" s="8"/>
      <c r="W4426" s="8"/>
      <c r="X4426" s="771"/>
      <c r="Y4426" s="771"/>
      <c r="Z4426" s="771"/>
      <c r="AA4426" s="771"/>
      <c r="AB4426" s="771"/>
      <c r="AC4426" s="771"/>
      <c r="AD4426" s="771"/>
      <c r="AE4426" s="771"/>
      <c r="AF4426" s="771"/>
      <c r="AG4426" s="771"/>
      <c r="AH4426" s="771"/>
      <c r="AI4426" s="771"/>
      <c r="AJ4426" s="771"/>
      <c r="AK4426" s="771"/>
      <c r="AL4426" s="771"/>
      <c r="AM4426" s="771"/>
      <c r="AN4426" s="771"/>
      <c r="AO4426" s="771"/>
      <c r="AP4426" s="771"/>
      <c r="AQ4426" s="771"/>
      <c r="AR4426" s="771"/>
      <c r="AS4426" s="771"/>
      <c r="AT4426" s="771"/>
      <c r="AU4426" s="771"/>
    </row>
    <row r="4427" spans="1:47" s="15" customFormat="1" x14ac:dyDescent="0.2">
      <c r="A4427" s="8"/>
      <c r="B4427" s="8"/>
      <c r="C4427" s="11"/>
      <c r="D4427" s="11"/>
      <c r="E4427" s="84"/>
      <c r="F4427" s="83"/>
      <c r="H4427" s="8"/>
      <c r="I4427" s="8"/>
      <c r="J4427" s="8"/>
      <c r="K4427" s="8"/>
      <c r="L4427" s="8"/>
      <c r="M4427" s="8"/>
      <c r="N4427" s="8"/>
      <c r="O4427" s="8"/>
      <c r="P4427" s="8"/>
      <c r="Q4427" s="8"/>
      <c r="R4427" s="8"/>
      <c r="S4427" s="8"/>
      <c r="T4427" s="8"/>
      <c r="U4427" s="8"/>
      <c r="V4427" s="8"/>
      <c r="W4427" s="8"/>
      <c r="X4427" s="771"/>
      <c r="Y4427" s="771"/>
      <c r="Z4427" s="771"/>
      <c r="AA4427" s="771"/>
      <c r="AB4427" s="771"/>
      <c r="AC4427" s="771"/>
      <c r="AD4427" s="771"/>
      <c r="AE4427" s="771"/>
      <c r="AF4427" s="771"/>
      <c r="AG4427" s="771"/>
      <c r="AH4427" s="771"/>
      <c r="AI4427" s="771"/>
      <c r="AJ4427" s="771"/>
      <c r="AK4427" s="771"/>
      <c r="AL4427" s="771"/>
      <c r="AM4427" s="771"/>
      <c r="AN4427" s="771"/>
      <c r="AO4427" s="771"/>
      <c r="AP4427" s="771"/>
      <c r="AQ4427" s="771"/>
      <c r="AR4427" s="771"/>
      <c r="AS4427" s="771"/>
      <c r="AT4427" s="771"/>
      <c r="AU4427" s="771"/>
    </row>
    <row r="4428" spans="1:47" s="15" customFormat="1" x14ac:dyDescent="0.2">
      <c r="A4428" s="8"/>
      <c r="B4428" s="8"/>
      <c r="C4428" s="11"/>
      <c r="D4428" s="11"/>
      <c r="E4428" s="84"/>
      <c r="F4428" s="83"/>
      <c r="H4428" s="8"/>
      <c r="I4428" s="8"/>
      <c r="J4428" s="8"/>
      <c r="K4428" s="8"/>
      <c r="L4428" s="8"/>
      <c r="M4428" s="8"/>
      <c r="N4428" s="8"/>
      <c r="O4428" s="8"/>
      <c r="P4428" s="8"/>
      <c r="Q4428" s="8"/>
      <c r="R4428" s="8"/>
      <c r="S4428" s="8"/>
      <c r="T4428" s="8"/>
      <c r="U4428" s="8"/>
      <c r="V4428" s="8"/>
      <c r="W4428" s="8"/>
      <c r="X4428" s="771"/>
      <c r="Y4428" s="771"/>
      <c r="Z4428" s="771"/>
      <c r="AA4428" s="771"/>
      <c r="AB4428" s="771"/>
      <c r="AC4428" s="771"/>
      <c r="AD4428" s="771"/>
      <c r="AE4428" s="771"/>
      <c r="AF4428" s="771"/>
      <c r="AG4428" s="771"/>
      <c r="AH4428" s="771"/>
      <c r="AI4428" s="771"/>
      <c r="AJ4428" s="771"/>
      <c r="AK4428" s="771"/>
      <c r="AL4428" s="771"/>
      <c r="AM4428" s="771"/>
      <c r="AN4428" s="771"/>
      <c r="AO4428" s="771"/>
      <c r="AP4428" s="771"/>
      <c r="AQ4428" s="771"/>
      <c r="AR4428" s="771"/>
      <c r="AS4428" s="771"/>
      <c r="AT4428" s="771"/>
      <c r="AU4428" s="771"/>
    </row>
    <row r="4429" spans="1:47" s="15" customFormat="1" x14ac:dyDescent="0.2">
      <c r="A4429" s="8"/>
      <c r="B4429" s="8"/>
      <c r="C4429" s="11"/>
      <c r="D4429" s="11"/>
      <c r="E4429" s="84"/>
      <c r="F4429" s="83"/>
      <c r="H4429" s="8"/>
      <c r="I4429" s="8"/>
      <c r="J4429" s="8"/>
      <c r="K4429" s="8"/>
      <c r="L4429" s="8"/>
      <c r="M4429" s="8"/>
      <c r="N4429" s="8"/>
      <c r="O4429" s="8"/>
      <c r="P4429" s="8"/>
      <c r="Q4429" s="8"/>
      <c r="R4429" s="8"/>
      <c r="S4429" s="8"/>
      <c r="T4429" s="8"/>
      <c r="U4429" s="8"/>
      <c r="V4429" s="8"/>
      <c r="W4429" s="8"/>
      <c r="X4429" s="771"/>
      <c r="Y4429" s="771"/>
      <c r="Z4429" s="771"/>
      <c r="AA4429" s="771"/>
      <c r="AB4429" s="771"/>
      <c r="AC4429" s="771"/>
      <c r="AD4429" s="771"/>
      <c r="AE4429" s="771"/>
      <c r="AF4429" s="771"/>
      <c r="AG4429" s="771"/>
      <c r="AH4429" s="771"/>
      <c r="AI4429" s="771"/>
      <c r="AJ4429" s="771"/>
      <c r="AK4429" s="771"/>
      <c r="AL4429" s="771"/>
      <c r="AM4429" s="771"/>
      <c r="AN4429" s="771"/>
      <c r="AO4429" s="771"/>
      <c r="AP4429" s="771"/>
      <c r="AQ4429" s="771"/>
      <c r="AR4429" s="771"/>
      <c r="AS4429" s="771"/>
      <c r="AT4429" s="771"/>
      <c r="AU4429" s="771"/>
    </row>
    <row r="4430" spans="1:47" s="15" customFormat="1" x14ac:dyDescent="0.2">
      <c r="A4430" s="8"/>
      <c r="B4430" s="8"/>
      <c r="C4430" s="11"/>
      <c r="D4430" s="11"/>
      <c r="E4430" s="84"/>
      <c r="F4430" s="83"/>
      <c r="H4430" s="8"/>
      <c r="I4430" s="8"/>
      <c r="J4430" s="8"/>
      <c r="K4430" s="8"/>
      <c r="L4430" s="8"/>
      <c r="M4430" s="8"/>
      <c r="N4430" s="8"/>
      <c r="O4430" s="8"/>
      <c r="P4430" s="8"/>
      <c r="Q4430" s="8"/>
      <c r="R4430" s="8"/>
      <c r="S4430" s="8"/>
      <c r="T4430" s="8"/>
      <c r="U4430" s="8"/>
      <c r="V4430" s="8"/>
      <c r="W4430" s="8"/>
      <c r="X4430" s="771"/>
      <c r="Y4430" s="771"/>
      <c r="Z4430" s="771"/>
      <c r="AA4430" s="771"/>
      <c r="AB4430" s="771"/>
      <c r="AC4430" s="771"/>
      <c r="AD4430" s="771"/>
      <c r="AE4430" s="771"/>
      <c r="AF4430" s="771"/>
      <c r="AG4430" s="771"/>
      <c r="AH4430" s="771"/>
      <c r="AI4430" s="771"/>
      <c r="AJ4430" s="771"/>
      <c r="AK4430" s="771"/>
      <c r="AL4430" s="771"/>
      <c r="AM4430" s="771"/>
      <c r="AN4430" s="771"/>
      <c r="AO4430" s="771"/>
      <c r="AP4430" s="771"/>
      <c r="AQ4430" s="771"/>
      <c r="AR4430" s="771"/>
      <c r="AS4430" s="771"/>
      <c r="AT4430" s="771"/>
      <c r="AU4430" s="771"/>
    </row>
    <row r="4431" spans="1:47" s="15" customFormat="1" x14ac:dyDescent="0.2">
      <c r="A4431" s="8"/>
      <c r="B4431" s="8"/>
      <c r="C4431" s="11"/>
      <c r="D4431" s="11"/>
      <c r="E4431" s="84"/>
      <c r="F4431" s="83"/>
      <c r="H4431" s="8"/>
      <c r="I4431" s="8"/>
      <c r="J4431" s="8"/>
      <c r="K4431" s="8"/>
      <c r="L4431" s="8"/>
      <c r="M4431" s="8"/>
      <c r="N4431" s="8"/>
      <c r="O4431" s="8"/>
      <c r="P4431" s="8"/>
      <c r="Q4431" s="8"/>
      <c r="R4431" s="8"/>
      <c r="S4431" s="8"/>
      <c r="T4431" s="8"/>
      <c r="U4431" s="8"/>
      <c r="V4431" s="8"/>
      <c r="W4431" s="8"/>
      <c r="X4431" s="771"/>
      <c r="Y4431" s="771"/>
      <c r="Z4431" s="771"/>
      <c r="AA4431" s="771"/>
      <c r="AB4431" s="771"/>
      <c r="AC4431" s="771"/>
      <c r="AD4431" s="771"/>
      <c r="AE4431" s="771"/>
      <c r="AF4431" s="771"/>
      <c r="AG4431" s="771"/>
      <c r="AH4431" s="771"/>
      <c r="AI4431" s="771"/>
      <c r="AJ4431" s="771"/>
      <c r="AK4431" s="771"/>
      <c r="AL4431" s="771"/>
      <c r="AM4431" s="771"/>
      <c r="AN4431" s="771"/>
      <c r="AO4431" s="771"/>
      <c r="AP4431" s="771"/>
      <c r="AQ4431" s="771"/>
      <c r="AR4431" s="771"/>
      <c r="AS4431" s="771"/>
      <c r="AT4431" s="771"/>
      <c r="AU4431" s="771"/>
    </row>
    <row r="4432" spans="1:47" s="15" customFormat="1" x14ac:dyDescent="0.2">
      <c r="A4432" s="8"/>
      <c r="B4432" s="8"/>
      <c r="C4432" s="11"/>
      <c r="D4432" s="11"/>
      <c r="E4432" s="84"/>
      <c r="F4432" s="83"/>
      <c r="H4432" s="8"/>
      <c r="I4432" s="8"/>
      <c r="J4432" s="8"/>
      <c r="K4432" s="8"/>
      <c r="L4432" s="8"/>
      <c r="M4432" s="8"/>
      <c r="N4432" s="8"/>
      <c r="O4432" s="8"/>
      <c r="P4432" s="8"/>
      <c r="Q4432" s="8"/>
      <c r="R4432" s="8"/>
      <c r="S4432" s="8"/>
      <c r="T4432" s="8"/>
      <c r="U4432" s="8"/>
      <c r="V4432" s="8"/>
      <c r="W4432" s="8"/>
      <c r="X4432" s="771"/>
      <c r="Y4432" s="771"/>
      <c r="Z4432" s="771"/>
      <c r="AA4432" s="771"/>
      <c r="AB4432" s="771"/>
      <c r="AC4432" s="771"/>
      <c r="AD4432" s="771"/>
      <c r="AE4432" s="771"/>
      <c r="AF4432" s="771"/>
      <c r="AG4432" s="771"/>
      <c r="AH4432" s="771"/>
      <c r="AI4432" s="771"/>
      <c r="AJ4432" s="771"/>
      <c r="AK4432" s="771"/>
      <c r="AL4432" s="771"/>
      <c r="AM4432" s="771"/>
      <c r="AN4432" s="771"/>
      <c r="AO4432" s="771"/>
      <c r="AP4432" s="771"/>
      <c r="AQ4432" s="771"/>
      <c r="AR4432" s="771"/>
      <c r="AS4432" s="771"/>
      <c r="AT4432" s="771"/>
      <c r="AU4432" s="771"/>
    </row>
    <row r="4433" spans="1:47" s="15" customFormat="1" x14ac:dyDescent="0.2">
      <c r="A4433" s="8"/>
      <c r="B4433" s="8"/>
      <c r="C4433" s="11"/>
      <c r="D4433" s="11"/>
      <c r="E4433" s="84"/>
      <c r="F4433" s="83"/>
      <c r="H4433" s="8"/>
      <c r="I4433" s="8"/>
      <c r="J4433" s="8"/>
      <c r="K4433" s="8"/>
      <c r="L4433" s="8"/>
      <c r="M4433" s="8"/>
      <c r="N4433" s="8"/>
      <c r="O4433" s="8"/>
      <c r="P4433" s="8"/>
      <c r="Q4433" s="8"/>
      <c r="R4433" s="8"/>
      <c r="S4433" s="8"/>
      <c r="T4433" s="8"/>
      <c r="U4433" s="8"/>
      <c r="V4433" s="8"/>
      <c r="W4433" s="8"/>
      <c r="X4433" s="771"/>
      <c r="Y4433" s="771"/>
      <c r="Z4433" s="771"/>
      <c r="AA4433" s="771"/>
      <c r="AB4433" s="771"/>
      <c r="AC4433" s="771"/>
      <c r="AD4433" s="771"/>
      <c r="AE4433" s="771"/>
      <c r="AF4433" s="771"/>
      <c r="AG4433" s="771"/>
      <c r="AH4433" s="771"/>
      <c r="AI4433" s="771"/>
      <c r="AJ4433" s="771"/>
      <c r="AK4433" s="771"/>
      <c r="AL4433" s="771"/>
      <c r="AM4433" s="771"/>
      <c r="AN4433" s="771"/>
      <c r="AO4433" s="771"/>
      <c r="AP4433" s="771"/>
      <c r="AQ4433" s="771"/>
      <c r="AR4433" s="771"/>
      <c r="AS4433" s="771"/>
      <c r="AT4433" s="771"/>
      <c r="AU4433" s="771"/>
    </row>
    <row r="4434" spans="1:47" s="15" customFormat="1" x14ac:dyDescent="0.2">
      <c r="A4434" s="8"/>
      <c r="B4434" s="8"/>
      <c r="C4434" s="11"/>
      <c r="D4434" s="11"/>
      <c r="E4434" s="84"/>
      <c r="F4434" s="83"/>
      <c r="H4434" s="8"/>
      <c r="I4434" s="8"/>
      <c r="J4434" s="8"/>
      <c r="K4434" s="8"/>
      <c r="L4434" s="8"/>
      <c r="M4434" s="8"/>
      <c r="N4434" s="8"/>
      <c r="O4434" s="8"/>
      <c r="P4434" s="8"/>
      <c r="Q4434" s="8"/>
      <c r="R4434" s="8"/>
      <c r="S4434" s="8"/>
      <c r="T4434" s="8"/>
      <c r="U4434" s="8"/>
      <c r="V4434" s="8"/>
      <c r="W4434" s="8"/>
      <c r="X4434" s="771"/>
      <c r="Y4434" s="771"/>
      <c r="Z4434" s="771"/>
      <c r="AA4434" s="771"/>
      <c r="AB4434" s="771"/>
      <c r="AC4434" s="771"/>
      <c r="AD4434" s="771"/>
      <c r="AE4434" s="771"/>
      <c r="AF4434" s="771"/>
      <c r="AG4434" s="771"/>
      <c r="AH4434" s="771"/>
      <c r="AI4434" s="771"/>
      <c r="AJ4434" s="771"/>
      <c r="AK4434" s="771"/>
      <c r="AL4434" s="771"/>
      <c r="AM4434" s="771"/>
      <c r="AN4434" s="771"/>
      <c r="AO4434" s="771"/>
      <c r="AP4434" s="771"/>
      <c r="AQ4434" s="771"/>
      <c r="AR4434" s="771"/>
      <c r="AS4434" s="771"/>
      <c r="AT4434" s="771"/>
      <c r="AU4434" s="771"/>
    </row>
    <row r="4435" spans="1:47" s="15" customFormat="1" x14ac:dyDescent="0.2">
      <c r="A4435" s="8"/>
      <c r="B4435" s="8"/>
      <c r="C4435" s="11"/>
      <c r="D4435" s="11"/>
      <c r="E4435" s="84"/>
      <c r="F4435" s="83"/>
      <c r="H4435" s="8"/>
      <c r="I4435" s="8"/>
      <c r="J4435" s="8"/>
      <c r="K4435" s="8"/>
      <c r="L4435" s="8"/>
      <c r="M4435" s="8"/>
      <c r="N4435" s="8"/>
      <c r="O4435" s="8"/>
      <c r="P4435" s="8"/>
      <c r="Q4435" s="8"/>
      <c r="R4435" s="8"/>
      <c r="S4435" s="8"/>
      <c r="T4435" s="8"/>
      <c r="U4435" s="8"/>
      <c r="V4435" s="8"/>
      <c r="W4435" s="8"/>
      <c r="X4435" s="771"/>
      <c r="Y4435" s="771"/>
      <c r="Z4435" s="771"/>
      <c r="AA4435" s="771"/>
      <c r="AB4435" s="771"/>
      <c r="AC4435" s="771"/>
      <c r="AD4435" s="771"/>
      <c r="AE4435" s="771"/>
      <c r="AF4435" s="771"/>
      <c r="AG4435" s="771"/>
      <c r="AH4435" s="771"/>
      <c r="AI4435" s="771"/>
      <c r="AJ4435" s="771"/>
      <c r="AK4435" s="771"/>
      <c r="AL4435" s="771"/>
      <c r="AM4435" s="771"/>
      <c r="AN4435" s="771"/>
      <c r="AO4435" s="771"/>
      <c r="AP4435" s="771"/>
      <c r="AQ4435" s="771"/>
      <c r="AR4435" s="771"/>
      <c r="AS4435" s="771"/>
      <c r="AT4435" s="771"/>
      <c r="AU4435" s="771"/>
    </row>
    <row r="4436" spans="1:47" s="15" customFormat="1" x14ac:dyDescent="0.2">
      <c r="A4436" s="8"/>
      <c r="B4436" s="8"/>
      <c r="C4436" s="11"/>
      <c r="D4436" s="11"/>
      <c r="E4436" s="84"/>
      <c r="F4436" s="83"/>
      <c r="H4436" s="8"/>
      <c r="I4436" s="8"/>
      <c r="J4436" s="8"/>
      <c r="K4436" s="8"/>
      <c r="L4436" s="8"/>
      <c r="M4436" s="8"/>
      <c r="N4436" s="8"/>
      <c r="O4436" s="8"/>
      <c r="P4436" s="8"/>
      <c r="Q4436" s="8"/>
      <c r="R4436" s="8"/>
      <c r="S4436" s="8"/>
      <c r="T4436" s="8"/>
      <c r="U4436" s="8"/>
      <c r="V4436" s="8"/>
      <c r="W4436" s="8"/>
      <c r="X4436" s="771"/>
      <c r="Y4436" s="771"/>
      <c r="Z4436" s="771"/>
      <c r="AA4436" s="771"/>
      <c r="AB4436" s="771"/>
      <c r="AC4436" s="771"/>
      <c r="AD4436" s="771"/>
      <c r="AE4436" s="771"/>
      <c r="AF4436" s="771"/>
      <c r="AG4436" s="771"/>
      <c r="AH4436" s="771"/>
      <c r="AI4436" s="771"/>
      <c r="AJ4436" s="771"/>
      <c r="AK4436" s="771"/>
      <c r="AL4436" s="771"/>
      <c r="AM4436" s="771"/>
      <c r="AN4436" s="771"/>
      <c r="AO4436" s="771"/>
      <c r="AP4436" s="771"/>
      <c r="AQ4436" s="771"/>
      <c r="AR4436" s="771"/>
      <c r="AS4436" s="771"/>
      <c r="AT4436" s="771"/>
      <c r="AU4436" s="771"/>
    </row>
    <row r="4437" spans="1:47" s="15" customFormat="1" x14ac:dyDescent="0.2">
      <c r="A4437" s="8"/>
      <c r="B4437" s="8"/>
      <c r="C4437" s="11"/>
      <c r="D4437" s="11"/>
      <c r="E4437" s="84"/>
      <c r="F4437" s="83"/>
      <c r="H4437" s="8"/>
      <c r="I4437" s="8"/>
      <c r="J4437" s="8"/>
      <c r="K4437" s="8"/>
      <c r="L4437" s="8"/>
      <c r="M4437" s="8"/>
      <c r="N4437" s="8"/>
      <c r="O4437" s="8"/>
      <c r="P4437" s="8"/>
      <c r="Q4437" s="8"/>
      <c r="R4437" s="8"/>
      <c r="S4437" s="8"/>
      <c r="T4437" s="8"/>
      <c r="U4437" s="8"/>
      <c r="V4437" s="8"/>
      <c r="W4437" s="8"/>
      <c r="X4437" s="771"/>
      <c r="Y4437" s="771"/>
      <c r="Z4437" s="771"/>
      <c r="AA4437" s="771"/>
      <c r="AB4437" s="771"/>
      <c r="AC4437" s="771"/>
      <c r="AD4437" s="771"/>
      <c r="AE4437" s="771"/>
      <c r="AF4437" s="771"/>
      <c r="AG4437" s="771"/>
      <c r="AH4437" s="771"/>
      <c r="AI4437" s="771"/>
      <c r="AJ4437" s="771"/>
      <c r="AK4437" s="771"/>
      <c r="AL4437" s="771"/>
      <c r="AM4437" s="771"/>
      <c r="AN4437" s="771"/>
      <c r="AO4437" s="771"/>
      <c r="AP4437" s="771"/>
      <c r="AQ4437" s="771"/>
      <c r="AR4437" s="771"/>
      <c r="AS4437" s="771"/>
      <c r="AT4437" s="771"/>
      <c r="AU4437" s="771"/>
    </row>
    <row r="4438" spans="1:47" s="15" customFormat="1" x14ac:dyDescent="0.2">
      <c r="A4438" s="8"/>
      <c r="B4438" s="8"/>
      <c r="C4438" s="11"/>
      <c r="D4438" s="11"/>
      <c r="E4438" s="84"/>
      <c r="F4438" s="83"/>
      <c r="H4438" s="8"/>
      <c r="I4438" s="8"/>
      <c r="J4438" s="8"/>
      <c r="K4438" s="8"/>
      <c r="L4438" s="8"/>
      <c r="M4438" s="8"/>
      <c r="N4438" s="8"/>
      <c r="O4438" s="8"/>
      <c r="P4438" s="8"/>
      <c r="Q4438" s="8"/>
      <c r="R4438" s="8"/>
      <c r="S4438" s="8"/>
      <c r="T4438" s="8"/>
      <c r="U4438" s="8"/>
      <c r="V4438" s="8"/>
      <c r="W4438" s="8"/>
      <c r="X4438" s="771"/>
      <c r="Y4438" s="771"/>
      <c r="Z4438" s="771"/>
      <c r="AA4438" s="771"/>
      <c r="AB4438" s="771"/>
      <c r="AC4438" s="771"/>
      <c r="AD4438" s="771"/>
      <c r="AE4438" s="771"/>
      <c r="AF4438" s="771"/>
      <c r="AG4438" s="771"/>
      <c r="AH4438" s="771"/>
      <c r="AI4438" s="771"/>
      <c r="AJ4438" s="771"/>
      <c r="AK4438" s="771"/>
      <c r="AL4438" s="771"/>
      <c r="AM4438" s="771"/>
      <c r="AN4438" s="771"/>
      <c r="AO4438" s="771"/>
      <c r="AP4438" s="771"/>
      <c r="AQ4438" s="771"/>
      <c r="AR4438" s="771"/>
      <c r="AS4438" s="771"/>
      <c r="AT4438" s="771"/>
      <c r="AU4438" s="771"/>
    </row>
    <row r="4439" spans="1:47" s="15" customFormat="1" x14ac:dyDescent="0.2">
      <c r="A4439" s="8"/>
      <c r="B4439" s="8"/>
      <c r="C4439" s="11"/>
      <c r="D4439" s="11"/>
      <c r="E4439" s="84"/>
      <c r="F4439" s="83"/>
      <c r="H4439" s="8"/>
      <c r="I4439" s="8"/>
      <c r="J4439" s="8"/>
      <c r="K4439" s="8"/>
      <c r="L4439" s="8"/>
      <c r="M4439" s="8"/>
      <c r="N4439" s="8"/>
      <c r="O4439" s="8"/>
      <c r="P4439" s="8"/>
      <c r="Q4439" s="8"/>
      <c r="R4439" s="8"/>
      <c r="S4439" s="8"/>
      <c r="T4439" s="8"/>
      <c r="U4439" s="8"/>
      <c r="V4439" s="8"/>
      <c r="W4439" s="8"/>
      <c r="X4439" s="771"/>
      <c r="Y4439" s="771"/>
      <c r="Z4439" s="771"/>
      <c r="AA4439" s="771"/>
      <c r="AB4439" s="771"/>
      <c r="AC4439" s="771"/>
      <c r="AD4439" s="771"/>
      <c r="AE4439" s="771"/>
      <c r="AF4439" s="771"/>
      <c r="AG4439" s="771"/>
      <c r="AH4439" s="771"/>
      <c r="AI4439" s="771"/>
      <c r="AJ4439" s="771"/>
      <c r="AK4439" s="771"/>
      <c r="AL4439" s="771"/>
      <c r="AM4439" s="771"/>
      <c r="AN4439" s="771"/>
      <c r="AO4439" s="771"/>
      <c r="AP4439" s="771"/>
      <c r="AQ4439" s="771"/>
      <c r="AR4439" s="771"/>
      <c r="AS4439" s="771"/>
      <c r="AT4439" s="771"/>
      <c r="AU4439" s="771"/>
    </row>
    <row r="4440" spans="1:47" s="15" customFormat="1" x14ac:dyDescent="0.2">
      <c r="A4440" s="8"/>
      <c r="B4440" s="8"/>
      <c r="C4440" s="11"/>
      <c r="D4440" s="11"/>
      <c r="E4440" s="84"/>
      <c r="F4440" s="83"/>
      <c r="H4440" s="8"/>
      <c r="I4440" s="8"/>
      <c r="J4440" s="8"/>
      <c r="K4440" s="8"/>
      <c r="L4440" s="8"/>
      <c r="M4440" s="8"/>
      <c r="N4440" s="8"/>
      <c r="O4440" s="8"/>
      <c r="P4440" s="8"/>
      <c r="Q4440" s="8"/>
      <c r="R4440" s="8"/>
      <c r="S4440" s="8"/>
      <c r="T4440" s="8"/>
      <c r="U4440" s="8"/>
      <c r="V4440" s="8"/>
      <c r="W4440" s="8"/>
      <c r="X4440" s="771"/>
      <c r="Y4440" s="771"/>
      <c r="Z4440" s="771"/>
      <c r="AA4440" s="771"/>
      <c r="AB4440" s="771"/>
      <c r="AC4440" s="771"/>
      <c r="AD4440" s="771"/>
      <c r="AE4440" s="771"/>
      <c r="AF4440" s="771"/>
      <c r="AG4440" s="771"/>
      <c r="AH4440" s="771"/>
      <c r="AI4440" s="771"/>
      <c r="AJ4440" s="771"/>
      <c r="AK4440" s="771"/>
      <c r="AL4440" s="771"/>
      <c r="AM4440" s="771"/>
      <c r="AN4440" s="771"/>
      <c r="AO4440" s="771"/>
      <c r="AP4440" s="771"/>
      <c r="AQ4440" s="771"/>
      <c r="AR4440" s="771"/>
      <c r="AS4440" s="771"/>
      <c r="AT4440" s="771"/>
      <c r="AU4440" s="771"/>
    </row>
    <row r="4441" spans="1:47" s="15" customFormat="1" x14ac:dyDescent="0.2">
      <c r="A4441" s="8"/>
      <c r="B4441" s="8"/>
      <c r="C4441" s="11"/>
      <c r="D4441" s="11"/>
      <c r="E4441" s="84"/>
      <c r="F4441" s="83"/>
      <c r="H4441" s="8"/>
      <c r="I4441" s="8"/>
      <c r="J4441" s="8"/>
      <c r="K4441" s="8"/>
      <c r="L4441" s="8"/>
      <c r="M4441" s="8"/>
      <c r="N4441" s="8"/>
      <c r="O4441" s="8"/>
      <c r="P4441" s="8"/>
      <c r="Q4441" s="8"/>
      <c r="R4441" s="8"/>
      <c r="S4441" s="8"/>
      <c r="T4441" s="8"/>
      <c r="U4441" s="8"/>
      <c r="V4441" s="8"/>
      <c r="W4441" s="8"/>
      <c r="X4441" s="771"/>
      <c r="Y4441" s="771"/>
      <c r="Z4441" s="771"/>
      <c r="AA4441" s="771"/>
      <c r="AB4441" s="771"/>
      <c r="AC4441" s="771"/>
      <c r="AD4441" s="771"/>
      <c r="AE4441" s="771"/>
      <c r="AF4441" s="771"/>
      <c r="AG4441" s="771"/>
      <c r="AH4441" s="771"/>
      <c r="AI4441" s="771"/>
      <c r="AJ4441" s="771"/>
      <c r="AK4441" s="771"/>
      <c r="AL4441" s="771"/>
      <c r="AM4441" s="771"/>
      <c r="AN4441" s="771"/>
      <c r="AO4441" s="771"/>
      <c r="AP4441" s="771"/>
      <c r="AQ4441" s="771"/>
      <c r="AR4441" s="771"/>
      <c r="AS4441" s="771"/>
      <c r="AT4441" s="771"/>
      <c r="AU4441" s="771"/>
    </row>
    <row r="4442" spans="1:47" s="15" customFormat="1" x14ac:dyDescent="0.2">
      <c r="A4442" s="8"/>
      <c r="B4442" s="8"/>
      <c r="C4442" s="11"/>
      <c r="D4442" s="11"/>
      <c r="E4442" s="84"/>
      <c r="F4442" s="83"/>
      <c r="H4442" s="8"/>
      <c r="I4442" s="8"/>
      <c r="J4442" s="8"/>
      <c r="K4442" s="8"/>
      <c r="L4442" s="8"/>
      <c r="M4442" s="8"/>
      <c r="N4442" s="8"/>
      <c r="O4442" s="8"/>
      <c r="P4442" s="8"/>
      <c r="Q4442" s="8"/>
      <c r="R4442" s="8"/>
      <c r="S4442" s="8"/>
      <c r="T4442" s="8"/>
      <c r="U4442" s="8"/>
      <c r="V4442" s="8"/>
      <c r="W4442" s="8"/>
      <c r="X4442" s="771"/>
      <c r="Y4442" s="771"/>
      <c r="Z4442" s="771"/>
      <c r="AA4442" s="771"/>
      <c r="AB4442" s="771"/>
      <c r="AC4442" s="771"/>
      <c r="AD4442" s="771"/>
      <c r="AE4442" s="771"/>
      <c r="AF4442" s="771"/>
      <c r="AG4442" s="771"/>
      <c r="AH4442" s="771"/>
      <c r="AI4442" s="771"/>
      <c r="AJ4442" s="771"/>
      <c r="AK4442" s="771"/>
      <c r="AL4442" s="771"/>
      <c r="AM4442" s="771"/>
      <c r="AN4442" s="771"/>
      <c r="AO4442" s="771"/>
      <c r="AP4442" s="771"/>
      <c r="AQ4442" s="771"/>
      <c r="AR4442" s="771"/>
      <c r="AS4442" s="771"/>
      <c r="AT4442" s="771"/>
      <c r="AU4442" s="771"/>
    </row>
    <row r="4443" spans="1:47" s="15" customFormat="1" x14ac:dyDescent="0.2">
      <c r="A4443" s="8"/>
      <c r="B4443" s="8"/>
      <c r="C4443" s="11"/>
      <c r="D4443" s="11"/>
      <c r="E4443" s="84"/>
      <c r="F4443" s="83"/>
      <c r="H4443" s="8"/>
      <c r="I4443" s="8"/>
      <c r="J4443" s="8"/>
      <c r="K4443" s="8"/>
      <c r="L4443" s="8"/>
      <c r="M4443" s="8"/>
      <c r="N4443" s="8"/>
      <c r="O4443" s="8"/>
      <c r="P4443" s="8"/>
      <c r="Q4443" s="8"/>
      <c r="R4443" s="8"/>
      <c r="S4443" s="8"/>
      <c r="T4443" s="8"/>
      <c r="U4443" s="8"/>
      <c r="V4443" s="8"/>
      <c r="W4443" s="8"/>
      <c r="X4443" s="771"/>
      <c r="Y4443" s="771"/>
      <c r="Z4443" s="771"/>
      <c r="AA4443" s="771"/>
      <c r="AB4443" s="771"/>
      <c r="AC4443" s="771"/>
      <c r="AD4443" s="771"/>
      <c r="AE4443" s="771"/>
      <c r="AF4443" s="771"/>
      <c r="AG4443" s="771"/>
      <c r="AH4443" s="771"/>
      <c r="AI4443" s="771"/>
      <c r="AJ4443" s="771"/>
      <c r="AK4443" s="771"/>
      <c r="AL4443" s="771"/>
      <c r="AM4443" s="771"/>
      <c r="AN4443" s="771"/>
      <c r="AO4443" s="771"/>
      <c r="AP4443" s="771"/>
      <c r="AQ4443" s="771"/>
      <c r="AR4443" s="771"/>
      <c r="AS4443" s="771"/>
      <c r="AT4443" s="771"/>
      <c r="AU4443" s="771"/>
    </row>
    <row r="4444" spans="1:47" s="15" customFormat="1" x14ac:dyDescent="0.2">
      <c r="A4444" s="8"/>
      <c r="B4444" s="8"/>
      <c r="C4444" s="11"/>
      <c r="D4444" s="11"/>
      <c r="E4444" s="84"/>
      <c r="F4444" s="83"/>
      <c r="H4444" s="8"/>
      <c r="I4444" s="8"/>
      <c r="J4444" s="8"/>
      <c r="K4444" s="8"/>
      <c r="L4444" s="8"/>
      <c r="M4444" s="8"/>
      <c r="N4444" s="8"/>
      <c r="O4444" s="8"/>
      <c r="P4444" s="8"/>
      <c r="Q4444" s="8"/>
      <c r="R4444" s="8"/>
      <c r="S4444" s="8"/>
      <c r="T4444" s="8"/>
      <c r="U4444" s="8"/>
      <c r="V4444" s="8"/>
      <c r="W4444" s="8"/>
      <c r="X4444" s="771"/>
      <c r="Y4444" s="771"/>
      <c r="Z4444" s="771"/>
      <c r="AA4444" s="771"/>
      <c r="AB4444" s="771"/>
      <c r="AC4444" s="771"/>
      <c r="AD4444" s="771"/>
      <c r="AE4444" s="771"/>
      <c r="AF4444" s="771"/>
      <c r="AG4444" s="771"/>
      <c r="AH4444" s="771"/>
      <c r="AI4444" s="771"/>
      <c r="AJ4444" s="771"/>
      <c r="AK4444" s="771"/>
      <c r="AL4444" s="771"/>
      <c r="AM4444" s="771"/>
      <c r="AN4444" s="771"/>
      <c r="AO4444" s="771"/>
      <c r="AP4444" s="771"/>
      <c r="AQ4444" s="771"/>
      <c r="AR4444" s="771"/>
      <c r="AS4444" s="771"/>
      <c r="AT4444" s="771"/>
      <c r="AU4444" s="771"/>
    </row>
    <row r="4445" spans="1:47" s="15" customFormat="1" x14ac:dyDescent="0.2">
      <c r="A4445" s="8"/>
      <c r="B4445" s="8"/>
      <c r="C4445" s="11"/>
      <c r="D4445" s="11"/>
      <c r="E4445" s="84"/>
      <c r="F4445" s="83"/>
      <c r="H4445" s="8"/>
      <c r="I4445" s="8"/>
      <c r="J4445" s="8"/>
      <c r="K4445" s="8"/>
      <c r="L4445" s="8"/>
      <c r="M4445" s="8"/>
      <c r="N4445" s="8"/>
      <c r="O4445" s="8"/>
      <c r="P4445" s="8"/>
      <c r="Q4445" s="8"/>
      <c r="R4445" s="8"/>
      <c r="S4445" s="8"/>
      <c r="T4445" s="8"/>
      <c r="U4445" s="8"/>
      <c r="V4445" s="8"/>
      <c r="W4445" s="8"/>
      <c r="X4445" s="771"/>
      <c r="Y4445" s="771"/>
      <c r="Z4445" s="771"/>
      <c r="AA4445" s="771"/>
      <c r="AB4445" s="771"/>
      <c r="AC4445" s="771"/>
      <c r="AD4445" s="771"/>
      <c r="AE4445" s="771"/>
      <c r="AF4445" s="771"/>
      <c r="AG4445" s="771"/>
      <c r="AH4445" s="771"/>
      <c r="AI4445" s="771"/>
      <c r="AJ4445" s="771"/>
      <c r="AK4445" s="771"/>
      <c r="AL4445" s="771"/>
      <c r="AM4445" s="771"/>
      <c r="AN4445" s="771"/>
      <c r="AO4445" s="771"/>
      <c r="AP4445" s="771"/>
      <c r="AQ4445" s="771"/>
      <c r="AR4445" s="771"/>
      <c r="AS4445" s="771"/>
      <c r="AT4445" s="771"/>
      <c r="AU4445" s="771"/>
    </row>
    <row r="4446" spans="1:47" s="15" customFormat="1" x14ac:dyDescent="0.2">
      <c r="A4446" s="8"/>
      <c r="B4446" s="8"/>
      <c r="C4446" s="11"/>
      <c r="D4446" s="11"/>
      <c r="E4446" s="84"/>
      <c r="F4446" s="83"/>
      <c r="H4446" s="8"/>
      <c r="I4446" s="8"/>
      <c r="J4446" s="8"/>
      <c r="K4446" s="8"/>
      <c r="L4446" s="8"/>
      <c r="M4446" s="8"/>
      <c r="N4446" s="8"/>
      <c r="O4446" s="8"/>
      <c r="P4446" s="8"/>
      <c r="Q4446" s="8"/>
      <c r="R4446" s="8"/>
      <c r="S4446" s="8"/>
      <c r="T4446" s="8"/>
      <c r="U4446" s="8"/>
      <c r="V4446" s="8"/>
      <c r="W4446" s="8"/>
      <c r="X4446" s="771"/>
      <c r="Y4446" s="771"/>
      <c r="Z4446" s="771"/>
      <c r="AA4446" s="771"/>
      <c r="AB4446" s="771"/>
      <c r="AC4446" s="771"/>
      <c r="AD4446" s="771"/>
      <c r="AE4446" s="771"/>
      <c r="AF4446" s="771"/>
      <c r="AG4446" s="771"/>
      <c r="AH4446" s="771"/>
      <c r="AI4446" s="771"/>
      <c r="AJ4446" s="771"/>
      <c r="AK4446" s="771"/>
      <c r="AL4446" s="771"/>
      <c r="AM4446" s="771"/>
      <c r="AN4446" s="771"/>
      <c r="AO4446" s="771"/>
      <c r="AP4446" s="771"/>
      <c r="AQ4446" s="771"/>
      <c r="AR4446" s="771"/>
      <c r="AS4446" s="771"/>
      <c r="AT4446" s="771"/>
      <c r="AU4446" s="771"/>
    </row>
    <row r="4447" spans="1:47" s="15" customFormat="1" x14ac:dyDescent="0.2">
      <c r="A4447" s="8"/>
      <c r="B4447" s="8"/>
      <c r="C4447" s="11"/>
      <c r="D4447" s="11"/>
      <c r="E4447" s="84"/>
      <c r="F4447" s="83"/>
      <c r="H4447" s="8"/>
      <c r="I4447" s="8"/>
      <c r="J4447" s="8"/>
      <c r="K4447" s="8"/>
      <c r="L4447" s="8"/>
      <c r="M4447" s="8"/>
      <c r="N4447" s="8"/>
      <c r="O4447" s="8"/>
      <c r="P4447" s="8"/>
      <c r="Q4447" s="8"/>
      <c r="R4447" s="8"/>
      <c r="S4447" s="8"/>
      <c r="T4447" s="8"/>
      <c r="U4447" s="8"/>
      <c r="V4447" s="8"/>
      <c r="W4447" s="8"/>
      <c r="X4447" s="771"/>
      <c r="Y4447" s="771"/>
      <c r="Z4447" s="771"/>
      <c r="AA4447" s="771"/>
      <c r="AB4447" s="771"/>
      <c r="AC4447" s="771"/>
      <c r="AD4447" s="771"/>
      <c r="AE4447" s="771"/>
      <c r="AF4447" s="771"/>
      <c r="AG4447" s="771"/>
      <c r="AH4447" s="771"/>
      <c r="AI4447" s="771"/>
      <c r="AJ4447" s="771"/>
      <c r="AK4447" s="771"/>
      <c r="AL4447" s="771"/>
      <c r="AM4447" s="771"/>
      <c r="AN4447" s="771"/>
      <c r="AO4447" s="771"/>
      <c r="AP4447" s="771"/>
      <c r="AQ4447" s="771"/>
      <c r="AR4447" s="771"/>
      <c r="AS4447" s="771"/>
      <c r="AT4447" s="771"/>
      <c r="AU4447" s="771"/>
    </row>
    <row r="4448" spans="1:47" s="15" customFormat="1" x14ac:dyDescent="0.2">
      <c r="A4448" s="8"/>
      <c r="B4448" s="8"/>
      <c r="C4448" s="11"/>
      <c r="D4448" s="11"/>
      <c r="E4448" s="84"/>
      <c r="F4448" s="83"/>
      <c r="H4448" s="8"/>
      <c r="I4448" s="8"/>
      <c r="J4448" s="8"/>
      <c r="K4448" s="8"/>
      <c r="L4448" s="8"/>
      <c r="M4448" s="8"/>
      <c r="N4448" s="8"/>
      <c r="O4448" s="8"/>
      <c r="P4448" s="8"/>
      <c r="Q4448" s="8"/>
      <c r="R4448" s="8"/>
      <c r="S4448" s="8"/>
      <c r="T4448" s="8"/>
      <c r="U4448" s="8"/>
      <c r="V4448" s="8"/>
      <c r="W4448" s="8"/>
      <c r="X4448" s="771"/>
      <c r="Y4448" s="771"/>
      <c r="Z4448" s="771"/>
      <c r="AA4448" s="771"/>
      <c r="AB4448" s="771"/>
      <c r="AC4448" s="771"/>
      <c r="AD4448" s="771"/>
      <c r="AE4448" s="771"/>
      <c r="AF4448" s="771"/>
      <c r="AG4448" s="771"/>
      <c r="AH4448" s="771"/>
      <c r="AI4448" s="771"/>
      <c r="AJ4448" s="771"/>
      <c r="AK4448" s="771"/>
      <c r="AL4448" s="771"/>
      <c r="AM4448" s="771"/>
      <c r="AN4448" s="771"/>
      <c r="AO4448" s="771"/>
      <c r="AP4448" s="771"/>
      <c r="AQ4448" s="771"/>
      <c r="AR4448" s="771"/>
      <c r="AS4448" s="771"/>
      <c r="AT4448" s="771"/>
      <c r="AU4448" s="771"/>
    </row>
    <row r="4449" spans="1:47" s="15" customFormat="1" x14ac:dyDescent="0.2">
      <c r="A4449" s="8"/>
      <c r="B4449" s="8"/>
      <c r="C4449" s="11"/>
      <c r="D4449" s="11"/>
      <c r="E4449" s="84"/>
      <c r="F4449" s="83"/>
      <c r="H4449" s="8"/>
      <c r="I4449" s="8"/>
      <c r="J4449" s="8"/>
      <c r="K4449" s="8"/>
      <c r="L4449" s="8"/>
      <c r="M4449" s="8"/>
      <c r="N4449" s="8"/>
      <c r="O4449" s="8"/>
      <c r="P4449" s="8"/>
      <c r="Q4449" s="8"/>
      <c r="R4449" s="8"/>
      <c r="S4449" s="8"/>
      <c r="T4449" s="8"/>
      <c r="U4449" s="8"/>
      <c r="V4449" s="8"/>
      <c r="W4449" s="8"/>
      <c r="X4449" s="771"/>
      <c r="Y4449" s="771"/>
      <c r="Z4449" s="771"/>
      <c r="AA4449" s="771"/>
      <c r="AB4449" s="771"/>
      <c r="AC4449" s="771"/>
      <c r="AD4449" s="771"/>
      <c r="AE4449" s="771"/>
      <c r="AF4449" s="771"/>
      <c r="AG4449" s="771"/>
      <c r="AH4449" s="771"/>
      <c r="AI4449" s="771"/>
      <c r="AJ4449" s="771"/>
      <c r="AK4449" s="771"/>
      <c r="AL4449" s="771"/>
      <c r="AM4449" s="771"/>
      <c r="AN4449" s="771"/>
      <c r="AO4449" s="771"/>
      <c r="AP4449" s="771"/>
      <c r="AQ4449" s="771"/>
      <c r="AR4449" s="771"/>
      <c r="AS4449" s="771"/>
      <c r="AT4449" s="771"/>
      <c r="AU4449" s="771"/>
    </row>
    <row r="4450" spans="1:47" s="15" customFormat="1" x14ac:dyDescent="0.2">
      <c r="A4450" s="8"/>
      <c r="B4450" s="8"/>
      <c r="C4450" s="11"/>
      <c r="D4450" s="11"/>
      <c r="E4450" s="84"/>
      <c r="F4450" s="83"/>
      <c r="H4450" s="8"/>
      <c r="I4450" s="8"/>
      <c r="J4450" s="8"/>
      <c r="K4450" s="8"/>
      <c r="L4450" s="8"/>
      <c r="M4450" s="8"/>
      <c r="N4450" s="8"/>
      <c r="O4450" s="8"/>
      <c r="P4450" s="8"/>
      <c r="Q4450" s="8"/>
      <c r="R4450" s="8"/>
      <c r="S4450" s="8"/>
      <c r="T4450" s="8"/>
      <c r="U4450" s="8"/>
      <c r="V4450" s="8"/>
      <c r="W4450" s="8"/>
      <c r="X4450" s="771"/>
      <c r="Y4450" s="771"/>
      <c r="Z4450" s="771"/>
      <c r="AA4450" s="771"/>
      <c r="AB4450" s="771"/>
      <c r="AC4450" s="771"/>
      <c r="AD4450" s="771"/>
      <c r="AE4450" s="771"/>
      <c r="AF4450" s="771"/>
      <c r="AG4450" s="771"/>
      <c r="AH4450" s="771"/>
      <c r="AI4450" s="771"/>
      <c r="AJ4450" s="771"/>
      <c r="AK4450" s="771"/>
      <c r="AL4450" s="771"/>
      <c r="AM4450" s="771"/>
      <c r="AN4450" s="771"/>
      <c r="AO4450" s="771"/>
      <c r="AP4450" s="771"/>
      <c r="AQ4450" s="771"/>
      <c r="AR4450" s="771"/>
      <c r="AS4450" s="771"/>
      <c r="AT4450" s="771"/>
      <c r="AU4450" s="771"/>
    </row>
    <row r="4451" spans="1:47" s="15" customFormat="1" x14ac:dyDescent="0.2">
      <c r="A4451" s="8"/>
      <c r="B4451" s="8"/>
      <c r="C4451" s="11"/>
      <c r="D4451" s="11"/>
      <c r="E4451" s="84"/>
      <c r="F4451" s="83"/>
      <c r="H4451" s="8"/>
      <c r="I4451" s="8"/>
      <c r="J4451" s="8"/>
      <c r="K4451" s="8"/>
      <c r="L4451" s="8"/>
      <c r="M4451" s="8"/>
      <c r="N4451" s="8"/>
      <c r="O4451" s="8"/>
      <c r="P4451" s="8"/>
      <c r="Q4451" s="8"/>
      <c r="R4451" s="8"/>
      <c r="S4451" s="8"/>
      <c r="T4451" s="8"/>
      <c r="U4451" s="8"/>
      <c r="V4451" s="8"/>
      <c r="W4451" s="8"/>
      <c r="X4451" s="771"/>
      <c r="Y4451" s="771"/>
      <c r="Z4451" s="771"/>
      <c r="AA4451" s="771"/>
      <c r="AB4451" s="771"/>
      <c r="AC4451" s="771"/>
      <c r="AD4451" s="771"/>
      <c r="AE4451" s="771"/>
      <c r="AF4451" s="771"/>
      <c r="AG4451" s="771"/>
      <c r="AH4451" s="771"/>
      <c r="AI4451" s="771"/>
      <c r="AJ4451" s="771"/>
      <c r="AK4451" s="771"/>
      <c r="AL4451" s="771"/>
      <c r="AM4451" s="771"/>
      <c r="AN4451" s="771"/>
      <c r="AO4451" s="771"/>
      <c r="AP4451" s="771"/>
      <c r="AQ4451" s="771"/>
      <c r="AR4451" s="771"/>
      <c r="AS4451" s="771"/>
      <c r="AT4451" s="771"/>
      <c r="AU4451" s="771"/>
    </row>
    <row r="4452" spans="1:47" s="15" customFormat="1" x14ac:dyDescent="0.2">
      <c r="A4452" s="8"/>
      <c r="B4452" s="8"/>
      <c r="C4452" s="11"/>
      <c r="D4452" s="11"/>
      <c r="E4452" s="84"/>
      <c r="F4452" s="83"/>
      <c r="H4452" s="8"/>
      <c r="I4452" s="8"/>
      <c r="J4452" s="8"/>
      <c r="K4452" s="8"/>
      <c r="L4452" s="8"/>
      <c r="M4452" s="8"/>
      <c r="N4452" s="8"/>
      <c r="O4452" s="8"/>
      <c r="P4452" s="8"/>
      <c r="Q4452" s="8"/>
      <c r="R4452" s="8"/>
      <c r="S4452" s="8"/>
      <c r="T4452" s="8"/>
      <c r="U4452" s="8"/>
      <c r="V4452" s="8"/>
      <c r="W4452" s="8"/>
      <c r="X4452" s="771"/>
      <c r="Y4452" s="771"/>
      <c r="Z4452" s="771"/>
      <c r="AA4452" s="771"/>
      <c r="AB4452" s="771"/>
      <c r="AC4452" s="771"/>
      <c r="AD4452" s="771"/>
      <c r="AE4452" s="771"/>
      <c r="AF4452" s="771"/>
      <c r="AG4452" s="771"/>
      <c r="AH4452" s="771"/>
      <c r="AI4452" s="771"/>
      <c r="AJ4452" s="771"/>
      <c r="AK4452" s="771"/>
      <c r="AL4452" s="771"/>
      <c r="AM4452" s="771"/>
      <c r="AN4452" s="771"/>
      <c r="AO4452" s="771"/>
      <c r="AP4452" s="771"/>
      <c r="AQ4452" s="771"/>
      <c r="AR4452" s="771"/>
      <c r="AS4452" s="771"/>
      <c r="AT4452" s="771"/>
      <c r="AU4452" s="771"/>
    </row>
    <row r="4453" spans="1:47" s="15" customFormat="1" x14ac:dyDescent="0.2">
      <c r="A4453" s="8"/>
      <c r="B4453" s="8"/>
      <c r="C4453" s="11"/>
      <c r="D4453" s="11"/>
      <c r="E4453" s="84"/>
      <c r="F4453" s="83"/>
      <c r="H4453" s="8"/>
      <c r="I4453" s="8"/>
      <c r="J4453" s="8"/>
      <c r="K4453" s="8"/>
      <c r="L4453" s="8"/>
      <c r="M4453" s="8"/>
      <c r="N4453" s="8"/>
      <c r="O4453" s="8"/>
      <c r="P4453" s="8"/>
      <c r="Q4453" s="8"/>
      <c r="R4453" s="8"/>
      <c r="S4453" s="8"/>
      <c r="T4453" s="8"/>
      <c r="U4453" s="8"/>
      <c r="V4453" s="8"/>
      <c r="W4453" s="8"/>
      <c r="X4453" s="771"/>
      <c r="Y4453" s="771"/>
      <c r="Z4453" s="771"/>
      <c r="AA4453" s="771"/>
      <c r="AB4453" s="771"/>
      <c r="AC4453" s="771"/>
      <c r="AD4453" s="771"/>
      <c r="AE4453" s="771"/>
      <c r="AF4453" s="771"/>
      <c r="AG4453" s="771"/>
      <c r="AH4453" s="771"/>
      <c r="AI4453" s="771"/>
      <c r="AJ4453" s="771"/>
      <c r="AK4453" s="771"/>
      <c r="AL4453" s="771"/>
      <c r="AM4453" s="771"/>
      <c r="AN4453" s="771"/>
      <c r="AO4453" s="771"/>
      <c r="AP4453" s="771"/>
      <c r="AQ4453" s="771"/>
      <c r="AR4453" s="771"/>
      <c r="AS4453" s="771"/>
      <c r="AT4453" s="771"/>
      <c r="AU4453" s="771"/>
    </row>
    <row r="4454" spans="1:47" s="15" customFormat="1" x14ac:dyDescent="0.2">
      <c r="A4454" s="8"/>
      <c r="B4454" s="8"/>
      <c r="C4454" s="11"/>
      <c r="D4454" s="11"/>
      <c r="E4454" s="84"/>
      <c r="F4454" s="83"/>
      <c r="H4454" s="8"/>
      <c r="I4454" s="8"/>
      <c r="J4454" s="8"/>
      <c r="K4454" s="8"/>
      <c r="L4454" s="8"/>
      <c r="M4454" s="8"/>
      <c r="N4454" s="8"/>
      <c r="O4454" s="8"/>
      <c r="P4454" s="8"/>
      <c r="Q4454" s="8"/>
      <c r="R4454" s="8"/>
      <c r="S4454" s="8"/>
      <c r="T4454" s="8"/>
      <c r="U4454" s="8"/>
      <c r="V4454" s="8"/>
      <c r="W4454" s="8"/>
      <c r="X4454" s="771"/>
      <c r="Y4454" s="771"/>
      <c r="Z4454" s="771"/>
      <c r="AA4454" s="771"/>
      <c r="AB4454" s="771"/>
      <c r="AC4454" s="771"/>
      <c r="AD4454" s="771"/>
      <c r="AE4454" s="771"/>
      <c r="AF4454" s="771"/>
      <c r="AG4454" s="771"/>
      <c r="AH4454" s="771"/>
      <c r="AI4454" s="771"/>
      <c r="AJ4454" s="771"/>
      <c r="AK4454" s="771"/>
      <c r="AL4454" s="771"/>
      <c r="AM4454" s="771"/>
      <c r="AN4454" s="771"/>
      <c r="AO4454" s="771"/>
      <c r="AP4454" s="771"/>
      <c r="AQ4454" s="771"/>
      <c r="AR4454" s="771"/>
      <c r="AS4454" s="771"/>
      <c r="AT4454" s="771"/>
      <c r="AU4454" s="771"/>
    </row>
    <row r="4455" spans="1:47" s="15" customFormat="1" x14ac:dyDescent="0.2">
      <c r="A4455" s="8"/>
      <c r="B4455" s="8"/>
      <c r="C4455" s="11"/>
      <c r="D4455" s="11"/>
      <c r="E4455" s="84"/>
      <c r="F4455" s="83"/>
      <c r="H4455" s="8"/>
      <c r="I4455" s="8"/>
      <c r="J4455" s="8"/>
      <c r="K4455" s="8"/>
      <c r="L4455" s="8"/>
      <c r="M4455" s="8"/>
      <c r="N4455" s="8"/>
      <c r="O4455" s="8"/>
      <c r="P4455" s="8"/>
      <c r="Q4455" s="8"/>
      <c r="R4455" s="8"/>
      <c r="S4455" s="8"/>
      <c r="T4455" s="8"/>
      <c r="U4455" s="8"/>
      <c r="V4455" s="8"/>
      <c r="W4455" s="8"/>
      <c r="X4455" s="771"/>
      <c r="Y4455" s="771"/>
      <c r="Z4455" s="771"/>
      <c r="AA4455" s="771"/>
      <c r="AB4455" s="771"/>
      <c r="AC4455" s="771"/>
      <c r="AD4455" s="771"/>
      <c r="AE4455" s="771"/>
      <c r="AF4455" s="771"/>
      <c r="AG4455" s="771"/>
      <c r="AH4455" s="771"/>
      <c r="AI4455" s="771"/>
      <c r="AJ4455" s="771"/>
      <c r="AK4455" s="771"/>
      <c r="AL4455" s="771"/>
      <c r="AM4455" s="771"/>
      <c r="AN4455" s="771"/>
      <c r="AO4455" s="771"/>
      <c r="AP4455" s="771"/>
      <c r="AQ4455" s="771"/>
      <c r="AR4455" s="771"/>
      <c r="AS4455" s="771"/>
      <c r="AT4455" s="771"/>
      <c r="AU4455" s="771"/>
    </row>
    <row r="4456" spans="1:47" s="15" customFormat="1" x14ac:dyDescent="0.2">
      <c r="A4456" s="8"/>
      <c r="B4456" s="8"/>
      <c r="C4456" s="11"/>
      <c r="D4456" s="11"/>
      <c r="E4456" s="84"/>
      <c r="F4456" s="83"/>
      <c r="H4456" s="8"/>
      <c r="I4456" s="8"/>
      <c r="J4456" s="8"/>
      <c r="K4456" s="8"/>
      <c r="L4456" s="8"/>
      <c r="M4456" s="8"/>
      <c r="N4456" s="8"/>
      <c r="O4456" s="8"/>
      <c r="P4456" s="8"/>
      <c r="Q4456" s="8"/>
      <c r="R4456" s="8"/>
      <c r="S4456" s="8"/>
      <c r="T4456" s="8"/>
      <c r="U4456" s="8"/>
      <c r="V4456" s="8"/>
      <c r="W4456" s="8"/>
      <c r="X4456" s="771"/>
      <c r="Y4456" s="771"/>
      <c r="Z4456" s="771"/>
      <c r="AA4456" s="771"/>
      <c r="AB4456" s="771"/>
      <c r="AC4456" s="771"/>
      <c r="AD4456" s="771"/>
      <c r="AE4456" s="771"/>
      <c r="AF4456" s="771"/>
      <c r="AG4456" s="771"/>
      <c r="AH4456" s="771"/>
      <c r="AI4456" s="771"/>
      <c r="AJ4456" s="771"/>
      <c r="AK4456" s="771"/>
      <c r="AL4456" s="771"/>
      <c r="AM4456" s="771"/>
      <c r="AN4456" s="771"/>
      <c r="AO4456" s="771"/>
      <c r="AP4456" s="771"/>
      <c r="AQ4456" s="771"/>
      <c r="AR4456" s="771"/>
      <c r="AS4456" s="771"/>
      <c r="AT4456" s="771"/>
      <c r="AU4456" s="771"/>
    </row>
    <row r="4457" spans="1:47" s="15" customFormat="1" x14ac:dyDescent="0.2">
      <c r="A4457" s="8"/>
      <c r="B4457" s="8"/>
      <c r="C4457" s="11"/>
      <c r="D4457" s="11"/>
      <c r="E4457" s="84"/>
      <c r="F4457" s="83"/>
      <c r="H4457" s="8"/>
      <c r="I4457" s="8"/>
      <c r="J4457" s="8"/>
      <c r="K4457" s="8"/>
      <c r="L4457" s="8"/>
      <c r="M4457" s="8"/>
      <c r="N4457" s="8"/>
      <c r="O4457" s="8"/>
      <c r="P4457" s="8"/>
      <c r="Q4457" s="8"/>
      <c r="R4457" s="8"/>
      <c r="S4457" s="8"/>
      <c r="T4457" s="8"/>
      <c r="U4457" s="8"/>
      <c r="V4457" s="8"/>
      <c r="W4457" s="8"/>
      <c r="X4457" s="771"/>
      <c r="Y4457" s="771"/>
      <c r="Z4457" s="771"/>
      <c r="AA4457" s="771"/>
      <c r="AB4457" s="771"/>
      <c r="AC4457" s="771"/>
      <c r="AD4457" s="771"/>
      <c r="AE4457" s="771"/>
      <c r="AF4457" s="771"/>
      <c r="AG4457" s="771"/>
      <c r="AH4457" s="771"/>
      <c r="AI4457" s="771"/>
      <c r="AJ4457" s="771"/>
      <c r="AK4457" s="771"/>
      <c r="AL4457" s="771"/>
      <c r="AM4457" s="771"/>
      <c r="AN4457" s="771"/>
      <c r="AO4457" s="771"/>
      <c r="AP4457" s="771"/>
      <c r="AQ4457" s="771"/>
      <c r="AR4457" s="771"/>
      <c r="AS4457" s="771"/>
      <c r="AT4457" s="771"/>
      <c r="AU4457" s="771"/>
    </row>
    <row r="4458" spans="1:47" s="15" customFormat="1" x14ac:dyDescent="0.2">
      <c r="A4458" s="8"/>
      <c r="B4458" s="8"/>
      <c r="C4458" s="11"/>
      <c r="D4458" s="11"/>
      <c r="E4458" s="84"/>
      <c r="F4458" s="83"/>
      <c r="H4458" s="8"/>
      <c r="I4458" s="8"/>
      <c r="J4458" s="8"/>
      <c r="K4458" s="8"/>
      <c r="L4458" s="8"/>
      <c r="M4458" s="8"/>
      <c r="N4458" s="8"/>
      <c r="O4458" s="8"/>
      <c r="P4458" s="8"/>
      <c r="Q4458" s="8"/>
      <c r="R4458" s="8"/>
      <c r="S4458" s="8"/>
      <c r="T4458" s="8"/>
      <c r="U4458" s="8"/>
      <c r="V4458" s="8"/>
      <c r="W4458" s="8"/>
      <c r="X4458" s="771"/>
      <c r="Y4458" s="771"/>
      <c r="Z4458" s="771"/>
      <c r="AA4458" s="771"/>
      <c r="AB4458" s="771"/>
      <c r="AC4458" s="771"/>
      <c r="AD4458" s="771"/>
      <c r="AE4458" s="771"/>
      <c r="AF4458" s="771"/>
      <c r="AG4458" s="771"/>
      <c r="AH4458" s="771"/>
      <c r="AI4458" s="771"/>
      <c r="AJ4458" s="771"/>
      <c r="AK4458" s="771"/>
      <c r="AL4458" s="771"/>
      <c r="AM4458" s="771"/>
      <c r="AN4458" s="771"/>
      <c r="AO4458" s="771"/>
      <c r="AP4458" s="771"/>
      <c r="AQ4458" s="771"/>
      <c r="AR4458" s="771"/>
      <c r="AS4458" s="771"/>
      <c r="AT4458" s="771"/>
      <c r="AU4458" s="771"/>
    </row>
    <row r="4459" spans="1:47" s="15" customFormat="1" x14ac:dyDescent="0.2">
      <c r="A4459" s="8"/>
      <c r="B4459" s="8"/>
      <c r="C4459" s="11"/>
      <c r="D4459" s="11"/>
      <c r="E4459" s="84"/>
      <c r="F4459" s="83"/>
      <c r="H4459" s="8"/>
      <c r="I4459" s="8"/>
      <c r="J4459" s="8"/>
      <c r="K4459" s="8"/>
      <c r="L4459" s="8"/>
      <c r="M4459" s="8"/>
      <c r="N4459" s="8"/>
      <c r="O4459" s="8"/>
      <c r="P4459" s="8"/>
      <c r="Q4459" s="8"/>
      <c r="R4459" s="8"/>
      <c r="S4459" s="8"/>
      <c r="T4459" s="8"/>
      <c r="U4459" s="8"/>
      <c r="V4459" s="8"/>
      <c r="W4459" s="8"/>
      <c r="X4459" s="771"/>
      <c r="Y4459" s="771"/>
      <c r="Z4459" s="771"/>
      <c r="AA4459" s="771"/>
      <c r="AB4459" s="771"/>
      <c r="AC4459" s="771"/>
      <c r="AD4459" s="771"/>
      <c r="AE4459" s="771"/>
      <c r="AF4459" s="771"/>
      <c r="AG4459" s="771"/>
      <c r="AH4459" s="771"/>
      <c r="AI4459" s="771"/>
      <c r="AJ4459" s="771"/>
      <c r="AK4459" s="771"/>
      <c r="AL4459" s="771"/>
      <c r="AM4459" s="771"/>
      <c r="AN4459" s="771"/>
      <c r="AO4459" s="771"/>
      <c r="AP4459" s="771"/>
      <c r="AQ4459" s="771"/>
      <c r="AR4459" s="771"/>
      <c r="AS4459" s="771"/>
      <c r="AT4459" s="771"/>
      <c r="AU4459" s="771"/>
    </row>
    <row r="4460" spans="1:47" s="15" customFormat="1" x14ac:dyDescent="0.2">
      <c r="A4460" s="8"/>
      <c r="B4460" s="8"/>
      <c r="C4460" s="11"/>
      <c r="D4460" s="11"/>
      <c r="E4460" s="84"/>
      <c r="F4460" s="83"/>
      <c r="H4460" s="8"/>
      <c r="I4460" s="8"/>
      <c r="J4460" s="8"/>
      <c r="K4460" s="8"/>
      <c r="L4460" s="8"/>
      <c r="M4460" s="8"/>
      <c r="N4460" s="8"/>
      <c r="O4460" s="8"/>
      <c r="P4460" s="8"/>
      <c r="Q4460" s="8"/>
      <c r="R4460" s="8"/>
      <c r="S4460" s="8"/>
      <c r="T4460" s="8"/>
      <c r="U4460" s="8"/>
      <c r="V4460" s="8"/>
      <c r="W4460" s="8"/>
      <c r="X4460" s="771"/>
      <c r="Y4460" s="771"/>
      <c r="Z4460" s="771"/>
      <c r="AA4460" s="771"/>
      <c r="AB4460" s="771"/>
      <c r="AC4460" s="771"/>
      <c r="AD4460" s="771"/>
      <c r="AE4460" s="771"/>
      <c r="AF4460" s="771"/>
      <c r="AG4460" s="771"/>
      <c r="AH4460" s="771"/>
      <c r="AI4460" s="771"/>
      <c r="AJ4460" s="771"/>
      <c r="AK4460" s="771"/>
      <c r="AL4460" s="771"/>
      <c r="AM4460" s="771"/>
      <c r="AN4460" s="771"/>
      <c r="AO4460" s="771"/>
      <c r="AP4460" s="771"/>
      <c r="AQ4460" s="771"/>
      <c r="AR4460" s="771"/>
      <c r="AS4460" s="771"/>
      <c r="AT4460" s="771"/>
      <c r="AU4460" s="771"/>
    </row>
    <row r="4461" spans="1:47" s="15" customFormat="1" x14ac:dyDescent="0.2">
      <c r="A4461" s="8"/>
      <c r="B4461" s="8"/>
      <c r="C4461" s="11"/>
      <c r="D4461" s="11"/>
      <c r="E4461" s="84"/>
      <c r="F4461" s="83"/>
      <c r="H4461" s="8"/>
      <c r="I4461" s="8"/>
      <c r="J4461" s="8"/>
      <c r="K4461" s="8"/>
      <c r="L4461" s="8"/>
      <c r="M4461" s="8"/>
      <c r="N4461" s="8"/>
      <c r="O4461" s="8"/>
      <c r="P4461" s="8"/>
      <c r="Q4461" s="8"/>
      <c r="R4461" s="8"/>
      <c r="S4461" s="8"/>
      <c r="T4461" s="8"/>
      <c r="U4461" s="8"/>
      <c r="V4461" s="8"/>
      <c r="W4461" s="8"/>
      <c r="X4461" s="771"/>
      <c r="Y4461" s="771"/>
      <c r="Z4461" s="771"/>
      <c r="AA4461" s="771"/>
      <c r="AB4461" s="771"/>
      <c r="AC4461" s="771"/>
      <c r="AD4461" s="771"/>
      <c r="AE4461" s="771"/>
      <c r="AF4461" s="771"/>
      <c r="AG4461" s="771"/>
      <c r="AH4461" s="771"/>
      <c r="AI4461" s="771"/>
      <c r="AJ4461" s="771"/>
      <c r="AK4461" s="771"/>
      <c r="AL4461" s="771"/>
      <c r="AM4461" s="771"/>
      <c r="AN4461" s="771"/>
      <c r="AO4461" s="771"/>
      <c r="AP4461" s="771"/>
      <c r="AQ4461" s="771"/>
      <c r="AR4461" s="771"/>
      <c r="AS4461" s="771"/>
      <c r="AT4461" s="771"/>
      <c r="AU4461" s="771"/>
    </row>
    <row r="4462" spans="1:47" s="15" customFormat="1" x14ac:dyDescent="0.2">
      <c r="A4462" s="8"/>
      <c r="B4462" s="8"/>
      <c r="C4462" s="11"/>
      <c r="D4462" s="11"/>
      <c r="E4462" s="84"/>
      <c r="F4462" s="83"/>
      <c r="H4462" s="8"/>
      <c r="I4462" s="8"/>
      <c r="J4462" s="8"/>
      <c r="K4462" s="8"/>
      <c r="L4462" s="8"/>
      <c r="M4462" s="8"/>
      <c r="N4462" s="8"/>
      <c r="O4462" s="8"/>
      <c r="P4462" s="8"/>
      <c r="Q4462" s="8"/>
      <c r="R4462" s="8"/>
      <c r="S4462" s="8"/>
      <c r="T4462" s="8"/>
      <c r="U4462" s="8"/>
      <c r="V4462" s="8"/>
      <c r="W4462" s="8"/>
      <c r="X4462" s="771"/>
      <c r="Y4462" s="771"/>
      <c r="Z4462" s="771"/>
      <c r="AA4462" s="771"/>
      <c r="AB4462" s="771"/>
      <c r="AC4462" s="771"/>
      <c r="AD4462" s="771"/>
      <c r="AE4462" s="771"/>
      <c r="AF4462" s="771"/>
      <c r="AG4462" s="771"/>
      <c r="AH4462" s="771"/>
      <c r="AI4462" s="771"/>
      <c r="AJ4462" s="771"/>
      <c r="AK4462" s="771"/>
      <c r="AL4462" s="771"/>
      <c r="AM4462" s="771"/>
      <c r="AN4462" s="771"/>
      <c r="AO4462" s="771"/>
      <c r="AP4462" s="771"/>
      <c r="AQ4462" s="771"/>
      <c r="AR4462" s="771"/>
      <c r="AS4462" s="771"/>
      <c r="AT4462" s="771"/>
      <c r="AU4462" s="771"/>
    </row>
    <row r="4463" spans="1:47" s="15" customFormat="1" x14ac:dyDescent="0.2">
      <c r="A4463" s="8"/>
      <c r="B4463" s="8"/>
      <c r="C4463" s="11"/>
      <c r="D4463" s="11"/>
      <c r="E4463" s="84"/>
      <c r="F4463" s="83"/>
      <c r="H4463" s="8"/>
      <c r="I4463" s="8"/>
      <c r="J4463" s="8"/>
      <c r="K4463" s="8"/>
      <c r="L4463" s="8"/>
      <c r="M4463" s="8"/>
      <c r="N4463" s="8"/>
      <c r="O4463" s="8"/>
      <c r="P4463" s="8"/>
      <c r="Q4463" s="8"/>
      <c r="R4463" s="8"/>
      <c r="S4463" s="8"/>
      <c r="T4463" s="8"/>
      <c r="U4463" s="8"/>
      <c r="V4463" s="8"/>
      <c r="W4463" s="8"/>
      <c r="X4463" s="771"/>
      <c r="Y4463" s="771"/>
      <c r="Z4463" s="771"/>
      <c r="AA4463" s="771"/>
      <c r="AB4463" s="771"/>
      <c r="AC4463" s="771"/>
      <c r="AD4463" s="771"/>
      <c r="AE4463" s="771"/>
      <c r="AF4463" s="771"/>
      <c r="AG4463" s="771"/>
      <c r="AH4463" s="771"/>
      <c r="AI4463" s="771"/>
      <c r="AJ4463" s="771"/>
      <c r="AK4463" s="771"/>
      <c r="AL4463" s="771"/>
      <c r="AM4463" s="771"/>
      <c r="AN4463" s="771"/>
      <c r="AO4463" s="771"/>
      <c r="AP4463" s="771"/>
      <c r="AQ4463" s="771"/>
      <c r="AR4463" s="771"/>
      <c r="AS4463" s="771"/>
      <c r="AT4463" s="771"/>
      <c r="AU4463" s="771"/>
    </row>
    <row r="4464" spans="1:47" s="15" customFormat="1" x14ac:dyDescent="0.2">
      <c r="A4464" s="8"/>
      <c r="B4464" s="8"/>
      <c r="E4464" s="83"/>
      <c r="F4464" s="83"/>
      <c r="H4464" s="8"/>
      <c r="I4464" s="8"/>
      <c r="J4464" s="8"/>
      <c r="K4464" s="8"/>
      <c r="L4464" s="8"/>
      <c r="M4464" s="8"/>
      <c r="N4464" s="8"/>
      <c r="O4464" s="8"/>
      <c r="P4464" s="8"/>
      <c r="Q4464" s="8"/>
      <c r="R4464" s="8"/>
      <c r="S4464" s="8"/>
      <c r="T4464" s="8"/>
      <c r="U4464" s="8"/>
      <c r="V4464" s="8"/>
      <c r="W4464" s="8"/>
      <c r="X4464" s="771"/>
      <c r="Y4464" s="771"/>
      <c r="Z4464" s="771"/>
      <c r="AA4464" s="771"/>
      <c r="AB4464" s="771"/>
      <c r="AC4464" s="771"/>
      <c r="AD4464" s="771"/>
      <c r="AE4464" s="771"/>
      <c r="AF4464" s="771"/>
      <c r="AG4464" s="771"/>
      <c r="AH4464" s="771"/>
      <c r="AI4464" s="771"/>
      <c r="AJ4464" s="771"/>
      <c r="AK4464" s="771"/>
      <c r="AL4464" s="771"/>
      <c r="AM4464" s="771"/>
      <c r="AN4464" s="771"/>
      <c r="AO4464" s="771"/>
      <c r="AP4464" s="771"/>
      <c r="AQ4464" s="771"/>
      <c r="AR4464" s="771"/>
      <c r="AS4464" s="771"/>
      <c r="AT4464" s="771"/>
      <c r="AU4464" s="771"/>
    </row>
    <row r="4465" spans="1:47" s="15" customFormat="1" x14ac:dyDescent="0.2">
      <c r="A4465" s="8"/>
      <c r="B4465" s="8"/>
      <c r="E4465" s="83"/>
      <c r="F4465" s="83"/>
      <c r="H4465" s="8"/>
      <c r="I4465" s="8"/>
      <c r="J4465" s="8"/>
      <c r="K4465" s="8"/>
      <c r="L4465" s="8"/>
      <c r="M4465" s="8"/>
      <c r="N4465" s="8"/>
      <c r="O4465" s="8"/>
      <c r="P4465" s="8"/>
      <c r="Q4465" s="8"/>
      <c r="R4465" s="8"/>
      <c r="S4465" s="8"/>
      <c r="T4465" s="8"/>
      <c r="U4465" s="8"/>
      <c r="V4465" s="8"/>
      <c r="W4465" s="8"/>
      <c r="X4465" s="771"/>
      <c r="Y4465" s="771"/>
      <c r="Z4465" s="771"/>
      <c r="AA4465" s="771"/>
      <c r="AB4465" s="771"/>
      <c r="AC4465" s="771"/>
      <c r="AD4465" s="771"/>
      <c r="AE4465" s="771"/>
      <c r="AF4465" s="771"/>
      <c r="AG4465" s="771"/>
      <c r="AH4465" s="771"/>
      <c r="AI4465" s="771"/>
      <c r="AJ4465" s="771"/>
      <c r="AK4465" s="771"/>
      <c r="AL4465" s="771"/>
      <c r="AM4465" s="771"/>
      <c r="AN4465" s="771"/>
      <c r="AO4465" s="771"/>
      <c r="AP4465" s="771"/>
      <c r="AQ4465" s="771"/>
      <c r="AR4465" s="771"/>
      <c r="AS4465" s="771"/>
      <c r="AT4465" s="771"/>
      <c r="AU4465" s="771"/>
    </row>
    <row r="4466" spans="1:47" s="15" customFormat="1" x14ac:dyDescent="0.2">
      <c r="A4466" s="8"/>
      <c r="B4466" s="8"/>
      <c r="E4466" s="83"/>
      <c r="F4466" s="83"/>
      <c r="H4466" s="8"/>
      <c r="I4466" s="8"/>
      <c r="J4466" s="8"/>
      <c r="K4466" s="8"/>
      <c r="L4466" s="8"/>
      <c r="M4466" s="8"/>
      <c r="N4466" s="8"/>
      <c r="O4466" s="8"/>
      <c r="P4466" s="8"/>
      <c r="Q4466" s="8"/>
      <c r="R4466" s="8"/>
      <c r="S4466" s="8"/>
      <c r="T4466" s="8"/>
      <c r="U4466" s="8"/>
      <c r="V4466" s="8"/>
      <c r="W4466" s="8"/>
      <c r="X4466" s="771"/>
      <c r="Y4466" s="771"/>
      <c r="Z4466" s="771"/>
      <c r="AA4466" s="771"/>
      <c r="AB4466" s="771"/>
      <c r="AC4466" s="771"/>
      <c r="AD4466" s="771"/>
      <c r="AE4466" s="771"/>
      <c r="AF4466" s="771"/>
      <c r="AG4466" s="771"/>
      <c r="AH4466" s="771"/>
      <c r="AI4466" s="771"/>
      <c r="AJ4466" s="771"/>
      <c r="AK4466" s="771"/>
      <c r="AL4466" s="771"/>
      <c r="AM4466" s="771"/>
      <c r="AN4466" s="771"/>
      <c r="AO4466" s="771"/>
      <c r="AP4466" s="771"/>
      <c r="AQ4466" s="771"/>
      <c r="AR4466" s="771"/>
      <c r="AS4466" s="771"/>
      <c r="AT4466" s="771"/>
      <c r="AU4466" s="771"/>
    </row>
    <row r="4467" spans="1:47" s="15" customFormat="1" x14ac:dyDescent="0.2">
      <c r="A4467" s="8"/>
      <c r="B4467" s="8"/>
      <c r="E4467" s="83"/>
      <c r="F4467" s="83"/>
      <c r="H4467" s="8"/>
      <c r="I4467" s="8"/>
      <c r="J4467" s="8"/>
      <c r="K4467" s="8"/>
      <c r="L4467" s="8"/>
      <c r="M4467" s="8"/>
      <c r="N4467" s="8"/>
      <c r="O4467" s="8"/>
      <c r="P4467" s="8"/>
      <c r="Q4467" s="8"/>
      <c r="R4467" s="8"/>
      <c r="S4467" s="8"/>
      <c r="T4467" s="8"/>
      <c r="U4467" s="8"/>
      <c r="V4467" s="8"/>
      <c r="W4467" s="8"/>
      <c r="X4467" s="771"/>
      <c r="Y4467" s="771"/>
      <c r="Z4467" s="771"/>
      <c r="AA4467" s="771"/>
      <c r="AB4467" s="771"/>
      <c r="AC4467" s="771"/>
      <c r="AD4467" s="771"/>
      <c r="AE4467" s="771"/>
      <c r="AF4467" s="771"/>
      <c r="AG4467" s="771"/>
      <c r="AH4467" s="771"/>
      <c r="AI4467" s="771"/>
      <c r="AJ4467" s="771"/>
      <c r="AK4467" s="771"/>
      <c r="AL4467" s="771"/>
      <c r="AM4467" s="771"/>
      <c r="AN4467" s="771"/>
      <c r="AO4467" s="771"/>
      <c r="AP4467" s="771"/>
      <c r="AQ4467" s="771"/>
      <c r="AR4467" s="771"/>
      <c r="AS4467" s="771"/>
      <c r="AT4467" s="771"/>
      <c r="AU4467" s="771"/>
    </row>
    <row r="4468" spans="1:47" s="15" customFormat="1" x14ac:dyDescent="0.2">
      <c r="A4468" s="8"/>
      <c r="B4468" s="8"/>
      <c r="E4468" s="83"/>
      <c r="F4468" s="83"/>
      <c r="H4468" s="8"/>
      <c r="I4468" s="8"/>
      <c r="J4468" s="8"/>
      <c r="K4468" s="8"/>
      <c r="L4468" s="8"/>
      <c r="M4468" s="8"/>
      <c r="N4468" s="8"/>
      <c r="O4468" s="8"/>
      <c r="P4468" s="8"/>
      <c r="Q4468" s="8"/>
      <c r="R4468" s="8"/>
      <c r="S4468" s="8"/>
      <c r="T4468" s="8"/>
      <c r="U4468" s="8"/>
      <c r="V4468" s="8"/>
      <c r="W4468" s="8"/>
      <c r="X4468" s="771"/>
      <c r="Y4468" s="771"/>
      <c r="Z4468" s="771"/>
      <c r="AA4468" s="771"/>
      <c r="AB4468" s="771"/>
      <c r="AC4468" s="771"/>
      <c r="AD4468" s="771"/>
      <c r="AE4468" s="771"/>
      <c r="AF4468" s="771"/>
      <c r="AG4468" s="771"/>
      <c r="AH4468" s="771"/>
      <c r="AI4468" s="771"/>
      <c r="AJ4468" s="771"/>
      <c r="AK4468" s="771"/>
      <c r="AL4468" s="771"/>
      <c r="AM4468" s="771"/>
      <c r="AN4468" s="771"/>
      <c r="AO4468" s="771"/>
      <c r="AP4468" s="771"/>
      <c r="AQ4468" s="771"/>
      <c r="AR4468" s="771"/>
      <c r="AS4468" s="771"/>
      <c r="AT4468" s="771"/>
      <c r="AU4468" s="771"/>
    </row>
    <row r="4469" spans="1:47" s="15" customFormat="1" x14ac:dyDescent="0.2">
      <c r="A4469" s="8"/>
      <c r="B4469" s="8"/>
      <c r="E4469" s="83"/>
      <c r="F4469" s="83"/>
      <c r="H4469" s="8"/>
      <c r="I4469" s="8"/>
      <c r="J4469" s="8"/>
      <c r="K4469" s="8"/>
      <c r="L4469" s="8"/>
      <c r="M4469" s="8"/>
      <c r="N4469" s="8"/>
      <c r="O4469" s="8"/>
      <c r="P4469" s="8"/>
      <c r="Q4469" s="8"/>
      <c r="R4469" s="8"/>
      <c r="S4469" s="8"/>
      <c r="T4469" s="8"/>
      <c r="U4469" s="8"/>
      <c r="V4469" s="8"/>
      <c r="W4469" s="8"/>
      <c r="X4469" s="771"/>
      <c r="Y4469" s="771"/>
      <c r="Z4469" s="771"/>
      <c r="AA4469" s="771"/>
      <c r="AB4469" s="771"/>
      <c r="AC4469" s="771"/>
      <c r="AD4469" s="771"/>
      <c r="AE4469" s="771"/>
      <c r="AF4469" s="771"/>
      <c r="AG4469" s="771"/>
      <c r="AH4469" s="771"/>
      <c r="AI4469" s="771"/>
      <c r="AJ4469" s="771"/>
      <c r="AK4469" s="771"/>
      <c r="AL4469" s="771"/>
      <c r="AM4469" s="771"/>
      <c r="AN4469" s="771"/>
      <c r="AO4469" s="771"/>
      <c r="AP4469" s="771"/>
      <c r="AQ4469" s="771"/>
      <c r="AR4469" s="771"/>
      <c r="AS4469" s="771"/>
      <c r="AT4469" s="771"/>
      <c r="AU4469" s="771"/>
    </row>
    <row r="4470" spans="1:47" s="15" customFormat="1" x14ac:dyDescent="0.2">
      <c r="A4470" s="8"/>
      <c r="B4470" s="8"/>
      <c r="E4470" s="83"/>
      <c r="F4470" s="83"/>
      <c r="H4470" s="8"/>
      <c r="I4470" s="8"/>
      <c r="J4470" s="8"/>
      <c r="K4470" s="8"/>
      <c r="L4470" s="8"/>
      <c r="M4470" s="8"/>
      <c r="N4470" s="8"/>
      <c r="O4470" s="8"/>
      <c r="P4470" s="8"/>
      <c r="Q4470" s="8"/>
      <c r="R4470" s="8"/>
      <c r="S4470" s="8"/>
      <c r="T4470" s="8"/>
      <c r="U4470" s="8"/>
      <c r="V4470" s="8"/>
      <c r="W4470" s="8"/>
      <c r="X4470" s="771"/>
      <c r="Y4470" s="771"/>
      <c r="Z4470" s="771"/>
      <c r="AA4470" s="771"/>
      <c r="AB4470" s="771"/>
      <c r="AC4470" s="771"/>
      <c r="AD4470" s="771"/>
      <c r="AE4470" s="771"/>
      <c r="AF4470" s="771"/>
      <c r="AG4470" s="771"/>
      <c r="AH4470" s="771"/>
      <c r="AI4470" s="771"/>
      <c r="AJ4470" s="771"/>
      <c r="AK4470" s="771"/>
      <c r="AL4470" s="771"/>
      <c r="AM4470" s="771"/>
      <c r="AN4470" s="771"/>
      <c r="AO4470" s="771"/>
      <c r="AP4470" s="771"/>
      <c r="AQ4470" s="771"/>
      <c r="AR4470" s="771"/>
      <c r="AS4470" s="771"/>
      <c r="AT4470" s="771"/>
      <c r="AU4470" s="771"/>
    </row>
    <row r="4471" spans="1:47" s="15" customFormat="1" x14ac:dyDescent="0.2">
      <c r="A4471" s="8"/>
      <c r="B4471" s="8"/>
      <c r="E4471" s="83"/>
      <c r="F4471" s="83"/>
      <c r="H4471" s="8"/>
      <c r="I4471" s="8"/>
      <c r="J4471" s="8"/>
      <c r="K4471" s="8"/>
      <c r="L4471" s="8"/>
      <c r="M4471" s="8"/>
      <c r="N4471" s="8"/>
      <c r="O4471" s="8"/>
      <c r="P4471" s="8"/>
      <c r="Q4471" s="8"/>
      <c r="R4471" s="8"/>
      <c r="S4471" s="8"/>
      <c r="T4471" s="8"/>
      <c r="U4471" s="8"/>
      <c r="V4471" s="8"/>
      <c r="W4471" s="8"/>
      <c r="X4471" s="771"/>
      <c r="Y4471" s="771"/>
      <c r="Z4471" s="771"/>
      <c r="AA4471" s="771"/>
      <c r="AB4471" s="771"/>
      <c r="AC4471" s="771"/>
      <c r="AD4471" s="771"/>
      <c r="AE4471" s="771"/>
      <c r="AF4471" s="771"/>
      <c r="AG4471" s="771"/>
      <c r="AH4471" s="771"/>
      <c r="AI4471" s="771"/>
      <c r="AJ4471" s="771"/>
      <c r="AK4471" s="771"/>
      <c r="AL4471" s="771"/>
      <c r="AM4471" s="771"/>
      <c r="AN4471" s="771"/>
      <c r="AO4471" s="771"/>
      <c r="AP4471" s="771"/>
      <c r="AQ4471" s="771"/>
      <c r="AR4471" s="771"/>
      <c r="AS4471" s="771"/>
      <c r="AT4471" s="771"/>
      <c r="AU4471" s="771"/>
    </row>
    <row r="4472" spans="1:47" s="15" customFormat="1" x14ac:dyDescent="0.2">
      <c r="A4472" s="8"/>
      <c r="B4472" s="8"/>
      <c r="E4472" s="83"/>
      <c r="F4472" s="83"/>
      <c r="H4472" s="8"/>
      <c r="I4472" s="8"/>
      <c r="J4472" s="8"/>
      <c r="K4472" s="8"/>
      <c r="L4472" s="8"/>
      <c r="M4472" s="8"/>
      <c r="N4472" s="8"/>
      <c r="O4472" s="8"/>
      <c r="P4472" s="8"/>
      <c r="Q4472" s="8"/>
      <c r="R4472" s="8"/>
      <c r="S4472" s="8"/>
      <c r="T4472" s="8"/>
      <c r="U4472" s="8"/>
      <c r="V4472" s="8"/>
      <c r="W4472" s="8"/>
      <c r="X4472" s="771"/>
      <c r="Y4472" s="771"/>
      <c r="Z4472" s="771"/>
      <c r="AA4472" s="771"/>
      <c r="AB4472" s="771"/>
      <c r="AC4472" s="771"/>
      <c r="AD4472" s="771"/>
      <c r="AE4472" s="771"/>
      <c r="AF4472" s="771"/>
      <c r="AG4472" s="771"/>
      <c r="AH4472" s="771"/>
      <c r="AI4472" s="771"/>
      <c r="AJ4472" s="771"/>
      <c r="AK4472" s="771"/>
      <c r="AL4472" s="771"/>
      <c r="AM4472" s="771"/>
      <c r="AN4472" s="771"/>
      <c r="AO4472" s="771"/>
      <c r="AP4472" s="771"/>
      <c r="AQ4472" s="771"/>
      <c r="AR4472" s="771"/>
      <c r="AS4472" s="771"/>
      <c r="AT4472" s="771"/>
      <c r="AU4472" s="771"/>
    </row>
    <row r="4473" spans="1:47" s="15" customFormat="1" x14ac:dyDescent="0.2">
      <c r="A4473" s="8"/>
      <c r="B4473" s="8"/>
      <c r="E4473" s="83"/>
      <c r="F4473" s="83"/>
      <c r="H4473" s="8"/>
      <c r="I4473" s="8"/>
      <c r="J4473" s="8"/>
      <c r="K4473" s="8"/>
      <c r="L4473" s="8"/>
      <c r="M4473" s="8"/>
      <c r="N4473" s="8"/>
      <c r="O4473" s="8"/>
      <c r="P4473" s="8"/>
      <c r="Q4473" s="8"/>
      <c r="R4473" s="8"/>
      <c r="S4473" s="8"/>
      <c r="T4473" s="8"/>
      <c r="U4473" s="8"/>
      <c r="V4473" s="8"/>
      <c r="W4473" s="8"/>
      <c r="X4473" s="771"/>
      <c r="Y4473" s="771"/>
      <c r="Z4473" s="771"/>
      <c r="AA4473" s="771"/>
      <c r="AB4473" s="771"/>
      <c r="AC4473" s="771"/>
      <c r="AD4473" s="771"/>
      <c r="AE4473" s="771"/>
      <c r="AF4473" s="771"/>
      <c r="AG4473" s="771"/>
      <c r="AH4473" s="771"/>
      <c r="AI4473" s="771"/>
      <c r="AJ4473" s="771"/>
      <c r="AK4473" s="771"/>
      <c r="AL4473" s="771"/>
      <c r="AM4473" s="771"/>
      <c r="AN4473" s="771"/>
      <c r="AO4473" s="771"/>
      <c r="AP4473" s="771"/>
      <c r="AQ4473" s="771"/>
      <c r="AR4473" s="771"/>
      <c r="AS4473" s="771"/>
      <c r="AT4473" s="771"/>
      <c r="AU4473" s="771"/>
    </row>
    <row r="4474" spans="1:47" s="15" customFormat="1" x14ac:dyDescent="0.2">
      <c r="A4474" s="8"/>
      <c r="B4474" s="8"/>
      <c r="E4474" s="83"/>
      <c r="F4474" s="83"/>
      <c r="H4474" s="8"/>
      <c r="I4474" s="8"/>
      <c r="J4474" s="8"/>
      <c r="K4474" s="8"/>
      <c r="L4474" s="8"/>
      <c r="M4474" s="8"/>
      <c r="N4474" s="8"/>
      <c r="O4474" s="8"/>
      <c r="P4474" s="8"/>
      <c r="Q4474" s="8"/>
      <c r="R4474" s="8"/>
      <c r="S4474" s="8"/>
      <c r="T4474" s="8"/>
      <c r="U4474" s="8"/>
      <c r="V4474" s="8"/>
      <c r="W4474" s="8"/>
      <c r="X4474" s="771"/>
      <c r="Y4474" s="771"/>
      <c r="Z4474" s="771"/>
      <c r="AA4474" s="771"/>
      <c r="AB4474" s="771"/>
      <c r="AC4474" s="771"/>
      <c r="AD4474" s="771"/>
      <c r="AE4474" s="771"/>
      <c r="AF4474" s="771"/>
      <c r="AG4474" s="771"/>
      <c r="AH4474" s="771"/>
      <c r="AI4474" s="771"/>
      <c r="AJ4474" s="771"/>
      <c r="AK4474" s="771"/>
      <c r="AL4474" s="771"/>
      <c r="AM4474" s="771"/>
      <c r="AN4474" s="771"/>
      <c r="AO4474" s="771"/>
      <c r="AP4474" s="771"/>
      <c r="AQ4474" s="771"/>
      <c r="AR4474" s="771"/>
      <c r="AS4474" s="771"/>
      <c r="AT4474" s="771"/>
      <c r="AU4474" s="771"/>
    </row>
    <row r="4475" spans="1:47" s="15" customFormat="1" x14ac:dyDescent="0.2">
      <c r="A4475" s="8"/>
      <c r="B4475" s="8"/>
      <c r="E4475" s="83"/>
      <c r="F4475" s="83"/>
      <c r="H4475" s="8"/>
      <c r="I4475" s="8"/>
      <c r="J4475" s="8"/>
      <c r="K4475" s="8"/>
      <c r="L4475" s="8"/>
      <c r="M4475" s="8"/>
      <c r="N4475" s="8"/>
      <c r="O4475" s="8"/>
      <c r="P4475" s="8"/>
      <c r="Q4475" s="8"/>
      <c r="R4475" s="8"/>
      <c r="S4475" s="8"/>
      <c r="T4475" s="8"/>
      <c r="U4475" s="8"/>
      <c r="V4475" s="8"/>
      <c r="W4475" s="8"/>
      <c r="X4475" s="771"/>
      <c r="Y4475" s="771"/>
      <c r="Z4475" s="771"/>
      <c r="AA4475" s="771"/>
      <c r="AB4475" s="771"/>
      <c r="AC4475" s="771"/>
      <c r="AD4475" s="771"/>
      <c r="AE4475" s="771"/>
      <c r="AF4475" s="771"/>
      <c r="AG4475" s="771"/>
      <c r="AH4475" s="771"/>
      <c r="AI4475" s="771"/>
      <c r="AJ4475" s="771"/>
      <c r="AK4475" s="771"/>
      <c r="AL4475" s="771"/>
      <c r="AM4475" s="771"/>
      <c r="AN4475" s="771"/>
      <c r="AO4475" s="771"/>
      <c r="AP4475" s="771"/>
      <c r="AQ4475" s="771"/>
      <c r="AR4475" s="771"/>
      <c r="AS4475" s="771"/>
      <c r="AT4475" s="771"/>
      <c r="AU4475" s="771"/>
    </row>
    <row r="4476" spans="1:47" s="15" customFormat="1" x14ac:dyDescent="0.2">
      <c r="A4476" s="8"/>
      <c r="B4476" s="8"/>
      <c r="E4476" s="83"/>
      <c r="F4476" s="83"/>
      <c r="H4476" s="8"/>
      <c r="I4476" s="8"/>
      <c r="J4476" s="8"/>
      <c r="K4476" s="8"/>
      <c r="L4476" s="8"/>
      <c r="M4476" s="8"/>
      <c r="N4476" s="8"/>
      <c r="O4476" s="8"/>
      <c r="P4476" s="8"/>
      <c r="Q4476" s="8"/>
      <c r="R4476" s="8"/>
      <c r="S4476" s="8"/>
      <c r="T4476" s="8"/>
      <c r="U4476" s="8"/>
      <c r="V4476" s="8"/>
      <c r="W4476" s="8"/>
      <c r="X4476" s="771"/>
      <c r="Y4476" s="771"/>
      <c r="Z4476" s="771"/>
      <c r="AA4476" s="771"/>
      <c r="AB4476" s="771"/>
      <c r="AC4476" s="771"/>
      <c r="AD4476" s="771"/>
      <c r="AE4476" s="771"/>
      <c r="AF4476" s="771"/>
      <c r="AG4476" s="771"/>
      <c r="AH4476" s="771"/>
      <c r="AI4476" s="771"/>
      <c r="AJ4476" s="771"/>
      <c r="AK4476" s="771"/>
      <c r="AL4476" s="771"/>
      <c r="AM4476" s="771"/>
      <c r="AN4476" s="771"/>
      <c r="AO4476" s="771"/>
      <c r="AP4476" s="771"/>
      <c r="AQ4476" s="771"/>
      <c r="AR4476" s="771"/>
      <c r="AS4476" s="771"/>
      <c r="AT4476" s="771"/>
      <c r="AU4476" s="771"/>
    </row>
    <row r="4477" spans="1:47" s="15" customFormat="1" x14ac:dyDescent="0.2">
      <c r="A4477" s="8"/>
      <c r="B4477" s="8"/>
      <c r="E4477" s="83"/>
      <c r="F4477" s="83"/>
      <c r="H4477" s="8"/>
      <c r="I4477" s="8"/>
      <c r="J4477" s="8"/>
      <c r="K4477" s="8"/>
      <c r="L4477" s="8"/>
      <c r="M4477" s="8"/>
      <c r="N4477" s="8"/>
      <c r="O4477" s="8"/>
      <c r="P4477" s="8"/>
      <c r="Q4477" s="8"/>
      <c r="R4477" s="8"/>
      <c r="S4477" s="8"/>
      <c r="T4477" s="8"/>
      <c r="U4477" s="8"/>
      <c r="V4477" s="8"/>
      <c r="W4477" s="8"/>
      <c r="X4477" s="771"/>
      <c r="Y4477" s="771"/>
      <c r="Z4477" s="771"/>
      <c r="AA4477" s="771"/>
      <c r="AB4477" s="771"/>
      <c r="AC4477" s="771"/>
      <c r="AD4477" s="771"/>
      <c r="AE4477" s="771"/>
      <c r="AF4477" s="771"/>
      <c r="AG4477" s="771"/>
      <c r="AH4477" s="771"/>
      <c r="AI4477" s="771"/>
      <c r="AJ4477" s="771"/>
      <c r="AK4477" s="771"/>
      <c r="AL4477" s="771"/>
      <c r="AM4477" s="771"/>
      <c r="AN4477" s="771"/>
      <c r="AO4477" s="771"/>
      <c r="AP4477" s="771"/>
      <c r="AQ4477" s="771"/>
      <c r="AR4477" s="771"/>
      <c r="AS4477" s="771"/>
      <c r="AT4477" s="771"/>
      <c r="AU4477" s="771"/>
    </row>
    <row r="4478" spans="1:47" s="15" customFormat="1" x14ac:dyDescent="0.2">
      <c r="A4478" s="8"/>
      <c r="B4478" s="8"/>
      <c r="E4478" s="83"/>
      <c r="F4478" s="83"/>
      <c r="H4478" s="8"/>
      <c r="I4478" s="8"/>
      <c r="J4478" s="8"/>
      <c r="K4478" s="8"/>
      <c r="L4478" s="8"/>
      <c r="M4478" s="8"/>
      <c r="N4478" s="8"/>
      <c r="O4478" s="8"/>
      <c r="P4478" s="8"/>
      <c r="Q4478" s="8"/>
      <c r="R4478" s="8"/>
      <c r="S4478" s="8"/>
      <c r="T4478" s="8"/>
      <c r="U4478" s="8"/>
      <c r="V4478" s="8"/>
      <c r="W4478" s="8"/>
      <c r="X4478" s="771"/>
      <c r="Y4478" s="771"/>
      <c r="Z4478" s="771"/>
      <c r="AA4478" s="771"/>
      <c r="AB4478" s="771"/>
      <c r="AC4478" s="771"/>
      <c r="AD4478" s="771"/>
      <c r="AE4478" s="771"/>
      <c r="AF4478" s="771"/>
      <c r="AG4478" s="771"/>
      <c r="AH4478" s="771"/>
      <c r="AI4478" s="771"/>
      <c r="AJ4478" s="771"/>
      <c r="AK4478" s="771"/>
      <c r="AL4478" s="771"/>
      <c r="AM4478" s="771"/>
      <c r="AN4478" s="771"/>
      <c r="AO4478" s="771"/>
      <c r="AP4478" s="771"/>
      <c r="AQ4478" s="771"/>
      <c r="AR4478" s="771"/>
      <c r="AS4478" s="771"/>
      <c r="AT4478" s="771"/>
      <c r="AU4478" s="771"/>
    </row>
    <row r="4479" spans="1:47" s="15" customFormat="1" x14ac:dyDescent="0.2">
      <c r="A4479" s="8"/>
      <c r="B4479" s="8"/>
      <c r="E4479" s="83"/>
      <c r="F4479" s="83"/>
      <c r="H4479" s="8"/>
      <c r="I4479" s="8"/>
      <c r="J4479" s="8"/>
      <c r="K4479" s="8"/>
      <c r="L4479" s="8"/>
      <c r="M4479" s="8"/>
      <c r="N4479" s="8"/>
      <c r="O4479" s="8"/>
      <c r="P4479" s="8"/>
      <c r="Q4479" s="8"/>
      <c r="R4479" s="8"/>
      <c r="S4479" s="8"/>
      <c r="T4479" s="8"/>
      <c r="U4479" s="8"/>
      <c r="V4479" s="8"/>
      <c r="W4479" s="8"/>
      <c r="X4479" s="771"/>
      <c r="Y4479" s="771"/>
      <c r="Z4479" s="771"/>
      <c r="AA4479" s="771"/>
      <c r="AB4479" s="771"/>
      <c r="AC4479" s="771"/>
      <c r="AD4479" s="771"/>
      <c r="AE4479" s="771"/>
      <c r="AF4479" s="771"/>
      <c r="AG4479" s="771"/>
      <c r="AH4479" s="771"/>
      <c r="AI4479" s="771"/>
      <c r="AJ4479" s="771"/>
      <c r="AK4479" s="771"/>
      <c r="AL4479" s="771"/>
      <c r="AM4479" s="771"/>
      <c r="AN4479" s="771"/>
      <c r="AO4479" s="771"/>
      <c r="AP4479" s="771"/>
      <c r="AQ4479" s="771"/>
      <c r="AR4479" s="771"/>
      <c r="AS4479" s="771"/>
      <c r="AT4479" s="771"/>
      <c r="AU4479" s="771"/>
    </row>
    <row r="4480" spans="1:47" s="15" customFormat="1" x14ac:dyDescent="0.2">
      <c r="A4480" s="8"/>
      <c r="B4480" s="8"/>
      <c r="E4480" s="83"/>
      <c r="F4480" s="83"/>
      <c r="H4480" s="8"/>
      <c r="I4480" s="8"/>
      <c r="J4480" s="8"/>
      <c r="K4480" s="8"/>
      <c r="L4480" s="8"/>
      <c r="M4480" s="8"/>
      <c r="N4480" s="8"/>
      <c r="O4480" s="8"/>
      <c r="P4480" s="8"/>
      <c r="Q4480" s="8"/>
      <c r="R4480" s="8"/>
      <c r="S4480" s="8"/>
      <c r="T4480" s="8"/>
      <c r="U4480" s="8"/>
      <c r="V4480" s="8"/>
      <c r="W4480" s="8"/>
      <c r="X4480" s="771"/>
      <c r="Y4480" s="771"/>
      <c r="Z4480" s="771"/>
      <c r="AA4480" s="771"/>
      <c r="AB4480" s="771"/>
      <c r="AC4480" s="771"/>
      <c r="AD4480" s="771"/>
      <c r="AE4480" s="771"/>
      <c r="AF4480" s="771"/>
      <c r="AG4480" s="771"/>
      <c r="AH4480" s="771"/>
      <c r="AI4480" s="771"/>
      <c r="AJ4480" s="771"/>
      <c r="AK4480" s="771"/>
      <c r="AL4480" s="771"/>
      <c r="AM4480" s="771"/>
      <c r="AN4480" s="771"/>
      <c r="AO4480" s="771"/>
      <c r="AP4480" s="771"/>
      <c r="AQ4480" s="771"/>
      <c r="AR4480" s="771"/>
      <c r="AS4480" s="771"/>
      <c r="AT4480" s="771"/>
      <c r="AU4480" s="771"/>
    </row>
    <row r="4481" spans="1:47" s="15" customFormat="1" x14ac:dyDescent="0.2">
      <c r="A4481" s="8"/>
      <c r="B4481" s="8"/>
      <c r="E4481" s="83"/>
      <c r="F4481" s="83"/>
      <c r="H4481" s="8"/>
      <c r="I4481" s="8"/>
      <c r="J4481" s="8"/>
      <c r="K4481" s="8"/>
      <c r="L4481" s="8"/>
      <c r="M4481" s="8"/>
      <c r="N4481" s="8"/>
      <c r="O4481" s="8"/>
      <c r="P4481" s="8"/>
      <c r="Q4481" s="8"/>
      <c r="R4481" s="8"/>
      <c r="S4481" s="8"/>
      <c r="T4481" s="8"/>
      <c r="U4481" s="8"/>
      <c r="V4481" s="8"/>
      <c r="W4481" s="8"/>
      <c r="X4481" s="771"/>
      <c r="Y4481" s="771"/>
      <c r="Z4481" s="771"/>
      <c r="AA4481" s="771"/>
      <c r="AB4481" s="771"/>
      <c r="AC4481" s="771"/>
      <c r="AD4481" s="771"/>
      <c r="AE4481" s="771"/>
      <c r="AF4481" s="771"/>
      <c r="AG4481" s="771"/>
      <c r="AH4481" s="771"/>
      <c r="AI4481" s="771"/>
      <c r="AJ4481" s="771"/>
      <c r="AK4481" s="771"/>
      <c r="AL4481" s="771"/>
      <c r="AM4481" s="771"/>
      <c r="AN4481" s="771"/>
      <c r="AO4481" s="771"/>
      <c r="AP4481" s="771"/>
      <c r="AQ4481" s="771"/>
      <c r="AR4481" s="771"/>
      <c r="AS4481" s="771"/>
      <c r="AT4481" s="771"/>
      <c r="AU4481" s="771"/>
    </row>
    <row r="4482" spans="1:47" s="15" customFormat="1" x14ac:dyDescent="0.2">
      <c r="A4482" s="8"/>
      <c r="B4482" s="8"/>
      <c r="E4482" s="83"/>
      <c r="F4482" s="83"/>
      <c r="H4482" s="8"/>
      <c r="I4482" s="8"/>
      <c r="J4482" s="8"/>
      <c r="K4482" s="8"/>
      <c r="L4482" s="8"/>
      <c r="M4482" s="8"/>
      <c r="N4482" s="8"/>
      <c r="O4482" s="8"/>
      <c r="P4482" s="8"/>
      <c r="Q4482" s="8"/>
      <c r="R4482" s="8"/>
      <c r="S4482" s="8"/>
      <c r="T4482" s="8"/>
      <c r="U4482" s="8"/>
      <c r="V4482" s="8"/>
      <c r="W4482" s="8"/>
      <c r="X4482" s="771"/>
      <c r="Y4482" s="771"/>
      <c r="Z4482" s="771"/>
      <c r="AA4482" s="771"/>
      <c r="AB4482" s="771"/>
      <c r="AC4482" s="771"/>
      <c r="AD4482" s="771"/>
      <c r="AE4482" s="771"/>
      <c r="AF4482" s="771"/>
      <c r="AG4482" s="771"/>
      <c r="AH4482" s="771"/>
      <c r="AI4482" s="771"/>
      <c r="AJ4482" s="771"/>
      <c r="AK4482" s="771"/>
      <c r="AL4482" s="771"/>
      <c r="AM4482" s="771"/>
      <c r="AN4482" s="771"/>
      <c r="AO4482" s="771"/>
      <c r="AP4482" s="771"/>
      <c r="AQ4482" s="771"/>
      <c r="AR4482" s="771"/>
      <c r="AS4482" s="771"/>
      <c r="AT4482" s="771"/>
      <c r="AU4482" s="771"/>
    </row>
    <row r="4483" spans="1:47" s="15" customFormat="1" x14ac:dyDescent="0.2">
      <c r="A4483" s="8"/>
      <c r="B4483" s="8"/>
      <c r="E4483" s="83"/>
      <c r="F4483" s="83"/>
      <c r="H4483" s="8"/>
      <c r="I4483" s="8"/>
      <c r="J4483" s="8"/>
      <c r="K4483" s="8"/>
      <c r="L4483" s="8"/>
      <c r="M4483" s="8"/>
      <c r="N4483" s="8"/>
      <c r="O4483" s="8"/>
      <c r="P4483" s="8"/>
      <c r="Q4483" s="8"/>
      <c r="R4483" s="8"/>
      <c r="S4483" s="8"/>
      <c r="T4483" s="8"/>
      <c r="U4483" s="8"/>
      <c r="V4483" s="8"/>
      <c r="W4483" s="8"/>
      <c r="X4483" s="771"/>
      <c r="Y4483" s="771"/>
      <c r="Z4483" s="771"/>
      <c r="AA4483" s="771"/>
      <c r="AB4483" s="771"/>
      <c r="AC4483" s="771"/>
      <c r="AD4483" s="771"/>
      <c r="AE4483" s="771"/>
      <c r="AF4483" s="771"/>
      <c r="AG4483" s="771"/>
      <c r="AH4483" s="771"/>
      <c r="AI4483" s="771"/>
      <c r="AJ4483" s="771"/>
      <c r="AK4483" s="771"/>
      <c r="AL4483" s="771"/>
      <c r="AM4483" s="771"/>
      <c r="AN4483" s="771"/>
      <c r="AO4483" s="771"/>
      <c r="AP4483" s="771"/>
      <c r="AQ4483" s="771"/>
      <c r="AR4483" s="771"/>
      <c r="AS4483" s="771"/>
      <c r="AT4483" s="771"/>
      <c r="AU4483" s="771"/>
    </row>
    <row r="4484" spans="1:47" s="15" customFormat="1" x14ac:dyDescent="0.2">
      <c r="A4484" s="8"/>
      <c r="B4484" s="8"/>
      <c r="E4484" s="83"/>
      <c r="F4484" s="83"/>
      <c r="H4484" s="8"/>
      <c r="I4484" s="8"/>
      <c r="J4484" s="8"/>
      <c r="K4484" s="8"/>
      <c r="L4484" s="8"/>
      <c r="M4484" s="8"/>
      <c r="N4484" s="8"/>
      <c r="O4484" s="8"/>
      <c r="P4484" s="8"/>
      <c r="Q4484" s="8"/>
      <c r="R4484" s="8"/>
      <c r="S4484" s="8"/>
      <c r="T4484" s="8"/>
      <c r="U4484" s="8"/>
      <c r="V4484" s="8"/>
      <c r="W4484" s="8"/>
      <c r="X4484" s="771"/>
      <c r="Y4484" s="771"/>
      <c r="Z4484" s="771"/>
      <c r="AA4484" s="771"/>
      <c r="AB4484" s="771"/>
      <c r="AC4484" s="771"/>
      <c r="AD4484" s="771"/>
      <c r="AE4484" s="771"/>
      <c r="AF4484" s="771"/>
      <c r="AG4484" s="771"/>
      <c r="AH4484" s="771"/>
      <c r="AI4484" s="771"/>
      <c r="AJ4484" s="771"/>
      <c r="AK4484" s="771"/>
      <c r="AL4484" s="771"/>
      <c r="AM4484" s="771"/>
      <c r="AN4484" s="771"/>
      <c r="AO4484" s="771"/>
      <c r="AP4484" s="771"/>
      <c r="AQ4484" s="771"/>
      <c r="AR4484" s="771"/>
      <c r="AS4484" s="771"/>
      <c r="AT4484" s="771"/>
      <c r="AU4484" s="771"/>
    </row>
    <row r="4485" spans="1:47" s="15" customFormat="1" x14ac:dyDescent="0.2">
      <c r="A4485" s="8"/>
      <c r="B4485" s="8"/>
      <c r="E4485" s="83"/>
      <c r="F4485" s="83"/>
      <c r="H4485" s="8"/>
      <c r="I4485" s="8"/>
      <c r="J4485" s="8"/>
      <c r="K4485" s="8"/>
      <c r="L4485" s="8"/>
      <c r="M4485" s="8"/>
      <c r="N4485" s="8"/>
      <c r="O4485" s="8"/>
      <c r="P4485" s="8"/>
      <c r="Q4485" s="8"/>
      <c r="R4485" s="8"/>
      <c r="S4485" s="8"/>
      <c r="T4485" s="8"/>
      <c r="U4485" s="8"/>
      <c r="V4485" s="8"/>
      <c r="W4485" s="8"/>
      <c r="X4485" s="771"/>
      <c r="Y4485" s="771"/>
      <c r="Z4485" s="771"/>
      <c r="AA4485" s="771"/>
      <c r="AB4485" s="771"/>
      <c r="AC4485" s="771"/>
      <c r="AD4485" s="771"/>
      <c r="AE4485" s="771"/>
      <c r="AF4485" s="771"/>
      <c r="AG4485" s="771"/>
      <c r="AH4485" s="771"/>
      <c r="AI4485" s="771"/>
      <c r="AJ4485" s="771"/>
      <c r="AK4485" s="771"/>
      <c r="AL4485" s="771"/>
      <c r="AM4485" s="771"/>
      <c r="AN4485" s="771"/>
      <c r="AO4485" s="771"/>
      <c r="AP4485" s="771"/>
      <c r="AQ4485" s="771"/>
      <c r="AR4485" s="771"/>
      <c r="AS4485" s="771"/>
      <c r="AT4485" s="771"/>
      <c r="AU4485" s="771"/>
    </row>
    <row r="4486" spans="1:47" s="15" customFormat="1" x14ac:dyDescent="0.2">
      <c r="A4486" s="8"/>
      <c r="B4486" s="8"/>
      <c r="E4486" s="83"/>
      <c r="F4486" s="83"/>
      <c r="H4486" s="8"/>
      <c r="I4486" s="8"/>
      <c r="J4486" s="8"/>
      <c r="K4486" s="8"/>
      <c r="L4486" s="8"/>
      <c r="M4486" s="8"/>
      <c r="N4486" s="8"/>
      <c r="O4486" s="8"/>
      <c r="P4486" s="8"/>
      <c r="Q4486" s="8"/>
      <c r="R4486" s="8"/>
      <c r="S4486" s="8"/>
      <c r="T4486" s="8"/>
      <c r="U4486" s="8"/>
      <c r="V4486" s="8"/>
      <c r="W4486" s="8"/>
      <c r="X4486" s="771"/>
      <c r="Y4486" s="771"/>
      <c r="Z4486" s="771"/>
      <c r="AA4486" s="771"/>
      <c r="AB4486" s="771"/>
      <c r="AC4486" s="771"/>
      <c r="AD4486" s="771"/>
      <c r="AE4486" s="771"/>
      <c r="AF4486" s="771"/>
      <c r="AG4486" s="771"/>
      <c r="AH4486" s="771"/>
      <c r="AI4486" s="771"/>
      <c r="AJ4486" s="771"/>
      <c r="AK4486" s="771"/>
      <c r="AL4486" s="771"/>
      <c r="AM4486" s="771"/>
      <c r="AN4486" s="771"/>
      <c r="AO4486" s="771"/>
      <c r="AP4486" s="771"/>
      <c r="AQ4486" s="771"/>
      <c r="AR4486" s="771"/>
      <c r="AS4486" s="771"/>
      <c r="AT4486" s="771"/>
      <c r="AU4486" s="771"/>
    </row>
    <row r="4487" spans="1:47" s="15" customFormat="1" x14ac:dyDescent="0.2">
      <c r="A4487" s="8"/>
      <c r="B4487" s="8"/>
      <c r="E4487" s="83"/>
      <c r="F4487" s="83"/>
      <c r="H4487" s="8"/>
      <c r="I4487" s="8"/>
      <c r="J4487" s="8"/>
      <c r="K4487" s="8"/>
      <c r="L4487" s="8"/>
      <c r="M4487" s="8"/>
      <c r="N4487" s="8"/>
      <c r="O4487" s="8"/>
      <c r="P4487" s="8"/>
      <c r="Q4487" s="8"/>
      <c r="R4487" s="8"/>
      <c r="S4487" s="8"/>
      <c r="T4487" s="8"/>
      <c r="U4487" s="8"/>
      <c r="V4487" s="8"/>
      <c r="W4487" s="8"/>
      <c r="X4487" s="771"/>
      <c r="Y4487" s="771"/>
      <c r="Z4487" s="771"/>
      <c r="AA4487" s="771"/>
      <c r="AB4487" s="771"/>
      <c r="AC4487" s="771"/>
      <c r="AD4487" s="771"/>
      <c r="AE4487" s="771"/>
      <c r="AF4487" s="771"/>
      <c r="AG4487" s="771"/>
      <c r="AH4487" s="771"/>
      <c r="AI4487" s="771"/>
      <c r="AJ4487" s="771"/>
      <c r="AK4487" s="771"/>
      <c r="AL4487" s="771"/>
      <c r="AM4487" s="771"/>
      <c r="AN4487" s="771"/>
      <c r="AO4487" s="771"/>
      <c r="AP4487" s="771"/>
      <c r="AQ4487" s="771"/>
      <c r="AR4487" s="771"/>
      <c r="AS4487" s="771"/>
      <c r="AT4487" s="771"/>
      <c r="AU4487" s="771"/>
    </row>
    <row r="4488" spans="1:47" s="15" customFormat="1" x14ac:dyDescent="0.2">
      <c r="A4488" s="8"/>
      <c r="B4488" s="8"/>
      <c r="E4488" s="83"/>
      <c r="F4488" s="83"/>
      <c r="H4488" s="8"/>
      <c r="I4488" s="8"/>
      <c r="J4488" s="8"/>
      <c r="K4488" s="8"/>
      <c r="L4488" s="8"/>
      <c r="M4488" s="8"/>
      <c r="N4488" s="8"/>
      <c r="O4488" s="8"/>
      <c r="P4488" s="8"/>
      <c r="Q4488" s="8"/>
      <c r="R4488" s="8"/>
      <c r="S4488" s="8"/>
      <c r="T4488" s="8"/>
      <c r="U4488" s="8"/>
      <c r="V4488" s="8"/>
      <c r="W4488" s="8"/>
      <c r="X4488" s="771"/>
      <c r="Y4488" s="771"/>
      <c r="Z4488" s="771"/>
      <c r="AA4488" s="771"/>
      <c r="AB4488" s="771"/>
      <c r="AC4488" s="771"/>
      <c r="AD4488" s="771"/>
      <c r="AE4488" s="771"/>
      <c r="AF4488" s="771"/>
      <c r="AG4488" s="771"/>
      <c r="AH4488" s="771"/>
      <c r="AI4488" s="771"/>
      <c r="AJ4488" s="771"/>
      <c r="AK4488" s="771"/>
      <c r="AL4488" s="771"/>
      <c r="AM4488" s="771"/>
      <c r="AN4488" s="771"/>
      <c r="AO4488" s="771"/>
      <c r="AP4488" s="771"/>
      <c r="AQ4488" s="771"/>
      <c r="AR4488" s="771"/>
      <c r="AS4488" s="771"/>
      <c r="AT4488" s="771"/>
      <c r="AU4488" s="771"/>
    </row>
    <row r="4489" spans="1:47" s="15" customFormat="1" x14ac:dyDescent="0.2">
      <c r="A4489" s="8"/>
      <c r="B4489" s="8"/>
      <c r="E4489" s="83"/>
      <c r="F4489" s="83"/>
      <c r="H4489" s="8"/>
      <c r="I4489" s="8"/>
      <c r="J4489" s="8"/>
      <c r="K4489" s="8"/>
      <c r="L4489" s="8"/>
      <c r="M4489" s="8"/>
      <c r="N4489" s="8"/>
      <c r="O4489" s="8"/>
      <c r="P4489" s="8"/>
      <c r="Q4489" s="8"/>
      <c r="R4489" s="8"/>
      <c r="S4489" s="8"/>
      <c r="T4489" s="8"/>
      <c r="U4489" s="8"/>
      <c r="V4489" s="8"/>
      <c r="W4489" s="8"/>
      <c r="X4489" s="771"/>
      <c r="Y4489" s="771"/>
      <c r="Z4489" s="771"/>
      <c r="AA4489" s="771"/>
      <c r="AB4489" s="771"/>
      <c r="AC4489" s="771"/>
      <c r="AD4489" s="771"/>
      <c r="AE4489" s="771"/>
      <c r="AF4489" s="771"/>
      <c r="AG4489" s="771"/>
      <c r="AH4489" s="771"/>
      <c r="AI4489" s="771"/>
      <c r="AJ4489" s="771"/>
      <c r="AK4489" s="771"/>
      <c r="AL4489" s="771"/>
      <c r="AM4489" s="771"/>
      <c r="AN4489" s="771"/>
      <c r="AO4489" s="771"/>
      <c r="AP4489" s="771"/>
      <c r="AQ4489" s="771"/>
      <c r="AR4489" s="771"/>
      <c r="AS4489" s="771"/>
      <c r="AT4489" s="771"/>
      <c r="AU4489" s="771"/>
    </row>
    <row r="4490" spans="1:47" s="15" customFormat="1" x14ac:dyDescent="0.2">
      <c r="A4490" s="8"/>
      <c r="B4490" s="8"/>
      <c r="E4490" s="83"/>
      <c r="F4490" s="83"/>
      <c r="H4490" s="8"/>
      <c r="I4490" s="8"/>
      <c r="J4490" s="8"/>
      <c r="K4490" s="8"/>
      <c r="L4490" s="8"/>
      <c r="M4490" s="8"/>
      <c r="N4490" s="8"/>
      <c r="O4490" s="8"/>
      <c r="P4490" s="8"/>
      <c r="Q4490" s="8"/>
      <c r="R4490" s="8"/>
      <c r="S4490" s="8"/>
      <c r="T4490" s="8"/>
      <c r="U4490" s="8"/>
      <c r="V4490" s="8"/>
      <c r="W4490" s="8"/>
      <c r="X4490" s="771"/>
      <c r="Y4490" s="771"/>
      <c r="Z4490" s="771"/>
      <c r="AA4490" s="771"/>
      <c r="AB4490" s="771"/>
      <c r="AC4490" s="771"/>
      <c r="AD4490" s="771"/>
      <c r="AE4490" s="771"/>
      <c r="AF4490" s="771"/>
      <c r="AG4490" s="771"/>
      <c r="AH4490" s="771"/>
      <c r="AI4490" s="771"/>
      <c r="AJ4490" s="771"/>
      <c r="AK4490" s="771"/>
      <c r="AL4490" s="771"/>
      <c r="AM4490" s="771"/>
      <c r="AN4490" s="771"/>
      <c r="AO4490" s="771"/>
      <c r="AP4490" s="771"/>
      <c r="AQ4490" s="771"/>
      <c r="AR4490" s="771"/>
      <c r="AS4490" s="771"/>
      <c r="AT4490" s="771"/>
      <c r="AU4490" s="771"/>
    </row>
    <row r="4491" spans="1:47" s="15" customFormat="1" x14ac:dyDescent="0.2">
      <c r="A4491" s="8"/>
      <c r="B4491" s="8"/>
      <c r="E4491" s="83"/>
      <c r="F4491" s="83"/>
      <c r="H4491" s="8"/>
      <c r="I4491" s="8"/>
      <c r="J4491" s="8"/>
      <c r="K4491" s="8"/>
      <c r="L4491" s="8"/>
      <c r="M4491" s="8"/>
      <c r="N4491" s="8"/>
      <c r="O4491" s="8"/>
      <c r="P4491" s="8"/>
      <c r="Q4491" s="8"/>
      <c r="R4491" s="8"/>
      <c r="S4491" s="8"/>
      <c r="T4491" s="8"/>
      <c r="U4491" s="8"/>
      <c r="V4491" s="8"/>
      <c r="W4491" s="8"/>
      <c r="X4491" s="771"/>
      <c r="Y4491" s="771"/>
      <c r="Z4491" s="771"/>
      <c r="AA4491" s="771"/>
      <c r="AB4491" s="771"/>
      <c r="AC4491" s="771"/>
      <c r="AD4491" s="771"/>
      <c r="AE4491" s="771"/>
      <c r="AF4491" s="771"/>
      <c r="AG4491" s="771"/>
      <c r="AH4491" s="771"/>
      <c r="AI4491" s="771"/>
      <c r="AJ4491" s="771"/>
      <c r="AK4491" s="771"/>
      <c r="AL4491" s="771"/>
      <c r="AM4491" s="771"/>
      <c r="AN4491" s="771"/>
      <c r="AO4491" s="771"/>
      <c r="AP4491" s="771"/>
      <c r="AQ4491" s="771"/>
      <c r="AR4491" s="771"/>
      <c r="AS4491" s="771"/>
      <c r="AT4491" s="771"/>
      <c r="AU4491" s="771"/>
    </row>
    <row r="4492" spans="1:47" s="15" customFormat="1" x14ac:dyDescent="0.2">
      <c r="A4492" s="8"/>
      <c r="B4492" s="8"/>
      <c r="E4492" s="83"/>
      <c r="F4492" s="83"/>
      <c r="H4492" s="8"/>
      <c r="I4492" s="8"/>
      <c r="J4492" s="8"/>
      <c r="K4492" s="8"/>
      <c r="L4492" s="8"/>
      <c r="M4492" s="8"/>
      <c r="N4492" s="8"/>
      <c r="O4492" s="8"/>
      <c r="P4492" s="8"/>
      <c r="Q4492" s="8"/>
      <c r="R4492" s="8"/>
      <c r="S4492" s="8"/>
      <c r="T4492" s="8"/>
      <c r="U4492" s="8"/>
      <c r="V4492" s="8"/>
      <c r="W4492" s="8"/>
      <c r="X4492" s="771"/>
      <c r="Y4492" s="771"/>
      <c r="Z4492" s="771"/>
      <c r="AA4492" s="771"/>
      <c r="AB4492" s="771"/>
      <c r="AC4492" s="771"/>
      <c r="AD4492" s="771"/>
      <c r="AE4492" s="771"/>
      <c r="AF4492" s="771"/>
      <c r="AG4492" s="771"/>
      <c r="AH4492" s="771"/>
      <c r="AI4492" s="771"/>
      <c r="AJ4492" s="771"/>
      <c r="AK4492" s="771"/>
      <c r="AL4492" s="771"/>
      <c r="AM4492" s="771"/>
      <c r="AN4492" s="771"/>
      <c r="AO4492" s="771"/>
      <c r="AP4492" s="771"/>
      <c r="AQ4492" s="771"/>
      <c r="AR4492" s="771"/>
      <c r="AS4492" s="771"/>
      <c r="AT4492" s="771"/>
      <c r="AU4492" s="771"/>
    </row>
    <row r="4493" spans="1:47" s="15" customFormat="1" x14ac:dyDescent="0.2">
      <c r="A4493" s="8"/>
      <c r="B4493" s="8"/>
      <c r="E4493" s="83"/>
      <c r="F4493" s="83"/>
      <c r="H4493" s="8"/>
      <c r="I4493" s="8"/>
      <c r="J4493" s="8"/>
      <c r="K4493" s="8"/>
      <c r="L4493" s="8"/>
      <c r="M4493" s="8"/>
      <c r="N4493" s="8"/>
      <c r="O4493" s="8"/>
      <c r="P4493" s="8"/>
      <c r="Q4493" s="8"/>
      <c r="R4493" s="8"/>
      <c r="S4493" s="8"/>
      <c r="T4493" s="8"/>
      <c r="U4493" s="8"/>
      <c r="V4493" s="8"/>
      <c r="W4493" s="8"/>
      <c r="X4493" s="771"/>
      <c r="Y4493" s="771"/>
      <c r="Z4493" s="771"/>
      <c r="AA4493" s="771"/>
      <c r="AB4493" s="771"/>
      <c r="AC4493" s="771"/>
      <c r="AD4493" s="771"/>
      <c r="AE4493" s="771"/>
      <c r="AF4493" s="771"/>
      <c r="AG4493" s="771"/>
      <c r="AH4493" s="771"/>
      <c r="AI4493" s="771"/>
      <c r="AJ4493" s="771"/>
      <c r="AK4493" s="771"/>
      <c r="AL4493" s="771"/>
      <c r="AM4493" s="771"/>
      <c r="AN4493" s="771"/>
      <c r="AO4493" s="771"/>
      <c r="AP4493" s="771"/>
      <c r="AQ4493" s="771"/>
      <c r="AR4493" s="771"/>
      <c r="AS4493" s="771"/>
      <c r="AT4493" s="771"/>
      <c r="AU4493" s="771"/>
    </row>
    <row r="4494" spans="1:47" s="15" customFormat="1" x14ac:dyDescent="0.2">
      <c r="A4494" s="8"/>
      <c r="B4494" s="8"/>
      <c r="E4494" s="83"/>
      <c r="F4494" s="83"/>
      <c r="H4494" s="8"/>
      <c r="I4494" s="8"/>
      <c r="J4494" s="8"/>
      <c r="K4494" s="8"/>
      <c r="L4494" s="8"/>
      <c r="M4494" s="8"/>
      <c r="N4494" s="8"/>
      <c r="O4494" s="8"/>
      <c r="P4494" s="8"/>
      <c r="Q4494" s="8"/>
      <c r="R4494" s="8"/>
      <c r="S4494" s="8"/>
      <c r="T4494" s="8"/>
      <c r="U4494" s="8"/>
      <c r="V4494" s="8"/>
      <c r="W4494" s="8"/>
      <c r="X4494" s="771"/>
      <c r="Y4494" s="771"/>
      <c r="Z4494" s="771"/>
      <c r="AA4494" s="771"/>
      <c r="AB4494" s="771"/>
      <c r="AC4494" s="771"/>
      <c r="AD4494" s="771"/>
      <c r="AE4494" s="771"/>
      <c r="AF4494" s="771"/>
      <c r="AG4494" s="771"/>
      <c r="AH4494" s="771"/>
      <c r="AI4494" s="771"/>
      <c r="AJ4494" s="771"/>
      <c r="AK4494" s="771"/>
      <c r="AL4494" s="771"/>
      <c r="AM4494" s="771"/>
      <c r="AN4494" s="771"/>
      <c r="AO4494" s="771"/>
      <c r="AP4494" s="771"/>
      <c r="AQ4494" s="771"/>
      <c r="AR4494" s="771"/>
      <c r="AS4494" s="771"/>
      <c r="AT4494" s="771"/>
      <c r="AU4494" s="771"/>
    </row>
    <row r="4495" spans="1:47" s="15" customFormat="1" x14ac:dyDescent="0.2">
      <c r="A4495" s="8"/>
      <c r="B4495" s="8"/>
      <c r="E4495" s="83"/>
      <c r="F4495" s="83"/>
      <c r="H4495" s="8"/>
      <c r="I4495" s="8"/>
      <c r="J4495" s="8"/>
      <c r="K4495" s="8"/>
      <c r="L4495" s="8"/>
      <c r="M4495" s="8"/>
      <c r="N4495" s="8"/>
      <c r="O4495" s="8"/>
      <c r="P4495" s="8"/>
      <c r="Q4495" s="8"/>
      <c r="R4495" s="8"/>
      <c r="S4495" s="8"/>
      <c r="T4495" s="8"/>
      <c r="U4495" s="8"/>
      <c r="V4495" s="8"/>
      <c r="W4495" s="8"/>
      <c r="X4495" s="771"/>
      <c r="Y4495" s="771"/>
      <c r="Z4495" s="771"/>
      <c r="AA4495" s="771"/>
      <c r="AB4495" s="771"/>
      <c r="AC4495" s="771"/>
      <c r="AD4495" s="771"/>
      <c r="AE4495" s="771"/>
      <c r="AF4495" s="771"/>
      <c r="AG4495" s="771"/>
      <c r="AH4495" s="771"/>
      <c r="AI4495" s="771"/>
      <c r="AJ4495" s="771"/>
      <c r="AK4495" s="771"/>
      <c r="AL4495" s="771"/>
      <c r="AM4495" s="771"/>
      <c r="AN4495" s="771"/>
      <c r="AO4495" s="771"/>
      <c r="AP4495" s="771"/>
      <c r="AQ4495" s="771"/>
      <c r="AR4495" s="771"/>
      <c r="AS4495" s="771"/>
      <c r="AT4495" s="771"/>
      <c r="AU4495" s="771"/>
    </row>
    <row r="4496" spans="1:47" s="15" customFormat="1" x14ac:dyDescent="0.2">
      <c r="A4496" s="8"/>
      <c r="B4496" s="8"/>
      <c r="E4496" s="83"/>
      <c r="F4496" s="83"/>
      <c r="H4496" s="8"/>
      <c r="I4496" s="8"/>
      <c r="J4496" s="8"/>
      <c r="K4496" s="8"/>
      <c r="L4496" s="8"/>
      <c r="M4496" s="8"/>
      <c r="N4496" s="8"/>
      <c r="O4496" s="8"/>
      <c r="P4496" s="8"/>
      <c r="Q4496" s="8"/>
      <c r="R4496" s="8"/>
      <c r="S4496" s="8"/>
      <c r="T4496" s="8"/>
      <c r="U4496" s="8"/>
      <c r="V4496" s="8"/>
      <c r="W4496" s="8"/>
      <c r="X4496" s="771"/>
      <c r="Y4496" s="771"/>
      <c r="Z4496" s="771"/>
      <c r="AA4496" s="771"/>
      <c r="AB4496" s="771"/>
      <c r="AC4496" s="771"/>
      <c r="AD4496" s="771"/>
      <c r="AE4496" s="771"/>
      <c r="AF4496" s="771"/>
      <c r="AG4496" s="771"/>
      <c r="AH4496" s="771"/>
      <c r="AI4496" s="771"/>
      <c r="AJ4496" s="771"/>
      <c r="AK4496" s="771"/>
      <c r="AL4496" s="771"/>
      <c r="AM4496" s="771"/>
      <c r="AN4496" s="771"/>
      <c r="AO4496" s="771"/>
      <c r="AP4496" s="771"/>
      <c r="AQ4496" s="771"/>
      <c r="AR4496" s="771"/>
      <c r="AS4496" s="771"/>
      <c r="AT4496" s="771"/>
      <c r="AU4496" s="771"/>
    </row>
    <row r="4497" spans="1:47" s="15" customFormat="1" x14ac:dyDescent="0.2">
      <c r="A4497" s="8"/>
      <c r="B4497" s="8"/>
      <c r="E4497" s="83"/>
      <c r="F4497" s="83"/>
      <c r="H4497" s="8"/>
      <c r="I4497" s="8"/>
      <c r="J4497" s="8"/>
      <c r="K4497" s="8"/>
      <c r="L4497" s="8"/>
      <c r="M4497" s="8"/>
      <c r="N4497" s="8"/>
      <c r="O4497" s="8"/>
      <c r="P4497" s="8"/>
      <c r="Q4497" s="8"/>
      <c r="R4497" s="8"/>
      <c r="S4497" s="8"/>
      <c r="T4497" s="8"/>
      <c r="U4497" s="8"/>
      <c r="V4497" s="8"/>
      <c r="W4497" s="8"/>
      <c r="X4497" s="771"/>
      <c r="Y4497" s="771"/>
      <c r="Z4497" s="771"/>
      <c r="AA4497" s="771"/>
      <c r="AB4497" s="771"/>
      <c r="AC4497" s="771"/>
      <c r="AD4497" s="771"/>
      <c r="AE4497" s="771"/>
      <c r="AF4497" s="771"/>
      <c r="AG4497" s="771"/>
      <c r="AH4497" s="771"/>
      <c r="AI4497" s="771"/>
      <c r="AJ4497" s="771"/>
      <c r="AK4497" s="771"/>
      <c r="AL4497" s="771"/>
      <c r="AM4497" s="771"/>
      <c r="AN4497" s="771"/>
      <c r="AO4497" s="771"/>
      <c r="AP4497" s="771"/>
      <c r="AQ4497" s="771"/>
      <c r="AR4497" s="771"/>
      <c r="AS4497" s="771"/>
      <c r="AT4497" s="771"/>
      <c r="AU4497" s="771"/>
    </row>
    <row r="4498" spans="1:47" s="15" customFormat="1" x14ac:dyDescent="0.2">
      <c r="A4498" s="8"/>
      <c r="B4498" s="8"/>
      <c r="E4498" s="83"/>
      <c r="F4498" s="83"/>
      <c r="H4498" s="8"/>
      <c r="I4498" s="8"/>
      <c r="J4498" s="8"/>
      <c r="K4498" s="8"/>
      <c r="L4498" s="8"/>
      <c r="M4498" s="8"/>
      <c r="N4498" s="8"/>
      <c r="O4498" s="8"/>
      <c r="P4498" s="8"/>
      <c r="Q4498" s="8"/>
      <c r="R4498" s="8"/>
      <c r="S4498" s="8"/>
      <c r="T4498" s="8"/>
      <c r="U4498" s="8"/>
      <c r="V4498" s="8"/>
      <c r="W4498" s="8"/>
      <c r="X4498" s="771"/>
      <c r="Y4498" s="771"/>
      <c r="Z4498" s="771"/>
      <c r="AA4498" s="771"/>
      <c r="AB4498" s="771"/>
      <c r="AC4498" s="771"/>
      <c r="AD4498" s="771"/>
      <c r="AE4498" s="771"/>
      <c r="AF4498" s="771"/>
      <c r="AG4498" s="771"/>
      <c r="AH4498" s="771"/>
      <c r="AI4498" s="771"/>
      <c r="AJ4498" s="771"/>
      <c r="AK4498" s="771"/>
      <c r="AL4498" s="771"/>
      <c r="AM4498" s="771"/>
      <c r="AN4498" s="771"/>
      <c r="AO4498" s="771"/>
      <c r="AP4498" s="771"/>
      <c r="AQ4498" s="771"/>
      <c r="AR4498" s="771"/>
      <c r="AS4498" s="771"/>
      <c r="AT4498" s="771"/>
      <c r="AU4498" s="771"/>
    </row>
    <row r="4499" spans="1:47" s="15" customFormat="1" x14ac:dyDescent="0.2">
      <c r="A4499" s="8"/>
      <c r="B4499" s="8"/>
      <c r="E4499" s="83"/>
      <c r="F4499" s="83"/>
      <c r="H4499" s="8"/>
      <c r="I4499" s="8"/>
      <c r="J4499" s="8"/>
      <c r="K4499" s="8"/>
      <c r="L4499" s="8"/>
      <c r="M4499" s="8"/>
      <c r="N4499" s="8"/>
      <c r="O4499" s="8"/>
      <c r="P4499" s="8"/>
      <c r="Q4499" s="8"/>
      <c r="R4499" s="8"/>
      <c r="S4499" s="8"/>
      <c r="T4499" s="8"/>
      <c r="U4499" s="8"/>
      <c r="V4499" s="8"/>
      <c r="W4499" s="8"/>
      <c r="X4499" s="771"/>
      <c r="Y4499" s="771"/>
      <c r="Z4499" s="771"/>
      <c r="AA4499" s="771"/>
      <c r="AB4499" s="771"/>
      <c r="AC4499" s="771"/>
      <c r="AD4499" s="771"/>
      <c r="AE4499" s="771"/>
      <c r="AF4499" s="771"/>
      <c r="AG4499" s="771"/>
      <c r="AH4499" s="771"/>
      <c r="AI4499" s="771"/>
      <c r="AJ4499" s="771"/>
      <c r="AK4499" s="771"/>
      <c r="AL4499" s="771"/>
      <c r="AM4499" s="771"/>
      <c r="AN4499" s="771"/>
      <c r="AO4499" s="771"/>
      <c r="AP4499" s="771"/>
      <c r="AQ4499" s="771"/>
      <c r="AR4499" s="771"/>
      <c r="AS4499" s="771"/>
      <c r="AT4499" s="771"/>
      <c r="AU4499" s="771"/>
    </row>
    <row r="4500" spans="1:47" s="15" customFormat="1" x14ac:dyDescent="0.2">
      <c r="A4500" s="8"/>
      <c r="B4500" s="8"/>
      <c r="E4500" s="83"/>
      <c r="F4500" s="83"/>
      <c r="H4500" s="8"/>
      <c r="I4500" s="8"/>
      <c r="J4500" s="8"/>
      <c r="K4500" s="8"/>
      <c r="L4500" s="8"/>
      <c r="M4500" s="8"/>
      <c r="N4500" s="8"/>
      <c r="O4500" s="8"/>
      <c r="P4500" s="8"/>
      <c r="Q4500" s="8"/>
      <c r="R4500" s="8"/>
      <c r="S4500" s="8"/>
      <c r="T4500" s="8"/>
      <c r="U4500" s="8"/>
      <c r="V4500" s="8"/>
      <c r="W4500" s="8"/>
      <c r="X4500" s="771"/>
      <c r="Y4500" s="771"/>
      <c r="Z4500" s="771"/>
      <c r="AA4500" s="771"/>
      <c r="AB4500" s="771"/>
      <c r="AC4500" s="771"/>
      <c r="AD4500" s="771"/>
      <c r="AE4500" s="771"/>
      <c r="AF4500" s="771"/>
      <c r="AG4500" s="771"/>
      <c r="AH4500" s="771"/>
      <c r="AI4500" s="771"/>
      <c r="AJ4500" s="771"/>
      <c r="AK4500" s="771"/>
      <c r="AL4500" s="771"/>
      <c r="AM4500" s="771"/>
      <c r="AN4500" s="771"/>
      <c r="AO4500" s="771"/>
      <c r="AP4500" s="771"/>
      <c r="AQ4500" s="771"/>
      <c r="AR4500" s="771"/>
      <c r="AS4500" s="771"/>
      <c r="AT4500" s="771"/>
      <c r="AU4500" s="771"/>
    </row>
    <row r="4501" spans="1:47" s="15" customFormat="1" x14ac:dyDescent="0.2">
      <c r="A4501" s="8"/>
      <c r="B4501" s="8"/>
      <c r="E4501" s="83"/>
      <c r="F4501" s="83"/>
      <c r="H4501" s="8"/>
      <c r="I4501" s="8"/>
      <c r="J4501" s="8"/>
      <c r="K4501" s="8"/>
      <c r="L4501" s="8"/>
      <c r="M4501" s="8"/>
      <c r="N4501" s="8"/>
      <c r="O4501" s="8"/>
      <c r="P4501" s="8"/>
      <c r="Q4501" s="8"/>
      <c r="R4501" s="8"/>
      <c r="S4501" s="8"/>
      <c r="T4501" s="8"/>
      <c r="U4501" s="8"/>
      <c r="V4501" s="8"/>
      <c r="W4501" s="8"/>
      <c r="X4501" s="771"/>
      <c r="Y4501" s="771"/>
      <c r="Z4501" s="771"/>
      <c r="AA4501" s="771"/>
      <c r="AB4501" s="771"/>
      <c r="AC4501" s="771"/>
      <c r="AD4501" s="771"/>
      <c r="AE4501" s="771"/>
      <c r="AF4501" s="771"/>
      <c r="AG4501" s="771"/>
      <c r="AH4501" s="771"/>
      <c r="AI4501" s="771"/>
      <c r="AJ4501" s="771"/>
      <c r="AK4501" s="771"/>
      <c r="AL4501" s="771"/>
      <c r="AM4501" s="771"/>
      <c r="AN4501" s="771"/>
      <c r="AO4501" s="771"/>
      <c r="AP4501" s="771"/>
      <c r="AQ4501" s="771"/>
      <c r="AR4501" s="771"/>
      <c r="AS4501" s="771"/>
      <c r="AT4501" s="771"/>
      <c r="AU4501" s="771"/>
    </row>
    <row r="4502" spans="1:47" s="15" customFormat="1" x14ac:dyDescent="0.2">
      <c r="A4502" s="8"/>
      <c r="B4502" s="8"/>
      <c r="E4502" s="83"/>
      <c r="F4502" s="83"/>
      <c r="H4502" s="8"/>
      <c r="I4502" s="8"/>
      <c r="J4502" s="8"/>
      <c r="K4502" s="8"/>
      <c r="L4502" s="8"/>
      <c r="M4502" s="8"/>
      <c r="N4502" s="8"/>
      <c r="O4502" s="8"/>
      <c r="P4502" s="8"/>
      <c r="Q4502" s="8"/>
      <c r="R4502" s="8"/>
      <c r="S4502" s="8"/>
      <c r="T4502" s="8"/>
      <c r="U4502" s="8"/>
      <c r="V4502" s="8"/>
      <c r="W4502" s="8"/>
      <c r="X4502" s="771"/>
      <c r="Y4502" s="771"/>
      <c r="Z4502" s="771"/>
      <c r="AA4502" s="771"/>
      <c r="AB4502" s="771"/>
      <c r="AC4502" s="771"/>
      <c r="AD4502" s="771"/>
      <c r="AE4502" s="771"/>
      <c r="AF4502" s="771"/>
      <c r="AG4502" s="771"/>
      <c r="AH4502" s="771"/>
      <c r="AI4502" s="771"/>
      <c r="AJ4502" s="771"/>
      <c r="AK4502" s="771"/>
      <c r="AL4502" s="771"/>
      <c r="AM4502" s="771"/>
      <c r="AN4502" s="771"/>
      <c r="AO4502" s="771"/>
      <c r="AP4502" s="771"/>
      <c r="AQ4502" s="771"/>
      <c r="AR4502" s="771"/>
      <c r="AS4502" s="771"/>
      <c r="AT4502" s="771"/>
      <c r="AU4502" s="771"/>
    </row>
    <row r="4503" spans="1:47" s="15" customFormat="1" x14ac:dyDescent="0.2">
      <c r="A4503" s="8"/>
      <c r="B4503" s="8"/>
      <c r="E4503" s="83"/>
      <c r="F4503" s="83"/>
      <c r="H4503" s="8"/>
      <c r="I4503" s="8"/>
      <c r="J4503" s="8"/>
      <c r="K4503" s="8"/>
      <c r="L4503" s="8"/>
      <c r="M4503" s="8"/>
      <c r="N4503" s="8"/>
      <c r="O4503" s="8"/>
      <c r="P4503" s="8"/>
      <c r="Q4503" s="8"/>
      <c r="R4503" s="8"/>
      <c r="S4503" s="8"/>
      <c r="T4503" s="8"/>
      <c r="U4503" s="8"/>
      <c r="V4503" s="8"/>
      <c r="W4503" s="8"/>
      <c r="X4503" s="771"/>
      <c r="Y4503" s="771"/>
      <c r="Z4503" s="771"/>
      <c r="AA4503" s="771"/>
      <c r="AB4503" s="771"/>
      <c r="AC4503" s="771"/>
      <c r="AD4503" s="771"/>
      <c r="AE4503" s="771"/>
      <c r="AF4503" s="771"/>
      <c r="AG4503" s="771"/>
      <c r="AH4503" s="771"/>
      <c r="AI4503" s="771"/>
      <c r="AJ4503" s="771"/>
      <c r="AK4503" s="771"/>
      <c r="AL4503" s="771"/>
      <c r="AM4503" s="771"/>
      <c r="AN4503" s="771"/>
      <c r="AO4503" s="771"/>
      <c r="AP4503" s="771"/>
      <c r="AQ4503" s="771"/>
      <c r="AR4503" s="771"/>
      <c r="AS4503" s="771"/>
      <c r="AT4503" s="771"/>
      <c r="AU4503" s="771"/>
    </row>
    <row r="4504" spans="1:47" s="15" customFormat="1" x14ac:dyDescent="0.2">
      <c r="A4504" s="8"/>
      <c r="B4504" s="8"/>
      <c r="E4504" s="83"/>
      <c r="F4504" s="83"/>
      <c r="H4504" s="8"/>
      <c r="I4504" s="8"/>
      <c r="J4504" s="8"/>
      <c r="K4504" s="8"/>
      <c r="L4504" s="8"/>
      <c r="M4504" s="8"/>
      <c r="N4504" s="8"/>
      <c r="O4504" s="8"/>
      <c r="P4504" s="8"/>
      <c r="Q4504" s="8"/>
      <c r="R4504" s="8"/>
      <c r="S4504" s="8"/>
      <c r="T4504" s="8"/>
      <c r="U4504" s="8"/>
      <c r="V4504" s="8"/>
      <c r="W4504" s="8"/>
      <c r="X4504" s="771"/>
      <c r="Y4504" s="771"/>
      <c r="Z4504" s="771"/>
      <c r="AA4504" s="771"/>
      <c r="AB4504" s="771"/>
      <c r="AC4504" s="771"/>
      <c r="AD4504" s="771"/>
      <c r="AE4504" s="771"/>
      <c r="AF4504" s="771"/>
      <c r="AG4504" s="771"/>
      <c r="AH4504" s="771"/>
      <c r="AI4504" s="771"/>
      <c r="AJ4504" s="771"/>
      <c r="AK4504" s="771"/>
      <c r="AL4504" s="771"/>
      <c r="AM4504" s="771"/>
      <c r="AN4504" s="771"/>
      <c r="AO4504" s="771"/>
      <c r="AP4504" s="771"/>
      <c r="AQ4504" s="771"/>
      <c r="AR4504" s="771"/>
      <c r="AS4504" s="771"/>
      <c r="AT4504" s="771"/>
      <c r="AU4504" s="771"/>
    </row>
    <row r="4505" spans="1:47" s="15" customFormat="1" x14ac:dyDescent="0.2">
      <c r="A4505" s="8"/>
      <c r="B4505" s="8"/>
      <c r="E4505" s="83"/>
      <c r="F4505" s="83"/>
      <c r="H4505" s="8"/>
      <c r="I4505" s="8"/>
      <c r="J4505" s="8"/>
      <c r="K4505" s="8"/>
      <c r="L4505" s="8"/>
      <c r="M4505" s="8"/>
      <c r="N4505" s="8"/>
      <c r="O4505" s="8"/>
      <c r="P4505" s="8"/>
      <c r="Q4505" s="8"/>
      <c r="R4505" s="8"/>
      <c r="S4505" s="8"/>
      <c r="T4505" s="8"/>
      <c r="U4505" s="8"/>
      <c r="V4505" s="8"/>
      <c r="W4505" s="8"/>
      <c r="X4505" s="771"/>
      <c r="Y4505" s="771"/>
      <c r="Z4505" s="771"/>
      <c r="AA4505" s="771"/>
      <c r="AB4505" s="771"/>
      <c r="AC4505" s="771"/>
      <c r="AD4505" s="771"/>
      <c r="AE4505" s="771"/>
      <c r="AF4505" s="771"/>
      <c r="AG4505" s="771"/>
      <c r="AH4505" s="771"/>
      <c r="AI4505" s="771"/>
      <c r="AJ4505" s="771"/>
      <c r="AK4505" s="771"/>
      <c r="AL4505" s="771"/>
      <c r="AM4505" s="771"/>
      <c r="AN4505" s="771"/>
      <c r="AO4505" s="771"/>
      <c r="AP4505" s="771"/>
      <c r="AQ4505" s="771"/>
      <c r="AR4505" s="771"/>
      <c r="AS4505" s="771"/>
      <c r="AT4505" s="771"/>
      <c r="AU4505" s="771"/>
    </row>
    <row r="4506" spans="1:47" s="15" customFormat="1" x14ac:dyDescent="0.2">
      <c r="A4506" s="8"/>
      <c r="B4506" s="8"/>
      <c r="E4506" s="83"/>
      <c r="F4506" s="83"/>
      <c r="H4506" s="8"/>
      <c r="I4506" s="8"/>
      <c r="J4506" s="8"/>
      <c r="K4506" s="8"/>
      <c r="L4506" s="8"/>
      <c r="M4506" s="8"/>
      <c r="N4506" s="8"/>
      <c r="O4506" s="8"/>
      <c r="P4506" s="8"/>
      <c r="Q4506" s="8"/>
      <c r="R4506" s="8"/>
      <c r="S4506" s="8"/>
      <c r="T4506" s="8"/>
      <c r="U4506" s="8"/>
      <c r="V4506" s="8"/>
      <c r="W4506" s="8"/>
      <c r="X4506" s="771"/>
      <c r="Y4506" s="771"/>
      <c r="Z4506" s="771"/>
      <c r="AA4506" s="771"/>
      <c r="AB4506" s="771"/>
      <c r="AC4506" s="771"/>
      <c r="AD4506" s="771"/>
      <c r="AE4506" s="771"/>
      <c r="AF4506" s="771"/>
      <c r="AG4506" s="771"/>
      <c r="AH4506" s="771"/>
      <c r="AI4506" s="771"/>
      <c r="AJ4506" s="771"/>
      <c r="AK4506" s="771"/>
      <c r="AL4506" s="771"/>
      <c r="AM4506" s="771"/>
      <c r="AN4506" s="771"/>
      <c r="AO4506" s="771"/>
      <c r="AP4506" s="771"/>
      <c r="AQ4506" s="771"/>
      <c r="AR4506" s="771"/>
      <c r="AS4506" s="771"/>
      <c r="AT4506" s="771"/>
      <c r="AU4506" s="771"/>
    </row>
    <row r="4507" spans="1:47" s="15" customFormat="1" x14ac:dyDescent="0.2">
      <c r="A4507" s="8"/>
      <c r="B4507" s="8"/>
      <c r="E4507" s="83"/>
      <c r="F4507" s="83"/>
      <c r="H4507" s="8"/>
      <c r="I4507" s="8"/>
      <c r="J4507" s="8"/>
      <c r="K4507" s="8"/>
      <c r="L4507" s="8"/>
      <c r="M4507" s="8"/>
      <c r="N4507" s="8"/>
      <c r="O4507" s="8"/>
      <c r="P4507" s="8"/>
      <c r="Q4507" s="8"/>
      <c r="R4507" s="8"/>
      <c r="S4507" s="8"/>
      <c r="T4507" s="8"/>
      <c r="U4507" s="8"/>
      <c r="V4507" s="8"/>
      <c r="W4507" s="8"/>
      <c r="X4507" s="771"/>
      <c r="Y4507" s="771"/>
      <c r="Z4507" s="771"/>
      <c r="AA4507" s="771"/>
      <c r="AB4507" s="771"/>
      <c r="AC4507" s="771"/>
      <c r="AD4507" s="771"/>
      <c r="AE4507" s="771"/>
      <c r="AF4507" s="771"/>
      <c r="AG4507" s="771"/>
      <c r="AH4507" s="771"/>
      <c r="AI4507" s="771"/>
      <c r="AJ4507" s="771"/>
      <c r="AK4507" s="771"/>
      <c r="AL4507" s="771"/>
      <c r="AM4507" s="771"/>
      <c r="AN4507" s="771"/>
      <c r="AO4507" s="771"/>
      <c r="AP4507" s="771"/>
      <c r="AQ4507" s="771"/>
      <c r="AR4507" s="771"/>
      <c r="AS4507" s="771"/>
      <c r="AT4507" s="771"/>
      <c r="AU4507" s="771"/>
    </row>
    <row r="4508" spans="1:47" s="15" customFormat="1" x14ac:dyDescent="0.2">
      <c r="A4508" s="8"/>
      <c r="B4508" s="8"/>
      <c r="E4508" s="83"/>
      <c r="F4508" s="83"/>
      <c r="H4508" s="8"/>
      <c r="I4508" s="8"/>
      <c r="J4508" s="8"/>
      <c r="K4508" s="8"/>
      <c r="L4508" s="8"/>
      <c r="M4508" s="8"/>
      <c r="N4508" s="8"/>
      <c r="O4508" s="8"/>
      <c r="P4508" s="8"/>
      <c r="Q4508" s="8"/>
      <c r="R4508" s="8"/>
      <c r="S4508" s="8"/>
      <c r="T4508" s="8"/>
      <c r="U4508" s="8"/>
      <c r="V4508" s="8"/>
      <c r="W4508" s="8"/>
      <c r="X4508" s="771"/>
      <c r="Y4508" s="771"/>
      <c r="Z4508" s="771"/>
      <c r="AA4508" s="771"/>
      <c r="AB4508" s="771"/>
      <c r="AC4508" s="771"/>
      <c r="AD4508" s="771"/>
      <c r="AE4508" s="771"/>
      <c r="AF4508" s="771"/>
      <c r="AG4508" s="771"/>
      <c r="AH4508" s="771"/>
      <c r="AI4508" s="771"/>
      <c r="AJ4508" s="771"/>
      <c r="AK4508" s="771"/>
      <c r="AL4508" s="771"/>
      <c r="AM4508" s="771"/>
      <c r="AN4508" s="771"/>
      <c r="AO4508" s="771"/>
      <c r="AP4508" s="771"/>
      <c r="AQ4508" s="771"/>
      <c r="AR4508" s="771"/>
      <c r="AS4508" s="771"/>
      <c r="AT4508" s="771"/>
      <c r="AU4508" s="771"/>
    </row>
    <row r="4509" spans="1:47" s="15" customFormat="1" x14ac:dyDescent="0.2">
      <c r="A4509" s="8"/>
      <c r="B4509" s="8"/>
      <c r="E4509" s="83"/>
      <c r="F4509" s="83"/>
      <c r="H4509" s="8"/>
      <c r="I4509" s="8"/>
      <c r="J4509" s="8"/>
      <c r="K4509" s="8"/>
      <c r="L4509" s="8"/>
      <c r="M4509" s="8"/>
      <c r="N4509" s="8"/>
      <c r="O4509" s="8"/>
      <c r="P4509" s="8"/>
      <c r="Q4509" s="8"/>
      <c r="R4509" s="8"/>
      <c r="S4509" s="8"/>
      <c r="T4509" s="8"/>
      <c r="U4509" s="8"/>
      <c r="V4509" s="8"/>
      <c r="W4509" s="8"/>
      <c r="X4509" s="771"/>
      <c r="Y4509" s="771"/>
      <c r="Z4509" s="771"/>
      <c r="AA4509" s="771"/>
      <c r="AB4509" s="771"/>
      <c r="AC4509" s="771"/>
      <c r="AD4509" s="771"/>
      <c r="AE4509" s="771"/>
      <c r="AF4509" s="771"/>
      <c r="AG4509" s="771"/>
      <c r="AH4509" s="771"/>
      <c r="AI4509" s="771"/>
      <c r="AJ4509" s="771"/>
      <c r="AK4509" s="771"/>
      <c r="AL4509" s="771"/>
      <c r="AM4509" s="771"/>
      <c r="AN4509" s="771"/>
      <c r="AO4509" s="771"/>
      <c r="AP4509" s="771"/>
      <c r="AQ4509" s="771"/>
      <c r="AR4509" s="771"/>
      <c r="AS4509" s="771"/>
      <c r="AT4509" s="771"/>
      <c r="AU4509" s="771"/>
    </row>
    <row r="4510" spans="1:47" s="15" customFormat="1" x14ac:dyDescent="0.2">
      <c r="A4510" s="8"/>
      <c r="B4510" s="8"/>
      <c r="E4510" s="83"/>
      <c r="F4510" s="83"/>
      <c r="H4510" s="8"/>
      <c r="I4510" s="8"/>
      <c r="J4510" s="8"/>
      <c r="K4510" s="8"/>
      <c r="L4510" s="8"/>
      <c r="M4510" s="8"/>
      <c r="N4510" s="8"/>
      <c r="O4510" s="8"/>
      <c r="P4510" s="8"/>
      <c r="Q4510" s="8"/>
      <c r="R4510" s="8"/>
      <c r="S4510" s="8"/>
      <c r="T4510" s="8"/>
      <c r="U4510" s="8"/>
      <c r="V4510" s="8"/>
      <c r="W4510" s="8"/>
      <c r="X4510" s="771"/>
      <c r="Y4510" s="771"/>
      <c r="Z4510" s="771"/>
      <c r="AA4510" s="771"/>
      <c r="AB4510" s="771"/>
      <c r="AC4510" s="771"/>
      <c r="AD4510" s="771"/>
      <c r="AE4510" s="771"/>
      <c r="AF4510" s="771"/>
      <c r="AG4510" s="771"/>
      <c r="AH4510" s="771"/>
      <c r="AI4510" s="771"/>
      <c r="AJ4510" s="771"/>
      <c r="AK4510" s="771"/>
      <c r="AL4510" s="771"/>
      <c r="AM4510" s="771"/>
      <c r="AN4510" s="771"/>
      <c r="AO4510" s="771"/>
      <c r="AP4510" s="771"/>
      <c r="AQ4510" s="771"/>
      <c r="AR4510" s="771"/>
      <c r="AS4510" s="771"/>
      <c r="AT4510" s="771"/>
      <c r="AU4510" s="771"/>
    </row>
    <row r="4511" spans="1:47" s="15" customFormat="1" x14ac:dyDescent="0.2">
      <c r="A4511" s="8"/>
      <c r="B4511" s="8"/>
      <c r="E4511" s="83"/>
      <c r="F4511" s="83"/>
      <c r="H4511" s="8"/>
      <c r="I4511" s="8"/>
      <c r="J4511" s="8"/>
      <c r="K4511" s="8"/>
      <c r="L4511" s="8"/>
      <c r="M4511" s="8"/>
      <c r="N4511" s="8"/>
      <c r="O4511" s="8"/>
      <c r="P4511" s="8"/>
      <c r="Q4511" s="8"/>
      <c r="R4511" s="8"/>
      <c r="S4511" s="8"/>
      <c r="T4511" s="8"/>
      <c r="U4511" s="8"/>
      <c r="V4511" s="8"/>
      <c r="W4511" s="8"/>
      <c r="X4511" s="771"/>
      <c r="Y4511" s="771"/>
      <c r="Z4511" s="771"/>
      <c r="AA4511" s="771"/>
      <c r="AB4511" s="771"/>
      <c r="AC4511" s="771"/>
      <c r="AD4511" s="771"/>
      <c r="AE4511" s="771"/>
      <c r="AF4511" s="771"/>
      <c r="AG4511" s="771"/>
      <c r="AH4511" s="771"/>
      <c r="AI4511" s="771"/>
      <c r="AJ4511" s="771"/>
      <c r="AK4511" s="771"/>
      <c r="AL4511" s="771"/>
      <c r="AM4511" s="771"/>
      <c r="AN4511" s="771"/>
      <c r="AO4511" s="771"/>
      <c r="AP4511" s="771"/>
      <c r="AQ4511" s="771"/>
      <c r="AR4511" s="771"/>
      <c r="AS4511" s="771"/>
      <c r="AT4511" s="771"/>
      <c r="AU4511" s="771"/>
    </row>
    <row r="4512" spans="1:47" s="15" customFormat="1" x14ac:dyDescent="0.2">
      <c r="A4512" s="8"/>
      <c r="B4512" s="8"/>
      <c r="E4512" s="83"/>
      <c r="F4512" s="83"/>
      <c r="H4512" s="8"/>
      <c r="I4512" s="8"/>
      <c r="J4512" s="8"/>
      <c r="K4512" s="8"/>
      <c r="L4512" s="8"/>
      <c r="M4512" s="8"/>
      <c r="N4512" s="8"/>
      <c r="O4512" s="8"/>
      <c r="P4512" s="8"/>
      <c r="Q4512" s="8"/>
      <c r="R4512" s="8"/>
      <c r="S4512" s="8"/>
      <c r="T4512" s="8"/>
      <c r="U4512" s="8"/>
      <c r="V4512" s="8"/>
      <c r="W4512" s="8"/>
      <c r="X4512" s="771"/>
      <c r="Y4512" s="771"/>
      <c r="Z4512" s="771"/>
      <c r="AA4512" s="771"/>
      <c r="AB4512" s="771"/>
      <c r="AC4512" s="771"/>
      <c r="AD4512" s="771"/>
      <c r="AE4512" s="771"/>
      <c r="AF4512" s="771"/>
      <c r="AG4512" s="771"/>
      <c r="AH4512" s="771"/>
      <c r="AI4512" s="771"/>
      <c r="AJ4512" s="771"/>
      <c r="AK4512" s="771"/>
      <c r="AL4512" s="771"/>
      <c r="AM4512" s="771"/>
      <c r="AN4512" s="771"/>
      <c r="AO4512" s="771"/>
      <c r="AP4512" s="771"/>
      <c r="AQ4512" s="771"/>
      <c r="AR4512" s="771"/>
      <c r="AS4512" s="771"/>
      <c r="AT4512" s="771"/>
      <c r="AU4512" s="771"/>
    </row>
    <row r="4513" spans="1:47" s="15" customFormat="1" x14ac:dyDescent="0.2">
      <c r="A4513" s="8"/>
      <c r="B4513" s="8"/>
      <c r="E4513" s="83"/>
      <c r="F4513" s="83"/>
      <c r="H4513" s="8"/>
      <c r="I4513" s="8"/>
      <c r="J4513" s="8"/>
      <c r="K4513" s="8"/>
      <c r="L4513" s="8"/>
      <c r="M4513" s="8"/>
      <c r="N4513" s="8"/>
      <c r="O4513" s="8"/>
      <c r="P4513" s="8"/>
      <c r="Q4513" s="8"/>
      <c r="R4513" s="8"/>
      <c r="S4513" s="8"/>
      <c r="T4513" s="8"/>
      <c r="U4513" s="8"/>
      <c r="V4513" s="8"/>
      <c r="W4513" s="8"/>
      <c r="X4513" s="771"/>
      <c r="Y4513" s="771"/>
      <c r="Z4513" s="771"/>
      <c r="AA4513" s="771"/>
      <c r="AB4513" s="771"/>
      <c r="AC4513" s="771"/>
      <c r="AD4513" s="771"/>
      <c r="AE4513" s="771"/>
      <c r="AF4513" s="771"/>
      <c r="AG4513" s="771"/>
      <c r="AH4513" s="771"/>
      <c r="AI4513" s="771"/>
      <c r="AJ4513" s="771"/>
      <c r="AK4513" s="771"/>
      <c r="AL4513" s="771"/>
      <c r="AM4513" s="771"/>
      <c r="AN4513" s="771"/>
      <c r="AO4513" s="771"/>
      <c r="AP4513" s="771"/>
      <c r="AQ4513" s="771"/>
      <c r="AR4513" s="771"/>
      <c r="AS4513" s="771"/>
      <c r="AT4513" s="771"/>
      <c r="AU4513" s="771"/>
    </row>
    <row r="4514" spans="1:47" s="15" customFormat="1" x14ac:dyDescent="0.2">
      <c r="A4514" s="8"/>
      <c r="B4514" s="8"/>
      <c r="E4514" s="83"/>
      <c r="F4514" s="83"/>
      <c r="H4514" s="8"/>
      <c r="I4514" s="8"/>
      <c r="J4514" s="8"/>
      <c r="K4514" s="8"/>
      <c r="L4514" s="8"/>
      <c r="M4514" s="8"/>
      <c r="N4514" s="8"/>
      <c r="O4514" s="8"/>
      <c r="P4514" s="8"/>
      <c r="Q4514" s="8"/>
      <c r="R4514" s="8"/>
      <c r="S4514" s="8"/>
      <c r="T4514" s="8"/>
      <c r="U4514" s="8"/>
      <c r="V4514" s="8"/>
      <c r="W4514" s="8"/>
      <c r="X4514" s="771"/>
      <c r="Y4514" s="771"/>
      <c r="Z4514" s="771"/>
      <c r="AA4514" s="771"/>
      <c r="AB4514" s="771"/>
      <c r="AC4514" s="771"/>
      <c r="AD4514" s="771"/>
      <c r="AE4514" s="771"/>
      <c r="AF4514" s="771"/>
      <c r="AG4514" s="771"/>
      <c r="AH4514" s="771"/>
      <c r="AI4514" s="771"/>
      <c r="AJ4514" s="771"/>
      <c r="AK4514" s="771"/>
      <c r="AL4514" s="771"/>
      <c r="AM4514" s="771"/>
      <c r="AN4514" s="771"/>
      <c r="AO4514" s="771"/>
      <c r="AP4514" s="771"/>
      <c r="AQ4514" s="771"/>
      <c r="AR4514" s="771"/>
      <c r="AS4514" s="771"/>
      <c r="AT4514" s="771"/>
      <c r="AU4514" s="771"/>
    </row>
    <row r="4515" spans="1:47" s="15" customFormat="1" x14ac:dyDescent="0.2">
      <c r="A4515" s="8"/>
      <c r="B4515" s="8"/>
      <c r="E4515" s="83"/>
      <c r="F4515" s="83"/>
      <c r="H4515" s="8"/>
      <c r="I4515" s="8"/>
      <c r="J4515" s="8"/>
      <c r="K4515" s="8"/>
      <c r="L4515" s="8"/>
      <c r="M4515" s="8"/>
      <c r="N4515" s="8"/>
      <c r="O4515" s="8"/>
      <c r="P4515" s="8"/>
      <c r="Q4515" s="8"/>
      <c r="R4515" s="8"/>
      <c r="S4515" s="8"/>
      <c r="T4515" s="8"/>
      <c r="U4515" s="8"/>
      <c r="V4515" s="8"/>
      <c r="W4515" s="8"/>
      <c r="X4515" s="771"/>
      <c r="Y4515" s="771"/>
      <c r="Z4515" s="771"/>
      <c r="AA4515" s="771"/>
      <c r="AB4515" s="771"/>
      <c r="AC4515" s="771"/>
      <c r="AD4515" s="771"/>
      <c r="AE4515" s="771"/>
      <c r="AF4515" s="771"/>
      <c r="AG4515" s="771"/>
      <c r="AH4515" s="771"/>
      <c r="AI4515" s="771"/>
      <c r="AJ4515" s="771"/>
      <c r="AK4515" s="771"/>
      <c r="AL4515" s="771"/>
      <c r="AM4515" s="771"/>
      <c r="AN4515" s="771"/>
      <c r="AO4515" s="771"/>
      <c r="AP4515" s="771"/>
      <c r="AQ4515" s="771"/>
      <c r="AR4515" s="771"/>
      <c r="AS4515" s="771"/>
      <c r="AT4515" s="771"/>
      <c r="AU4515" s="771"/>
    </row>
    <row r="4516" spans="1:47" s="15" customFormat="1" x14ac:dyDescent="0.2">
      <c r="A4516" s="8"/>
      <c r="B4516" s="8"/>
      <c r="E4516" s="83"/>
      <c r="F4516" s="83"/>
      <c r="H4516" s="8"/>
      <c r="I4516" s="8"/>
      <c r="J4516" s="8"/>
      <c r="K4516" s="8"/>
      <c r="L4516" s="8"/>
      <c r="M4516" s="8"/>
      <c r="N4516" s="8"/>
      <c r="O4516" s="8"/>
      <c r="P4516" s="8"/>
      <c r="Q4516" s="8"/>
      <c r="R4516" s="8"/>
      <c r="S4516" s="8"/>
      <c r="T4516" s="8"/>
      <c r="U4516" s="8"/>
      <c r="V4516" s="8"/>
      <c r="W4516" s="8"/>
      <c r="X4516" s="771"/>
      <c r="Y4516" s="771"/>
      <c r="Z4516" s="771"/>
      <c r="AA4516" s="771"/>
      <c r="AB4516" s="771"/>
      <c r="AC4516" s="771"/>
      <c r="AD4516" s="771"/>
      <c r="AE4516" s="771"/>
      <c r="AF4516" s="771"/>
      <c r="AG4516" s="771"/>
      <c r="AH4516" s="771"/>
      <c r="AI4516" s="771"/>
      <c r="AJ4516" s="771"/>
      <c r="AK4516" s="771"/>
      <c r="AL4516" s="771"/>
      <c r="AM4516" s="771"/>
      <c r="AN4516" s="771"/>
      <c r="AO4516" s="771"/>
      <c r="AP4516" s="771"/>
      <c r="AQ4516" s="771"/>
      <c r="AR4516" s="771"/>
      <c r="AS4516" s="771"/>
      <c r="AT4516" s="771"/>
      <c r="AU4516" s="771"/>
    </row>
    <row r="4517" spans="1:47" s="15" customFormat="1" x14ac:dyDescent="0.2">
      <c r="A4517" s="8"/>
      <c r="B4517" s="8"/>
      <c r="E4517" s="83"/>
      <c r="F4517" s="83"/>
      <c r="H4517" s="8"/>
      <c r="I4517" s="8"/>
      <c r="J4517" s="8"/>
      <c r="K4517" s="8"/>
      <c r="L4517" s="8"/>
      <c r="M4517" s="8"/>
      <c r="N4517" s="8"/>
      <c r="O4517" s="8"/>
      <c r="P4517" s="8"/>
      <c r="Q4517" s="8"/>
      <c r="R4517" s="8"/>
      <c r="S4517" s="8"/>
      <c r="T4517" s="8"/>
      <c r="U4517" s="8"/>
      <c r="V4517" s="8"/>
      <c r="W4517" s="8"/>
      <c r="X4517" s="771"/>
      <c r="Y4517" s="771"/>
      <c r="Z4517" s="771"/>
      <c r="AA4517" s="771"/>
      <c r="AB4517" s="771"/>
      <c r="AC4517" s="771"/>
      <c r="AD4517" s="771"/>
      <c r="AE4517" s="771"/>
      <c r="AF4517" s="771"/>
      <c r="AG4517" s="771"/>
      <c r="AH4517" s="771"/>
      <c r="AI4517" s="771"/>
      <c r="AJ4517" s="771"/>
      <c r="AK4517" s="771"/>
      <c r="AL4517" s="771"/>
      <c r="AM4517" s="771"/>
      <c r="AN4517" s="771"/>
      <c r="AO4517" s="771"/>
      <c r="AP4517" s="771"/>
      <c r="AQ4517" s="771"/>
      <c r="AR4517" s="771"/>
      <c r="AS4517" s="771"/>
      <c r="AT4517" s="771"/>
      <c r="AU4517" s="771"/>
    </row>
    <row r="4518" spans="1:47" s="15" customFormat="1" x14ac:dyDescent="0.2">
      <c r="A4518" s="8"/>
      <c r="B4518" s="8"/>
      <c r="E4518" s="83"/>
      <c r="F4518" s="83"/>
      <c r="H4518" s="8"/>
      <c r="I4518" s="8"/>
      <c r="J4518" s="8"/>
      <c r="K4518" s="8"/>
      <c r="L4518" s="8"/>
      <c r="M4518" s="8"/>
      <c r="N4518" s="8"/>
      <c r="O4518" s="8"/>
      <c r="P4518" s="8"/>
      <c r="Q4518" s="8"/>
      <c r="R4518" s="8"/>
      <c r="S4518" s="8"/>
      <c r="T4518" s="8"/>
      <c r="U4518" s="8"/>
      <c r="V4518" s="8"/>
      <c r="W4518" s="8"/>
      <c r="X4518" s="771"/>
      <c r="Y4518" s="771"/>
      <c r="Z4518" s="771"/>
      <c r="AA4518" s="771"/>
      <c r="AB4518" s="771"/>
      <c r="AC4518" s="771"/>
      <c r="AD4518" s="771"/>
      <c r="AE4518" s="771"/>
      <c r="AF4518" s="771"/>
      <c r="AG4518" s="771"/>
      <c r="AH4518" s="771"/>
      <c r="AI4518" s="771"/>
      <c r="AJ4518" s="771"/>
      <c r="AK4518" s="771"/>
      <c r="AL4518" s="771"/>
      <c r="AM4518" s="771"/>
      <c r="AN4518" s="771"/>
      <c r="AO4518" s="771"/>
      <c r="AP4518" s="771"/>
      <c r="AQ4518" s="771"/>
      <c r="AR4518" s="771"/>
      <c r="AS4518" s="771"/>
      <c r="AT4518" s="771"/>
      <c r="AU4518" s="771"/>
    </row>
    <row r="4519" spans="1:47" s="15" customFormat="1" x14ac:dyDescent="0.2">
      <c r="A4519" s="8"/>
      <c r="B4519" s="8"/>
      <c r="E4519" s="83"/>
      <c r="F4519" s="83"/>
      <c r="H4519" s="8"/>
      <c r="I4519" s="8"/>
      <c r="J4519" s="8"/>
      <c r="K4519" s="8"/>
      <c r="L4519" s="8"/>
      <c r="M4519" s="8"/>
      <c r="N4519" s="8"/>
      <c r="O4519" s="8"/>
      <c r="P4519" s="8"/>
      <c r="Q4519" s="8"/>
      <c r="R4519" s="8"/>
      <c r="S4519" s="8"/>
      <c r="T4519" s="8"/>
      <c r="U4519" s="8"/>
      <c r="V4519" s="8"/>
      <c r="W4519" s="8"/>
      <c r="X4519" s="771"/>
      <c r="Y4519" s="771"/>
      <c r="Z4519" s="771"/>
      <c r="AA4519" s="771"/>
      <c r="AB4519" s="771"/>
      <c r="AC4519" s="771"/>
      <c r="AD4519" s="771"/>
      <c r="AE4519" s="771"/>
      <c r="AF4519" s="771"/>
      <c r="AG4519" s="771"/>
      <c r="AH4519" s="771"/>
      <c r="AI4519" s="771"/>
      <c r="AJ4519" s="771"/>
      <c r="AK4519" s="771"/>
      <c r="AL4519" s="771"/>
      <c r="AM4519" s="771"/>
      <c r="AN4519" s="771"/>
      <c r="AO4519" s="771"/>
      <c r="AP4519" s="771"/>
      <c r="AQ4519" s="771"/>
      <c r="AR4519" s="771"/>
      <c r="AS4519" s="771"/>
      <c r="AT4519" s="771"/>
      <c r="AU4519" s="771"/>
    </row>
    <row r="4520" spans="1:47" s="15" customFormat="1" x14ac:dyDescent="0.2">
      <c r="A4520" s="8"/>
      <c r="B4520" s="8"/>
      <c r="E4520" s="83"/>
      <c r="F4520" s="83"/>
      <c r="H4520" s="8"/>
      <c r="I4520" s="8"/>
      <c r="J4520" s="8"/>
      <c r="K4520" s="8"/>
      <c r="L4520" s="8"/>
      <c r="M4520" s="8"/>
      <c r="N4520" s="8"/>
      <c r="O4520" s="8"/>
      <c r="P4520" s="8"/>
      <c r="Q4520" s="8"/>
      <c r="R4520" s="8"/>
      <c r="S4520" s="8"/>
      <c r="T4520" s="8"/>
      <c r="U4520" s="8"/>
      <c r="V4520" s="8"/>
      <c r="W4520" s="8"/>
      <c r="X4520" s="771"/>
      <c r="Y4520" s="771"/>
      <c r="Z4520" s="771"/>
      <c r="AA4520" s="771"/>
      <c r="AB4520" s="771"/>
      <c r="AC4520" s="771"/>
      <c r="AD4520" s="771"/>
      <c r="AE4520" s="771"/>
      <c r="AF4520" s="771"/>
      <c r="AG4520" s="771"/>
      <c r="AH4520" s="771"/>
      <c r="AI4520" s="771"/>
      <c r="AJ4520" s="771"/>
      <c r="AK4520" s="771"/>
      <c r="AL4520" s="771"/>
      <c r="AM4520" s="771"/>
      <c r="AN4520" s="771"/>
      <c r="AO4520" s="771"/>
      <c r="AP4520" s="771"/>
      <c r="AQ4520" s="771"/>
      <c r="AR4520" s="771"/>
      <c r="AS4520" s="771"/>
      <c r="AT4520" s="771"/>
      <c r="AU4520" s="771"/>
    </row>
    <row r="4521" spans="1:47" s="15" customFormat="1" x14ac:dyDescent="0.2">
      <c r="A4521" s="8"/>
      <c r="B4521" s="8"/>
      <c r="E4521" s="83"/>
      <c r="F4521" s="83"/>
      <c r="H4521" s="8"/>
      <c r="I4521" s="8"/>
      <c r="J4521" s="8"/>
      <c r="K4521" s="8"/>
      <c r="L4521" s="8"/>
      <c r="M4521" s="8"/>
      <c r="N4521" s="8"/>
      <c r="O4521" s="8"/>
      <c r="P4521" s="8"/>
      <c r="Q4521" s="8"/>
      <c r="R4521" s="8"/>
      <c r="S4521" s="8"/>
      <c r="T4521" s="8"/>
      <c r="U4521" s="8"/>
      <c r="V4521" s="8"/>
      <c r="W4521" s="8"/>
      <c r="X4521" s="771"/>
      <c r="Y4521" s="771"/>
      <c r="Z4521" s="771"/>
      <c r="AA4521" s="771"/>
      <c r="AB4521" s="771"/>
      <c r="AC4521" s="771"/>
      <c r="AD4521" s="771"/>
      <c r="AE4521" s="771"/>
      <c r="AF4521" s="771"/>
      <c r="AG4521" s="771"/>
      <c r="AH4521" s="771"/>
      <c r="AI4521" s="771"/>
      <c r="AJ4521" s="771"/>
      <c r="AK4521" s="771"/>
      <c r="AL4521" s="771"/>
      <c r="AM4521" s="771"/>
      <c r="AN4521" s="771"/>
      <c r="AO4521" s="771"/>
      <c r="AP4521" s="771"/>
      <c r="AQ4521" s="771"/>
      <c r="AR4521" s="771"/>
      <c r="AS4521" s="771"/>
      <c r="AT4521" s="771"/>
      <c r="AU4521" s="771"/>
    </row>
    <row r="4522" spans="1:47" s="15" customFormat="1" x14ac:dyDescent="0.2">
      <c r="A4522" s="8"/>
      <c r="B4522" s="8"/>
      <c r="E4522" s="83"/>
      <c r="F4522" s="83"/>
      <c r="H4522" s="8"/>
      <c r="I4522" s="8"/>
      <c r="J4522" s="8"/>
      <c r="K4522" s="8"/>
      <c r="L4522" s="8"/>
      <c r="M4522" s="8"/>
      <c r="N4522" s="8"/>
      <c r="O4522" s="8"/>
      <c r="P4522" s="8"/>
      <c r="Q4522" s="8"/>
      <c r="R4522" s="8"/>
      <c r="S4522" s="8"/>
      <c r="T4522" s="8"/>
      <c r="U4522" s="8"/>
      <c r="V4522" s="8"/>
      <c r="W4522" s="8"/>
      <c r="X4522" s="771"/>
      <c r="Y4522" s="771"/>
      <c r="Z4522" s="771"/>
      <c r="AA4522" s="771"/>
      <c r="AB4522" s="771"/>
      <c r="AC4522" s="771"/>
      <c r="AD4522" s="771"/>
      <c r="AE4522" s="771"/>
      <c r="AF4522" s="771"/>
      <c r="AG4522" s="771"/>
      <c r="AH4522" s="771"/>
      <c r="AI4522" s="771"/>
      <c r="AJ4522" s="771"/>
      <c r="AK4522" s="771"/>
      <c r="AL4522" s="771"/>
      <c r="AM4522" s="771"/>
      <c r="AN4522" s="771"/>
      <c r="AO4522" s="771"/>
      <c r="AP4522" s="771"/>
      <c r="AQ4522" s="771"/>
      <c r="AR4522" s="771"/>
      <c r="AS4522" s="771"/>
      <c r="AT4522" s="771"/>
      <c r="AU4522" s="771"/>
    </row>
    <row r="4523" spans="1:47" s="15" customFormat="1" x14ac:dyDescent="0.2">
      <c r="A4523" s="8"/>
      <c r="B4523" s="8"/>
      <c r="E4523" s="83"/>
      <c r="F4523" s="83"/>
      <c r="H4523" s="8"/>
      <c r="I4523" s="8"/>
      <c r="J4523" s="8"/>
      <c r="K4523" s="8"/>
      <c r="L4523" s="8"/>
      <c r="M4523" s="8"/>
      <c r="N4523" s="8"/>
      <c r="O4523" s="8"/>
      <c r="P4523" s="8"/>
      <c r="Q4523" s="8"/>
      <c r="R4523" s="8"/>
      <c r="S4523" s="8"/>
      <c r="T4523" s="8"/>
      <c r="U4523" s="8"/>
      <c r="V4523" s="8"/>
      <c r="W4523" s="8"/>
      <c r="X4523" s="771"/>
      <c r="Y4523" s="771"/>
      <c r="Z4523" s="771"/>
      <c r="AA4523" s="771"/>
      <c r="AB4523" s="771"/>
      <c r="AC4523" s="771"/>
      <c r="AD4523" s="771"/>
      <c r="AE4523" s="771"/>
      <c r="AF4523" s="771"/>
      <c r="AG4523" s="771"/>
      <c r="AH4523" s="771"/>
      <c r="AI4523" s="771"/>
      <c r="AJ4523" s="771"/>
      <c r="AK4523" s="771"/>
      <c r="AL4523" s="771"/>
      <c r="AM4523" s="771"/>
      <c r="AN4523" s="771"/>
      <c r="AO4523" s="771"/>
      <c r="AP4523" s="771"/>
      <c r="AQ4523" s="771"/>
      <c r="AR4523" s="771"/>
      <c r="AS4523" s="771"/>
      <c r="AT4523" s="771"/>
      <c r="AU4523" s="771"/>
    </row>
    <row r="4524" spans="1:47" s="15" customFormat="1" x14ac:dyDescent="0.2">
      <c r="A4524" s="8"/>
      <c r="B4524" s="8"/>
      <c r="E4524" s="83"/>
      <c r="F4524" s="83"/>
      <c r="H4524" s="8"/>
      <c r="I4524" s="8"/>
      <c r="J4524" s="8"/>
      <c r="K4524" s="8"/>
      <c r="L4524" s="8"/>
      <c r="M4524" s="8"/>
      <c r="N4524" s="8"/>
      <c r="O4524" s="8"/>
      <c r="P4524" s="8"/>
      <c r="Q4524" s="8"/>
      <c r="R4524" s="8"/>
      <c r="S4524" s="8"/>
      <c r="T4524" s="8"/>
      <c r="U4524" s="8"/>
      <c r="V4524" s="8"/>
      <c r="W4524" s="8"/>
      <c r="X4524" s="771"/>
      <c r="Y4524" s="771"/>
      <c r="Z4524" s="771"/>
      <c r="AA4524" s="771"/>
      <c r="AB4524" s="771"/>
      <c r="AC4524" s="771"/>
      <c r="AD4524" s="771"/>
      <c r="AE4524" s="771"/>
      <c r="AF4524" s="771"/>
      <c r="AG4524" s="771"/>
      <c r="AH4524" s="771"/>
      <c r="AI4524" s="771"/>
      <c r="AJ4524" s="771"/>
      <c r="AK4524" s="771"/>
      <c r="AL4524" s="771"/>
      <c r="AM4524" s="771"/>
      <c r="AN4524" s="771"/>
      <c r="AO4524" s="771"/>
      <c r="AP4524" s="771"/>
      <c r="AQ4524" s="771"/>
      <c r="AR4524" s="771"/>
      <c r="AS4524" s="771"/>
      <c r="AT4524" s="771"/>
      <c r="AU4524" s="771"/>
    </row>
    <row r="4525" spans="1:47" s="15" customFormat="1" x14ac:dyDescent="0.2">
      <c r="A4525" s="8"/>
      <c r="B4525" s="8"/>
      <c r="E4525" s="83"/>
      <c r="F4525" s="83"/>
      <c r="H4525" s="8"/>
      <c r="I4525" s="8"/>
      <c r="J4525" s="8"/>
      <c r="K4525" s="8"/>
      <c r="L4525" s="8"/>
      <c r="M4525" s="8"/>
      <c r="N4525" s="8"/>
      <c r="O4525" s="8"/>
      <c r="P4525" s="8"/>
      <c r="Q4525" s="8"/>
      <c r="R4525" s="8"/>
      <c r="S4525" s="8"/>
      <c r="T4525" s="8"/>
      <c r="U4525" s="8"/>
      <c r="V4525" s="8"/>
      <c r="W4525" s="8"/>
      <c r="X4525" s="771"/>
      <c r="Y4525" s="771"/>
      <c r="Z4525" s="771"/>
      <c r="AA4525" s="771"/>
      <c r="AB4525" s="771"/>
      <c r="AC4525" s="771"/>
      <c r="AD4525" s="771"/>
      <c r="AE4525" s="771"/>
      <c r="AF4525" s="771"/>
      <c r="AG4525" s="771"/>
      <c r="AH4525" s="771"/>
      <c r="AI4525" s="771"/>
      <c r="AJ4525" s="771"/>
      <c r="AK4525" s="771"/>
      <c r="AL4525" s="771"/>
      <c r="AM4525" s="771"/>
      <c r="AN4525" s="771"/>
      <c r="AO4525" s="771"/>
      <c r="AP4525" s="771"/>
      <c r="AQ4525" s="771"/>
      <c r="AR4525" s="771"/>
      <c r="AS4525" s="771"/>
      <c r="AT4525" s="771"/>
      <c r="AU4525" s="771"/>
    </row>
    <row r="4526" spans="1:47" s="15" customFormat="1" x14ac:dyDescent="0.2">
      <c r="A4526" s="8"/>
      <c r="B4526" s="8"/>
      <c r="E4526" s="83"/>
      <c r="F4526" s="83"/>
      <c r="H4526" s="8"/>
      <c r="I4526" s="8"/>
      <c r="J4526" s="8"/>
      <c r="K4526" s="8"/>
      <c r="L4526" s="8"/>
      <c r="M4526" s="8"/>
      <c r="N4526" s="8"/>
      <c r="O4526" s="8"/>
      <c r="P4526" s="8"/>
      <c r="Q4526" s="8"/>
      <c r="R4526" s="8"/>
      <c r="S4526" s="8"/>
      <c r="T4526" s="8"/>
      <c r="U4526" s="8"/>
      <c r="V4526" s="8"/>
      <c r="W4526" s="8"/>
      <c r="X4526" s="771"/>
      <c r="Y4526" s="771"/>
      <c r="Z4526" s="771"/>
      <c r="AA4526" s="771"/>
      <c r="AB4526" s="771"/>
      <c r="AC4526" s="771"/>
      <c r="AD4526" s="771"/>
      <c r="AE4526" s="771"/>
      <c r="AF4526" s="771"/>
      <c r="AG4526" s="771"/>
      <c r="AH4526" s="771"/>
      <c r="AI4526" s="771"/>
      <c r="AJ4526" s="771"/>
      <c r="AK4526" s="771"/>
      <c r="AL4526" s="771"/>
      <c r="AM4526" s="771"/>
      <c r="AN4526" s="771"/>
      <c r="AO4526" s="771"/>
      <c r="AP4526" s="771"/>
      <c r="AQ4526" s="771"/>
      <c r="AR4526" s="771"/>
      <c r="AS4526" s="771"/>
      <c r="AT4526" s="771"/>
      <c r="AU4526" s="771"/>
    </row>
    <row r="4527" spans="1:47" s="15" customFormat="1" x14ac:dyDescent="0.2">
      <c r="A4527" s="8"/>
      <c r="B4527" s="8"/>
      <c r="E4527" s="83"/>
      <c r="F4527" s="83"/>
      <c r="H4527" s="8"/>
      <c r="I4527" s="8"/>
      <c r="J4527" s="8"/>
      <c r="K4527" s="8"/>
      <c r="L4527" s="8"/>
      <c r="M4527" s="8"/>
      <c r="N4527" s="8"/>
      <c r="O4527" s="8"/>
      <c r="P4527" s="8"/>
      <c r="Q4527" s="8"/>
      <c r="R4527" s="8"/>
      <c r="S4527" s="8"/>
      <c r="T4527" s="8"/>
      <c r="U4527" s="8"/>
      <c r="V4527" s="8"/>
      <c r="W4527" s="8"/>
      <c r="X4527" s="771"/>
      <c r="Y4527" s="771"/>
      <c r="Z4527" s="771"/>
      <c r="AA4527" s="771"/>
      <c r="AB4527" s="771"/>
      <c r="AC4527" s="771"/>
      <c r="AD4527" s="771"/>
      <c r="AE4527" s="771"/>
      <c r="AF4527" s="771"/>
      <c r="AG4527" s="771"/>
      <c r="AH4527" s="771"/>
      <c r="AI4527" s="771"/>
      <c r="AJ4527" s="771"/>
      <c r="AK4527" s="771"/>
      <c r="AL4527" s="771"/>
      <c r="AM4527" s="771"/>
      <c r="AN4527" s="771"/>
      <c r="AO4527" s="771"/>
      <c r="AP4527" s="771"/>
      <c r="AQ4527" s="771"/>
      <c r="AR4527" s="771"/>
      <c r="AS4527" s="771"/>
      <c r="AT4527" s="771"/>
      <c r="AU4527" s="771"/>
    </row>
    <row r="4528" spans="1:47" s="15" customFormat="1" x14ac:dyDescent="0.2">
      <c r="A4528" s="8"/>
      <c r="B4528" s="8"/>
      <c r="E4528" s="83"/>
      <c r="F4528" s="83"/>
      <c r="H4528" s="8"/>
      <c r="I4528" s="8"/>
      <c r="J4528" s="8"/>
      <c r="K4528" s="8"/>
      <c r="L4528" s="8"/>
      <c r="M4528" s="8"/>
      <c r="N4528" s="8"/>
      <c r="O4528" s="8"/>
      <c r="P4528" s="8"/>
      <c r="Q4528" s="8"/>
      <c r="R4528" s="8"/>
      <c r="S4528" s="8"/>
      <c r="T4528" s="8"/>
      <c r="U4528" s="8"/>
      <c r="V4528" s="8"/>
      <c r="W4528" s="8"/>
      <c r="X4528" s="771"/>
      <c r="Y4528" s="771"/>
      <c r="Z4528" s="771"/>
      <c r="AA4528" s="771"/>
      <c r="AB4528" s="771"/>
      <c r="AC4528" s="771"/>
      <c r="AD4528" s="771"/>
      <c r="AE4528" s="771"/>
      <c r="AF4528" s="771"/>
      <c r="AG4528" s="771"/>
      <c r="AH4528" s="771"/>
      <c r="AI4528" s="771"/>
      <c r="AJ4528" s="771"/>
      <c r="AK4528" s="771"/>
      <c r="AL4528" s="771"/>
      <c r="AM4528" s="771"/>
      <c r="AN4528" s="771"/>
      <c r="AO4528" s="771"/>
      <c r="AP4528" s="771"/>
      <c r="AQ4528" s="771"/>
      <c r="AR4528" s="771"/>
      <c r="AS4528" s="771"/>
      <c r="AT4528" s="771"/>
      <c r="AU4528" s="771"/>
    </row>
    <row r="4529" spans="1:47" s="15" customFormat="1" x14ac:dyDescent="0.2">
      <c r="A4529" s="8"/>
      <c r="B4529" s="8"/>
      <c r="E4529" s="83"/>
      <c r="F4529" s="83"/>
      <c r="H4529" s="8"/>
      <c r="I4529" s="8"/>
      <c r="J4529" s="8"/>
      <c r="K4529" s="8"/>
      <c r="L4529" s="8"/>
      <c r="M4529" s="8"/>
      <c r="N4529" s="8"/>
      <c r="O4529" s="8"/>
      <c r="P4529" s="8"/>
      <c r="Q4529" s="8"/>
      <c r="R4529" s="8"/>
      <c r="S4529" s="8"/>
      <c r="T4529" s="8"/>
      <c r="U4529" s="8"/>
      <c r="V4529" s="8"/>
      <c r="W4529" s="8"/>
      <c r="X4529" s="771"/>
      <c r="Y4529" s="771"/>
      <c r="Z4529" s="771"/>
      <c r="AA4529" s="771"/>
      <c r="AB4529" s="771"/>
      <c r="AC4529" s="771"/>
      <c r="AD4529" s="771"/>
      <c r="AE4529" s="771"/>
      <c r="AF4529" s="771"/>
      <c r="AG4529" s="771"/>
      <c r="AH4529" s="771"/>
      <c r="AI4529" s="771"/>
      <c r="AJ4529" s="771"/>
      <c r="AK4529" s="771"/>
      <c r="AL4529" s="771"/>
      <c r="AM4529" s="771"/>
      <c r="AN4529" s="771"/>
      <c r="AO4529" s="771"/>
      <c r="AP4529" s="771"/>
      <c r="AQ4529" s="771"/>
      <c r="AR4529" s="771"/>
      <c r="AS4529" s="771"/>
      <c r="AT4529" s="771"/>
      <c r="AU4529" s="771"/>
    </row>
    <row r="4530" spans="1:47" s="15" customFormat="1" x14ac:dyDescent="0.2">
      <c r="A4530" s="8"/>
      <c r="B4530" s="8"/>
      <c r="E4530" s="83"/>
      <c r="F4530" s="83"/>
      <c r="H4530" s="8"/>
      <c r="I4530" s="8"/>
      <c r="J4530" s="8"/>
      <c r="K4530" s="8"/>
      <c r="L4530" s="8"/>
      <c r="M4530" s="8"/>
      <c r="N4530" s="8"/>
      <c r="O4530" s="8"/>
      <c r="P4530" s="8"/>
      <c r="Q4530" s="8"/>
      <c r="R4530" s="8"/>
      <c r="S4530" s="8"/>
      <c r="T4530" s="8"/>
      <c r="U4530" s="8"/>
      <c r="V4530" s="8"/>
      <c r="W4530" s="8"/>
      <c r="X4530" s="771"/>
      <c r="Y4530" s="771"/>
      <c r="Z4530" s="771"/>
      <c r="AA4530" s="771"/>
      <c r="AB4530" s="771"/>
      <c r="AC4530" s="771"/>
      <c r="AD4530" s="771"/>
      <c r="AE4530" s="771"/>
      <c r="AF4530" s="771"/>
      <c r="AG4530" s="771"/>
      <c r="AH4530" s="771"/>
      <c r="AI4530" s="771"/>
      <c r="AJ4530" s="771"/>
      <c r="AK4530" s="771"/>
      <c r="AL4530" s="771"/>
      <c r="AM4530" s="771"/>
      <c r="AN4530" s="771"/>
      <c r="AO4530" s="771"/>
      <c r="AP4530" s="771"/>
      <c r="AQ4530" s="771"/>
      <c r="AR4530" s="771"/>
      <c r="AS4530" s="771"/>
      <c r="AT4530" s="771"/>
      <c r="AU4530" s="771"/>
    </row>
    <row r="4531" spans="1:47" s="15" customFormat="1" x14ac:dyDescent="0.2">
      <c r="A4531" s="8"/>
      <c r="B4531" s="8"/>
      <c r="E4531" s="83"/>
      <c r="F4531" s="83"/>
      <c r="H4531" s="8"/>
      <c r="I4531" s="8"/>
      <c r="J4531" s="8"/>
      <c r="K4531" s="8"/>
      <c r="L4531" s="8"/>
      <c r="M4531" s="8"/>
      <c r="N4531" s="8"/>
      <c r="O4531" s="8"/>
      <c r="P4531" s="8"/>
      <c r="Q4531" s="8"/>
      <c r="R4531" s="8"/>
      <c r="S4531" s="8"/>
      <c r="T4531" s="8"/>
      <c r="U4531" s="8"/>
      <c r="V4531" s="8"/>
      <c r="W4531" s="8"/>
      <c r="X4531" s="771"/>
      <c r="Y4531" s="771"/>
      <c r="Z4531" s="771"/>
      <c r="AA4531" s="771"/>
      <c r="AB4531" s="771"/>
      <c r="AC4531" s="771"/>
      <c r="AD4531" s="771"/>
      <c r="AE4531" s="771"/>
      <c r="AF4531" s="771"/>
      <c r="AG4531" s="771"/>
      <c r="AH4531" s="771"/>
      <c r="AI4531" s="771"/>
      <c r="AJ4531" s="771"/>
      <c r="AK4531" s="771"/>
      <c r="AL4531" s="771"/>
      <c r="AM4531" s="771"/>
      <c r="AN4531" s="771"/>
      <c r="AO4531" s="771"/>
      <c r="AP4531" s="771"/>
      <c r="AQ4531" s="771"/>
      <c r="AR4531" s="771"/>
      <c r="AS4531" s="771"/>
      <c r="AT4531" s="771"/>
      <c r="AU4531" s="771"/>
    </row>
    <row r="4532" spans="1:47" s="15" customFormat="1" x14ac:dyDescent="0.2">
      <c r="A4532" s="8"/>
      <c r="B4532" s="8"/>
      <c r="E4532" s="83"/>
      <c r="F4532" s="83"/>
      <c r="H4532" s="8"/>
      <c r="I4532" s="8"/>
      <c r="J4532" s="8"/>
      <c r="K4532" s="8"/>
      <c r="L4532" s="8"/>
      <c r="M4532" s="8"/>
      <c r="N4532" s="8"/>
      <c r="O4532" s="8"/>
      <c r="P4532" s="8"/>
      <c r="Q4532" s="8"/>
      <c r="R4532" s="8"/>
      <c r="S4532" s="8"/>
      <c r="T4532" s="8"/>
      <c r="U4532" s="8"/>
      <c r="V4532" s="8"/>
      <c r="W4532" s="8"/>
      <c r="X4532" s="771"/>
      <c r="Y4532" s="771"/>
      <c r="Z4532" s="771"/>
      <c r="AA4532" s="771"/>
      <c r="AB4532" s="771"/>
      <c r="AC4532" s="771"/>
      <c r="AD4532" s="771"/>
      <c r="AE4532" s="771"/>
      <c r="AF4532" s="771"/>
      <c r="AG4532" s="771"/>
      <c r="AH4532" s="771"/>
      <c r="AI4532" s="771"/>
      <c r="AJ4532" s="771"/>
      <c r="AK4532" s="771"/>
      <c r="AL4532" s="771"/>
      <c r="AM4532" s="771"/>
      <c r="AN4532" s="771"/>
      <c r="AO4532" s="771"/>
      <c r="AP4532" s="771"/>
      <c r="AQ4532" s="771"/>
      <c r="AR4532" s="771"/>
      <c r="AS4532" s="771"/>
      <c r="AT4532" s="771"/>
      <c r="AU4532" s="771"/>
    </row>
    <row r="4533" spans="1:47" s="15" customFormat="1" x14ac:dyDescent="0.2">
      <c r="A4533" s="8"/>
      <c r="B4533" s="8"/>
      <c r="E4533" s="83"/>
      <c r="F4533" s="83"/>
      <c r="H4533" s="8"/>
      <c r="I4533" s="8"/>
      <c r="J4533" s="8"/>
      <c r="K4533" s="8"/>
      <c r="L4533" s="8"/>
      <c r="M4533" s="8"/>
      <c r="N4533" s="8"/>
      <c r="O4533" s="8"/>
      <c r="P4533" s="8"/>
      <c r="Q4533" s="8"/>
      <c r="R4533" s="8"/>
      <c r="S4533" s="8"/>
      <c r="T4533" s="8"/>
      <c r="U4533" s="8"/>
      <c r="V4533" s="8"/>
      <c r="W4533" s="8"/>
      <c r="X4533" s="771"/>
      <c r="Y4533" s="771"/>
      <c r="Z4533" s="771"/>
      <c r="AA4533" s="771"/>
      <c r="AB4533" s="771"/>
      <c r="AC4533" s="771"/>
      <c r="AD4533" s="771"/>
      <c r="AE4533" s="771"/>
      <c r="AF4533" s="771"/>
      <c r="AG4533" s="771"/>
      <c r="AH4533" s="771"/>
      <c r="AI4533" s="771"/>
      <c r="AJ4533" s="771"/>
      <c r="AK4533" s="771"/>
      <c r="AL4533" s="771"/>
      <c r="AM4533" s="771"/>
      <c r="AN4533" s="771"/>
      <c r="AO4533" s="771"/>
      <c r="AP4533" s="771"/>
      <c r="AQ4533" s="771"/>
      <c r="AR4533" s="771"/>
      <c r="AS4533" s="771"/>
      <c r="AT4533" s="771"/>
      <c r="AU4533" s="771"/>
    </row>
    <row r="4534" spans="1:47" s="15" customFormat="1" x14ac:dyDescent="0.2">
      <c r="A4534" s="8"/>
      <c r="B4534" s="8"/>
      <c r="E4534" s="83"/>
      <c r="F4534" s="83"/>
      <c r="H4534" s="8"/>
      <c r="I4534" s="8"/>
      <c r="J4534" s="8"/>
      <c r="K4534" s="8"/>
      <c r="L4534" s="8"/>
      <c r="M4534" s="8"/>
      <c r="N4534" s="8"/>
      <c r="O4534" s="8"/>
      <c r="P4534" s="8"/>
      <c r="Q4534" s="8"/>
      <c r="R4534" s="8"/>
      <c r="S4534" s="8"/>
      <c r="T4534" s="8"/>
      <c r="U4534" s="8"/>
      <c r="V4534" s="8"/>
      <c r="W4534" s="8"/>
      <c r="X4534" s="771"/>
      <c r="Y4534" s="771"/>
      <c r="Z4534" s="771"/>
      <c r="AA4534" s="771"/>
      <c r="AB4534" s="771"/>
      <c r="AC4534" s="771"/>
      <c r="AD4534" s="771"/>
      <c r="AE4534" s="771"/>
      <c r="AF4534" s="771"/>
      <c r="AG4534" s="771"/>
      <c r="AH4534" s="771"/>
      <c r="AI4534" s="771"/>
      <c r="AJ4534" s="771"/>
      <c r="AK4534" s="771"/>
      <c r="AL4534" s="771"/>
      <c r="AM4534" s="771"/>
      <c r="AN4534" s="771"/>
      <c r="AO4534" s="771"/>
      <c r="AP4534" s="771"/>
      <c r="AQ4534" s="771"/>
      <c r="AR4534" s="771"/>
      <c r="AS4534" s="771"/>
      <c r="AT4534" s="771"/>
      <c r="AU4534" s="771"/>
    </row>
    <row r="4535" spans="1:47" s="15" customFormat="1" x14ac:dyDescent="0.2">
      <c r="A4535" s="8"/>
      <c r="B4535" s="8"/>
      <c r="E4535" s="83"/>
      <c r="F4535" s="83"/>
      <c r="H4535" s="8"/>
      <c r="I4535" s="8"/>
      <c r="J4535" s="8"/>
      <c r="K4535" s="8"/>
      <c r="L4535" s="8"/>
      <c r="M4535" s="8"/>
      <c r="N4535" s="8"/>
      <c r="O4535" s="8"/>
      <c r="P4535" s="8"/>
      <c r="Q4535" s="8"/>
      <c r="R4535" s="8"/>
      <c r="S4535" s="8"/>
      <c r="T4535" s="8"/>
      <c r="U4535" s="8"/>
      <c r="V4535" s="8"/>
      <c r="W4535" s="8"/>
      <c r="X4535" s="771"/>
      <c r="Y4535" s="771"/>
      <c r="Z4535" s="771"/>
      <c r="AA4535" s="771"/>
      <c r="AB4535" s="771"/>
      <c r="AC4535" s="771"/>
      <c r="AD4535" s="771"/>
      <c r="AE4535" s="771"/>
      <c r="AF4535" s="771"/>
      <c r="AG4535" s="771"/>
      <c r="AH4535" s="771"/>
      <c r="AI4535" s="771"/>
      <c r="AJ4535" s="771"/>
      <c r="AK4535" s="771"/>
      <c r="AL4535" s="771"/>
      <c r="AM4535" s="771"/>
      <c r="AN4535" s="771"/>
      <c r="AO4535" s="771"/>
      <c r="AP4535" s="771"/>
      <c r="AQ4535" s="771"/>
      <c r="AR4535" s="771"/>
      <c r="AS4535" s="771"/>
      <c r="AT4535" s="771"/>
      <c r="AU4535" s="771"/>
    </row>
    <row r="4536" spans="1:47" s="15" customFormat="1" x14ac:dyDescent="0.2">
      <c r="A4536" s="8"/>
      <c r="B4536" s="8"/>
      <c r="E4536" s="83"/>
      <c r="F4536" s="83"/>
      <c r="H4536" s="8"/>
      <c r="I4536" s="8"/>
      <c r="J4536" s="8"/>
      <c r="K4536" s="8"/>
      <c r="L4536" s="8"/>
      <c r="M4536" s="8"/>
      <c r="N4536" s="8"/>
      <c r="O4536" s="8"/>
      <c r="P4536" s="8"/>
      <c r="Q4536" s="8"/>
      <c r="R4536" s="8"/>
      <c r="S4536" s="8"/>
      <c r="T4536" s="8"/>
      <c r="U4536" s="8"/>
      <c r="V4536" s="8"/>
      <c r="W4536" s="8"/>
      <c r="X4536" s="771"/>
      <c r="Y4536" s="771"/>
      <c r="Z4536" s="771"/>
      <c r="AA4536" s="771"/>
      <c r="AB4536" s="771"/>
      <c r="AC4536" s="771"/>
      <c r="AD4536" s="771"/>
      <c r="AE4536" s="771"/>
      <c r="AF4536" s="771"/>
      <c r="AG4536" s="771"/>
      <c r="AH4536" s="771"/>
      <c r="AI4536" s="771"/>
      <c r="AJ4536" s="771"/>
      <c r="AK4536" s="771"/>
      <c r="AL4536" s="771"/>
      <c r="AM4536" s="771"/>
      <c r="AN4536" s="771"/>
      <c r="AO4536" s="771"/>
      <c r="AP4536" s="771"/>
      <c r="AQ4536" s="771"/>
      <c r="AR4536" s="771"/>
      <c r="AS4536" s="771"/>
      <c r="AT4536" s="771"/>
      <c r="AU4536" s="771"/>
    </row>
    <row r="4537" spans="1:47" s="15" customFormat="1" x14ac:dyDescent="0.2">
      <c r="A4537" s="8"/>
      <c r="B4537" s="8"/>
      <c r="E4537" s="83"/>
      <c r="F4537" s="83"/>
      <c r="H4537" s="8"/>
      <c r="I4537" s="8"/>
      <c r="J4537" s="8"/>
      <c r="K4537" s="8"/>
      <c r="L4537" s="8"/>
      <c r="M4537" s="8"/>
      <c r="N4537" s="8"/>
      <c r="O4537" s="8"/>
      <c r="P4537" s="8"/>
      <c r="Q4537" s="8"/>
      <c r="R4537" s="8"/>
      <c r="S4537" s="8"/>
      <c r="T4537" s="8"/>
      <c r="U4537" s="8"/>
      <c r="V4537" s="8"/>
      <c r="W4537" s="8"/>
      <c r="X4537" s="771"/>
      <c r="Y4537" s="771"/>
      <c r="Z4537" s="771"/>
      <c r="AA4537" s="771"/>
      <c r="AB4537" s="771"/>
      <c r="AC4537" s="771"/>
      <c r="AD4537" s="771"/>
      <c r="AE4537" s="771"/>
      <c r="AF4537" s="771"/>
      <c r="AG4537" s="771"/>
      <c r="AH4537" s="771"/>
      <c r="AI4537" s="771"/>
      <c r="AJ4537" s="771"/>
      <c r="AK4537" s="771"/>
      <c r="AL4537" s="771"/>
      <c r="AM4537" s="771"/>
      <c r="AN4537" s="771"/>
      <c r="AO4537" s="771"/>
      <c r="AP4537" s="771"/>
      <c r="AQ4537" s="771"/>
      <c r="AR4537" s="771"/>
      <c r="AS4537" s="771"/>
      <c r="AT4537" s="771"/>
      <c r="AU4537" s="771"/>
    </row>
    <row r="4538" spans="1:47" s="15" customFormat="1" x14ac:dyDescent="0.2">
      <c r="A4538" s="8"/>
      <c r="B4538" s="8"/>
      <c r="E4538" s="83"/>
      <c r="F4538" s="83"/>
      <c r="H4538" s="8"/>
      <c r="I4538" s="8"/>
      <c r="J4538" s="8"/>
      <c r="K4538" s="8"/>
      <c r="L4538" s="8"/>
      <c r="M4538" s="8"/>
      <c r="N4538" s="8"/>
      <c r="O4538" s="8"/>
      <c r="P4538" s="8"/>
      <c r="Q4538" s="8"/>
      <c r="R4538" s="8"/>
      <c r="S4538" s="8"/>
      <c r="T4538" s="8"/>
      <c r="U4538" s="8"/>
      <c r="V4538" s="8"/>
      <c r="W4538" s="8"/>
      <c r="X4538" s="771"/>
      <c r="Y4538" s="771"/>
      <c r="Z4538" s="771"/>
      <c r="AA4538" s="771"/>
      <c r="AB4538" s="771"/>
      <c r="AC4538" s="771"/>
      <c r="AD4538" s="771"/>
      <c r="AE4538" s="771"/>
      <c r="AF4538" s="771"/>
      <c r="AG4538" s="771"/>
      <c r="AH4538" s="771"/>
      <c r="AI4538" s="771"/>
      <c r="AJ4538" s="771"/>
      <c r="AK4538" s="771"/>
      <c r="AL4538" s="771"/>
      <c r="AM4538" s="771"/>
      <c r="AN4538" s="771"/>
      <c r="AO4538" s="771"/>
      <c r="AP4538" s="771"/>
      <c r="AQ4538" s="771"/>
      <c r="AR4538" s="771"/>
      <c r="AS4538" s="771"/>
      <c r="AT4538" s="771"/>
      <c r="AU4538" s="771"/>
    </row>
    <row r="4539" spans="1:47" s="15" customFormat="1" x14ac:dyDescent="0.2">
      <c r="A4539" s="8"/>
      <c r="B4539" s="8"/>
      <c r="E4539" s="83"/>
      <c r="F4539" s="83"/>
      <c r="H4539" s="8"/>
      <c r="I4539" s="8"/>
      <c r="J4539" s="8"/>
      <c r="K4539" s="8"/>
      <c r="L4539" s="8"/>
      <c r="M4539" s="8"/>
      <c r="N4539" s="8"/>
      <c r="O4539" s="8"/>
      <c r="P4539" s="8"/>
      <c r="Q4539" s="8"/>
      <c r="R4539" s="8"/>
      <c r="S4539" s="8"/>
      <c r="T4539" s="8"/>
      <c r="U4539" s="8"/>
      <c r="V4539" s="8"/>
      <c r="W4539" s="8"/>
      <c r="X4539" s="771"/>
      <c r="Y4539" s="771"/>
      <c r="Z4539" s="771"/>
      <c r="AA4539" s="771"/>
      <c r="AB4539" s="771"/>
      <c r="AC4539" s="771"/>
      <c r="AD4539" s="771"/>
      <c r="AE4539" s="771"/>
      <c r="AF4539" s="771"/>
      <c r="AG4539" s="771"/>
      <c r="AH4539" s="771"/>
      <c r="AI4539" s="771"/>
      <c r="AJ4539" s="771"/>
      <c r="AK4539" s="771"/>
      <c r="AL4539" s="771"/>
      <c r="AM4539" s="771"/>
      <c r="AN4539" s="771"/>
      <c r="AO4539" s="771"/>
      <c r="AP4539" s="771"/>
      <c r="AQ4539" s="771"/>
      <c r="AR4539" s="771"/>
      <c r="AS4539" s="771"/>
      <c r="AT4539" s="771"/>
      <c r="AU4539" s="771"/>
    </row>
    <row r="4540" spans="1:47" s="15" customFormat="1" x14ac:dyDescent="0.2">
      <c r="A4540" s="8"/>
      <c r="B4540" s="8"/>
      <c r="E4540" s="83"/>
      <c r="F4540" s="83"/>
      <c r="H4540" s="8"/>
      <c r="I4540" s="8"/>
      <c r="J4540" s="8"/>
      <c r="K4540" s="8"/>
      <c r="L4540" s="8"/>
      <c r="M4540" s="8"/>
      <c r="N4540" s="8"/>
      <c r="O4540" s="8"/>
      <c r="P4540" s="8"/>
      <c r="Q4540" s="8"/>
      <c r="R4540" s="8"/>
      <c r="S4540" s="8"/>
      <c r="T4540" s="8"/>
      <c r="U4540" s="8"/>
      <c r="V4540" s="8"/>
      <c r="W4540" s="8"/>
      <c r="X4540" s="771"/>
      <c r="Y4540" s="771"/>
      <c r="Z4540" s="771"/>
      <c r="AA4540" s="771"/>
      <c r="AB4540" s="771"/>
      <c r="AC4540" s="771"/>
      <c r="AD4540" s="771"/>
      <c r="AE4540" s="771"/>
      <c r="AF4540" s="771"/>
      <c r="AG4540" s="771"/>
      <c r="AH4540" s="771"/>
      <c r="AI4540" s="771"/>
      <c r="AJ4540" s="771"/>
      <c r="AK4540" s="771"/>
      <c r="AL4540" s="771"/>
      <c r="AM4540" s="771"/>
      <c r="AN4540" s="771"/>
      <c r="AO4540" s="771"/>
      <c r="AP4540" s="771"/>
      <c r="AQ4540" s="771"/>
      <c r="AR4540" s="771"/>
      <c r="AS4540" s="771"/>
      <c r="AT4540" s="771"/>
      <c r="AU4540" s="771"/>
    </row>
    <row r="4541" spans="1:47" s="15" customFormat="1" x14ac:dyDescent="0.2">
      <c r="A4541" s="8"/>
      <c r="B4541" s="8"/>
      <c r="E4541" s="83"/>
      <c r="F4541" s="83"/>
      <c r="H4541" s="8"/>
      <c r="I4541" s="8"/>
      <c r="J4541" s="8"/>
      <c r="K4541" s="8"/>
      <c r="L4541" s="8"/>
      <c r="M4541" s="8"/>
      <c r="N4541" s="8"/>
      <c r="O4541" s="8"/>
      <c r="P4541" s="8"/>
      <c r="Q4541" s="8"/>
      <c r="R4541" s="8"/>
      <c r="S4541" s="8"/>
      <c r="T4541" s="8"/>
      <c r="U4541" s="8"/>
      <c r="V4541" s="8"/>
      <c r="W4541" s="8"/>
      <c r="X4541" s="771"/>
      <c r="Y4541" s="771"/>
      <c r="Z4541" s="771"/>
      <c r="AA4541" s="771"/>
      <c r="AB4541" s="771"/>
      <c r="AC4541" s="771"/>
      <c r="AD4541" s="771"/>
      <c r="AE4541" s="771"/>
      <c r="AF4541" s="771"/>
      <c r="AG4541" s="771"/>
      <c r="AH4541" s="771"/>
      <c r="AI4541" s="771"/>
      <c r="AJ4541" s="771"/>
      <c r="AK4541" s="771"/>
      <c r="AL4541" s="771"/>
      <c r="AM4541" s="771"/>
      <c r="AN4541" s="771"/>
      <c r="AO4541" s="771"/>
      <c r="AP4541" s="771"/>
      <c r="AQ4541" s="771"/>
      <c r="AR4541" s="771"/>
      <c r="AS4541" s="771"/>
      <c r="AT4541" s="771"/>
      <c r="AU4541" s="771"/>
    </row>
    <row r="4542" spans="1:47" s="15" customFormat="1" x14ac:dyDescent="0.2">
      <c r="A4542" s="8"/>
      <c r="B4542" s="8"/>
      <c r="E4542" s="83"/>
      <c r="F4542" s="83"/>
      <c r="H4542" s="8"/>
      <c r="I4542" s="8"/>
      <c r="J4542" s="8"/>
      <c r="K4542" s="8"/>
      <c r="L4542" s="8"/>
      <c r="M4542" s="8"/>
      <c r="N4542" s="8"/>
      <c r="O4542" s="8"/>
      <c r="P4542" s="8"/>
      <c r="Q4542" s="8"/>
      <c r="R4542" s="8"/>
      <c r="S4542" s="8"/>
      <c r="T4542" s="8"/>
      <c r="U4542" s="8"/>
      <c r="V4542" s="8"/>
      <c r="W4542" s="8"/>
      <c r="X4542" s="771"/>
      <c r="Y4542" s="771"/>
      <c r="Z4542" s="771"/>
      <c r="AA4542" s="771"/>
      <c r="AB4542" s="771"/>
      <c r="AC4542" s="771"/>
      <c r="AD4542" s="771"/>
      <c r="AE4542" s="771"/>
      <c r="AF4542" s="771"/>
      <c r="AG4542" s="771"/>
      <c r="AH4542" s="771"/>
      <c r="AI4542" s="771"/>
      <c r="AJ4542" s="771"/>
      <c r="AK4542" s="771"/>
      <c r="AL4542" s="771"/>
      <c r="AM4542" s="771"/>
      <c r="AN4542" s="771"/>
      <c r="AO4542" s="771"/>
      <c r="AP4542" s="771"/>
      <c r="AQ4542" s="771"/>
      <c r="AR4542" s="771"/>
      <c r="AS4542" s="771"/>
      <c r="AT4542" s="771"/>
      <c r="AU4542" s="771"/>
    </row>
    <row r="4543" spans="1:47" s="15" customFormat="1" x14ac:dyDescent="0.2">
      <c r="A4543" s="8"/>
      <c r="B4543" s="8"/>
      <c r="E4543" s="83"/>
      <c r="F4543" s="83"/>
      <c r="H4543" s="8"/>
      <c r="I4543" s="8"/>
      <c r="J4543" s="8"/>
      <c r="K4543" s="8"/>
      <c r="L4543" s="8"/>
      <c r="M4543" s="8"/>
      <c r="N4543" s="8"/>
      <c r="O4543" s="8"/>
      <c r="P4543" s="8"/>
      <c r="Q4543" s="8"/>
      <c r="R4543" s="8"/>
      <c r="S4543" s="8"/>
      <c r="T4543" s="8"/>
      <c r="U4543" s="8"/>
      <c r="V4543" s="8"/>
      <c r="W4543" s="8"/>
      <c r="X4543" s="771"/>
      <c r="Y4543" s="771"/>
      <c r="Z4543" s="771"/>
      <c r="AA4543" s="771"/>
      <c r="AB4543" s="771"/>
      <c r="AC4543" s="771"/>
      <c r="AD4543" s="771"/>
      <c r="AE4543" s="771"/>
      <c r="AF4543" s="771"/>
      <c r="AG4543" s="771"/>
      <c r="AH4543" s="771"/>
      <c r="AI4543" s="771"/>
      <c r="AJ4543" s="771"/>
      <c r="AK4543" s="771"/>
      <c r="AL4543" s="771"/>
      <c r="AM4543" s="771"/>
      <c r="AN4543" s="771"/>
      <c r="AO4543" s="771"/>
      <c r="AP4543" s="771"/>
      <c r="AQ4543" s="771"/>
      <c r="AR4543" s="771"/>
      <c r="AS4543" s="771"/>
      <c r="AT4543" s="771"/>
      <c r="AU4543" s="771"/>
    </row>
    <row r="4544" spans="1:47" s="15" customFormat="1" x14ac:dyDescent="0.2">
      <c r="A4544" s="8"/>
      <c r="B4544" s="8"/>
      <c r="E4544" s="83"/>
      <c r="F4544" s="83"/>
      <c r="H4544" s="8"/>
      <c r="I4544" s="8"/>
      <c r="J4544" s="8"/>
      <c r="K4544" s="8"/>
      <c r="L4544" s="8"/>
      <c r="M4544" s="8"/>
      <c r="N4544" s="8"/>
      <c r="O4544" s="8"/>
      <c r="P4544" s="8"/>
      <c r="Q4544" s="8"/>
      <c r="R4544" s="8"/>
      <c r="S4544" s="8"/>
      <c r="T4544" s="8"/>
      <c r="U4544" s="8"/>
      <c r="V4544" s="8"/>
      <c r="W4544" s="8"/>
      <c r="X4544" s="771"/>
      <c r="Y4544" s="771"/>
      <c r="Z4544" s="771"/>
      <c r="AA4544" s="771"/>
      <c r="AB4544" s="771"/>
      <c r="AC4544" s="771"/>
      <c r="AD4544" s="771"/>
      <c r="AE4544" s="771"/>
      <c r="AF4544" s="771"/>
      <c r="AG4544" s="771"/>
      <c r="AH4544" s="771"/>
      <c r="AI4544" s="771"/>
      <c r="AJ4544" s="771"/>
      <c r="AK4544" s="771"/>
      <c r="AL4544" s="771"/>
      <c r="AM4544" s="771"/>
      <c r="AN4544" s="771"/>
      <c r="AO4544" s="771"/>
      <c r="AP4544" s="771"/>
      <c r="AQ4544" s="771"/>
      <c r="AR4544" s="771"/>
      <c r="AS4544" s="771"/>
      <c r="AT4544" s="771"/>
      <c r="AU4544" s="771"/>
    </row>
    <row r="4545" spans="1:47" s="15" customFormat="1" x14ac:dyDescent="0.2">
      <c r="A4545" s="8"/>
      <c r="B4545" s="8"/>
      <c r="E4545" s="83"/>
      <c r="F4545" s="83"/>
      <c r="H4545" s="8"/>
      <c r="I4545" s="8"/>
      <c r="J4545" s="8"/>
      <c r="K4545" s="8"/>
      <c r="L4545" s="8"/>
      <c r="M4545" s="8"/>
      <c r="N4545" s="8"/>
      <c r="O4545" s="8"/>
      <c r="P4545" s="8"/>
      <c r="Q4545" s="8"/>
      <c r="R4545" s="8"/>
      <c r="S4545" s="8"/>
      <c r="T4545" s="8"/>
      <c r="U4545" s="8"/>
      <c r="V4545" s="8"/>
      <c r="W4545" s="8"/>
      <c r="X4545" s="771"/>
      <c r="Y4545" s="771"/>
      <c r="Z4545" s="771"/>
      <c r="AA4545" s="771"/>
      <c r="AB4545" s="771"/>
      <c r="AC4545" s="771"/>
      <c r="AD4545" s="771"/>
      <c r="AE4545" s="771"/>
      <c r="AF4545" s="771"/>
      <c r="AG4545" s="771"/>
      <c r="AH4545" s="771"/>
      <c r="AI4545" s="771"/>
      <c r="AJ4545" s="771"/>
      <c r="AK4545" s="771"/>
      <c r="AL4545" s="771"/>
      <c r="AM4545" s="771"/>
      <c r="AN4545" s="771"/>
      <c r="AO4545" s="771"/>
      <c r="AP4545" s="771"/>
      <c r="AQ4545" s="771"/>
      <c r="AR4545" s="771"/>
      <c r="AS4545" s="771"/>
      <c r="AT4545" s="771"/>
      <c r="AU4545" s="771"/>
    </row>
    <row r="4546" spans="1:47" s="15" customFormat="1" x14ac:dyDescent="0.2">
      <c r="A4546" s="8"/>
      <c r="B4546" s="8"/>
      <c r="E4546" s="83"/>
      <c r="F4546" s="83"/>
      <c r="H4546" s="8"/>
      <c r="I4546" s="8"/>
      <c r="J4546" s="8"/>
      <c r="K4546" s="8"/>
      <c r="L4546" s="8"/>
      <c r="M4546" s="8"/>
      <c r="N4546" s="8"/>
      <c r="O4546" s="8"/>
      <c r="P4546" s="8"/>
      <c r="Q4546" s="8"/>
      <c r="R4546" s="8"/>
      <c r="S4546" s="8"/>
      <c r="T4546" s="8"/>
      <c r="U4546" s="8"/>
      <c r="V4546" s="8"/>
      <c r="W4546" s="8"/>
      <c r="X4546" s="771"/>
      <c r="Y4546" s="771"/>
      <c r="Z4546" s="771"/>
      <c r="AA4546" s="771"/>
      <c r="AB4546" s="771"/>
      <c r="AC4546" s="771"/>
      <c r="AD4546" s="771"/>
      <c r="AE4546" s="771"/>
      <c r="AF4546" s="771"/>
      <c r="AG4546" s="771"/>
      <c r="AH4546" s="771"/>
      <c r="AI4546" s="771"/>
      <c r="AJ4546" s="771"/>
      <c r="AK4546" s="771"/>
      <c r="AL4546" s="771"/>
      <c r="AM4546" s="771"/>
      <c r="AN4546" s="771"/>
      <c r="AO4546" s="771"/>
      <c r="AP4546" s="771"/>
      <c r="AQ4546" s="771"/>
      <c r="AR4546" s="771"/>
      <c r="AS4546" s="771"/>
      <c r="AT4546" s="771"/>
      <c r="AU4546" s="771"/>
    </row>
    <row r="4547" spans="1:47" s="15" customFormat="1" x14ac:dyDescent="0.2">
      <c r="A4547" s="8"/>
      <c r="B4547" s="8"/>
      <c r="E4547" s="83"/>
      <c r="F4547" s="83"/>
      <c r="H4547" s="8"/>
      <c r="I4547" s="8"/>
      <c r="J4547" s="8"/>
      <c r="K4547" s="8"/>
      <c r="L4547" s="8"/>
      <c r="M4547" s="8"/>
      <c r="N4547" s="8"/>
      <c r="O4547" s="8"/>
      <c r="P4547" s="8"/>
      <c r="Q4547" s="8"/>
      <c r="R4547" s="8"/>
      <c r="S4547" s="8"/>
      <c r="T4547" s="8"/>
      <c r="U4547" s="8"/>
      <c r="V4547" s="8"/>
      <c r="W4547" s="8"/>
      <c r="X4547" s="771"/>
      <c r="Y4547" s="771"/>
      <c r="Z4547" s="771"/>
      <c r="AA4547" s="771"/>
      <c r="AB4547" s="771"/>
      <c r="AC4547" s="771"/>
      <c r="AD4547" s="771"/>
      <c r="AE4547" s="771"/>
      <c r="AF4547" s="771"/>
      <c r="AG4547" s="771"/>
      <c r="AH4547" s="771"/>
      <c r="AI4547" s="771"/>
      <c r="AJ4547" s="771"/>
      <c r="AK4547" s="771"/>
      <c r="AL4547" s="771"/>
      <c r="AM4547" s="771"/>
      <c r="AN4547" s="771"/>
      <c r="AO4547" s="771"/>
      <c r="AP4547" s="771"/>
      <c r="AQ4547" s="771"/>
      <c r="AR4547" s="771"/>
      <c r="AS4547" s="771"/>
      <c r="AT4547" s="771"/>
      <c r="AU4547" s="771"/>
    </row>
    <row r="4548" spans="1:47" s="15" customFormat="1" x14ac:dyDescent="0.2">
      <c r="A4548" s="8"/>
      <c r="B4548" s="8"/>
      <c r="E4548" s="83"/>
      <c r="F4548" s="83"/>
      <c r="H4548" s="8"/>
      <c r="I4548" s="8"/>
      <c r="J4548" s="8"/>
      <c r="K4548" s="8"/>
      <c r="L4548" s="8"/>
      <c r="M4548" s="8"/>
      <c r="N4548" s="8"/>
      <c r="O4548" s="8"/>
      <c r="P4548" s="8"/>
      <c r="Q4548" s="8"/>
      <c r="R4548" s="8"/>
      <c r="S4548" s="8"/>
      <c r="T4548" s="8"/>
      <c r="U4548" s="8"/>
      <c r="V4548" s="8"/>
      <c r="W4548" s="8"/>
      <c r="X4548" s="771"/>
      <c r="Y4548" s="771"/>
      <c r="Z4548" s="771"/>
      <c r="AA4548" s="771"/>
      <c r="AB4548" s="771"/>
      <c r="AC4548" s="771"/>
      <c r="AD4548" s="771"/>
      <c r="AE4548" s="771"/>
      <c r="AF4548" s="771"/>
      <c r="AG4548" s="771"/>
      <c r="AH4548" s="771"/>
      <c r="AI4548" s="771"/>
      <c r="AJ4548" s="771"/>
      <c r="AK4548" s="771"/>
      <c r="AL4548" s="771"/>
      <c r="AM4548" s="771"/>
      <c r="AN4548" s="771"/>
      <c r="AO4548" s="771"/>
      <c r="AP4548" s="771"/>
      <c r="AQ4548" s="771"/>
      <c r="AR4548" s="771"/>
      <c r="AS4548" s="771"/>
      <c r="AT4548" s="771"/>
      <c r="AU4548" s="771"/>
    </row>
    <row r="4549" spans="1:47" s="15" customFormat="1" x14ac:dyDescent="0.2">
      <c r="A4549" s="8"/>
      <c r="B4549" s="8"/>
      <c r="E4549" s="83"/>
      <c r="F4549" s="83"/>
      <c r="H4549" s="8"/>
      <c r="I4549" s="8"/>
      <c r="J4549" s="8"/>
      <c r="K4549" s="8"/>
      <c r="L4549" s="8"/>
      <c r="M4549" s="8"/>
      <c r="N4549" s="8"/>
      <c r="O4549" s="8"/>
      <c r="P4549" s="8"/>
      <c r="Q4549" s="8"/>
      <c r="R4549" s="8"/>
      <c r="S4549" s="8"/>
      <c r="T4549" s="8"/>
      <c r="U4549" s="8"/>
      <c r="V4549" s="8"/>
      <c r="W4549" s="8"/>
      <c r="X4549" s="771"/>
      <c r="Y4549" s="771"/>
      <c r="Z4549" s="771"/>
      <c r="AA4549" s="771"/>
      <c r="AB4549" s="771"/>
      <c r="AC4549" s="771"/>
      <c r="AD4549" s="771"/>
      <c r="AE4549" s="771"/>
      <c r="AF4549" s="771"/>
      <c r="AG4549" s="771"/>
      <c r="AH4549" s="771"/>
      <c r="AI4549" s="771"/>
      <c r="AJ4549" s="771"/>
      <c r="AK4549" s="771"/>
      <c r="AL4549" s="771"/>
      <c r="AM4549" s="771"/>
      <c r="AN4549" s="771"/>
      <c r="AO4549" s="771"/>
      <c r="AP4549" s="771"/>
      <c r="AQ4549" s="771"/>
      <c r="AR4549" s="771"/>
      <c r="AS4549" s="771"/>
      <c r="AT4549" s="771"/>
      <c r="AU4549" s="771"/>
    </row>
    <row r="4550" spans="1:47" s="15" customFormat="1" x14ac:dyDescent="0.2">
      <c r="A4550" s="8"/>
      <c r="B4550" s="8"/>
      <c r="E4550" s="83"/>
      <c r="F4550" s="83"/>
      <c r="H4550" s="8"/>
      <c r="I4550" s="8"/>
      <c r="J4550" s="8"/>
      <c r="K4550" s="8"/>
      <c r="L4550" s="8"/>
      <c r="M4550" s="8"/>
      <c r="N4550" s="8"/>
      <c r="O4550" s="8"/>
      <c r="P4550" s="8"/>
      <c r="Q4550" s="8"/>
      <c r="R4550" s="8"/>
      <c r="S4550" s="8"/>
      <c r="T4550" s="8"/>
      <c r="U4550" s="8"/>
      <c r="V4550" s="8"/>
      <c r="W4550" s="8"/>
      <c r="X4550" s="771"/>
      <c r="Y4550" s="771"/>
      <c r="Z4550" s="771"/>
      <c r="AA4550" s="771"/>
      <c r="AB4550" s="771"/>
      <c r="AC4550" s="771"/>
      <c r="AD4550" s="771"/>
      <c r="AE4550" s="771"/>
      <c r="AF4550" s="771"/>
      <c r="AG4550" s="771"/>
      <c r="AH4550" s="771"/>
      <c r="AI4550" s="771"/>
      <c r="AJ4550" s="771"/>
      <c r="AK4550" s="771"/>
      <c r="AL4550" s="771"/>
      <c r="AM4550" s="771"/>
      <c r="AN4550" s="771"/>
      <c r="AO4550" s="771"/>
      <c r="AP4550" s="771"/>
      <c r="AQ4550" s="771"/>
      <c r="AR4550" s="771"/>
      <c r="AS4550" s="771"/>
      <c r="AT4550" s="771"/>
      <c r="AU4550" s="771"/>
    </row>
    <row r="5169" spans="3:5" x14ac:dyDescent="0.2">
      <c r="C5169" s="17"/>
      <c r="D5169" s="17"/>
      <c r="E5169" s="52"/>
    </row>
  </sheetData>
  <protectedRanges>
    <protectedRange sqref="J4 G4" name="Диапазон1"/>
  </protectedRanges>
  <dataConsolidate/>
  <customSheetViews>
    <customSheetView guid="{788B8383-784A-4263-9D04-45657AC129FF}" hiddenRows="1" hiddenColumns="1">
      <selection activeCell="F4" sqref="F4"/>
      <pageMargins left="0.75" right="0.75" top="1" bottom="1" header="0.5" footer="0.5"/>
      <pageSetup paperSize="9" orientation="portrait" r:id="rId1"/>
      <headerFooter alignWithMargins="0"/>
    </customSheetView>
  </customSheetViews>
  <mergeCells count="2">
    <mergeCell ref="C2:G3"/>
    <mergeCell ref="C4:E4"/>
  </mergeCells>
  <phoneticPr fontId="2" type="noConversion"/>
  <conditionalFormatting sqref="E3628:E3678">
    <cfRule type="cellIs" dxfId="152" priority="1" operator="equal">
      <formula>0</formula>
    </cfRule>
  </conditionalFormatting>
  <hyperlinks>
    <hyperlink ref="C8" location="'2'!A1" display="METABOX" xr:uid="{00000000-0004-0000-0000-000000000000}"/>
    <hyperlink ref="C6" location="'1.1'!A1" display="ПЕТЛИ" xr:uid="{00000000-0004-0000-0000-000001000000}"/>
    <hyperlink ref="C9" location="'3.1'!A1" display="TANDEMBOX:" xr:uid="{00000000-0004-0000-0000-000002000000}"/>
    <hyperlink ref="D10" location="'3.2'!A1" display="TBX plus внутренний" xr:uid="{00000000-0004-0000-0000-000003000000}"/>
    <hyperlink ref="D11" location="'3.3'!A1" display="TBX plus под мойку" xr:uid="{00000000-0004-0000-0000-000004000000}"/>
    <hyperlink ref="D15" location="'3.7'!A1" display="INTIVO" xr:uid="{00000000-0004-0000-0000-000005000000}"/>
    <hyperlink ref="C17" location="'3.9'!A1" display="ORGA-LINE" xr:uid="{00000000-0004-0000-0000-000006000000}"/>
    <hyperlink ref="C21" location="'4.1'!A1" display="TANDEM" xr:uid="{00000000-0004-0000-0000-000007000000}"/>
    <hyperlink ref="C27" location="'7'!A1" display="Приспособления" xr:uid="{00000000-0004-0000-0000-000008000000}"/>
    <hyperlink ref="C22" location="'4.2'!A1" display="MOVENTO**  NEW!" xr:uid="{00000000-0004-0000-0000-000009000000}"/>
    <hyperlink ref="D16" location="'3.8'!A1" display="Servo-Drive" xr:uid="{00000000-0004-0000-0000-00000A000000}"/>
    <hyperlink ref="D9" location="'3.1'!A1" display="TBX plus" xr:uid="{00000000-0004-0000-0000-00000B000000}"/>
    <hyperlink ref="C23" location="'5.1'!A1" display="AVENTOS" xr:uid="{00000000-0004-0000-0000-00000C000000}"/>
    <hyperlink ref="D12" location="'3.4'!A1" display="TBX plus TiP-ON" xr:uid="{00000000-0004-0000-0000-00000D000000}"/>
    <hyperlink ref="D13" location="'3.5'!A1" display="TBX ANTARO*  NEW!" xr:uid="{00000000-0004-0000-0000-00000E000000}"/>
    <hyperlink ref="C26" location="'6'!A1" display="Специальные изделия" xr:uid="{00000000-0004-0000-0000-00000F000000}"/>
    <hyperlink ref="D6" location="'1.1'!A1" display="Clip Top" xr:uid="{00000000-0004-0000-0000-000010000000}"/>
    <hyperlink ref="D7" location="'1.2'!A1" display="MODUL" xr:uid="{00000000-0004-0000-0000-000011000000}"/>
    <hyperlink ref="D14" location="'3.6'!A1" display="ANTARO под мойку" xr:uid="{00000000-0004-0000-0000-000012000000}"/>
    <hyperlink ref="C18" location="'9.1'!A1" display="LEGRABOX  NEW! 2013" xr:uid="{00000000-0004-0000-0000-000013000000}"/>
    <hyperlink ref="I15" location="'9.1'!A1" display="LEGRABOX" xr:uid="{00000000-0004-0000-0000-000014000000}"/>
    <hyperlink ref="D24" location="'5.2'!A1" display="AVS Servo-Drive" xr:uid="{00000000-0004-0000-0000-000015000000}"/>
    <hyperlink ref="D25" location="'8'!A1" display="Информация" xr:uid="{00000000-0004-0000-0000-000016000000}"/>
    <hyperlink ref="C20:E20" location="'10'!A1" display="Бутылочница BLUM" xr:uid="{00000000-0004-0000-0000-000017000000}"/>
    <hyperlink ref="I18:K18" location="'10'!A1" display="   Бутылочница BLUM" xr:uid="{00000000-0004-0000-0000-000018000000}"/>
    <hyperlink ref="C19" location="'9.2'!A1" display="AMBIA-LINE" xr:uid="{00000000-0004-0000-0000-000019000000}"/>
    <hyperlink ref="I17:J17" location="'10'!A1" display="   Бутылочница BLUM" xr:uid="{00000000-0004-0000-0000-00001A000000}"/>
    <hyperlink ref="I16" location="'9.2'!A1" display="   AMBIA-LINE" xr:uid="{00000000-0004-0000-0000-00001B000000}"/>
  </hyperlinks>
  <pageMargins left="0.25" right="0.25" top="0.75" bottom="0.75" header="0.3" footer="0.3"/>
  <pageSetup paperSize="9" orientation="portrait" r:id="rId2"/>
  <headerFooter alignWithMargins="0"/>
  <ignoredErrors>
    <ignoredError sqref="E25:E27 E20" numberStoredAsText="1"/>
  </ignoredErrors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28"/>
  <dimension ref="A1:E22"/>
  <sheetViews>
    <sheetView workbookViewId="0">
      <selection activeCell="C19" sqref="C19"/>
    </sheetView>
  </sheetViews>
  <sheetFormatPr defaultRowHeight="12.75" x14ac:dyDescent="0.2"/>
  <cols>
    <col min="3" max="3" width="64.140625" customWidth="1"/>
  </cols>
  <sheetData>
    <row r="1" spans="1:5" ht="45" x14ac:dyDescent="0.25">
      <c r="A1" s="1929">
        <v>1</v>
      </c>
      <c r="B1" s="1933" t="s">
        <v>7181</v>
      </c>
      <c r="C1" s="1934" t="s">
        <v>7182</v>
      </c>
      <c r="D1">
        <v>1</v>
      </c>
      <c r="E1" t="str">
        <f>VLOOKUP(D1,A1:C22,3,0)</f>
        <v>623700, СВЕРДЛОВСКАЯ ОБЛ., БЕРЕЗОВСКИЙ, УЛ. КОЛЬЦЕВАЯ, 4И
+7 (343) 345 05 15
e-mail: ekaterinburg@fiera.ru</v>
      </c>
    </row>
    <row r="2" spans="1:5" ht="45" x14ac:dyDescent="0.25">
      <c r="A2" s="1929">
        <f>A1+1</f>
        <v>2</v>
      </c>
      <c r="B2" s="1933" t="s">
        <v>7183</v>
      </c>
      <c r="C2" s="1934" t="s">
        <v>7184</v>
      </c>
    </row>
    <row r="3" spans="1:5" ht="45" x14ac:dyDescent="0.25">
      <c r="A3" s="1929">
        <f t="shared" ref="A3:A22" si="0">A2+1</f>
        <v>3</v>
      </c>
      <c r="B3" s="1933" t="s">
        <v>7185</v>
      </c>
      <c r="C3" s="1934" t="s">
        <v>7186</v>
      </c>
    </row>
    <row r="4" spans="1:5" ht="45" x14ac:dyDescent="0.25">
      <c r="A4" s="1929">
        <f t="shared" si="0"/>
        <v>4</v>
      </c>
      <c r="B4" s="1933" t="s">
        <v>7187</v>
      </c>
      <c r="C4" s="1934" t="s">
        <v>7188</v>
      </c>
    </row>
    <row r="5" spans="1:5" ht="45" x14ac:dyDescent="0.25">
      <c r="A5" s="1929">
        <f t="shared" si="0"/>
        <v>5</v>
      </c>
      <c r="B5" s="1933" t="s">
        <v>7189</v>
      </c>
      <c r="C5" s="1934" t="s">
        <v>7190</v>
      </c>
    </row>
    <row r="6" spans="1:5" ht="45" x14ac:dyDescent="0.25">
      <c r="A6" s="1929">
        <f t="shared" si="0"/>
        <v>6</v>
      </c>
      <c r="B6" s="1933" t="s">
        <v>7191</v>
      </c>
      <c r="C6" s="1934" t="s">
        <v>7192</v>
      </c>
    </row>
    <row r="7" spans="1:5" ht="45" x14ac:dyDescent="0.25">
      <c r="A7" s="1929">
        <f t="shared" si="0"/>
        <v>7</v>
      </c>
      <c r="B7" s="1933" t="s">
        <v>7193</v>
      </c>
      <c r="C7" s="1934" t="s">
        <v>7194</v>
      </c>
    </row>
    <row r="8" spans="1:5" ht="45" x14ac:dyDescent="0.25">
      <c r="A8" s="1929">
        <f t="shared" si="0"/>
        <v>8</v>
      </c>
      <c r="B8" s="1933" t="s">
        <v>7195</v>
      </c>
      <c r="C8" s="1934" t="s">
        <v>7196</v>
      </c>
    </row>
    <row r="9" spans="1:5" ht="60" x14ac:dyDescent="0.25">
      <c r="A9" s="1929">
        <f t="shared" si="0"/>
        <v>9</v>
      </c>
      <c r="B9" s="1933" t="s">
        <v>7197</v>
      </c>
      <c r="C9" s="1934" t="s">
        <v>7198</v>
      </c>
    </row>
    <row r="10" spans="1:5" ht="45" x14ac:dyDescent="0.25">
      <c r="A10" s="1929">
        <f t="shared" si="0"/>
        <v>10</v>
      </c>
      <c r="B10" s="1933" t="s">
        <v>7199</v>
      </c>
      <c r="C10" s="1934" t="s">
        <v>7200</v>
      </c>
    </row>
    <row r="11" spans="1:5" ht="45" x14ac:dyDescent="0.25">
      <c r="A11" s="1929">
        <f t="shared" si="0"/>
        <v>11</v>
      </c>
      <c r="B11" s="1933" t="s">
        <v>7201</v>
      </c>
      <c r="C11" s="1934" t="s">
        <v>7202</v>
      </c>
    </row>
    <row r="12" spans="1:5" ht="45" x14ac:dyDescent="0.25">
      <c r="A12" s="1929">
        <f t="shared" si="0"/>
        <v>12</v>
      </c>
      <c r="B12" s="1933" t="s">
        <v>7203</v>
      </c>
      <c r="C12" s="1934" t="s">
        <v>7204</v>
      </c>
    </row>
    <row r="13" spans="1:5" ht="45" x14ac:dyDescent="0.25">
      <c r="A13" s="1929">
        <f t="shared" si="0"/>
        <v>13</v>
      </c>
      <c r="B13" s="1933" t="s">
        <v>7205</v>
      </c>
      <c r="C13" s="1934" t="s">
        <v>7206</v>
      </c>
    </row>
    <row r="14" spans="1:5" ht="45" x14ac:dyDescent="0.25">
      <c r="A14" s="1929">
        <f t="shared" si="0"/>
        <v>14</v>
      </c>
      <c r="B14" s="1933" t="s">
        <v>7207</v>
      </c>
      <c r="C14" s="1934" t="s">
        <v>7208</v>
      </c>
    </row>
    <row r="15" spans="1:5" ht="45" x14ac:dyDescent="0.25">
      <c r="A15" s="1929">
        <f t="shared" si="0"/>
        <v>15</v>
      </c>
      <c r="B15" s="1933" t="s">
        <v>7209</v>
      </c>
      <c r="C15" s="1934" t="s">
        <v>7210</v>
      </c>
    </row>
    <row r="16" spans="1:5" ht="45" x14ac:dyDescent="0.25">
      <c r="A16" s="1929">
        <f t="shared" si="0"/>
        <v>16</v>
      </c>
      <c r="B16" s="1933" t="s">
        <v>7211</v>
      </c>
      <c r="C16" s="1934" t="s">
        <v>7212</v>
      </c>
    </row>
    <row r="17" spans="1:3" ht="45" x14ac:dyDescent="0.25">
      <c r="A17" s="1929">
        <f t="shared" si="0"/>
        <v>17</v>
      </c>
      <c r="B17" s="1933" t="s">
        <v>7213</v>
      </c>
      <c r="C17" s="1934" t="s">
        <v>7214</v>
      </c>
    </row>
    <row r="18" spans="1:3" ht="45" x14ac:dyDescent="0.25">
      <c r="A18" s="1929">
        <f t="shared" si="0"/>
        <v>18</v>
      </c>
      <c r="B18" s="1933" t="s">
        <v>7215</v>
      </c>
      <c r="C18" s="1934" t="s">
        <v>7216</v>
      </c>
    </row>
    <row r="19" spans="1:3" ht="45" x14ac:dyDescent="0.25">
      <c r="A19" s="1929">
        <f t="shared" si="0"/>
        <v>19</v>
      </c>
      <c r="B19" s="1933" t="s">
        <v>7217</v>
      </c>
      <c r="C19" s="1934" t="s">
        <v>9044</v>
      </c>
    </row>
    <row r="20" spans="1:3" ht="45" x14ac:dyDescent="0.25">
      <c r="A20" s="1929">
        <f t="shared" si="0"/>
        <v>20</v>
      </c>
      <c r="B20" s="1933" t="s">
        <v>7218</v>
      </c>
      <c r="C20" s="1934" t="s">
        <v>7219</v>
      </c>
    </row>
    <row r="21" spans="1:3" ht="45" x14ac:dyDescent="0.25">
      <c r="A21" s="1929">
        <f t="shared" si="0"/>
        <v>21</v>
      </c>
      <c r="B21" s="1933" t="s">
        <v>7220</v>
      </c>
      <c r="C21" s="1934" t="s">
        <v>7221</v>
      </c>
    </row>
    <row r="22" spans="1:3" ht="45" x14ac:dyDescent="0.25">
      <c r="A22" s="1929">
        <f t="shared" si="0"/>
        <v>22</v>
      </c>
      <c r="B22" s="1933" t="s">
        <v>7222</v>
      </c>
      <c r="C22" s="1934" t="s">
        <v>7223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2"/>
  <dimension ref="D1:Q44"/>
  <sheetViews>
    <sheetView tabSelected="1" zoomScaleNormal="100" workbookViewId="0">
      <selection activeCell="M11" sqref="M11"/>
    </sheetView>
  </sheetViews>
  <sheetFormatPr defaultRowHeight="12.75" x14ac:dyDescent="0.2"/>
  <cols>
    <col min="1" max="9" width="9.140625" style="1120"/>
    <col min="10" max="10" width="9.140625" style="1120" customWidth="1"/>
    <col min="11" max="11" width="10" style="1120" customWidth="1"/>
    <col min="12" max="12" width="7.7109375" style="1120" customWidth="1"/>
    <col min="13" max="15" width="9.140625" style="1120"/>
    <col min="16" max="16" width="10.7109375" style="1120" customWidth="1"/>
    <col min="17" max="16384" width="9.140625" style="1120"/>
  </cols>
  <sheetData>
    <row r="1" spans="4:17" ht="34.5" customHeight="1" thickBot="1" x14ac:dyDescent="0.45">
      <c r="D1" s="1999"/>
      <c r="E1" s="1999"/>
      <c r="F1" s="1999"/>
      <c r="G1" s="1999"/>
      <c r="H1" s="1999"/>
      <c r="I1" s="1999"/>
      <c r="J1" s="2004" t="s">
        <v>7176</v>
      </c>
      <c r="K1" s="2005"/>
      <c r="L1" s="2005"/>
      <c r="M1" s="2005"/>
      <c r="N1" s="1932" t="s">
        <v>7178</v>
      </c>
      <c r="P1" s="1364" t="str">
        <f>IF(N1="евро","","Курс ЦБ:")</f>
        <v>Курс ЦБ:</v>
      </c>
    </row>
    <row r="2" spans="4:17" ht="12.75" customHeight="1" x14ac:dyDescent="0.2">
      <c r="J2" s="2006" t="s">
        <v>7179</v>
      </c>
      <c r="K2" s="2007"/>
      <c r="L2" s="2007"/>
      <c r="M2" s="2007"/>
      <c r="N2" s="2010"/>
      <c r="O2" s="2002" t="str">
        <f>IF(N1="евро","","Курс €")</f>
        <v>Курс €</v>
      </c>
      <c r="P2" s="2001">
        <f>IF(N2="",IF(N1="евро",1,'СОДЕРЖАНИЕ-1'!K31),N2)</f>
        <v>67.767700000000005</v>
      </c>
      <c r="Q2" s="2000" t="str">
        <f>IF(N1="евро","","руб.")</f>
        <v>руб.</v>
      </c>
    </row>
    <row r="3" spans="4:17" ht="12.75" customHeight="1" thickBot="1" x14ac:dyDescent="0.25">
      <c r="J3" s="2008"/>
      <c r="K3" s="2009"/>
      <c r="L3" s="2009"/>
      <c r="M3" s="2009"/>
      <c r="N3" s="2011"/>
      <c r="O3" s="2002"/>
      <c r="P3" s="2001"/>
      <c r="Q3" s="2000"/>
    </row>
    <row r="4" spans="4:17" ht="12.75" customHeight="1" x14ac:dyDescent="0.2">
      <c r="O4" s="2002"/>
      <c r="P4" s="2001"/>
      <c r="Q4" s="2000"/>
    </row>
    <row r="5" spans="4:17" x14ac:dyDescent="0.2">
      <c r="L5" s="1121">
        <v>1.2</v>
      </c>
    </row>
    <row r="6" spans="4:17" x14ac:dyDescent="0.2">
      <c r="M6" s="1931" t="s">
        <v>7180</v>
      </c>
    </row>
    <row r="8" spans="4:17" x14ac:dyDescent="0.2">
      <c r="M8" s="2012" t="str">
        <f>Контакты!E1</f>
        <v>623700, СВЕРДЛОВСКАЯ ОБЛ., БЕРЕЗОВСКИЙ, УЛ. КОЛЬЦЕВАЯ, 4И
+7 (343) 345 05 15
e-mail: ekaterinburg@fiera.ru</v>
      </c>
      <c r="N8" s="2012"/>
      <c r="O8" s="2012"/>
      <c r="P8" s="2012"/>
      <c r="Q8" s="2012"/>
    </row>
    <row r="9" spans="4:17" x14ac:dyDescent="0.2">
      <c r="M9" s="2012"/>
      <c r="N9" s="2012"/>
      <c r="O9" s="2012"/>
      <c r="P9" s="2012"/>
      <c r="Q9" s="2012"/>
    </row>
    <row r="10" spans="4:17" x14ac:dyDescent="0.2">
      <c r="M10" s="2012"/>
      <c r="N10" s="2012"/>
      <c r="O10" s="2012"/>
      <c r="P10" s="2012"/>
      <c r="Q10" s="2012"/>
    </row>
    <row r="11" spans="4:17" x14ac:dyDescent="0.2">
      <c r="O11" s="1138"/>
    </row>
    <row r="42" spans="13:13" x14ac:dyDescent="0.2">
      <c r="M42" s="2003"/>
    </row>
    <row r="43" spans="13:13" x14ac:dyDescent="0.2">
      <c r="M43" s="2003"/>
    </row>
    <row r="44" spans="13:13" x14ac:dyDescent="0.2">
      <c r="M44" s="1125"/>
    </row>
  </sheetData>
  <sheetProtection formatCells="0" formatColumns="0" formatRows="0" insertColumns="0" insertRows="0" insertHyperlinks="0" deleteColumns="0" deleteRows="0" sort="0" autoFilter="0" pivotTables="0"/>
  <mergeCells count="9">
    <mergeCell ref="D1:I1"/>
    <mergeCell ref="Q2:Q4"/>
    <mergeCell ref="P2:P4"/>
    <mergeCell ref="O2:O4"/>
    <mergeCell ref="M42:M43"/>
    <mergeCell ref="J1:M1"/>
    <mergeCell ref="J2:M3"/>
    <mergeCell ref="N2:N3"/>
    <mergeCell ref="M8:Q10"/>
  </mergeCells>
  <pageMargins left="0.7" right="0.7" top="0.75" bottom="0.75" header="0.3" footer="0.3"/>
  <pageSetup paperSize="9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51" r:id="rId4" name="Drop Down 3">
              <controlPr defaultSize="0" autoLine="0" autoPict="0">
                <anchor moveWithCells="1">
                  <from>
                    <xdr:col>13</xdr:col>
                    <xdr:colOff>523875</xdr:colOff>
                    <xdr:row>4</xdr:row>
                    <xdr:rowOff>142875</xdr:rowOff>
                  </from>
                  <to>
                    <xdr:col>16</xdr:col>
                    <xdr:colOff>266700</xdr:colOff>
                    <xdr:row>5</xdr:row>
                    <xdr:rowOff>152400</xdr:rowOff>
                  </to>
                </anchor>
              </controlPr>
            </control>
          </mc:Choice>
        </mc:AlternateContent>
      </controls>
    </mc:Choice>
  </mc:AlternateContent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200-000000000000}">
          <x14:formula1>
            <xm:f>'СОДЕРЖАНИЕ-1'!$N$31:$N$32</xm:f>
          </x14:formula1>
          <xm:sqref>N1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3"/>
  <dimension ref="A1:AG268"/>
  <sheetViews>
    <sheetView showGridLines="0" workbookViewId="0">
      <selection activeCell="G8" sqref="G8:G11"/>
    </sheetView>
  </sheetViews>
  <sheetFormatPr defaultRowHeight="12.75" outlineLevelRow="1" x14ac:dyDescent="0.2"/>
  <cols>
    <col min="1" max="1" width="3.7109375" customWidth="1"/>
    <col min="2" max="2" width="25.7109375" customWidth="1"/>
    <col min="3" max="3" width="9.42578125" customWidth="1"/>
    <col min="4" max="4" width="41.140625" customWidth="1"/>
    <col min="5" max="5" width="7.7109375" style="10" customWidth="1"/>
    <col min="6" max="6" width="9.140625" hidden="1" customWidth="1"/>
    <col min="7" max="7" width="8.140625" style="92" customWidth="1"/>
    <col min="8" max="8" width="8.5703125" style="8" bestFit="1" customWidth="1"/>
    <col min="9" max="9" width="2.5703125" style="8" customWidth="1"/>
    <col min="10" max="10" width="26.140625" style="8" customWidth="1"/>
    <col min="11" max="11" width="9.42578125" style="8" customWidth="1"/>
    <col min="12" max="12" width="16.140625" style="8" hidden="1" customWidth="1"/>
    <col min="13" max="13" width="5.7109375" style="53" hidden="1" customWidth="1"/>
    <col min="14" max="14" width="14.140625" style="8" hidden="1" customWidth="1"/>
    <col min="15" max="15" width="8" style="340" hidden="1" customWidth="1"/>
    <col min="16" max="16" width="9.140625" style="8" hidden="1" customWidth="1"/>
    <col min="17" max="19" width="9.140625" style="771" customWidth="1"/>
    <col min="20" max="33" width="9.140625" style="771"/>
  </cols>
  <sheetData>
    <row r="1" spans="1:33" ht="5.25" customHeight="1" thickBot="1" x14ac:dyDescent="0.25">
      <c r="A1" s="8"/>
      <c r="B1" s="8"/>
      <c r="C1" s="8"/>
      <c r="D1" s="8"/>
      <c r="E1" s="53"/>
      <c r="F1" s="8"/>
      <c r="G1" s="91"/>
      <c r="M1" s="8"/>
      <c r="O1" s="8"/>
    </row>
    <row r="2" spans="1:33" ht="39.950000000000003" customHeight="1" x14ac:dyDescent="0.2">
      <c r="A2" s="8"/>
      <c r="B2" s="2038" t="s">
        <v>1447</v>
      </c>
      <c r="C2" s="2039"/>
      <c r="D2" s="2039"/>
      <c r="E2" s="2039"/>
      <c r="F2" s="2039"/>
      <c r="G2" s="2040"/>
      <c r="M2" s="8"/>
      <c r="O2" s="53"/>
      <c r="Q2" s="1429"/>
    </row>
    <row r="3" spans="1:33" s="92" customFormat="1" x14ac:dyDescent="0.2">
      <c r="A3" s="636"/>
      <c r="B3" s="637"/>
      <c r="C3" s="638"/>
      <c r="D3" s="215"/>
      <c r="E3" s="215"/>
      <c r="F3" s="552"/>
      <c r="G3" s="351"/>
      <c r="H3" s="91"/>
      <c r="I3" s="91"/>
      <c r="J3" s="91"/>
      <c r="K3" s="91"/>
      <c r="L3" s="91"/>
      <c r="M3" s="91"/>
      <c r="N3" s="91"/>
      <c r="O3" s="31"/>
      <c r="P3" s="91"/>
      <c r="Q3" s="1429"/>
      <c r="R3" s="890"/>
      <c r="S3" s="890"/>
      <c r="T3" s="890"/>
      <c r="U3" s="890"/>
      <c r="V3" s="890"/>
      <c r="W3" s="890"/>
      <c r="X3" s="890"/>
      <c r="Y3" s="890"/>
      <c r="Z3" s="890"/>
      <c r="AA3" s="890"/>
      <c r="AB3" s="890"/>
      <c r="AC3" s="890"/>
      <c r="AD3" s="890"/>
      <c r="AE3" s="890"/>
      <c r="AF3" s="890"/>
      <c r="AG3" s="890"/>
    </row>
    <row r="4" spans="1:33" s="648" customFormat="1" thickBot="1" x14ac:dyDescent="0.25">
      <c r="A4" s="643"/>
      <c r="B4" s="649" t="s">
        <v>1462</v>
      </c>
      <c r="C4" s="650" t="s">
        <v>1464</v>
      </c>
      <c r="D4" s="650" t="s">
        <v>1463</v>
      </c>
      <c r="E4" s="644" t="s">
        <v>1461</v>
      </c>
      <c r="F4" s="265"/>
      <c r="G4" s="645"/>
      <c r="H4" s="646"/>
      <c r="I4" s="646"/>
      <c r="J4" s="646"/>
      <c r="K4" s="646"/>
      <c r="L4" s="646"/>
      <c r="M4" s="646"/>
      <c r="N4" s="646"/>
      <c r="O4" s="647"/>
      <c r="P4" s="646"/>
      <c r="Q4" s="1430"/>
      <c r="R4" s="1380"/>
      <c r="S4" s="1380"/>
      <c r="T4" s="1380"/>
      <c r="U4" s="1380"/>
      <c r="V4" s="1380"/>
      <c r="W4" s="1380"/>
      <c r="X4" s="1380"/>
      <c r="Y4" s="1380"/>
      <c r="Z4" s="1380"/>
      <c r="AA4" s="1380"/>
      <c r="AB4" s="1380"/>
      <c r="AC4" s="1380"/>
      <c r="AD4" s="1380"/>
      <c r="AE4" s="1380"/>
      <c r="AF4" s="1380"/>
      <c r="AG4" s="1380"/>
    </row>
    <row r="5" spans="1:33" s="641" customFormat="1" ht="15.75" x14ac:dyDescent="0.25">
      <c r="A5" s="274"/>
      <c r="B5" s="651" t="s">
        <v>1456</v>
      </c>
      <c r="C5" s="820">
        <v>45</v>
      </c>
      <c r="D5" s="652" t="s">
        <v>1454</v>
      </c>
      <c r="E5" s="2049">
        <v>1</v>
      </c>
      <c r="F5" s="639" t="str">
        <f>IF(D5="угловая",CONCATENATE(B5," ",D5,C5),CONCATENATE(B5," ",D5))</f>
        <v>Clip Top BM накладная</v>
      </c>
      <c r="G5" s="640"/>
      <c r="H5" s="314"/>
      <c r="I5" s="314"/>
      <c r="K5" s="314"/>
      <c r="L5" s="314" t="s">
        <v>5084</v>
      </c>
      <c r="M5" s="314"/>
      <c r="N5" s="314"/>
      <c r="O5" s="642" t="s">
        <v>5085</v>
      </c>
      <c r="P5" s="314"/>
      <c r="Q5" s="1431"/>
      <c r="R5" s="889"/>
      <c r="S5" s="889"/>
      <c r="T5" s="889"/>
      <c r="U5" s="889"/>
      <c r="V5" s="889"/>
      <c r="W5" s="889"/>
      <c r="X5" s="889"/>
      <c r="Y5" s="889"/>
      <c r="Z5" s="889"/>
      <c r="AA5" s="889"/>
      <c r="AB5" s="889"/>
      <c r="AC5" s="889"/>
      <c r="AD5" s="889"/>
      <c r="AE5" s="889"/>
      <c r="AF5" s="889"/>
      <c r="AG5" s="889"/>
    </row>
    <row r="6" spans="1:33" s="641" customFormat="1" ht="16.5" thickBot="1" x14ac:dyDescent="0.3">
      <c r="A6" s="274"/>
      <c r="B6" s="663" t="s">
        <v>1450</v>
      </c>
      <c r="C6" s="653"/>
      <c r="D6" s="654" t="s">
        <v>5070</v>
      </c>
      <c r="E6" s="2050"/>
      <c r="F6" s="319"/>
      <c r="G6" s="645" t="str">
        <f>IF(СОДЕРЖАНИЕ!P2=1,"EUR","RUB")</f>
        <v>RUB</v>
      </c>
      <c r="H6" s="314"/>
      <c r="I6" s="314"/>
      <c r="J6" s="314"/>
      <c r="K6" s="314"/>
      <c r="L6" s="77" t="str">
        <f>IF(RIGHT(D5,5)="Оникс","Крест., Expando","Крест., саморез")</f>
        <v>Крест., саморез</v>
      </c>
      <c r="M6" s="77" t="str">
        <f>IF(RIGHT(L6,7)="Expando","5308016/","1925383/")</f>
        <v>1925383/</v>
      </c>
      <c r="N6" s="314"/>
      <c r="O6" s="77" t="s">
        <v>5070</v>
      </c>
      <c r="P6" s="314" t="s">
        <v>1664</v>
      </c>
      <c r="Q6" s="1431"/>
      <c r="R6" s="889"/>
      <c r="S6" s="889"/>
      <c r="T6" s="889"/>
      <c r="U6" s="889"/>
      <c r="V6" s="889"/>
      <c r="W6" s="889"/>
      <c r="X6" s="889"/>
      <c r="Y6" s="889"/>
      <c r="Z6" s="889"/>
      <c r="AA6" s="889"/>
      <c r="AB6" s="889"/>
      <c r="AC6" s="889"/>
      <c r="AD6" s="889"/>
      <c r="AE6" s="889"/>
      <c r="AF6" s="889"/>
      <c r="AG6" s="889"/>
    </row>
    <row r="7" spans="1:33" ht="9.75" customHeight="1" thickBot="1" x14ac:dyDescent="0.25">
      <c r="A7" s="17"/>
      <c r="B7" s="2051"/>
      <c r="C7" s="655" t="s">
        <v>1301</v>
      </c>
      <c r="D7" s="656" t="s">
        <v>784</v>
      </c>
      <c r="E7" s="194" t="s">
        <v>2117</v>
      </c>
      <c r="F7" s="28"/>
      <c r="G7" s="351"/>
      <c r="L7" s="77" t="str">
        <f>IF(RIGHT(D5,5)="Оникс","Прямая, саморез","Крест., евровинт")</f>
        <v>Крест., евровинт</v>
      </c>
      <c r="M7" s="77" t="str">
        <f>IF(LEFT(L7,4)="Прям","9594813/","3697643/")</f>
        <v>3697643/</v>
      </c>
      <c r="O7" s="77" t="s">
        <v>5071</v>
      </c>
      <c r="P7" s="8" t="s">
        <v>1027</v>
      </c>
      <c r="Q7" s="1429"/>
    </row>
    <row r="8" spans="1:33" ht="12.95" customHeight="1" x14ac:dyDescent="0.2">
      <c r="A8" s="17"/>
      <c r="B8" s="2052"/>
      <c r="C8" s="657" t="str">
        <f>VLOOKUP(F5,B14:C46,2,FALSE)</f>
        <v>8884623/</v>
      </c>
      <c r="D8" s="658" t="str">
        <f>VLOOKUP(C8,всецены,2,FALSE)</f>
        <v xml:space="preserve">CLIP top BM, Петля накл, 110гр, 71B3550 </v>
      </c>
      <c r="E8" s="659">
        <f>E5</f>
        <v>1</v>
      </c>
      <c r="F8" s="660">
        <f>VLOOKUP(C8,всецены,4,FALSE)*E8</f>
        <v>165.8953296</v>
      </c>
      <c r="G8" s="2045">
        <f>SUM(F8:F11)</f>
        <v>177.28030319999999</v>
      </c>
      <c r="L8" s="77" t="str">
        <f>IF(RIGHT(D5,5)="Оникс","","Прямая, саморез")</f>
        <v>Прямая, саморез</v>
      </c>
      <c r="M8" s="77" t="s">
        <v>2610</v>
      </c>
      <c r="O8" s="77" t="s">
        <v>5074</v>
      </c>
      <c r="P8" s="8" t="s">
        <v>242</v>
      </c>
      <c r="Q8" s="1429"/>
    </row>
    <row r="9" spans="1:33" ht="12.95" customHeight="1" x14ac:dyDescent="0.2">
      <c r="A9" s="17"/>
      <c r="B9" s="2052"/>
      <c r="C9" s="661" t="str">
        <f>VLOOKUP(C8,C14:G46,5,FALSE)</f>
        <v>3445333/</v>
      </c>
      <c r="D9" s="632" t="str">
        <f>IF(C9=0,0,VLOOKUP(C9,всецены,2,FALSE))</f>
        <v xml:space="preserve">CLIP top, Загл. с лого сталь 70.1503.BP </v>
      </c>
      <c r="E9" s="633">
        <v>0</v>
      </c>
      <c r="F9" s="620">
        <f>IF(C9=0,0,VLOOKUP(C9,всецены,4,FALSE)*E9)</f>
        <v>0</v>
      </c>
      <c r="G9" s="2046"/>
      <c r="L9" s="77" t="str">
        <f>IF(RIGHT(D5,5)="Оникс","","Прямая, евровинт")</f>
        <v>Прямая, евровинт</v>
      </c>
      <c r="M9" s="77" t="s">
        <v>2635</v>
      </c>
      <c r="O9" s="77" t="s">
        <v>5075</v>
      </c>
      <c r="P9" s="8" t="s">
        <v>3340</v>
      </c>
      <c r="Q9" s="8"/>
    </row>
    <row r="10" spans="1:33" ht="12.95" customHeight="1" x14ac:dyDescent="0.2">
      <c r="A10" s="17"/>
      <c r="B10" s="2052"/>
      <c r="C10" s="661" t="str">
        <f>VLOOKUP(C8,C14:H46,6,FALSE)</f>
        <v>9003173/</v>
      </c>
      <c r="D10" s="632" t="str">
        <f>VLOOKUP(C10,всецены,2,FALSE)</f>
        <v xml:space="preserve">CLIP top BM, Заглушка на чашку, 70T3504 </v>
      </c>
      <c r="E10" s="633">
        <f>E9</f>
        <v>0</v>
      </c>
      <c r="F10" s="620">
        <f>VLOOKUP(C10,всецены,4,FALSE)*E10</f>
        <v>0</v>
      </c>
      <c r="G10" s="2046"/>
      <c r="M10" s="8"/>
      <c r="O10" s="53"/>
      <c r="Q10" s="1429"/>
    </row>
    <row r="11" spans="1:33" ht="12.95" customHeight="1" thickBot="1" x14ac:dyDescent="0.25">
      <c r="A11" s="17"/>
      <c r="B11" s="2053"/>
      <c r="C11" s="662" t="str">
        <f>IF(LEFT(D5,1)="ф",VLOOKUP(D6,O6:P9,2,0),IF(C8="9347253/",VLOOKUP(D6,O6:P9,2,0),VLOOKUP(D6,L6:M9,2,0)))</f>
        <v>1925383/</v>
      </c>
      <c r="D11" s="634" t="str">
        <f>VLOOKUP(C11,всецены,2,FALSE)</f>
        <v xml:space="preserve">MPL CLIP, подъем 0 мм, б/в  173L6100    </v>
      </c>
      <c r="E11" s="635">
        <v>1</v>
      </c>
      <c r="F11" s="621">
        <f>VLOOKUP(C11,всецены,4,FALSE)*E11</f>
        <v>11.384973600000002</v>
      </c>
      <c r="G11" s="2047"/>
      <c r="M11" s="8"/>
      <c r="O11" s="53"/>
      <c r="Q11" s="1429"/>
    </row>
    <row r="12" spans="1:33" x14ac:dyDescent="0.2">
      <c r="A12" s="17"/>
      <c r="B12" s="17"/>
      <c r="C12" s="17"/>
      <c r="D12" s="17"/>
      <c r="E12" s="344"/>
      <c r="F12" s="17"/>
      <c r="G12" s="91"/>
      <c r="M12" s="8"/>
      <c r="O12" s="53"/>
      <c r="Q12" s="1429"/>
    </row>
    <row r="13" spans="1:33" hidden="1" outlineLevel="1" x14ac:dyDescent="0.2">
      <c r="A13" s="8"/>
      <c r="B13" s="622"/>
      <c r="C13" s="622"/>
      <c r="D13" s="622"/>
      <c r="E13" s="622"/>
      <c r="F13" s="623"/>
      <c r="G13" s="2048" t="s">
        <v>1452</v>
      </c>
      <c r="H13" s="2048"/>
      <c r="J13" s="8" t="s">
        <v>1451</v>
      </c>
      <c r="K13" s="8" t="s">
        <v>1453</v>
      </c>
      <c r="M13" s="8"/>
      <c r="N13" s="622"/>
      <c r="O13" s="53"/>
      <c r="Q13" s="1429"/>
    </row>
    <row r="14" spans="1:33" hidden="1" outlineLevel="1" x14ac:dyDescent="0.2">
      <c r="A14" s="8"/>
      <c r="B14" s="624" t="str">
        <f t="shared" ref="B14:B46" si="0">CONCATENATE(D14," ",E14,F14)</f>
        <v>Clip Top накладная</v>
      </c>
      <c r="C14" s="624" t="s">
        <v>1210</v>
      </c>
      <c r="D14" s="625" t="s">
        <v>1448</v>
      </c>
      <c r="E14" s="624" t="s">
        <v>1454</v>
      </c>
      <c r="F14" s="626"/>
      <c r="G14" s="2" t="s">
        <v>1212</v>
      </c>
      <c r="H14" s="2" t="s">
        <v>1767</v>
      </c>
      <c r="J14" s="2" t="s">
        <v>1321</v>
      </c>
      <c r="K14" s="2" t="s">
        <v>1028</v>
      </c>
      <c r="M14" s="8"/>
      <c r="N14" s="624" t="s">
        <v>1448</v>
      </c>
      <c r="O14" s="53"/>
      <c r="Q14" s="1429"/>
    </row>
    <row r="15" spans="1:33" hidden="1" outlineLevel="1" x14ac:dyDescent="0.2">
      <c r="A15" s="8"/>
      <c r="B15" s="624" t="str">
        <f t="shared" si="0"/>
        <v>Clip Top полунакладная</v>
      </c>
      <c r="C15" s="624" t="s">
        <v>1215</v>
      </c>
      <c r="D15" s="625" t="s">
        <v>1448</v>
      </c>
      <c r="E15" s="624" t="s">
        <v>1455</v>
      </c>
      <c r="F15" s="626"/>
      <c r="G15" s="2" t="s">
        <v>1211</v>
      </c>
      <c r="H15" s="2" t="s">
        <v>1767</v>
      </c>
      <c r="J15" s="2" t="s">
        <v>1321</v>
      </c>
      <c r="K15" s="2" t="s">
        <v>1028</v>
      </c>
      <c r="M15" s="8"/>
      <c r="N15" s="624" t="s">
        <v>1456</v>
      </c>
      <c r="O15" s="53"/>
      <c r="Q15" s="1429"/>
    </row>
    <row r="16" spans="1:33" hidden="1" outlineLevel="1" x14ac:dyDescent="0.2">
      <c r="A16" s="8"/>
      <c r="B16" s="624" t="str">
        <f t="shared" si="0"/>
        <v>Clip Top вкладная</v>
      </c>
      <c r="C16" s="624" t="s">
        <v>1216</v>
      </c>
      <c r="D16" s="625" t="s">
        <v>1448</v>
      </c>
      <c r="E16" s="624" t="s">
        <v>1457</v>
      </c>
      <c r="F16" s="626"/>
      <c r="G16" s="2" t="s">
        <v>1211</v>
      </c>
      <c r="H16" s="2" t="s">
        <v>1767</v>
      </c>
      <c r="J16" s="2" t="s">
        <v>1321</v>
      </c>
      <c r="K16" s="2" t="s">
        <v>1028</v>
      </c>
      <c r="M16" s="8"/>
      <c r="N16" s="627"/>
      <c r="O16" s="53"/>
      <c r="Q16" s="1429"/>
      <c r="R16" s="77" t="s">
        <v>5070</v>
      </c>
      <c r="S16" s="77" t="s">
        <v>1028</v>
      </c>
    </row>
    <row r="17" spans="1:33" hidden="1" outlineLevel="1" x14ac:dyDescent="0.2">
      <c r="A17" s="8"/>
      <c r="B17" s="624" t="str">
        <f t="shared" si="0"/>
        <v>Clip Top угловая-45</v>
      </c>
      <c r="C17" s="624" t="s">
        <v>1838</v>
      </c>
      <c r="D17" s="625" t="s">
        <v>1448</v>
      </c>
      <c r="E17" s="624" t="s">
        <v>1449</v>
      </c>
      <c r="F17" s="628">
        <v>-45</v>
      </c>
      <c r="G17" s="629"/>
      <c r="H17" s="2" t="s">
        <v>1767</v>
      </c>
      <c r="J17" s="2" t="s">
        <v>1321</v>
      </c>
      <c r="K17" s="2" t="s">
        <v>1028</v>
      </c>
      <c r="M17" s="8"/>
      <c r="N17" s="624" t="s">
        <v>1454</v>
      </c>
      <c r="O17" s="53"/>
      <c r="Q17" s="1429"/>
      <c r="R17" s="77" t="s">
        <v>5071</v>
      </c>
      <c r="S17" s="77" t="s">
        <v>1321</v>
      </c>
    </row>
    <row r="18" spans="1:33" hidden="1" outlineLevel="1" x14ac:dyDescent="0.2">
      <c r="A18" s="8"/>
      <c r="B18" s="624" t="str">
        <f t="shared" si="0"/>
        <v>Clip Top угловая-30</v>
      </c>
      <c r="C18" s="624" t="s">
        <v>1840</v>
      </c>
      <c r="D18" s="625" t="s">
        <v>1448</v>
      </c>
      <c r="E18" s="624" t="s">
        <v>1449</v>
      </c>
      <c r="F18" s="628">
        <v>-30</v>
      </c>
      <c r="G18" s="629"/>
      <c r="H18" s="2" t="s">
        <v>1767</v>
      </c>
      <c r="J18" s="2" t="s">
        <v>1321</v>
      </c>
      <c r="K18" s="2" t="s">
        <v>1028</v>
      </c>
      <c r="M18" s="8"/>
      <c r="N18" s="624" t="s">
        <v>1455</v>
      </c>
      <c r="O18" s="53"/>
      <c r="Q18" s="1429"/>
      <c r="R18" s="77" t="s">
        <v>5074</v>
      </c>
      <c r="S18" s="77" t="s">
        <v>2610</v>
      </c>
    </row>
    <row r="19" spans="1:33" hidden="1" outlineLevel="1" x14ac:dyDescent="0.2">
      <c r="A19" s="8"/>
      <c r="B19" s="624" t="str">
        <f t="shared" si="0"/>
        <v>Clip Top угловая-15</v>
      </c>
      <c r="C19" s="624" t="s">
        <v>1842</v>
      </c>
      <c r="D19" s="625" t="s">
        <v>1448</v>
      </c>
      <c r="E19" s="624" t="s">
        <v>1449</v>
      </c>
      <c r="F19" s="628">
        <v>-15</v>
      </c>
      <c r="G19" s="2" t="s">
        <v>1212</v>
      </c>
      <c r="H19" s="2" t="s">
        <v>1767</v>
      </c>
      <c r="J19" s="2" t="s">
        <v>1321</v>
      </c>
      <c r="K19" s="2" t="s">
        <v>1028</v>
      </c>
      <c r="M19" s="8"/>
      <c r="N19" s="624" t="s">
        <v>1457</v>
      </c>
      <c r="O19" s="53"/>
      <c r="Q19" s="1429"/>
      <c r="R19" s="77" t="s">
        <v>5075</v>
      </c>
      <c r="S19" s="77" t="s">
        <v>2635</v>
      </c>
    </row>
    <row r="20" spans="1:33" hidden="1" outlineLevel="1" x14ac:dyDescent="0.2">
      <c r="A20" s="8"/>
      <c r="B20" s="624" t="str">
        <f t="shared" si="0"/>
        <v>Clip Top угловая20</v>
      </c>
      <c r="C20" s="624" t="s">
        <v>1845</v>
      </c>
      <c r="D20" s="625" t="s">
        <v>1448</v>
      </c>
      <c r="E20" s="624" t="s">
        <v>1449</v>
      </c>
      <c r="F20" s="628">
        <v>20</v>
      </c>
      <c r="G20" s="2" t="s">
        <v>1212</v>
      </c>
      <c r="H20" s="2" t="s">
        <v>1767</v>
      </c>
      <c r="J20" s="2" t="s">
        <v>1321</v>
      </c>
      <c r="K20" s="2" t="s">
        <v>1028</v>
      </c>
      <c r="M20" s="8"/>
      <c r="N20" s="624" t="s">
        <v>1449</v>
      </c>
      <c r="O20" s="53"/>
      <c r="Q20" s="1429"/>
    </row>
    <row r="21" spans="1:33" hidden="1" outlineLevel="1" x14ac:dyDescent="0.2">
      <c r="A21" s="8"/>
      <c r="B21" s="624" t="str">
        <f t="shared" si="0"/>
        <v>Clip Top угловая30</v>
      </c>
      <c r="C21" s="624" t="s">
        <v>1281</v>
      </c>
      <c r="D21" s="625" t="s">
        <v>1448</v>
      </c>
      <c r="E21" s="624" t="s">
        <v>1449</v>
      </c>
      <c r="F21" s="628">
        <v>30</v>
      </c>
      <c r="G21" s="2" t="s">
        <v>1212</v>
      </c>
      <c r="H21" s="2" t="s">
        <v>1767</v>
      </c>
      <c r="J21" s="2" t="s">
        <v>1321</v>
      </c>
      <c r="K21" s="2" t="s">
        <v>1028</v>
      </c>
      <c r="M21" s="8"/>
      <c r="N21" s="624" t="s">
        <v>1458</v>
      </c>
      <c r="O21" s="53"/>
      <c r="Q21" s="1429"/>
    </row>
    <row r="22" spans="1:33" hidden="1" outlineLevel="1" x14ac:dyDescent="0.2">
      <c r="A22" s="8"/>
      <c r="B22" s="624" t="str">
        <f t="shared" si="0"/>
        <v>Clip Top угловая45</v>
      </c>
      <c r="C22" s="624" t="s">
        <v>1282</v>
      </c>
      <c r="D22" s="625" t="s">
        <v>1448</v>
      </c>
      <c r="E22" s="624" t="s">
        <v>1449</v>
      </c>
      <c r="F22" s="628">
        <v>45</v>
      </c>
      <c r="G22" s="2" t="s">
        <v>1212</v>
      </c>
      <c r="H22" s="2" t="s">
        <v>1767</v>
      </c>
      <c r="J22" s="2" t="s">
        <v>1321</v>
      </c>
      <c r="K22" s="2" t="s">
        <v>1028</v>
      </c>
      <c r="M22" s="8"/>
      <c r="N22" s="624" t="s">
        <v>3780</v>
      </c>
      <c r="O22" s="53"/>
      <c r="Q22" s="1429"/>
      <c r="R22" s="771" t="s">
        <v>5224</v>
      </c>
      <c r="S22" s="771" t="s">
        <v>5225</v>
      </c>
    </row>
    <row r="23" spans="1:33" hidden="1" outlineLevel="1" x14ac:dyDescent="0.2">
      <c r="A23" s="8"/>
      <c r="B23" s="624" t="str">
        <f t="shared" si="0"/>
        <v>Clip Top ф/панель</v>
      </c>
      <c r="C23" s="624" t="s">
        <v>1833</v>
      </c>
      <c r="D23" s="625" t="s">
        <v>1448</v>
      </c>
      <c r="E23" s="624" t="s">
        <v>1458</v>
      </c>
      <c r="F23" s="626"/>
      <c r="G23" s="629"/>
      <c r="H23" s="2"/>
      <c r="J23" s="2" t="s">
        <v>1027</v>
      </c>
      <c r="K23" s="2" t="s">
        <v>1664</v>
      </c>
      <c r="M23" s="8"/>
      <c r="N23" s="624" t="s">
        <v>3779</v>
      </c>
      <c r="O23" s="53"/>
      <c r="Q23" s="1429"/>
      <c r="R23" s="771" t="s">
        <v>5226</v>
      </c>
      <c r="S23" s="771" t="s">
        <v>5227</v>
      </c>
    </row>
    <row r="24" spans="1:33" hidden="1" outlineLevel="1" x14ac:dyDescent="0.2">
      <c r="A24" s="8"/>
      <c r="B24" s="624" t="str">
        <f t="shared" si="0"/>
        <v>Clip Top 170гр.</v>
      </c>
      <c r="C24" s="624" t="s">
        <v>1324</v>
      </c>
      <c r="D24" s="625" t="s">
        <v>1448</v>
      </c>
      <c r="E24" s="624" t="s">
        <v>1459</v>
      </c>
      <c r="F24" s="626"/>
      <c r="G24" s="629"/>
      <c r="H24" s="2"/>
      <c r="J24" s="2" t="s">
        <v>1321</v>
      </c>
      <c r="K24" s="2" t="s">
        <v>1028</v>
      </c>
      <c r="M24" s="8"/>
      <c r="N24" s="622" t="s">
        <v>5219</v>
      </c>
      <c r="O24" s="53"/>
      <c r="Q24" s="1429"/>
    </row>
    <row r="25" spans="1:33" hidden="1" outlineLevel="1" x14ac:dyDescent="0.2">
      <c r="A25" s="8"/>
      <c r="B25" s="624" t="str">
        <f t="shared" si="0"/>
        <v>Clip Top 155гр.</v>
      </c>
      <c r="C25" s="624" t="s">
        <v>2092</v>
      </c>
      <c r="D25" s="625" t="s">
        <v>1448</v>
      </c>
      <c r="E25" s="624" t="s">
        <v>1460</v>
      </c>
      <c r="F25" s="626"/>
      <c r="G25" s="629"/>
      <c r="H25" s="43"/>
      <c r="J25" s="2" t="s">
        <v>1321</v>
      </c>
      <c r="K25" s="2" t="s">
        <v>1028</v>
      </c>
      <c r="M25" s="8"/>
      <c r="N25" s="624" t="s">
        <v>5220</v>
      </c>
      <c r="O25" s="53"/>
      <c r="Q25" s="1429"/>
    </row>
    <row r="26" spans="1:33" s="1421" customFormat="1" hidden="1" outlineLevel="1" x14ac:dyDescent="0.2">
      <c r="A26" s="8"/>
      <c r="B26" s="1424"/>
      <c r="C26" s="1424"/>
      <c r="D26" s="1427"/>
      <c r="E26" s="1424"/>
      <c r="F26" s="1428"/>
      <c r="G26" s="1425"/>
      <c r="H26" s="1412"/>
      <c r="I26" s="8"/>
      <c r="J26" s="88"/>
      <c r="K26" s="1401"/>
      <c r="L26" s="8"/>
      <c r="M26" s="8"/>
      <c r="N26" s="624" t="s">
        <v>5221</v>
      </c>
      <c r="O26" s="1422"/>
      <c r="P26" s="8"/>
      <c r="Q26" s="1429"/>
      <c r="R26" s="771"/>
      <c r="S26" s="771"/>
      <c r="T26" s="771"/>
      <c r="U26" s="771"/>
      <c r="V26" s="771"/>
      <c r="W26" s="771"/>
      <c r="X26" s="771"/>
      <c r="Y26" s="771"/>
      <c r="Z26" s="771"/>
      <c r="AA26" s="771"/>
      <c r="AB26" s="771"/>
      <c r="AC26" s="771"/>
      <c r="AD26" s="771"/>
      <c r="AE26" s="771"/>
      <c r="AF26" s="771"/>
      <c r="AG26" s="771"/>
    </row>
    <row r="27" spans="1:33" s="1421" customFormat="1" hidden="1" outlineLevel="1" x14ac:dyDescent="0.2">
      <c r="A27" s="8"/>
      <c r="B27" s="624" t="str">
        <f t="shared" si="0"/>
        <v>Clip Top BM накладная 110</v>
      </c>
      <c r="C27" s="624" t="s">
        <v>2088</v>
      </c>
      <c r="D27" s="625" t="s">
        <v>1456</v>
      </c>
      <c r="E27" s="624" t="s">
        <v>3780</v>
      </c>
      <c r="F27" s="1426"/>
      <c r="G27" s="2" t="s">
        <v>1212</v>
      </c>
      <c r="H27" s="2" t="s">
        <v>2086</v>
      </c>
      <c r="I27" s="8"/>
      <c r="J27" s="2" t="s">
        <v>1321</v>
      </c>
      <c r="K27" s="2" t="s">
        <v>1028</v>
      </c>
      <c r="L27" s="8"/>
      <c r="M27" s="8"/>
      <c r="N27" s="624" t="s">
        <v>5222</v>
      </c>
      <c r="O27" s="1422"/>
      <c r="P27" s="8"/>
      <c r="Q27" s="1429"/>
      <c r="R27" s="771"/>
      <c r="S27" s="771"/>
      <c r="T27" s="771"/>
      <c r="U27" s="771"/>
      <c r="V27" s="771"/>
      <c r="W27" s="771"/>
      <c r="X27" s="771"/>
      <c r="Y27" s="771"/>
      <c r="Z27" s="771"/>
      <c r="AA27" s="771"/>
      <c r="AB27" s="771"/>
      <c r="AC27" s="771"/>
      <c r="AD27" s="771"/>
      <c r="AE27" s="771"/>
      <c r="AF27" s="771"/>
      <c r="AG27" s="771"/>
    </row>
    <row r="28" spans="1:33" s="1421" customFormat="1" hidden="1" outlineLevel="1" x14ac:dyDescent="0.2">
      <c r="A28" s="8"/>
      <c r="B28" s="624" t="str">
        <f t="shared" si="0"/>
        <v>Clip Top накладная 110</v>
      </c>
      <c r="C28" s="1424" t="s">
        <v>309</v>
      </c>
      <c r="D28" s="625" t="s">
        <v>1448</v>
      </c>
      <c r="E28" s="624" t="s">
        <v>3780</v>
      </c>
      <c r="F28" s="1426"/>
      <c r="G28" s="2" t="s">
        <v>1212</v>
      </c>
      <c r="H28" s="2" t="s">
        <v>2086</v>
      </c>
      <c r="I28" s="8"/>
      <c r="J28" s="2" t="s">
        <v>1321</v>
      </c>
      <c r="K28" s="2" t="s">
        <v>1028</v>
      </c>
      <c r="L28" s="8"/>
      <c r="M28" s="8"/>
      <c r="N28" s="624" t="s">
        <v>5223</v>
      </c>
      <c r="O28" s="1422"/>
      <c r="P28" s="8"/>
      <c r="Q28" s="1429"/>
      <c r="R28" s="771"/>
      <c r="S28" s="771"/>
      <c r="T28" s="771"/>
      <c r="U28" s="771"/>
      <c r="V28" s="771"/>
      <c r="W28" s="771"/>
      <c r="X28" s="771"/>
      <c r="Y28" s="771"/>
      <c r="Z28" s="771"/>
      <c r="AA28" s="771"/>
      <c r="AB28" s="771"/>
      <c r="AC28" s="771"/>
      <c r="AD28" s="771"/>
      <c r="AE28" s="771"/>
      <c r="AF28" s="771"/>
      <c r="AG28" s="771"/>
    </row>
    <row r="29" spans="1:33" s="1421" customFormat="1" hidden="1" outlineLevel="1" x14ac:dyDescent="0.2">
      <c r="A29" s="8"/>
      <c r="B29" s="624" t="str">
        <f t="shared" si="0"/>
        <v>Clip Top BM накладная 107</v>
      </c>
      <c r="C29" s="1424" t="s">
        <v>3781</v>
      </c>
      <c r="D29" s="625" t="s">
        <v>1456</v>
      </c>
      <c r="E29" s="624" t="s">
        <v>3779</v>
      </c>
      <c r="F29" s="1426"/>
      <c r="G29" s="1425" t="s">
        <v>1212</v>
      </c>
      <c r="H29" s="1412" t="s">
        <v>2086</v>
      </c>
      <c r="I29" s="8"/>
      <c r="J29" s="2" t="s">
        <v>1321</v>
      </c>
      <c r="K29" s="2" t="s">
        <v>1028</v>
      </c>
      <c r="L29" s="8"/>
      <c r="M29" s="8"/>
      <c r="N29" s="622"/>
      <c r="O29" s="1422"/>
      <c r="P29" s="8"/>
      <c r="Q29" s="1429"/>
      <c r="R29" s="771"/>
      <c r="S29" s="771"/>
      <c r="T29" s="771"/>
      <c r="U29" s="771"/>
      <c r="V29" s="771"/>
      <c r="W29" s="771"/>
      <c r="X29" s="771"/>
      <c r="Y29" s="771"/>
      <c r="Z29" s="771"/>
      <c r="AA29" s="771"/>
      <c r="AB29" s="771"/>
      <c r="AC29" s="771"/>
      <c r="AD29" s="771"/>
      <c r="AE29" s="771"/>
      <c r="AF29" s="771"/>
      <c r="AG29" s="771"/>
    </row>
    <row r="30" spans="1:33" s="1421" customFormat="1" hidden="1" outlineLevel="1" x14ac:dyDescent="0.2">
      <c r="A30" s="8"/>
      <c r="B30" s="624" t="str">
        <f t="shared" si="0"/>
        <v>Clip Top накладная 107</v>
      </c>
      <c r="C30" s="1424" t="s">
        <v>1210</v>
      </c>
      <c r="D30" s="625" t="s">
        <v>1448</v>
      </c>
      <c r="E30" s="624" t="s">
        <v>3779</v>
      </c>
      <c r="F30" s="1426"/>
      <c r="G30" s="2" t="s">
        <v>1212</v>
      </c>
      <c r="H30" s="2" t="s">
        <v>1767</v>
      </c>
      <c r="I30" s="8"/>
      <c r="J30" s="2" t="s">
        <v>1321</v>
      </c>
      <c r="K30" s="2" t="s">
        <v>1028</v>
      </c>
      <c r="L30" s="8"/>
      <c r="M30" s="8"/>
      <c r="N30" s="622"/>
      <c r="O30" s="1422"/>
      <c r="P30" s="8"/>
      <c r="Q30" s="1429"/>
      <c r="R30" s="771"/>
      <c r="S30" s="771"/>
      <c r="T30" s="771"/>
      <c r="U30" s="771"/>
      <c r="V30" s="771"/>
      <c r="W30" s="771"/>
      <c r="X30" s="771"/>
      <c r="Y30" s="771"/>
      <c r="Z30" s="771"/>
      <c r="AA30" s="771"/>
      <c r="AB30" s="771"/>
      <c r="AC30" s="771"/>
      <c r="AD30" s="771"/>
      <c r="AE30" s="771"/>
      <c r="AF30" s="771"/>
      <c r="AG30" s="771"/>
    </row>
    <row r="31" spans="1:33" hidden="1" outlineLevel="1" x14ac:dyDescent="0.2">
      <c r="A31" s="8"/>
      <c r="B31" s="624" t="str">
        <f t="shared" si="0"/>
        <v xml:space="preserve"> </v>
      </c>
      <c r="C31" s="624"/>
      <c r="D31" s="627"/>
      <c r="E31" s="627"/>
      <c r="F31" s="630"/>
      <c r="G31" s="629"/>
      <c r="H31" s="43"/>
      <c r="K31" s="2"/>
      <c r="M31" s="8"/>
      <c r="O31" s="53"/>
      <c r="Q31" s="1429"/>
    </row>
    <row r="32" spans="1:33" hidden="1" outlineLevel="1" x14ac:dyDescent="0.2">
      <c r="A32" s="8"/>
      <c r="B32" s="624" t="str">
        <f t="shared" si="0"/>
        <v>Clip Top BM накладная</v>
      </c>
      <c r="C32" s="624" t="s">
        <v>2088</v>
      </c>
      <c r="D32" s="625" t="s">
        <v>1456</v>
      </c>
      <c r="E32" s="624" t="s">
        <v>1454</v>
      </c>
      <c r="F32" s="626"/>
      <c r="G32" s="2" t="s">
        <v>1212</v>
      </c>
      <c r="H32" s="2" t="s">
        <v>2086</v>
      </c>
      <c r="J32" s="2" t="s">
        <v>1321</v>
      </c>
      <c r="K32" s="2" t="s">
        <v>1028</v>
      </c>
      <c r="M32" s="8"/>
      <c r="N32" s="627"/>
      <c r="O32" s="53"/>
      <c r="Q32" s="1429"/>
    </row>
    <row r="33" spans="1:33" hidden="1" outlineLevel="1" x14ac:dyDescent="0.2">
      <c r="A33" s="8"/>
      <c r="B33" s="624" t="str">
        <f t="shared" si="0"/>
        <v>Clip Top BM полунакладная</v>
      </c>
      <c r="C33" s="624" t="s">
        <v>1231</v>
      </c>
      <c r="D33" s="625" t="s">
        <v>1456</v>
      </c>
      <c r="E33" s="624" t="s">
        <v>1455</v>
      </c>
      <c r="F33" s="626"/>
      <c r="G33" s="2" t="s">
        <v>1211</v>
      </c>
      <c r="H33" s="2" t="s">
        <v>2086</v>
      </c>
      <c r="J33" s="2" t="s">
        <v>1321</v>
      </c>
      <c r="K33" s="2" t="s">
        <v>1028</v>
      </c>
      <c r="M33" s="8"/>
      <c r="N33" s="627"/>
      <c r="O33" s="53"/>
      <c r="Q33" s="1429"/>
    </row>
    <row r="34" spans="1:33" hidden="1" outlineLevel="1" x14ac:dyDescent="0.2">
      <c r="A34" s="8"/>
      <c r="B34" s="624" t="str">
        <f t="shared" si="0"/>
        <v>Clip Top BM вкладная</v>
      </c>
      <c r="C34" s="624" t="s">
        <v>1233</v>
      </c>
      <c r="D34" s="625" t="s">
        <v>1456</v>
      </c>
      <c r="E34" s="624" t="s">
        <v>1457</v>
      </c>
      <c r="F34" s="626"/>
      <c r="G34" s="2" t="s">
        <v>1211</v>
      </c>
      <c r="H34" s="2" t="s">
        <v>2086</v>
      </c>
      <c r="J34" s="2" t="s">
        <v>1321</v>
      </c>
      <c r="K34" s="2" t="s">
        <v>1028</v>
      </c>
      <c r="M34" s="8"/>
      <c r="N34" s="627"/>
      <c r="O34" s="53"/>
      <c r="Q34" s="1429"/>
    </row>
    <row r="35" spans="1:33" hidden="1" outlineLevel="1" x14ac:dyDescent="0.2">
      <c r="A35" s="8"/>
      <c r="B35" s="624" t="str">
        <f t="shared" si="0"/>
        <v>Clip Top BM угловая-45</v>
      </c>
      <c r="C35" s="624" t="s">
        <v>416</v>
      </c>
      <c r="D35" s="625" t="s">
        <v>1456</v>
      </c>
      <c r="E35" s="624" t="s">
        <v>1449</v>
      </c>
      <c r="F35" s="628">
        <v>-45</v>
      </c>
      <c r="G35" s="629"/>
      <c r="H35" s="2" t="s">
        <v>2086</v>
      </c>
      <c r="J35" s="2" t="s">
        <v>1321</v>
      </c>
      <c r="K35" s="2" t="s">
        <v>1028</v>
      </c>
      <c r="M35" s="8"/>
      <c r="N35" s="627"/>
      <c r="O35" s="53"/>
      <c r="Q35" s="1429"/>
    </row>
    <row r="36" spans="1:33" hidden="1" outlineLevel="1" x14ac:dyDescent="0.2">
      <c r="A36" s="8"/>
      <c r="B36" s="624" t="str">
        <f t="shared" si="0"/>
        <v>Clip Top BM угловая-30</v>
      </c>
      <c r="C36" s="624" t="s">
        <v>1247</v>
      </c>
      <c r="D36" s="625" t="s">
        <v>1456</v>
      </c>
      <c r="E36" s="624" t="s">
        <v>1449</v>
      </c>
      <c r="F36" s="628">
        <v>-30</v>
      </c>
      <c r="G36" s="629"/>
      <c r="H36" s="2" t="s">
        <v>2086</v>
      </c>
      <c r="J36" s="2" t="s">
        <v>1321</v>
      </c>
      <c r="K36" s="2" t="s">
        <v>1028</v>
      </c>
      <c r="M36" s="8"/>
      <c r="N36" s="627" t="s">
        <v>1451</v>
      </c>
      <c r="O36" s="53"/>
      <c r="Q36" s="1429"/>
    </row>
    <row r="37" spans="1:33" hidden="1" outlineLevel="1" x14ac:dyDescent="0.2">
      <c r="A37" s="8"/>
      <c r="B37" s="624" t="str">
        <f t="shared" si="0"/>
        <v>Clip Top BM угловая-15</v>
      </c>
      <c r="C37" s="624" t="s">
        <v>920</v>
      </c>
      <c r="D37" s="625" t="s">
        <v>1456</v>
      </c>
      <c r="E37" s="624" t="s">
        <v>1449</v>
      </c>
      <c r="F37" s="628">
        <v>-15</v>
      </c>
      <c r="G37" s="2" t="s">
        <v>1212</v>
      </c>
      <c r="H37" s="2" t="s">
        <v>2086</v>
      </c>
      <c r="J37" s="2" t="s">
        <v>1321</v>
      </c>
      <c r="K37" s="2" t="s">
        <v>1028</v>
      </c>
      <c r="M37" s="8"/>
      <c r="N37" s="627" t="s">
        <v>1453</v>
      </c>
      <c r="O37" s="53"/>
      <c r="Q37" s="1429"/>
    </row>
    <row r="38" spans="1:33" hidden="1" outlineLevel="1" x14ac:dyDescent="0.2">
      <c r="A38" s="8"/>
      <c r="B38" s="624" t="str">
        <f t="shared" si="0"/>
        <v>Clip Top BM угловая20</v>
      </c>
      <c r="C38" s="624" t="s">
        <v>1246</v>
      </c>
      <c r="D38" s="625" t="s">
        <v>1456</v>
      </c>
      <c r="E38" s="624" t="s">
        <v>1449</v>
      </c>
      <c r="F38" s="628">
        <v>20</v>
      </c>
      <c r="G38" s="2" t="s">
        <v>1212</v>
      </c>
      <c r="H38" s="2" t="s">
        <v>2086</v>
      </c>
      <c r="J38" s="2" t="s">
        <v>1321</v>
      </c>
      <c r="K38" s="2" t="s">
        <v>1028</v>
      </c>
      <c r="M38" s="8"/>
      <c r="N38" s="631">
        <v>-45</v>
      </c>
      <c r="O38" s="53"/>
      <c r="Q38" s="1429"/>
    </row>
    <row r="39" spans="1:33" hidden="1" outlineLevel="1" x14ac:dyDescent="0.2">
      <c r="A39" s="8"/>
      <c r="B39" s="624" t="str">
        <f t="shared" si="0"/>
        <v>Clip Top BM угловая30</v>
      </c>
      <c r="C39" s="624" t="s">
        <v>1248</v>
      </c>
      <c r="D39" s="625" t="s">
        <v>1456</v>
      </c>
      <c r="E39" s="624" t="s">
        <v>1449</v>
      </c>
      <c r="F39" s="628">
        <v>30</v>
      </c>
      <c r="G39" s="2" t="s">
        <v>1212</v>
      </c>
      <c r="H39" s="2" t="s">
        <v>2086</v>
      </c>
      <c r="J39" s="2" t="s">
        <v>1321</v>
      </c>
      <c r="K39" s="2" t="s">
        <v>1028</v>
      </c>
      <c r="M39" s="8"/>
      <c r="N39" s="631">
        <v>-30</v>
      </c>
      <c r="O39" s="53"/>
      <c r="Q39" s="1429"/>
    </row>
    <row r="40" spans="1:33" hidden="1" outlineLevel="1" x14ac:dyDescent="0.2">
      <c r="A40" s="8"/>
      <c r="B40" s="624" t="str">
        <f t="shared" si="0"/>
        <v>Clip Top BM угловая45</v>
      </c>
      <c r="C40" s="624" t="s">
        <v>946</v>
      </c>
      <c r="D40" s="625" t="s">
        <v>1456</v>
      </c>
      <c r="E40" s="624" t="s">
        <v>1449</v>
      </c>
      <c r="F40" s="628">
        <v>45</v>
      </c>
      <c r="G40" s="2" t="s">
        <v>1212</v>
      </c>
      <c r="H40" s="2" t="s">
        <v>2086</v>
      </c>
      <c r="J40" s="2" t="s">
        <v>1321</v>
      </c>
      <c r="K40" s="2" t="s">
        <v>1028</v>
      </c>
      <c r="M40" s="8"/>
      <c r="N40" s="631">
        <v>-15</v>
      </c>
      <c r="O40" s="53"/>
      <c r="Q40" s="1429"/>
    </row>
    <row r="41" spans="1:33" hidden="1" outlineLevel="1" x14ac:dyDescent="0.2">
      <c r="A41" s="8"/>
      <c r="B41" s="624" t="str">
        <f t="shared" si="0"/>
        <v>Clip Top BM ф/панель</v>
      </c>
      <c r="C41" s="624" t="s">
        <v>1249</v>
      </c>
      <c r="D41" s="625" t="s">
        <v>1456</v>
      </c>
      <c r="E41" s="624" t="s">
        <v>1458</v>
      </c>
      <c r="F41" s="626"/>
      <c r="G41" s="2" t="s">
        <v>1212</v>
      </c>
      <c r="H41" s="2" t="s">
        <v>2086</v>
      </c>
      <c r="J41" s="2" t="s">
        <v>1027</v>
      </c>
      <c r="K41" s="2" t="s">
        <v>1664</v>
      </c>
      <c r="M41" s="8"/>
      <c r="N41" s="631">
        <v>20</v>
      </c>
      <c r="O41" s="53"/>
      <c r="Q41" s="1429"/>
    </row>
    <row r="42" spans="1:33" s="1838" customFormat="1" hidden="1" outlineLevel="1" x14ac:dyDescent="0.2">
      <c r="A42" s="8"/>
      <c r="B42" s="624" t="str">
        <f t="shared" si="0"/>
        <v>Clip Top BM накладная в цвете Черный Оникс</v>
      </c>
      <c r="C42" s="622" t="s">
        <v>4866</v>
      </c>
      <c r="D42" s="625" t="s">
        <v>1456</v>
      </c>
      <c r="E42" s="622" t="s">
        <v>5219</v>
      </c>
      <c r="F42" s="623"/>
      <c r="G42" s="88" t="s">
        <v>4874</v>
      </c>
      <c r="H42" s="88" t="s">
        <v>4864</v>
      </c>
      <c r="I42" s="8"/>
      <c r="J42" s="88"/>
      <c r="K42" s="88"/>
      <c r="L42" s="8"/>
      <c r="M42" s="8"/>
      <c r="N42" s="631">
        <v>30</v>
      </c>
      <c r="O42" s="1840"/>
      <c r="P42" s="8"/>
      <c r="Q42" s="1429"/>
      <c r="R42" s="771"/>
      <c r="S42" s="771"/>
      <c r="T42" s="771"/>
      <c r="U42" s="771"/>
      <c r="V42" s="771"/>
      <c r="W42" s="771"/>
      <c r="X42" s="771"/>
      <c r="Y42" s="771"/>
      <c r="Z42" s="771"/>
      <c r="AA42" s="771"/>
      <c r="AB42" s="771"/>
      <c r="AC42" s="771"/>
      <c r="AD42" s="771"/>
      <c r="AE42" s="771"/>
      <c r="AF42" s="771"/>
      <c r="AG42" s="771"/>
    </row>
    <row r="43" spans="1:33" s="1838" customFormat="1" hidden="1" outlineLevel="1" x14ac:dyDescent="0.2">
      <c r="A43" s="8"/>
      <c r="B43" s="624" t="str">
        <f t="shared" si="0"/>
        <v>Clip Top BM полунакладная в цвете Черный Оникс</v>
      </c>
      <c r="C43" s="622" t="s">
        <v>4878</v>
      </c>
      <c r="D43" s="625" t="s">
        <v>1456</v>
      </c>
      <c r="E43" s="624" t="s">
        <v>5220</v>
      </c>
      <c r="F43" s="623"/>
      <c r="G43" s="88" t="s">
        <v>5218</v>
      </c>
      <c r="H43" s="88" t="s">
        <v>4864</v>
      </c>
      <c r="I43" s="8"/>
      <c r="J43" s="88"/>
      <c r="K43" s="88"/>
      <c r="L43" s="8"/>
      <c r="M43" s="8"/>
      <c r="N43" s="631">
        <v>45</v>
      </c>
      <c r="O43" s="1840"/>
      <c r="P43" s="8"/>
      <c r="Q43" s="1429"/>
      <c r="R43" s="771"/>
      <c r="S43" s="771"/>
      <c r="T43" s="771"/>
      <c r="U43" s="771"/>
      <c r="V43" s="771"/>
      <c r="W43" s="771"/>
      <c r="X43" s="771"/>
      <c r="Y43" s="771"/>
      <c r="Z43" s="771"/>
      <c r="AA43" s="771"/>
      <c r="AB43" s="771"/>
      <c r="AC43" s="771"/>
      <c r="AD43" s="771"/>
      <c r="AE43" s="771"/>
      <c r="AF43" s="771"/>
      <c r="AG43" s="771"/>
    </row>
    <row r="44" spans="1:33" s="1838" customFormat="1" hidden="1" outlineLevel="1" x14ac:dyDescent="0.2">
      <c r="A44" s="8"/>
      <c r="B44" s="624" t="str">
        <f t="shared" si="0"/>
        <v>Clip Top BM вкладная в цвете Черный Оникс</v>
      </c>
      <c r="C44" s="622" t="s">
        <v>4872</v>
      </c>
      <c r="D44" s="625" t="s">
        <v>1456</v>
      </c>
      <c r="E44" s="624" t="s">
        <v>5221</v>
      </c>
      <c r="F44" s="623"/>
      <c r="G44" s="88" t="s">
        <v>5218</v>
      </c>
      <c r="H44" s="88" t="s">
        <v>4864</v>
      </c>
      <c r="I44" s="8"/>
      <c r="J44" s="88"/>
      <c r="K44" s="88"/>
      <c r="L44" s="8"/>
      <c r="M44" s="8"/>
      <c r="N44" s="8"/>
      <c r="O44" s="1840"/>
      <c r="P44" s="8"/>
      <c r="Q44" s="1429"/>
      <c r="R44" s="771"/>
      <c r="S44" s="771"/>
      <c r="T44" s="771"/>
      <c r="U44" s="771"/>
      <c r="V44" s="771"/>
      <c r="W44" s="771"/>
      <c r="X44" s="771"/>
      <c r="Y44" s="771"/>
      <c r="Z44" s="771"/>
      <c r="AA44" s="771"/>
      <c r="AB44" s="771"/>
      <c r="AC44" s="771"/>
      <c r="AD44" s="771"/>
      <c r="AE44" s="771"/>
      <c r="AF44" s="771"/>
      <c r="AG44" s="771"/>
    </row>
    <row r="45" spans="1:33" s="1838" customFormat="1" hidden="1" outlineLevel="1" x14ac:dyDescent="0.2">
      <c r="A45" s="8"/>
      <c r="B45" s="624" t="str">
        <f t="shared" si="0"/>
        <v>Clip Top BM угловая в цвете Черный Оникс</v>
      </c>
      <c r="C45" s="622" t="s">
        <v>4876</v>
      </c>
      <c r="D45" s="625" t="s">
        <v>1456</v>
      </c>
      <c r="E45" s="624" t="s">
        <v>5222</v>
      </c>
      <c r="F45" s="628"/>
      <c r="G45" s="88" t="s">
        <v>4874</v>
      </c>
      <c r="H45" s="88" t="s">
        <v>4864</v>
      </c>
      <c r="I45" s="8"/>
      <c r="J45" s="88"/>
      <c r="K45" s="88"/>
      <c r="L45" s="8"/>
      <c r="M45" s="8"/>
      <c r="N45" s="8"/>
      <c r="O45" s="1840"/>
      <c r="P45" s="8"/>
      <c r="Q45" s="1429"/>
      <c r="R45" s="771"/>
      <c r="S45" s="771"/>
      <c r="T45" s="771"/>
      <c r="U45" s="771"/>
      <c r="V45" s="771"/>
      <c r="W45" s="771"/>
      <c r="X45" s="771"/>
      <c r="Y45" s="771"/>
      <c r="Z45" s="771"/>
      <c r="AA45" s="771"/>
      <c r="AB45" s="771"/>
      <c r="AC45" s="771"/>
      <c r="AD45" s="771"/>
      <c r="AE45" s="771"/>
      <c r="AF45" s="771"/>
      <c r="AG45" s="771"/>
    </row>
    <row r="46" spans="1:33" s="1838" customFormat="1" hidden="1" outlineLevel="1" x14ac:dyDescent="0.2">
      <c r="A46" s="8"/>
      <c r="B46" s="624" t="str">
        <f t="shared" si="0"/>
        <v>Clip Top BM ф/панель в цвете Черный Оникс</v>
      </c>
      <c r="C46" s="622" t="s">
        <v>4868</v>
      </c>
      <c r="D46" s="625" t="s">
        <v>1456</v>
      </c>
      <c r="E46" s="624" t="s">
        <v>5223</v>
      </c>
      <c r="F46" s="623"/>
      <c r="G46" s="88" t="s">
        <v>4874</v>
      </c>
      <c r="H46" s="88" t="s">
        <v>4864</v>
      </c>
      <c r="I46" s="8"/>
      <c r="J46" s="88"/>
      <c r="K46" s="88"/>
      <c r="L46" s="8"/>
      <c r="M46" s="8"/>
      <c r="N46" s="8"/>
      <c r="O46" s="1840"/>
      <c r="P46" s="8"/>
      <c r="Q46" s="1429"/>
      <c r="R46" s="771"/>
      <c r="S46" s="771"/>
      <c r="T46" s="771"/>
      <c r="U46" s="771"/>
      <c r="V46" s="771"/>
      <c r="W46" s="771"/>
      <c r="X46" s="771"/>
      <c r="Y46" s="771"/>
      <c r="Z46" s="771"/>
      <c r="AA46" s="771"/>
      <c r="AB46" s="771"/>
      <c r="AC46" s="771"/>
      <c r="AD46" s="771"/>
      <c r="AE46" s="771"/>
      <c r="AF46" s="771"/>
      <c r="AG46" s="771"/>
    </row>
    <row r="47" spans="1:33" s="1838" customFormat="1" hidden="1" outlineLevel="1" x14ac:dyDescent="0.2">
      <c r="A47" s="8"/>
      <c r="B47" s="622"/>
      <c r="C47" s="622"/>
      <c r="D47" s="622"/>
      <c r="E47" s="622"/>
      <c r="F47" s="623"/>
      <c r="G47" s="88"/>
      <c r="H47" s="88"/>
      <c r="I47" s="8"/>
      <c r="J47" s="88"/>
      <c r="K47" s="88"/>
      <c r="L47" s="8"/>
      <c r="M47" s="8"/>
      <c r="N47" s="964"/>
      <c r="O47" s="1840"/>
      <c r="P47" s="8"/>
      <c r="Q47" s="1429"/>
      <c r="R47" s="771"/>
      <c r="S47" s="771"/>
      <c r="T47" s="771"/>
      <c r="U47" s="771"/>
      <c r="V47" s="771"/>
      <c r="W47" s="771"/>
      <c r="X47" s="771"/>
      <c r="Y47" s="771"/>
      <c r="Z47" s="771"/>
      <c r="AA47" s="771"/>
      <c r="AB47" s="771"/>
      <c r="AC47" s="771"/>
      <c r="AD47" s="771"/>
      <c r="AE47" s="771"/>
      <c r="AF47" s="771"/>
      <c r="AG47" s="771"/>
    </row>
    <row r="48" spans="1:33" s="1838" customFormat="1" hidden="1" outlineLevel="1" x14ac:dyDescent="0.2">
      <c r="A48" s="8"/>
      <c r="B48" s="622"/>
      <c r="C48" s="622"/>
      <c r="D48" s="622"/>
      <c r="E48" s="622"/>
      <c r="F48" s="623"/>
      <c r="G48" s="88"/>
      <c r="H48" s="88"/>
      <c r="I48" s="8"/>
      <c r="J48" s="88"/>
      <c r="K48" s="88"/>
      <c r="L48" s="8"/>
      <c r="M48" s="8"/>
      <c r="N48" s="964"/>
      <c r="O48" s="1840"/>
      <c r="P48" s="8"/>
      <c r="Q48" s="1429"/>
      <c r="R48" s="771"/>
      <c r="S48" s="771"/>
      <c r="T48" s="771"/>
      <c r="U48" s="771"/>
      <c r="V48" s="771"/>
      <c r="W48" s="771"/>
      <c r="X48" s="771"/>
      <c r="Y48" s="771"/>
      <c r="Z48" s="771"/>
      <c r="AA48" s="771"/>
      <c r="AB48" s="771"/>
      <c r="AC48" s="771"/>
      <c r="AD48" s="771"/>
      <c r="AE48" s="771"/>
      <c r="AF48" s="771"/>
      <c r="AG48" s="771"/>
    </row>
    <row r="49" spans="1:33" ht="13.5" collapsed="1" thickBot="1" x14ac:dyDescent="0.25">
      <c r="A49" s="8"/>
      <c r="B49" s="8"/>
      <c r="C49" s="8"/>
      <c r="D49" s="8"/>
      <c r="E49" s="53"/>
      <c r="F49" s="8"/>
      <c r="G49" s="91"/>
      <c r="L49" s="8" t="s">
        <v>5084</v>
      </c>
      <c r="M49" s="8"/>
      <c r="N49" s="964"/>
      <c r="O49" s="53"/>
      <c r="Q49" s="1429"/>
    </row>
    <row r="50" spans="1:33" s="1919" customFormat="1" ht="18" x14ac:dyDescent="0.2">
      <c r="A50" s="8"/>
      <c r="B50" s="2038" t="s">
        <v>7040</v>
      </c>
      <c r="C50" s="2039"/>
      <c r="D50" s="2039"/>
      <c r="E50" s="2039"/>
      <c r="F50" s="2039"/>
      <c r="G50" s="2040"/>
      <c r="H50" s="8"/>
      <c r="I50" s="8"/>
      <c r="J50" s="8"/>
      <c r="K50" s="8"/>
      <c r="L50" s="8" t="s">
        <v>7041</v>
      </c>
      <c r="M50" s="8" t="s">
        <v>4873</v>
      </c>
      <c r="N50" s="964"/>
      <c r="O50" s="1920"/>
      <c r="P50" s="8"/>
      <c r="Q50" s="1429"/>
      <c r="R50" s="771"/>
      <c r="S50" s="771"/>
      <c r="T50" s="771"/>
      <c r="U50" s="771"/>
      <c r="V50" s="771"/>
      <c r="W50" s="771"/>
      <c r="X50" s="771"/>
      <c r="Y50" s="771"/>
      <c r="Z50" s="771"/>
      <c r="AA50" s="771"/>
      <c r="AB50" s="771"/>
      <c r="AC50" s="771"/>
      <c r="AD50" s="771"/>
      <c r="AE50" s="771"/>
      <c r="AF50" s="771"/>
      <c r="AG50" s="771"/>
    </row>
    <row r="51" spans="1:33" s="1919" customFormat="1" x14ac:dyDescent="0.2">
      <c r="A51" s="636"/>
      <c r="B51" s="637"/>
      <c r="C51" s="638"/>
      <c r="D51" s="215"/>
      <c r="E51" s="215"/>
      <c r="F51" s="552"/>
      <c r="G51" s="351"/>
      <c r="H51" s="8"/>
      <c r="I51" s="8"/>
      <c r="J51" s="8"/>
      <c r="K51" s="8"/>
      <c r="L51" s="8" t="s">
        <v>5074</v>
      </c>
      <c r="M51" s="8" t="s">
        <v>4880</v>
      </c>
      <c r="N51" s="964"/>
      <c r="O51" s="1920"/>
      <c r="P51" s="8"/>
      <c r="Q51" s="1429"/>
      <c r="R51" s="771"/>
      <c r="S51" s="771"/>
      <c r="T51" s="771"/>
      <c r="U51" s="771"/>
      <c r="V51" s="771"/>
      <c r="W51" s="771"/>
      <c r="X51" s="771"/>
      <c r="Y51" s="771"/>
      <c r="Z51" s="771"/>
      <c r="AA51" s="771"/>
      <c r="AB51" s="771"/>
      <c r="AC51" s="771"/>
      <c r="AD51" s="771"/>
      <c r="AE51" s="771"/>
      <c r="AF51" s="771"/>
      <c r="AG51" s="771"/>
    </row>
    <row r="52" spans="1:33" s="1919" customFormat="1" ht="13.5" thickBot="1" x14ac:dyDescent="0.25">
      <c r="A52" s="643"/>
      <c r="B52" s="649" t="s">
        <v>1462</v>
      </c>
      <c r="C52" s="650" t="s">
        <v>1464</v>
      </c>
      <c r="D52" s="650" t="s">
        <v>1463</v>
      </c>
      <c r="E52" s="644" t="s">
        <v>1461</v>
      </c>
      <c r="F52" s="265"/>
      <c r="G52" s="645"/>
      <c r="H52" s="8"/>
      <c r="I52" s="8"/>
      <c r="J52" s="8"/>
      <c r="K52" s="8"/>
      <c r="L52" s="8"/>
      <c r="M52" s="8"/>
      <c r="N52" s="964"/>
      <c r="O52" s="1920"/>
      <c r="P52" s="8"/>
      <c r="Q52" s="1429"/>
      <c r="R52" s="771"/>
      <c r="S52" s="771"/>
      <c r="T52" s="771"/>
      <c r="U52" s="771"/>
      <c r="V52" s="771"/>
      <c r="W52" s="771"/>
      <c r="X52" s="771"/>
      <c r="Y52" s="771"/>
      <c r="Z52" s="771"/>
      <c r="AA52" s="771"/>
      <c r="AB52" s="771"/>
      <c r="AC52" s="771"/>
      <c r="AD52" s="771"/>
      <c r="AE52" s="771"/>
      <c r="AF52" s="771"/>
      <c r="AG52" s="771"/>
    </row>
    <row r="53" spans="1:33" s="1919" customFormat="1" ht="15.75" x14ac:dyDescent="0.25">
      <c r="A53" s="274"/>
      <c r="B53" s="651" t="s">
        <v>1456</v>
      </c>
      <c r="C53" s="820">
        <v>45</v>
      </c>
      <c r="D53" s="652" t="s">
        <v>5219</v>
      </c>
      <c r="E53" s="2049">
        <v>1</v>
      </c>
      <c r="F53" s="639" t="str">
        <f>IF(D53="угловая",CONCATENATE(B53," ",D53,C53),CONCATENATE(B53," ",D53))</f>
        <v>Clip Top BM накладная в цвете Черный Оникс</v>
      </c>
      <c r="G53" s="640"/>
      <c r="H53" s="8"/>
      <c r="I53" s="8"/>
      <c r="J53" s="8"/>
      <c r="K53" s="8"/>
      <c r="L53" s="8" t="s">
        <v>5085</v>
      </c>
      <c r="M53" s="8"/>
      <c r="N53" s="964"/>
      <c r="O53" s="1920"/>
      <c r="P53" s="8"/>
      <c r="Q53" s="1429"/>
      <c r="R53" s="771"/>
      <c r="S53" s="771"/>
      <c r="T53" s="771"/>
      <c r="U53" s="771"/>
      <c r="V53" s="771"/>
      <c r="W53" s="771"/>
      <c r="X53" s="771"/>
      <c r="Y53" s="771"/>
      <c r="Z53" s="771"/>
      <c r="AA53" s="771"/>
      <c r="AB53" s="771"/>
      <c r="AC53" s="771"/>
      <c r="AD53" s="771"/>
      <c r="AE53" s="771"/>
      <c r="AF53" s="771"/>
      <c r="AG53" s="771"/>
    </row>
    <row r="54" spans="1:33" s="1919" customFormat="1" ht="16.5" thickBot="1" x14ac:dyDescent="0.3">
      <c r="A54" s="274"/>
      <c r="B54" s="663" t="s">
        <v>1450</v>
      </c>
      <c r="C54" s="653"/>
      <c r="D54" s="654" t="s">
        <v>5074</v>
      </c>
      <c r="E54" s="2050"/>
      <c r="F54" s="319"/>
      <c r="G54" s="645" t="str">
        <f>IF(СОДЕРЖАНИЕ!P2=1,"EUR","RUB")</f>
        <v>RUB</v>
      </c>
      <c r="H54" s="8"/>
      <c r="I54" s="8"/>
      <c r="J54" s="8"/>
      <c r="K54" s="8"/>
      <c r="L54" s="8" t="s">
        <v>7041</v>
      </c>
      <c r="M54" s="8" t="s">
        <v>5224</v>
      </c>
      <c r="N54" s="964"/>
      <c r="O54" s="1920"/>
      <c r="P54" s="8"/>
      <c r="Q54" s="1429"/>
      <c r="R54" s="771"/>
      <c r="S54" s="771"/>
      <c r="T54" s="771"/>
      <c r="U54" s="771"/>
      <c r="V54" s="771"/>
      <c r="W54" s="771"/>
      <c r="X54" s="771"/>
      <c r="Y54" s="771"/>
      <c r="Z54" s="771"/>
      <c r="AA54" s="771"/>
      <c r="AB54" s="771"/>
      <c r="AC54" s="771"/>
      <c r="AD54" s="771"/>
      <c r="AE54" s="771"/>
      <c r="AF54" s="771"/>
      <c r="AG54" s="771"/>
    </row>
    <row r="55" spans="1:33" s="1919" customFormat="1" ht="13.5" thickBot="1" x14ac:dyDescent="0.25">
      <c r="A55" s="17"/>
      <c r="B55" s="2051"/>
      <c r="C55" s="655" t="s">
        <v>1301</v>
      </c>
      <c r="D55" s="656" t="s">
        <v>784</v>
      </c>
      <c r="E55" s="194" t="s">
        <v>2117</v>
      </c>
      <c r="F55" s="28"/>
      <c r="G55" s="351"/>
      <c r="H55" s="8"/>
      <c r="I55" s="8"/>
      <c r="J55" s="8"/>
      <c r="K55" s="8"/>
      <c r="L55" s="8" t="s">
        <v>5074</v>
      </c>
      <c r="M55" s="8" t="s">
        <v>5226</v>
      </c>
      <c r="N55" s="964"/>
      <c r="O55" s="1920"/>
      <c r="P55" s="8"/>
      <c r="Q55" s="1429"/>
      <c r="R55" s="771"/>
      <c r="S55" s="771"/>
      <c r="T55" s="771"/>
      <c r="U55" s="771"/>
      <c r="V55" s="771"/>
      <c r="W55" s="771"/>
      <c r="X55" s="771"/>
      <c r="Y55" s="771"/>
      <c r="Z55" s="771"/>
      <c r="AA55" s="771"/>
      <c r="AB55" s="771"/>
      <c r="AC55" s="771"/>
      <c r="AD55" s="771"/>
      <c r="AE55" s="771"/>
      <c r="AF55" s="771"/>
      <c r="AG55" s="771"/>
    </row>
    <row r="56" spans="1:33" s="1919" customFormat="1" x14ac:dyDescent="0.2">
      <c r="A56" s="17"/>
      <c r="B56" s="2052"/>
      <c r="C56" s="657" t="str">
        <f>VLOOKUP(F53,B14:C46,2,FALSE)</f>
        <v>2550728/</v>
      </c>
      <c r="D56" s="658" t="str">
        <f>VLOOKUP(C56,всецены,2,FALSE)</f>
        <v>CLIP top BM, Петля накл 110, 71B3550 чер</v>
      </c>
      <c r="E56" s="659">
        <f>E53</f>
        <v>1</v>
      </c>
      <c r="F56" s="660">
        <f>VLOOKUP(C56,всецены,4,FALSE)*E56</f>
        <v>226.07304720000002</v>
      </c>
      <c r="G56" s="2045">
        <f>SUM(F56:F59)</f>
        <v>286.25076480000001</v>
      </c>
      <c r="H56" s="8"/>
      <c r="I56" s="8"/>
      <c r="J56" s="8"/>
      <c r="K56" s="8"/>
      <c r="L56" s="8"/>
      <c r="M56" s="8"/>
      <c r="N56" s="964"/>
      <c r="O56" s="1920"/>
      <c r="P56" s="8"/>
      <c r="Q56" s="1429"/>
      <c r="R56" s="771"/>
      <c r="S56" s="771"/>
      <c r="T56" s="771"/>
      <c r="U56" s="771"/>
      <c r="V56" s="771"/>
      <c r="W56" s="771"/>
      <c r="X56" s="771"/>
      <c r="Y56" s="771"/>
      <c r="Z56" s="771"/>
      <c r="AA56" s="771"/>
      <c r="AB56" s="771"/>
      <c r="AC56" s="771"/>
      <c r="AD56" s="771"/>
      <c r="AE56" s="771"/>
      <c r="AF56" s="771"/>
      <c r="AG56" s="771"/>
    </row>
    <row r="57" spans="1:33" s="1919" customFormat="1" x14ac:dyDescent="0.2">
      <c r="A57" s="17"/>
      <c r="B57" s="2052"/>
      <c r="C57" s="661" t="str">
        <f>VLOOKUP(C56,C14:G46,5,FALSE)</f>
        <v>6954352/</v>
      </c>
      <c r="D57" s="632" t="str">
        <f>IF(C57=0,0,VLOOKUP(C57,всецены,2,FALSE))</f>
        <v>CLIP top, Загл. с лого сталь 70.1503 чер</v>
      </c>
      <c r="E57" s="633">
        <f>E56</f>
        <v>1</v>
      </c>
      <c r="F57" s="620">
        <f>IF(C57=0,0,VLOOKUP(C57,всецены,4,FALSE)*E57)</f>
        <v>9.7585487999999998</v>
      </c>
      <c r="G57" s="2046"/>
      <c r="H57" s="8"/>
      <c r="I57" s="8"/>
      <c r="J57" s="8"/>
      <c r="K57" s="8"/>
      <c r="L57" s="8"/>
      <c r="M57" s="8"/>
      <c r="N57" s="964"/>
      <c r="O57" s="1920"/>
      <c r="P57" s="8"/>
      <c r="Q57" s="1429"/>
      <c r="R57" s="771"/>
      <c r="S57" s="771"/>
      <c r="T57" s="771"/>
      <c r="U57" s="771"/>
      <c r="V57" s="771"/>
      <c r="W57" s="771"/>
      <c r="X57" s="771"/>
      <c r="Y57" s="771"/>
      <c r="Z57" s="771"/>
      <c r="AA57" s="771"/>
      <c r="AB57" s="771"/>
      <c r="AC57" s="771"/>
      <c r="AD57" s="771"/>
      <c r="AE57" s="771"/>
      <c r="AF57" s="771"/>
      <c r="AG57" s="771"/>
    </row>
    <row r="58" spans="1:33" s="1919" customFormat="1" x14ac:dyDescent="0.2">
      <c r="A58" s="17"/>
      <c r="B58" s="2052"/>
      <c r="C58" s="661" t="str">
        <f>VLOOKUP(C56,C14:H46,6,FALSE)</f>
        <v>1220669/</v>
      </c>
      <c r="D58" s="632" t="str">
        <f>VLOOKUP(C58,всецены,2,FALSE)</f>
        <v>CLIP top BM, Загл. на чашку, 70T3504 чер</v>
      </c>
      <c r="E58" s="633">
        <f>E57</f>
        <v>1</v>
      </c>
      <c r="F58" s="620">
        <f>VLOOKUP(C58,всецены,4,FALSE)*E58</f>
        <v>13.824610800000002</v>
      </c>
      <c r="G58" s="2046"/>
      <c r="H58" s="8"/>
      <c r="I58" s="8"/>
      <c r="J58" s="8"/>
      <c r="K58" s="8"/>
      <c r="L58" s="8"/>
      <c r="M58" s="8"/>
      <c r="N58" s="964"/>
      <c r="O58" s="1920"/>
      <c r="P58" s="8"/>
      <c r="Q58" s="1429"/>
      <c r="R58" s="771"/>
      <c r="S58" s="771"/>
      <c r="T58" s="771"/>
      <c r="U58" s="771"/>
      <c r="V58" s="771"/>
      <c r="W58" s="771"/>
      <c r="X58" s="771"/>
      <c r="Y58" s="771"/>
      <c r="Z58" s="771"/>
      <c r="AA58" s="771"/>
      <c r="AB58" s="771"/>
      <c r="AC58" s="771"/>
      <c r="AD58" s="771"/>
      <c r="AE58" s="771"/>
      <c r="AF58" s="771"/>
      <c r="AG58" s="771"/>
    </row>
    <row r="59" spans="1:33" s="1919" customFormat="1" ht="13.5" thickBot="1" x14ac:dyDescent="0.25">
      <c r="A59" s="17"/>
      <c r="B59" s="2053"/>
      <c r="C59" s="662" t="str">
        <f>IF(LEFT(D53,1)="ф",VLOOKUP(D54,L53:M56,2,0),IF(C56="9347253/",VLOOKUP(D54,L53:M56,2,0),VLOOKUP(D54,L49:M52,2,0)))</f>
        <v>9594813/</v>
      </c>
      <c r="D59" s="634" t="str">
        <f>VLOOKUP(C59,всецены,2,FALSE)</f>
        <v>MPL CLIP, прямая, 0 мм, 175H3100, черная</v>
      </c>
      <c r="E59" s="635">
        <f>E58</f>
        <v>1</v>
      </c>
      <c r="F59" s="621">
        <f>VLOOKUP(C59,всецены,4,FALSE)*E59</f>
        <v>36.594558000000006</v>
      </c>
      <c r="G59" s="2047"/>
      <c r="H59" s="8"/>
      <c r="I59" s="8"/>
      <c r="J59" s="8"/>
      <c r="K59" s="8"/>
      <c r="L59" s="8"/>
      <c r="M59" s="8"/>
      <c r="N59" s="964"/>
      <c r="O59" s="1920"/>
      <c r="P59" s="8"/>
      <c r="Q59" s="1429"/>
      <c r="R59" s="771"/>
      <c r="S59" s="771"/>
      <c r="T59" s="771"/>
      <c r="U59" s="771"/>
      <c r="V59" s="771"/>
      <c r="W59" s="771"/>
      <c r="X59" s="771"/>
      <c r="Y59" s="771"/>
      <c r="Z59" s="771"/>
      <c r="AA59" s="771"/>
      <c r="AB59" s="771"/>
      <c r="AC59" s="771"/>
      <c r="AD59" s="771"/>
      <c r="AE59" s="771"/>
      <c r="AF59" s="771"/>
      <c r="AG59" s="771"/>
    </row>
    <row r="60" spans="1:33" s="1919" customFormat="1" x14ac:dyDescent="0.2">
      <c r="A60" s="17"/>
      <c r="B60" s="17"/>
      <c r="C60" s="17"/>
      <c r="D60" s="17"/>
      <c r="E60" s="1921"/>
      <c r="F60" s="17"/>
      <c r="G60" s="91"/>
      <c r="H60" s="8"/>
      <c r="I60" s="8"/>
      <c r="J60" s="8"/>
      <c r="K60" s="8"/>
      <c r="L60" s="8"/>
      <c r="M60" s="8"/>
      <c r="N60" s="964"/>
      <c r="O60" s="1920"/>
      <c r="P60" s="8"/>
      <c r="Q60" s="1429"/>
      <c r="R60" s="771"/>
      <c r="S60" s="771"/>
      <c r="T60" s="771"/>
      <c r="U60" s="771"/>
      <c r="V60" s="771"/>
      <c r="W60" s="771"/>
      <c r="X60" s="771"/>
      <c r="Y60" s="771"/>
      <c r="Z60" s="771"/>
      <c r="AA60" s="771"/>
      <c r="AB60" s="771"/>
      <c r="AC60" s="771"/>
      <c r="AD60" s="771"/>
      <c r="AE60" s="771"/>
      <c r="AF60" s="771"/>
      <c r="AG60" s="771"/>
    </row>
    <row r="61" spans="1:33" s="1919" customFormat="1" ht="13.5" thickBot="1" x14ac:dyDescent="0.25">
      <c r="A61" s="8"/>
      <c r="B61" s="8"/>
      <c r="C61" s="8"/>
      <c r="D61" s="8"/>
      <c r="E61" s="1920"/>
      <c r="F61" s="8"/>
      <c r="G61" s="91"/>
      <c r="H61" s="8"/>
      <c r="I61" s="8"/>
      <c r="J61" s="8"/>
      <c r="K61" s="8"/>
      <c r="L61" s="8"/>
      <c r="M61" s="8"/>
      <c r="N61" s="964"/>
      <c r="O61" s="1920"/>
      <c r="P61" s="8"/>
      <c r="Q61" s="1429"/>
      <c r="R61" s="771"/>
      <c r="S61" s="771"/>
      <c r="T61" s="771"/>
      <c r="U61" s="771"/>
      <c r="V61" s="771"/>
      <c r="W61" s="771"/>
      <c r="X61" s="771"/>
      <c r="Y61" s="771"/>
      <c r="Z61" s="771"/>
      <c r="AA61" s="771"/>
      <c r="AB61" s="771"/>
      <c r="AC61" s="771"/>
      <c r="AD61" s="771"/>
      <c r="AE61" s="771"/>
      <c r="AF61" s="771"/>
      <c r="AG61" s="771"/>
    </row>
    <row r="62" spans="1:33" ht="19.350000000000001" customHeight="1" x14ac:dyDescent="0.2">
      <c r="A62" s="8"/>
      <c r="B62" s="2015" t="s">
        <v>352</v>
      </c>
      <c r="C62" s="2016"/>
      <c r="D62" s="2016"/>
      <c r="E62" s="2016"/>
      <c r="F62" s="2016"/>
      <c r="G62" s="2017"/>
      <c r="N62" s="964"/>
    </row>
    <row r="63" spans="1:33" ht="19.350000000000001" customHeight="1" x14ac:dyDescent="0.2">
      <c r="A63" s="17"/>
      <c r="B63" s="2018"/>
      <c r="C63" s="2019"/>
      <c r="D63" s="2019"/>
      <c r="E63" s="2019"/>
      <c r="F63" s="2019"/>
      <c r="G63" s="2020"/>
      <c r="N63" s="964"/>
    </row>
    <row r="64" spans="1:33" x14ac:dyDescent="0.2">
      <c r="A64" s="17"/>
      <c r="B64" s="2041" t="s">
        <v>353</v>
      </c>
      <c r="C64" s="2042"/>
      <c r="D64" s="2042"/>
      <c r="E64" s="2042"/>
      <c r="F64" s="74"/>
      <c r="G64" s="346"/>
      <c r="N64" s="964"/>
    </row>
    <row r="65" spans="1:14" ht="15" x14ac:dyDescent="0.2">
      <c r="A65" s="17"/>
      <c r="B65" s="2043"/>
      <c r="C65" s="2044"/>
      <c r="D65" s="2044"/>
      <c r="E65" s="2044"/>
      <c r="F65" s="73"/>
      <c r="G65" s="347" t="str">
        <f>IF(СОДЕРЖАНИЕ!P2=1,"EUR","RUB")</f>
        <v>RUB</v>
      </c>
      <c r="N65" s="964"/>
    </row>
    <row r="66" spans="1:14" ht="9" customHeight="1" x14ac:dyDescent="0.2">
      <c r="A66" s="17"/>
      <c r="B66" s="2029"/>
      <c r="C66" s="348" t="s">
        <v>1301</v>
      </c>
      <c r="D66" s="349" t="s">
        <v>784</v>
      </c>
      <c r="E66" s="350" t="s">
        <v>2117</v>
      </c>
      <c r="F66" s="350" t="s">
        <v>2116</v>
      </c>
      <c r="G66" s="351"/>
      <c r="N66" s="964"/>
    </row>
    <row r="67" spans="1:14" x14ac:dyDescent="0.2">
      <c r="A67" s="17"/>
      <c r="B67" s="2030"/>
      <c r="C67" s="2" t="s">
        <v>2088</v>
      </c>
      <c r="D67" s="21" t="str">
        <f t="shared" ref="D67:D82" si="1">VLOOKUP(C67,всецены,2,FALSE)</f>
        <v xml:space="preserve">CLIP top BM, Петля накл, 110гр, 71B3550 </v>
      </c>
      <c r="E67" s="3">
        <v>1</v>
      </c>
      <c r="F67" s="12">
        <f t="shared" ref="F67:F82" si="2">VLOOKUP(C67,всецены,4,FALSE)</f>
        <v>165.8953296</v>
      </c>
      <c r="G67" s="352">
        <f t="shared" ref="G67:G82" si="3">F67*E67</f>
        <v>165.8953296</v>
      </c>
    </row>
    <row r="68" spans="1:14" x14ac:dyDescent="0.2">
      <c r="A68" s="17"/>
      <c r="B68" s="2030"/>
      <c r="C68" s="2" t="s">
        <v>1233</v>
      </c>
      <c r="D68" s="21" t="str">
        <f t="shared" si="1"/>
        <v xml:space="preserve">CLIP top BM, Петля вкл, 110гр, 71B3750  </v>
      </c>
      <c r="E68" s="3">
        <v>1</v>
      </c>
      <c r="F68" s="12">
        <f t="shared" si="2"/>
        <v>208.18237440000001</v>
      </c>
      <c r="G68" s="352">
        <f t="shared" si="3"/>
        <v>208.18237440000001</v>
      </c>
    </row>
    <row r="69" spans="1:14" x14ac:dyDescent="0.2">
      <c r="A69" s="17"/>
      <c r="B69" s="2030"/>
      <c r="C69" s="2" t="s">
        <v>1231</v>
      </c>
      <c r="D69" s="21" t="str">
        <f t="shared" si="1"/>
        <v>CLIP top BM, Петля смежн, 110гр, 71B3650</v>
      </c>
      <c r="E69" s="3">
        <v>1</v>
      </c>
      <c r="F69" s="12">
        <f t="shared" si="2"/>
        <v>207.36916199999999</v>
      </c>
      <c r="G69" s="352">
        <f t="shared" si="3"/>
        <v>207.36916199999999</v>
      </c>
    </row>
    <row r="70" spans="1:14" x14ac:dyDescent="0.2">
      <c r="A70" s="17"/>
      <c r="B70" s="2030"/>
      <c r="C70" s="2" t="s">
        <v>946</v>
      </c>
      <c r="D70" s="21" t="str">
        <f t="shared" si="1"/>
        <v xml:space="preserve">CLIP top BM, Петля 45+ тип I, 79B9658   </v>
      </c>
      <c r="E70" s="3">
        <v>1</v>
      </c>
      <c r="F70" s="12">
        <f t="shared" si="2"/>
        <v>268.36009200000001</v>
      </c>
      <c r="G70" s="352">
        <f t="shared" si="3"/>
        <v>268.36009200000001</v>
      </c>
    </row>
    <row r="71" spans="1:14" x14ac:dyDescent="0.2">
      <c r="A71" s="17"/>
      <c r="B71" s="2030"/>
      <c r="C71" s="2" t="s">
        <v>1718</v>
      </c>
      <c r="D71" s="21" t="str">
        <f t="shared" si="1"/>
        <v xml:space="preserve">CLIP top BM, Петля 45+ тип II, 79B3558  </v>
      </c>
      <c r="E71" s="3">
        <v>1</v>
      </c>
      <c r="F71" s="12">
        <f t="shared" si="2"/>
        <v>336.66993359999998</v>
      </c>
      <c r="G71" s="352">
        <f t="shared" si="3"/>
        <v>336.66993359999998</v>
      </c>
    </row>
    <row r="72" spans="1:14" x14ac:dyDescent="0.2">
      <c r="A72" s="17"/>
      <c r="B72" s="2030"/>
      <c r="C72" s="2" t="s">
        <v>920</v>
      </c>
      <c r="D72" s="21" t="str">
        <f t="shared" si="1"/>
        <v xml:space="preserve">CLIP top BM, Петля накл, 15- 79B3453    </v>
      </c>
      <c r="E72" s="3">
        <v>1</v>
      </c>
      <c r="F72" s="12">
        <f t="shared" si="2"/>
        <v>366.7587924</v>
      </c>
      <c r="G72" s="352">
        <f t="shared" si="3"/>
        <v>366.7587924</v>
      </c>
    </row>
    <row r="73" spans="1:14" x14ac:dyDescent="0.2">
      <c r="A73" s="17"/>
      <c r="B73" s="2030"/>
      <c r="C73" s="2" t="s">
        <v>1245</v>
      </c>
      <c r="D73" s="21" t="str">
        <f t="shared" si="1"/>
        <v xml:space="preserve">CLIP top BM, Петля накл, 15+ 79B9454    </v>
      </c>
      <c r="E73" s="3">
        <v>1</v>
      </c>
      <c r="F73" s="12">
        <f t="shared" si="2"/>
        <v>336.66993359999998</v>
      </c>
      <c r="G73" s="352">
        <f t="shared" si="3"/>
        <v>336.66993359999998</v>
      </c>
    </row>
    <row r="74" spans="1:14" x14ac:dyDescent="0.2">
      <c r="A74" s="17"/>
      <c r="B74" s="2030"/>
      <c r="C74" s="2" t="s">
        <v>1246</v>
      </c>
      <c r="D74" s="21" t="str">
        <f t="shared" si="1"/>
        <v xml:space="preserve">CLIP top BM, Петля накл, 20+ 79B9555    </v>
      </c>
      <c r="E74" s="3">
        <v>1</v>
      </c>
      <c r="F74" s="12">
        <f t="shared" si="2"/>
        <v>336.66993359999998</v>
      </c>
      <c r="G74" s="352">
        <f t="shared" si="3"/>
        <v>336.66993359999998</v>
      </c>
    </row>
    <row r="75" spans="1:14" x14ac:dyDescent="0.2">
      <c r="A75" s="17"/>
      <c r="B75" s="2030"/>
      <c r="C75" s="2" t="s">
        <v>1247</v>
      </c>
      <c r="D75" s="21" t="str">
        <f t="shared" si="1"/>
        <v xml:space="preserve">CLIP top BM, Петля накл, 30- 79B3451    </v>
      </c>
      <c r="E75" s="3">
        <v>1</v>
      </c>
      <c r="F75" s="12">
        <f t="shared" si="2"/>
        <v>366.7587924</v>
      </c>
      <c r="G75" s="352">
        <f t="shared" si="3"/>
        <v>366.7587924</v>
      </c>
    </row>
    <row r="76" spans="1:14" x14ac:dyDescent="0.2">
      <c r="A76" s="17"/>
      <c r="B76" s="2030"/>
      <c r="C76" s="2" t="s">
        <v>1248</v>
      </c>
      <c r="D76" s="21" t="str">
        <f t="shared" si="1"/>
        <v xml:space="preserve">CLIP top BM, Петля накл, 30+ 79B9556    </v>
      </c>
      <c r="E76" s="3">
        <v>1</v>
      </c>
      <c r="F76" s="12">
        <f t="shared" si="2"/>
        <v>292.75646400000005</v>
      </c>
      <c r="G76" s="352">
        <f t="shared" si="3"/>
        <v>292.75646400000005</v>
      </c>
    </row>
    <row r="77" spans="1:14" x14ac:dyDescent="0.2">
      <c r="A77" s="17"/>
      <c r="B77" s="2030"/>
      <c r="C77" s="2" t="s">
        <v>1096</v>
      </c>
      <c r="D77" s="21" t="str">
        <f t="shared" si="1"/>
        <v>CLIP top BM, Петля д/алю рам вкл 71B970A</v>
      </c>
      <c r="E77" s="3">
        <v>1</v>
      </c>
      <c r="F77" s="12">
        <f t="shared" si="2"/>
        <v>409.04583720000005</v>
      </c>
      <c r="G77" s="352">
        <f t="shared" si="3"/>
        <v>409.04583720000005</v>
      </c>
    </row>
    <row r="78" spans="1:14" x14ac:dyDescent="0.2">
      <c r="A78" s="17"/>
      <c r="B78" s="2030"/>
      <c r="C78" s="2" t="s">
        <v>1098</v>
      </c>
      <c r="D78" s="21" t="str">
        <f t="shared" si="1"/>
        <v>CLIP top BM, Петля д/алю рам накл 71B950</v>
      </c>
      <c r="E78" s="3">
        <v>1</v>
      </c>
      <c r="F78" s="12">
        <f t="shared" si="2"/>
        <v>391.15516439999999</v>
      </c>
      <c r="G78" s="352">
        <f t="shared" si="3"/>
        <v>391.15516439999999</v>
      </c>
    </row>
    <row r="79" spans="1:14" x14ac:dyDescent="0.2">
      <c r="A79" s="17"/>
      <c r="B79" s="2030"/>
      <c r="C79" s="2" t="s">
        <v>1719</v>
      </c>
      <c r="D79" s="21" t="str">
        <f t="shared" si="1"/>
        <v>CLIP top BM, Петля д/проф дв вкл 71B9750</v>
      </c>
      <c r="E79" s="3">
        <v>1</v>
      </c>
      <c r="F79" s="12">
        <f t="shared" si="2"/>
        <v>272.426154</v>
      </c>
      <c r="G79" s="352">
        <f t="shared" si="3"/>
        <v>272.426154</v>
      </c>
    </row>
    <row r="80" spans="1:14" x14ac:dyDescent="0.2">
      <c r="A80" s="17"/>
      <c r="B80" s="2030"/>
      <c r="C80" s="2" t="s">
        <v>1721</v>
      </c>
      <c r="D80" s="21" t="str">
        <f t="shared" si="1"/>
        <v>CLIP top BM, Петля д/проф дв накл71B9550</v>
      </c>
      <c r="E80" s="3">
        <v>1</v>
      </c>
      <c r="F80" s="12">
        <f t="shared" si="2"/>
        <v>248.84299440000001</v>
      </c>
      <c r="G80" s="352">
        <f t="shared" si="3"/>
        <v>248.84299440000001</v>
      </c>
    </row>
    <row r="81" spans="1:33" x14ac:dyDescent="0.2">
      <c r="A81" s="17"/>
      <c r="B81" s="2030"/>
      <c r="C81" s="766" t="s">
        <v>2011</v>
      </c>
      <c r="D81" s="21" t="str">
        <f>VLOOKUP(C81,всецены,2,FALSE)</f>
        <v xml:space="preserve">CLIP top BM, Петля п/фальш накл 79B9950 </v>
      </c>
      <c r="E81" s="3">
        <v>1</v>
      </c>
      <c r="F81" s="12">
        <f>VLOOKUP(C81,всецены,4,FALSE)</f>
        <v>447.26682</v>
      </c>
      <c r="G81" s="352">
        <f>F81*E81</f>
        <v>447.26682</v>
      </c>
    </row>
    <row r="82" spans="1:33" ht="13.5" thickBot="1" x14ac:dyDescent="0.25">
      <c r="A82" s="17"/>
      <c r="B82" s="2031"/>
      <c r="C82" s="353" t="s">
        <v>1249</v>
      </c>
      <c r="D82" s="354" t="str">
        <f t="shared" si="1"/>
        <v xml:space="preserve">CLIP top BM, Петля п/фальш вкл 79B9550  </v>
      </c>
      <c r="E82" s="355">
        <v>1</v>
      </c>
      <c r="F82" s="356">
        <f t="shared" si="2"/>
        <v>305.76786240000001</v>
      </c>
      <c r="G82" s="357">
        <f t="shared" si="3"/>
        <v>305.76786240000001</v>
      </c>
    </row>
    <row r="83" spans="1:33" ht="7.5" customHeight="1" thickBot="1" x14ac:dyDescent="0.25">
      <c r="A83" s="17"/>
      <c r="B83" s="176"/>
      <c r="C83" s="75"/>
      <c r="D83" s="358"/>
      <c r="E83" s="169"/>
      <c r="F83" s="358"/>
      <c r="G83" s="105"/>
    </row>
    <row r="84" spans="1:33" ht="20.100000000000001" customHeight="1" x14ac:dyDescent="0.2">
      <c r="A84" s="17"/>
      <c r="B84" s="2015" t="s">
        <v>2244</v>
      </c>
      <c r="C84" s="2016"/>
      <c r="D84" s="2016"/>
      <c r="E84" s="2016"/>
      <c r="F84" s="2016"/>
      <c r="G84" s="2017"/>
    </row>
    <row r="85" spans="1:33" ht="20.100000000000001" customHeight="1" x14ac:dyDescent="0.2">
      <c r="A85" s="17"/>
      <c r="B85" s="2018"/>
      <c r="C85" s="2019"/>
      <c r="D85" s="2019"/>
      <c r="E85" s="2019"/>
      <c r="F85" s="2019"/>
      <c r="G85" s="2020"/>
    </row>
    <row r="86" spans="1:33" x14ac:dyDescent="0.2">
      <c r="A86" s="17"/>
      <c r="B86" s="772"/>
      <c r="C86" s="782"/>
      <c r="D86" s="783"/>
      <c r="E86" s="781"/>
      <c r="F86" s="79"/>
      <c r="G86" s="347" t="str">
        <f>IF(СОДЕРЖАНИЕ!P2=1,"EUR","RUB")</f>
        <v>RUB</v>
      </c>
    </row>
    <row r="87" spans="1:33" x14ac:dyDescent="0.2">
      <c r="A87" s="17"/>
      <c r="B87" s="2028"/>
      <c r="C87" s="766" t="s">
        <v>2086</v>
      </c>
      <c r="D87" s="778" t="str">
        <f>VLOOKUP(C87,всецены,2,FALSE)</f>
        <v xml:space="preserve">CLIP top BM, Заглушка на чашку, 70T3504 </v>
      </c>
      <c r="E87" s="779">
        <v>1</v>
      </c>
      <c r="F87" s="780">
        <f>VLOOKUP(C87,всецены,4,FALSE)</f>
        <v>8.9453364000000004</v>
      </c>
      <c r="G87" s="765">
        <f>F87*E87</f>
        <v>8.9453364000000004</v>
      </c>
    </row>
    <row r="88" spans="1:33" x14ac:dyDescent="0.2">
      <c r="A88" s="17"/>
      <c r="B88" s="2024"/>
      <c r="C88" s="1908" t="s">
        <v>1212</v>
      </c>
      <c r="D88" s="1923" t="str">
        <f>VLOOKUP(C88,всецены,2,FALSE)</f>
        <v xml:space="preserve">CLIP top, Загл. с лого сталь 70.1503.BP </v>
      </c>
      <c r="E88" s="1906">
        <v>1</v>
      </c>
      <c r="F88" s="12">
        <f>VLOOKUP(C88,всецены,4,FALSE)</f>
        <v>5.6924868000000011</v>
      </c>
      <c r="G88" s="352">
        <f>F88*E88</f>
        <v>5.6924868000000011</v>
      </c>
      <c r="M88" s="8"/>
      <c r="O88" s="8"/>
    </row>
    <row r="89" spans="1:33" s="1919" customFormat="1" x14ac:dyDescent="0.2">
      <c r="A89" s="17"/>
      <c r="B89" s="2024"/>
      <c r="C89" s="71" t="s">
        <v>1211</v>
      </c>
      <c r="D89" s="1924" t="str">
        <f t="shared" ref="D89" si="4">VLOOKUP(C89,всецены,2,FALSE)</f>
        <v xml:space="preserve">Clip top, Загл. на петл с изг 70.1663   </v>
      </c>
      <c r="E89" s="107">
        <v>1</v>
      </c>
      <c r="F89" s="12">
        <f>VLOOKUP(C89,всецены,4,FALSE)</f>
        <v>7.3189116000000007</v>
      </c>
      <c r="G89" s="1918">
        <f>F89*E89</f>
        <v>7.3189116000000007</v>
      </c>
      <c r="H89" s="8"/>
      <c r="I89" s="8"/>
      <c r="J89" s="8"/>
      <c r="K89" s="8"/>
      <c r="L89" s="8"/>
      <c r="M89" s="8"/>
      <c r="N89" s="8"/>
      <c r="O89" s="8"/>
      <c r="P89" s="8"/>
      <c r="Q89" s="771"/>
      <c r="R89" s="771"/>
      <c r="S89" s="771"/>
      <c r="T89" s="771"/>
      <c r="U89" s="771"/>
      <c r="V89" s="771"/>
      <c r="W89" s="771"/>
      <c r="X89" s="771"/>
      <c r="Y89" s="771"/>
      <c r="Z89" s="771"/>
      <c r="AA89" s="771"/>
      <c r="AB89" s="771"/>
      <c r="AC89" s="771"/>
      <c r="AD89" s="771"/>
      <c r="AE89" s="771"/>
      <c r="AF89" s="771"/>
      <c r="AG89" s="771"/>
    </row>
    <row r="90" spans="1:33" x14ac:dyDescent="0.2">
      <c r="A90" s="17"/>
      <c r="B90" s="2024"/>
      <c r="C90" s="363" t="s">
        <v>1095</v>
      </c>
      <c r="D90" s="21" t="str">
        <f>VLOOKUP(C90,всецены,2,FALSE)</f>
        <v xml:space="preserve">CLIP top BM, Ограничитель открывания 86 </v>
      </c>
      <c r="E90" s="3">
        <v>1</v>
      </c>
      <c r="F90" s="12">
        <f>VLOOKUP(C90,всецены,4,FALSE)</f>
        <v>30.902071199999998</v>
      </c>
      <c r="G90" s="352">
        <f>F90*E90</f>
        <v>30.902071199999998</v>
      </c>
      <c r="M90" s="8"/>
      <c r="O90" s="8"/>
    </row>
    <row r="91" spans="1:33" ht="13.5" thickBot="1" x14ac:dyDescent="0.25">
      <c r="A91" s="17"/>
      <c r="B91" s="2025"/>
      <c r="C91" s="353" t="s">
        <v>2741</v>
      </c>
      <c r="D91" s="354" t="str">
        <f>VLOOKUP(C91,всецены,2,FALSE)</f>
        <v xml:space="preserve">CLIP top BM, Подкладка 70T3507.21(V250) </v>
      </c>
      <c r="E91" s="355">
        <v>1</v>
      </c>
      <c r="F91" s="356">
        <f>VLOOKUP(C91,всецены,4,FALSE)</f>
        <v>22.769947200000004</v>
      </c>
      <c r="G91" s="357">
        <f>F91*E91</f>
        <v>22.769947200000004</v>
      </c>
      <c r="M91" s="8"/>
      <c r="O91" s="8"/>
    </row>
    <row r="92" spans="1:33" ht="15" customHeight="1" x14ac:dyDescent="0.2">
      <c r="A92" s="17"/>
      <c r="B92" s="176"/>
      <c r="C92" s="75"/>
      <c r="D92" s="358"/>
      <c r="E92" s="169"/>
      <c r="F92" s="358"/>
      <c r="G92" s="422" t="s">
        <v>1813</v>
      </c>
      <c r="H92" s="17"/>
      <c r="I92" s="17"/>
      <c r="M92" s="8"/>
      <c r="O92" s="8"/>
    </row>
    <row r="93" spans="1:33" s="8" customFormat="1" ht="9" customHeight="1" thickBot="1" x14ac:dyDescent="0.25">
      <c r="B93" s="89"/>
      <c r="C93" s="28"/>
      <c r="D93" s="58"/>
      <c r="E93" s="32"/>
      <c r="F93" s="58"/>
      <c r="G93" s="90"/>
      <c r="I93" s="17"/>
      <c r="Q93" s="771"/>
      <c r="R93" s="771"/>
      <c r="S93" s="771"/>
      <c r="T93" s="771"/>
      <c r="U93" s="771"/>
      <c r="V93" s="771"/>
      <c r="W93" s="771"/>
      <c r="X93" s="771"/>
      <c r="Y93" s="771"/>
      <c r="Z93" s="771"/>
      <c r="AA93" s="771"/>
      <c r="AB93" s="771"/>
      <c r="AC93" s="771"/>
      <c r="AD93" s="771"/>
      <c r="AE93" s="771"/>
      <c r="AF93" s="771"/>
      <c r="AG93" s="771"/>
    </row>
    <row r="94" spans="1:33" ht="20.100000000000001" customHeight="1" x14ac:dyDescent="0.2">
      <c r="A94" s="8"/>
      <c r="B94" s="2015" t="s">
        <v>354</v>
      </c>
      <c r="C94" s="2016"/>
      <c r="D94" s="2016"/>
      <c r="E94" s="2016"/>
      <c r="F94" s="2016"/>
      <c r="G94" s="2017"/>
      <c r="I94" s="2014" t="s">
        <v>1814</v>
      </c>
    </row>
    <row r="95" spans="1:33" ht="20.100000000000001" customHeight="1" x14ac:dyDescent="0.2">
      <c r="A95" s="17"/>
      <c r="B95" s="2018"/>
      <c r="C95" s="2019"/>
      <c r="D95" s="2019"/>
      <c r="E95" s="2019"/>
      <c r="F95" s="2019"/>
      <c r="G95" s="2020"/>
      <c r="I95" s="2014"/>
    </row>
    <row r="96" spans="1:33" x14ac:dyDescent="0.2">
      <c r="A96" s="17"/>
      <c r="B96" s="2021" t="s">
        <v>355</v>
      </c>
      <c r="C96" s="2022"/>
      <c r="D96" s="2022"/>
      <c r="E96" s="2022"/>
      <c r="F96" s="194"/>
      <c r="G96" s="347"/>
      <c r="I96" s="17"/>
    </row>
    <row r="97" spans="1:15" x14ac:dyDescent="0.2">
      <c r="A97" s="17"/>
      <c r="B97" s="366"/>
      <c r="C97" s="367"/>
      <c r="D97" s="233"/>
      <c r="E97" s="367"/>
      <c r="F97" s="194"/>
      <c r="G97" s="347"/>
      <c r="I97" s="17"/>
    </row>
    <row r="98" spans="1:15" ht="9" customHeight="1" x14ac:dyDescent="0.2">
      <c r="A98" s="17"/>
      <c r="B98" s="2029"/>
      <c r="C98" s="348" t="s">
        <v>1301</v>
      </c>
      <c r="D98" s="349" t="s">
        <v>784</v>
      </c>
      <c r="E98" s="350" t="s">
        <v>2117</v>
      </c>
      <c r="F98" s="350" t="s">
        <v>2116</v>
      </c>
      <c r="G98" s="347"/>
      <c r="I98" s="17"/>
    </row>
    <row r="99" spans="1:15" x14ac:dyDescent="0.2">
      <c r="A99" s="17"/>
      <c r="B99" s="2030"/>
      <c r="C99" s="2" t="s">
        <v>1278</v>
      </c>
      <c r="D99" s="21" t="str">
        <f t="shared" ref="D99:D141" si="5">VLOOKUP(C99,всецены,2,FALSE)</f>
        <v>CLIP top, Д/алю рам, 45+ тип I,79A9608AТ</v>
      </c>
      <c r="E99" s="3">
        <v>1</v>
      </c>
      <c r="F99" s="12">
        <f t="shared" ref="F99:F141" si="6">VLOOKUP(C99,всецены,4,FALSE)</f>
        <v>274.05257879999999</v>
      </c>
      <c r="G99" s="352">
        <f t="shared" ref="G99:G141" si="7">F99*E99</f>
        <v>274.05257879999999</v>
      </c>
      <c r="I99" s="17"/>
    </row>
    <row r="100" spans="1:15" x14ac:dyDescent="0.2">
      <c r="A100" s="17"/>
      <c r="B100" s="2030"/>
      <c r="C100" s="2" t="s">
        <v>1835</v>
      </c>
      <c r="D100" s="21" t="str">
        <f t="shared" si="5"/>
        <v xml:space="preserve">CLIP top, Д/алю рам, вкл, 95гр 71T970A  </v>
      </c>
      <c r="E100" s="3">
        <v>1</v>
      </c>
      <c r="F100" s="12">
        <f t="shared" si="6"/>
        <v>202.4898876</v>
      </c>
      <c r="G100" s="352">
        <f t="shared" si="7"/>
        <v>202.4898876</v>
      </c>
      <c r="I100" s="17"/>
    </row>
    <row r="101" spans="1:15" x14ac:dyDescent="0.2">
      <c r="A101" s="17"/>
      <c r="B101" s="2030"/>
      <c r="C101" s="2" t="s">
        <v>378</v>
      </c>
      <c r="D101" s="21" t="str">
        <f t="shared" si="5"/>
        <v xml:space="preserve">CLIP top, Д/алю рам, вкл, д/ВМ,71T970AB </v>
      </c>
      <c r="E101" s="3">
        <v>1</v>
      </c>
      <c r="F101" s="12">
        <f t="shared" si="6"/>
        <v>220.38056040000001</v>
      </c>
      <c r="G101" s="352">
        <f t="shared" si="7"/>
        <v>220.38056040000001</v>
      </c>
      <c r="I101" s="17"/>
    </row>
    <row r="102" spans="1:15" x14ac:dyDescent="0.2">
      <c r="A102" s="17"/>
      <c r="B102" s="2030"/>
      <c r="C102" s="2" t="s">
        <v>1836</v>
      </c>
      <c r="D102" s="21" t="str">
        <f t="shared" si="5"/>
        <v>CLIP top, Д/алю рам, накл, 120гр 73T550A</v>
      </c>
      <c r="E102" s="3">
        <v>1</v>
      </c>
      <c r="F102" s="12">
        <f t="shared" si="6"/>
        <v>166.70854199999997</v>
      </c>
      <c r="G102" s="352">
        <f t="shared" si="7"/>
        <v>166.70854199999997</v>
      </c>
      <c r="I102" s="17"/>
    </row>
    <row r="103" spans="1:15" x14ac:dyDescent="0.2">
      <c r="A103" s="17"/>
      <c r="B103" s="2030"/>
      <c r="C103" s="2" t="s">
        <v>1834</v>
      </c>
      <c r="D103" s="21" t="str">
        <f t="shared" si="5"/>
        <v xml:space="preserve">CLIP top, Д/алю рам, накл, 95гр 71T950A </v>
      </c>
      <c r="E103" s="3">
        <v>1</v>
      </c>
      <c r="F103" s="12">
        <f t="shared" si="6"/>
        <v>185.4124272</v>
      </c>
      <c r="G103" s="352">
        <f t="shared" si="7"/>
        <v>185.4124272</v>
      </c>
      <c r="I103" s="17"/>
    </row>
    <row r="104" spans="1:15" x14ac:dyDescent="0.2">
      <c r="A104" s="17"/>
      <c r="B104" s="2030"/>
      <c r="C104" s="2" t="s">
        <v>1846</v>
      </c>
      <c r="D104" s="21" t="str">
        <f t="shared" si="5"/>
        <v>CLIP top, Д/алю рам, накл, д/ВМ,71T950AB</v>
      </c>
      <c r="E104" s="3">
        <v>1</v>
      </c>
      <c r="F104" s="12">
        <f t="shared" si="6"/>
        <v>243.96372</v>
      </c>
      <c r="G104" s="352">
        <f t="shared" si="7"/>
        <v>243.96372</v>
      </c>
      <c r="I104" s="17"/>
      <c r="M104" s="8"/>
      <c r="O104" s="8"/>
    </row>
    <row r="105" spans="1:15" x14ac:dyDescent="0.2">
      <c r="A105" s="17"/>
      <c r="B105" s="2030"/>
      <c r="C105" s="2" t="s">
        <v>1832</v>
      </c>
      <c r="D105" s="21" t="str">
        <f t="shared" si="5"/>
        <v xml:space="preserve">CLIP top, Д/проф дв, вкл, 95гр 71T9750  </v>
      </c>
      <c r="E105" s="3">
        <v>1</v>
      </c>
      <c r="F105" s="12">
        <f t="shared" si="6"/>
        <v>155.3235684</v>
      </c>
      <c r="G105" s="352">
        <f t="shared" si="7"/>
        <v>155.3235684</v>
      </c>
      <c r="I105" s="17"/>
      <c r="M105" s="8"/>
      <c r="O105" s="8"/>
    </row>
    <row r="106" spans="1:15" x14ac:dyDescent="0.2">
      <c r="A106" s="17"/>
      <c r="B106" s="2030"/>
      <c r="C106" s="2" t="s">
        <v>1101</v>
      </c>
      <c r="D106" s="21" t="str">
        <f t="shared" si="5"/>
        <v xml:space="preserve">CLIP top, Д/проф дв, накл V250 71T9550  </v>
      </c>
      <c r="E106" s="3">
        <v>1</v>
      </c>
      <c r="F106" s="12">
        <f t="shared" si="6"/>
        <v>130.11398400000002</v>
      </c>
      <c r="G106" s="352">
        <f t="shared" si="7"/>
        <v>130.11398400000002</v>
      </c>
      <c r="I106" s="17"/>
      <c r="M106" s="8"/>
      <c r="O106" s="8"/>
    </row>
    <row r="107" spans="1:15" x14ac:dyDescent="0.2">
      <c r="A107" s="17"/>
      <c r="B107" s="2030"/>
      <c r="C107" s="2" t="s">
        <v>1102</v>
      </c>
      <c r="D107" s="21" t="str">
        <f t="shared" si="5"/>
        <v xml:space="preserve">CLIP top, Д/проф дв, смежн 71T9650      </v>
      </c>
      <c r="E107" s="3">
        <v>1</v>
      </c>
      <c r="F107" s="12">
        <f t="shared" si="6"/>
        <v>152.88393120000001</v>
      </c>
      <c r="G107" s="352">
        <f t="shared" si="7"/>
        <v>152.88393120000001</v>
      </c>
      <c r="I107" s="17"/>
      <c r="M107" s="8"/>
      <c r="O107" s="8"/>
    </row>
    <row r="108" spans="1:15" x14ac:dyDescent="0.2">
      <c r="A108" s="17"/>
      <c r="B108" s="2030"/>
      <c r="C108" s="2" t="s">
        <v>853</v>
      </c>
      <c r="D108" s="21" t="str">
        <f t="shared" si="5"/>
        <v>CLIP top, Д/стекл.дв, вкл, 94гр, 75T4300</v>
      </c>
      <c r="E108" s="3">
        <v>1</v>
      </c>
      <c r="F108" s="12">
        <f t="shared" si="6"/>
        <v>213.8748612</v>
      </c>
      <c r="G108" s="352">
        <f t="shared" si="7"/>
        <v>213.8748612</v>
      </c>
      <c r="I108" s="17"/>
      <c r="M108" s="8"/>
      <c r="O108" s="8"/>
    </row>
    <row r="109" spans="1:15" x14ac:dyDescent="0.2">
      <c r="A109" s="17"/>
      <c r="B109" s="2030"/>
      <c r="C109" s="2" t="s">
        <v>851</v>
      </c>
      <c r="D109" s="21" t="str">
        <f t="shared" si="5"/>
        <v xml:space="preserve">CLIP top, Д/стекл.дв, накл. 75Т4100     </v>
      </c>
      <c r="E109" s="3">
        <v>1</v>
      </c>
      <c r="F109" s="12">
        <f t="shared" si="6"/>
        <v>131.74040880000001</v>
      </c>
      <c r="G109" s="352">
        <f t="shared" si="7"/>
        <v>131.74040880000001</v>
      </c>
      <c r="I109" s="17"/>
      <c r="M109" s="8"/>
      <c r="O109" s="8"/>
    </row>
    <row r="110" spans="1:15" x14ac:dyDescent="0.2">
      <c r="A110" s="17"/>
      <c r="B110" s="2030"/>
      <c r="C110" s="2" t="s">
        <v>841</v>
      </c>
      <c r="D110" s="21" t="str">
        <f t="shared" si="5"/>
        <v xml:space="preserve">CLIP top, Д/стекл.дв, смежн. 75Т4200    </v>
      </c>
      <c r="E110" s="3">
        <v>1</v>
      </c>
      <c r="F110" s="12">
        <f t="shared" si="6"/>
        <v>213.8748612</v>
      </c>
      <c r="G110" s="352">
        <f t="shared" si="7"/>
        <v>213.8748612</v>
      </c>
      <c r="I110" s="17"/>
      <c r="M110" s="8"/>
      <c r="O110" s="8"/>
    </row>
    <row r="111" spans="1:15" x14ac:dyDescent="0.2">
      <c r="A111" s="17"/>
      <c r="B111" s="2030"/>
      <c r="C111" s="2" t="s">
        <v>842</v>
      </c>
      <c r="D111" s="21" t="str">
        <f t="shared" si="5"/>
        <v xml:space="preserve">CLIP top, Д/стекл.дв. +45А, 79A4108.T   </v>
      </c>
      <c r="E111" s="3">
        <v>1</v>
      </c>
      <c r="F111" s="12">
        <f t="shared" si="6"/>
        <v>310.6471368</v>
      </c>
      <c r="G111" s="352">
        <f t="shared" si="7"/>
        <v>310.6471368</v>
      </c>
      <c r="I111" s="17"/>
      <c r="M111" s="8"/>
      <c r="O111" s="8"/>
    </row>
    <row r="112" spans="1:15" x14ac:dyDescent="0.2">
      <c r="A112" s="17"/>
      <c r="B112" s="2030"/>
      <c r="C112" s="2" t="s">
        <v>847</v>
      </c>
      <c r="D112" s="21" t="str">
        <f t="shared" si="5"/>
        <v xml:space="preserve">CLIP top, МИНИ, +45А  79A0558.T         </v>
      </c>
      <c r="E112" s="3">
        <v>1</v>
      </c>
      <c r="F112" s="12">
        <f t="shared" si="6"/>
        <v>265.10724239999996</v>
      </c>
      <c r="G112" s="352">
        <f t="shared" si="7"/>
        <v>265.10724239999996</v>
      </c>
      <c r="I112" s="17"/>
      <c r="M112" s="8"/>
      <c r="O112" s="8"/>
    </row>
    <row r="113" spans="1:15" x14ac:dyDescent="0.2">
      <c r="A113" s="17"/>
      <c r="B113" s="2030"/>
      <c r="C113" s="2" t="s">
        <v>848</v>
      </c>
      <c r="D113" s="21" t="str">
        <f t="shared" si="5"/>
        <v xml:space="preserve">CLIP top, МИНИ, Вкл петля, 94гр 71T0750 </v>
      </c>
      <c r="E113" s="3">
        <v>1</v>
      </c>
      <c r="F113" s="12">
        <f t="shared" si="6"/>
        <v>205.74273719999999</v>
      </c>
      <c r="G113" s="352">
        <f t="shared" si="7"/>
        <v>205.74273719999999</v>
      </c>
      <c r="I113" s="17"/>
      <c r="M113" s="8"/>
      <c r="O113" s="8"/>
    </row>
    <row r="114" spans="1:15" x14ac:dyDescent="0.2">
      <c r="A114" s="17"/>
      <c r="B114" s="2030"/>
      <c r="C114" s="2" t="s">
        <v>849</v>
      </c>
      <c r="D114" s="21" t="str">
        <f t="shared" si="5"/>
        <v>CLIP top, МИНИ, Накл петля, 94гр 71T0550</v>
      </c>
      <c r="E114" s="3">
        <v>1</v>
      </c>
      <c r="F114" s="12">
        <f t="shared" si="6"/>
        <v>192.7313388</v>
      </c>
      <c r="G114" s="352">
        <f t="shared" si="7"/>
        <v>192.7313388</v>
      </c>
      <c r="I114" s="17"/>
      <c r="M114" s="8"/>
      <c r="O114" s="8"/>
    </row>
    <row r="115" spans="1:15" x14ac:dyDescent="0.2">
      <c r="A115" s="17"/>
      <c r="B115" s="2030"/>
      <c r="C115" s="2" t="s">
        <v>1042</v>
      </c>
      <c r="D115" s="21" t="str">
        <f t="shared" si="5"/>
        <v>CLIP top, П/фальшп, накл 95г  79T9950.37</v>
      </c>
      <c r="E115" s="3">
        <v>1</v>
      </c>
      <c r="F115" s="12">
        <f t="shared" si="6"/>
        <v>330.97744680000005</v>
      </c>
      <c r="G115" s="352">
        <f t="shared" si="7"/>
        <v>330.97744680000005</v>
      </c>
      <c r="I115" s="17"/>
      <c r="M115" s="8"/>
      <c r="O115" s="8"/>
    </row>
    <row r="116" spans="1:15" x14ac:dyDescent="0.2">
      <c r="A116" s="17"/>
      <c r="B116" s="2030"/>
      <c r="C116" s="2" t="s">
        <v>2092</v>
      </c>
      <c r="D116" s="21" t="str">
        <f t="shared" si="5"/>
        <v xml:space="preserve">CLIP top, Петля накл 155гр 71T7500N     </v>
      </c>
      <c r="E116" s="3">
        <v>1</v>
      </c>
      <c r="F116" s="12">
        <f t="shared" si="6"/>
        <v>308.20749960000001</v>
      </c>
      <c r="G116" s="352">
        <f t="shared" si="7"/>
        <v>308.20749960000001</v>
      </c>
      <c r="I116" s="17"/>
      <c r="M116" s="8"/>
      <c r="O116" s="8"/>
    </row>
    <row r="117" spans="1:15" x14ac:dyDescent="0.2">
      <c r="A117" s="17"/>
      <c r="B117" s="2030"/>
      <c r="C117" s="2" t="s">
        <v>2093</v>
      </c>
      <c r="D117" s="21" t="str">
        <f t="shared" si="5"/>
        <v xml:space="preserve">CLIP top, Петля смежн 155гр 71T7600N    </v>
      </c>
      <c r="E117" s="3">
        <v>1</v>
      </c>
      <c r="F117" s="12">
        <f t="shared" si="6"/>
        <v>399.28728840000008</v>
      </c>
      <c r="G117" s="352">
        <f t="shared" si="7"/>
        <v>399.28728840000008</v>
      </c>
      <c r="I117" s="17"/>
      <c r="M117" s="8"/>
      <c r="O117" s="8"/>
    </row>
    <row r="118" spans="1:15" x14ac:dyDescent="0.2">
      <c r="A118" s="17"/>
      <c r="B118" s="2030"/>
      <c r="C118" s="2" t="s">
        <v>1283</v>
      </c>
      <c r="D118" s="21" t="str">
        <f t="shared" si="5"/>
        <v xml:space="preserve">CLIP top, Петля 45+,тип II 79T5550      </v>
      </c>
      <c r="E118" s="3">
        <v>1</v>
      </c>
      <c r="F118" s="12">
        <f t="shared" si="6"/>
        <v>134.9932584</v>
      </c>
      <c r="G118" s="352">
        <f t="shared" si="7"/>
        <v>134.9932584</v>
      </c>
      <c r="I118" s="17"/>
      <c r="M118" s="8"/>
      <c r="O118" s="8"/>
    </row>
    <row r="119" spans="1:15" x14ac:dyDescent="0.2">
      <c r="A119" s="17"/>
      <c r="B119" s="2030"/>
      <c r="C119" s="2" t="s">
        <v>310</v>
      </c>
      <c r="D119" s="21" t="str">
        <f t="shared" si="5"/>
        <v xml:space="preserve">CLIP top, Петля cмежн, 110гр, 71T3650   </v>
      </c>
      <c r="E119" s="3">
        <v>1</v>
      </c>
      <c r="F119" s="12">
        <f t="shared" si="6"/>
        <v>122.7950724</v>
      </c>
      <c r="G119" s="352">
        <f t="shared" si="7"/>
        <v>122.7950724</v>
      </c>
      <c r="I119" s="17"/>
      <c r="M119" s="8"/>
      <c r="O119" s="8"/>
    </row>
    <row r="120" spans="1:15" x14ac:dyDescent="0.2">
      <c r="A120" s="17"/>
      <c r="B120" s="2030"/>
      <c r="C120" s="2" t="s">
        <v>1216</v>
      </c>
      <c r="D120" s="21" t="str">
        <f t="shared" si="5"/>
        <v xml:space="preserve">CLIP top, Петля вкл, 107гр, 75T1750     </v>
      </c>
      <c r="E120" s="3">
        <v>1</v>
      </c>
      <c r="F120" s="12">
        <f t="shared" si="6"/>
        <v>95.145850800000005</v>
      </c>
      <c r="G120" s="352">
        <f t="shared" si="7"/>
        <v>95.145850800000005</v>
      </c>
      <c r="I120" s="17"/>
      <c r="M120" s="8"/>
      <c r="O120" s="8"/>
    </row>
    <row r="121" spans="1:15" x14ac:dyDescent="0.2">
      <c r="A121" s="17"/>
      <c r="B121" s="2030"/>
      <c r="C121" s="2" t="s">
        <v>311</v>
      </c>
      <c r="D121" s="21" t="str">
        <f t="shared" si="5"/>
        <v xml:space="preserve">CLIP top, Петля вкл, 110гр, 71T3750     </v>
      </c>
      <c r="E121" s="3">
        <v>1</v>
      </c>
      <c r="F121" s="12">
        <f t="shared" si="6"/>
        <v>126.047922</v>
      </c>
      <c r="G121" s="352">
        <f t="shared" si="7"/>
        <v>126.047922</v>
      </c>
      <c r="I121" s="17"/>
      <c r="M121" s="8"/>
      <c r="O121" s="8"/>
    </row>
    <row r="122" spans="1:15" x14ac:dyDescent="0.2">
      <c r="A122" s="17"/>
      <c r="B122" s="2030"/>
      <c r="C122" s="2" t="s">
        <v>855</v>
      </c>
      <c r="D122" s="21" t="str">
        <f t="shared" si="5"/>
        <v>CLIP top, Петля д/складн дв 60гр 79T8500</v>
      </c>
      <c r="E122" s="3">
        <v>1</v>
      </c>
      <c r="F122" s="12">
        <f t="shared" si="6"/>
        <v>342.36242040000002</v>
      </c>
      <c r="G122" s="352">
        <f t="shared" si="7"/>
        <v>342.36242040000002</v>
      </c>
      <c r="I122" s="17"/>
      <c r="M122" s="8"/>
      <c r="O122" s="8"/>
    </row>
    <row r="123" spans="1:15" x14ac:dyDescent="0.2">
      <c r="A123" s="17"/>
      <c r="B123" s="2030"/>
      <c r="C123" s="2" t="s">
        <v>1281</v>
      </c>
      <c r="D123" s="21" t="str">
        <f t="shared" si="5"/>
        <v>CLIP top, Петля накл 30+ 95гр 79A9556.T1</v>
      </c>
      <c r="E123" s="3">
        <v>1</v>
      </c>
      <c r="F123" s="12">
        <f t="shared" si="6"/>
        <v>187.85206439999999</v>
      </c>
      <c r="G123" s="352">
        <f t="shared" si="7"/>
        <v>187.85206439999999</v>
      </c>
      <c r="I123" s="17"/>
      <c r="M123" s="8"/>
      <c r="O123" s="8"/>
    </row>
    <row r="124" spans="1:15" x14ac:dyDescent="0.2">
      <c r="A124" s="17"/>
      <c r="B124" s="2030"/>
      <c r="C124" s="2" t="s">
        <v>1838</v>
      </c>
      <c r="D124" s="21" t="str">
        <f t="shared" si="5"/>
        <v>CLIP top, Петля накл 45- 110гр 79A5450.T</v>
      </c>
      <c r="E124" s="3">
        <v>1</v>
      </c>
      <c r="F124" s="12">
        <f t="shared" si="6"/>
        <v>150.44429400000001</v>
      </c>
      <c r="G124" s="352">
        <f t="shared" si="7"/>
        <v>150.44429400000001</v>
      </c>
      <c r="I124" s="17"/>
      <c r="M124" s="8"/>
      <c r="O124" s="8"/>
    </row>
    <row r="125" spans="1:15" x14ac:dyDescent="0.2">
      <c r="A125" s="17"/>
      <c r="B125" s="2030"/>
      <c r="C125" s="2" t="s">
        <v>1210</v>
      </c>
      <c r="D125" s="21" t="str">
        <f t="shared" si="5"/>
        <v xml:space="preserve">CLIP top, Петля накл, 107гр 75T1550     </v>
      </c>
      <c r="E125" s="3">
        <v>1</v>
      </c>
      <c r="F125" s="12">
        <f t="shared" si="6"/>
        <v>74.00232840000001</v>
      </c>
      <c r="G125" s="352">
        <f t="shared" si="7"/>
        <v>74.00232840000001</v>
      </c>
      <c r="I125" s="17"/>
      <c r="M125" s="8"/>
      <c r="O125" s="8"/>
    </row>
    <row r="126" spans="1:15" x14ac:dyDescent="0.2">
      <c r="A126" s="17"/>
      <c r="B126" s="2030"/>
      <c r="C126" s="2" t="s">
        <v>309</v>
      </c>
      <c r="D126" s="21" t="str">
        <f t="shared" si="5"/>
        <v xml:space="preserve">CLIP top, Петля накл, 110гр, 71T3550    </v>
      </c>
      <c r="E126" s="3">
        <v>1</v>
      </c>
      <c r="F126" s="12">
        <f t="shared" si="6"/>
        <v>101.65155000000001</v>
      </c>
      <c r="G126" s="352">
        <f t="shared" si="7"/>
        <v>101.65155000000001</v>
      </c>
      <c r="I126" s="17"/>
      <c r="M126" s="8"/>
      <c r="O126" s="8"/>
    </row>
    <row r="127" spans="1:15" x14ac:dyDescent="0.2">
      <c r="A127" s="17"/>
      <c r="B127" s="2030"/>
      <c r="C127" s="2" t="s">
        <v>903</v>
      </c>
      <c r="D127" s="21" t="str">
        <f t="shared" si="5"/>
        <v xml:space="preserve">CLIP top, Петля накл, 120гр 71T5550     </v>
      </c>
      <c r="E127" s="3">
        <v>1</v>
      </c>
      <c r="F127" s="12">
        <f t="shared" si="6"/>
        <v>101.65155000000001</v>
      </c>
      <c r="G127" s="352">
        <f t="shared" si="7"/>
        <v>101.65155000000001</v>
      </c>
      <c r="I127" s="17"/>
      <c r="M127" s="8"/>
      <c r="O127" s="8"/>
    </row>
    <row r="128" spans="1:15" x14ac:dyDescent="0.2">
      <c r="A128" s="17"/>
      <c r="B128" s="2030"/>
      <c r="C128" s="2" t="s">
        <v>1324</v>
      </c>
      <c r="D128" s="21" t="str">
        <f t="shared" si="5"/>
        <v xml:space="preserve">CLIP top, Петля накл, 170гр 71T6550     </v>
      </c>
      <c r="E128" s="3">
        <v>1</v>
      </c>
      <c r="F128" s="12">
        <f t="shared" si="6"/>
        <v>214.68807360000002</v>
      </c>
      <c r="G128" s="352">
        <f t="shared" si="7"/>
        <v>214.68807360000002</v>
      </c>
      <c r="I128" s="17"/>
      <c r="M128" s="8"/>
      <c r="O128" s="8"/>
    </row>
    <row r="129" spans="1:15" x14ac:dyDescent="0.2">
      <c r="A129" s="17"/>
      <c r="B129" s="2030"/>
      <c r="C129" s="2" t="s">
        <v>1845</v>
      </c>
      <c r="D129" s="21" t="str">
        <f t="shared" si="5"/>
        <v xml:space="preserve">CLIP top, Петля накл, 20+95гр 79A9555.T </v>
      </c>
      <c r="E129" s="3">
        <v>1</v>
      </c>
      <c r="F129" s="12">
        <f t="shared" si="6"/>
        <v>187.85206439999999</v>
      </c>
      <c r="G129" s="352">
        <f t="shared" si="7"/>
        <v>187.85206439999999</v>
      </c>
      <c r="I129" s="17"/>
      <c r="M129" s="8"/>
      <c r="O129" s="8"/>
    </row>
    <row r="130" spans="1:15" x14ac:dyDescent="0.2">
      <c r="A130" s="17"/>
      <c r="B130" s="2030"/>
      <c r="C130" s="2" t="s">
        <v>1789</v>
      </c>
      <c r="D130" s="21" t="str">
        <f t="shared" si="5"/>
        <v xml:space="preserve">CLIP top, Петля накл, 30+  79A9456.T    </v>
      </c>
      <c r="E130" s="3">
        <v>1</v>
      </c>
      <c r="F130" s="12">
        <f t="shared" si="6"/>
        <v>187.85206439999999</v>
      </c>
      <c r="G130" s="352">
        <f t="shared" si="7"/>
        <v>187.85206439999999</v>
      </c>
      <c r="I130" s="17"/>
      <c r="M130" s="8"/>
      <c r="O130" s="8"/>
    </row>
    <row r="131" spans="1:15" x14ac:dyDescent="0.2">
      <c r="A131" s="17"/>
      <c r="B131" s="2030"/>
      <c r="C131" s="2" t="s">
        <v>1833</v>
      </c>
      <c r="D131" s="21" t="str">
        <f t="shared" si="5"/>
        <v xml:space="preserve">CLIP top, Петля п/фальшп, 95гр 79T9550  </v>
      </c>
      <c r="E131" s="3">
        <v>1</v>
      </c>
      <c r="F131" s="12">
        <f t="shared" si="6"/>
        <v>190.29170160000001</v>
      </c>
      <c r="G131" s="352">
        <f t="shared" si="7"/>
        <v>190.29170160000001</v>
      </c>
      <c r="I131" s="17"/>
      <c r="M131" s="8"/>
      <c r="O131" s="8"/>
    </row>
    <row r="132" spans="1:15" x14ac:dyDescent="0.2">
      <c r="A132" s="17"/>
      <c r="B132" s="2030"/>
      <c r="C132" s="2" t="s">
        <v>145</v>
      </c>
      <c r="D132" s="21" t="str">
        <f t="shared" si="5"/>
        <v xml:space="preserve">TIP-ON, CLIP T Б/ПР, под фальш, 78T9550 </v>
      </c>
      <c r="E132" s="3">
        <v>1</v>
      </c>
      <c r="F132" s="12">
        <f t="shared" si="6"/>
        <v>190.29170160000001</v>
      </c>
      <c r="G132" s="352">
        <f t="shared" si="7"/>
        <v>190.29170160000001</v>
      </c>
      <c r="I132" s="17"/>
      <c r="M132" s="8"/>
      <c r="O132" s="8"/>
    </row>
    <row r="133" spans="1:15" x14ac:dyDescent="0.2">
      <c r="A133" s="17"/>
      <c r="B133" s="2030"/>
      <c r="C133" s="2" t="s">
        <v>1215</v>
      </c>
      <c r="D133" s="21" t="str">
        <f t="shared" si="5"/>
        <v xml:space="preserve">CLIP top, Петля смежн, 107гр   75T1650  </v>
      </c>
      <c r="E133" s="3">
        <v>1</v>
      </c>
      <c r="F133" s="12">
        <f t="shared" si="6"/>
        <v>79.694815200000008</v>
      </c>
      <c r="G133" s="352">
        <f t="shared" si="7"/>
        <v>79.694815200000008</v>
      </c>
      <c r="I133" s="17"/>
      <c r="M133" s="8"/>
      <c r="O133" s="8"/>
    </row>
    <row r="134" spans="1:15" x14ac:dyDescent="0.2">
      <c r="A134" s="17"/>
      <c r="B134" s="2030"/>
      <c r="C134" s="2" t="s">
        <v>1323</v>
      </c>
      <c r="D134" s="21" t="str">
        <f t="shared" si="5"/>
        <v xml:space="preserve">CLIP top, Петля смежн, 170гр 71T6650    </v>
      </c>
      <c r="E134" s="3">
        <v>1</v>
      </c>
      <c r="F134" s="12">
        <f t="shared" si="6"/>
        <v>361.87951800000002</v>
      </c>
      <c r="G134" s="352">
        <f t="shared" si="7"/>
        <v>361.87951800000002</v>
      </c>
      <c r="I134" s="17"/>
      <c r="M134" s="8"/>
      <c r="O134" s="8"/>
    </row>
    <row r="135" spans="1:15" x14ac:dyDescent="0.2">
      <c r="A135" s="17"/>
      <c r="B135" s="2030"/>
      <c r="C135" s="2" t="s">
        <v>1282</v>
      </c>
      <c r="D135" s="21" t="str">
        <f t="shared" si="5"/>
        <v xml:space="preserve">CLIP top, Петля 45+, тип I 79A9658      </v>
      </c>
      <c r="E135" s="3">
        <v>1</v>
      </c>
      <c r="F135" s="12">
        <f t="shared" si="6"/>
        <v>132.55362119999998</v>
      </c>
      <c r="G135" s="352">
        <f t="shared" si="7"/>
        <v>132.55362119999998</v>
      </c>
      <c r="I135" s="17"/>
      <c r="M135" s="8"/>
      <c r="O135" s="8"/>
    </row>
    <row r="136" spans="1:15" x14ac:dyDescent="0.2">
      <c r="A136" s="17"/>
      <c r="B136" s="2030"/>
      <c r="C136" s="2" t="s">
        <v>1842</v>
      </c>
      <c r="D136" s="21" t="str">
        <f t="shared" si="5"/>
        <v>CLIP top, Угл петля 15-, 79A5453.T MB15-</v>
      </c>
      <c r="E136" s="3">
        <v>1</v>
      </c>
      <c r="F136" s="12">
        <f t="shared" si="6"/>
        <v>150.44429400000001</v>
      </c>
      <c r="G136" s="352">
        <f t="shared" si="7"/>
        <v>150.44429400000001</v>
      </c>
      <c r="I136" s="17"/>
      <c r="M136" s="8"/>
      <c r="O136" s="8"/>
    </row>
    <row r="137" spans="1:15" x14ac:dyDescent="0.2">
      <c r="A137" s="17"/>
      <c r="B137" s="2030"/>
      <c r="C137" s="2" t="s">
        <v>1840</v>
      </c>
      <c r="D137" s="21" t="str">
        <f t="shared" si="5"/>
        <v>CLIP top, Угл петля 30-, 79A5451.T MB30-</v>
      </c>
      <c r="E137" s="3">
        <v>1</v>
      </c>
      <c r="F137" s="12">
        <f t="shared" si="6"/>
        <v>150.44429400000001</v>
      </c>
      <c r="G137" s="352">
        <f t="shared" si="7"/>
        <v>150.44429400000001</v>
      </c>
      <c r="I137" s="17"/>
      <c r="M137" s="8"/>
      <c r="O137" s="8"/>
    </row>
    <row r="138" spans="1:15" x14ac:dyDescent="0.2">
      <c r="A138" s="17"/>
      <c r="B138" s="2030"/>
      <c r="C138" s="2" t="s">
        <v>1844</v>
      </c>
      <c r="D138" s="21" t="str">
        <f t="shared" si="5"/>
        <v xml:space="preserve">CLIP top, угл. петля 15+  79A9454.T     </v>
      </c>
      <c r="E138" s="3">
        <v>1</v>
      </c>
      <c r="F138" s="12">
        <f t="shared" si="6"/>
        <v>187.85206439999999</v>
      </c>
      <c r="G138" s="352">
        <f t="shared" si="7"/>
        <v>187.85206439999999</v>
      </c>
      <c r="I138" s="17"/>
      <c r="M138" s="8"/>
      <c r="O138" s="8"/>
    </row>
    <row r="139" spans="1:15" x14ac:dyDescent="0.2">
      <c r="A139" s="17"/>
      <c r="B139" s="2030"/>
      <c r="C139" s="2" t="s">
        <v>1790</v>
      </c>
      <c r="D139" s="21" t="str">
        <f t="shared" si="5"/>
        <v xml:space="preserve">CLIP top, угл. петля 45+  79A9458.T     </v>
      </c>
      <c r="E139" s="3">
        <v>1</v>
      </c>
      <c r="F139" s="12">
        <f t="shared" si="6"/>
        <v>187.85206439999999</v>
      </c>
      <c r="G139" s="352">
        <f t="shared" si="7"/>
        <v>187.85206439999999</v>
      </c>
      <c r="I139" s="17"/>
      <c r="M139" s="8"/>
      <c r="O139" s="8"/>
    </row>
    <row r="140" spans="1:15" x14ac:dyDescent="0.2">
      <c r="A140" s="17"/>
      <c r="B140" s="2030"/>
      <c r="C140" s="2" t="s">
        <v>859</v>
      </c>
      <c r="D140" s="21" t="str">
        <f t="shared" si="5"/>
        <v xml:space="preserve">Clip Top, CRISTALLO, с пруж, 79C450BT   </v>
      </c>
      <c r="E140" s="3">
        <v>1</v>
      </c>
      <c r="F140" s="12">
        <f t="shared" si="6"/>
        <v>435.06863399999997</v>
      </c>
      <c r="G140" s="352">
        <f t="shared" si="7"/>
        <v>435.06863399999997</v>
      </c>
      <c r="I140" s="17"/>
      <c r="M140" s="8"/>
      <c r="O140" s="8"/>
    </row>
    <row r="141" spans="1:15" ht="13.5" thickBot="1" x14ac:dyDescent="0.25">
      <c r="A141" s="17"/>
      <c r="B141" s="2031"/>
      <c r="C141" s="353" t="s">
        <v>934</v>
      </c>
      <c r="D141" s="354" t="str">
        <f t="shared" si="5"/>
        <v xml:space="preserve">Clip Top, CRISTALLO, Пластина, 78С4568  </v>
      </c>
      <c r="E141" s="355">
        <v>1</v>
      </c>
      <c r="F141" s="356">
        <f t="shared" si="6"/>
        <v>295.19610119999999</v>
      </c>
      <c r="G141" s="357">
        <f t="shared" si="7"/>
        <v>295.19610119999999</v>
      </c>
      <c r="I141" s="17"/>
      <c r="M141" s="8"/>
      <c r="O141" s="8"/>
    </row>
    <row r="142" spans="1:15" ht="8.25" customHeight="1" thickBot="1" x14ac:dyDescent="0.25">
      <c r="A142" s="17"/>
      <c r="B142" s="17"/>
      <c r="C142" s="17"/>
      <c r="D142" s="17"/>
      <c r="E142" s="344"/>
      <c r="F142" s="8"/>
      <c r="G142" s="91"/>
      <c r="I142" s="17"/>
      <c r="M142" s="8"/>
      <c r="O142" s="8"/>
    </row>
    <row r="143" spans="1:15" ht="20.100000000000001" customHeight="1" x14ac:dyDescent="0.2">
      <c r="A143" s="17"/>
      <c r="B143" s="2015" t="s">
        <v>673</v>
      </c>
      <c r="C143" s="2016"/>
      <c r="D143" s="2016"/>
      <c r="E143" s="2016"/>
      <c r="F143" s="2016"/>
      <c r="G143" s="2017"/>
      <c r="I143" s="17"/>
      <c r="M143" s="8"/>
      <c r="O143" s="8"/>
    </row>
    <row r="144" spans="1:15" ht="20.100000000000001" customHeight="1" x14ac:dyDescent="0.2">
      <c r="A144" s="17"/>
      <c r="B144" s="2018"/>
      <c r="C144" s="2019"/>
      <c r="D144" s="2019"/>
      <c r="E144" s="2019"/>
      <c r="F144" s="2019"/>
      <c r="G144" s="2020"/>
      <c r="I144" s="17"/>
      <c r="M144" s="8"/>
      <c r="O144" s="8"/>
    </row>
    <row r="145" spans="1:15" x14ac:dyDescent="0.2">
      <c r="A145" s="17"/>
      <c r="B145" s="364"/>
      <c r="C145" s="194"/>
      <c r="D145" s="144"/>
      <c r="E145" s="365" t="s">
        <v>674</v>
      </c>
      <c r="F145" s="194"/>
      <c r="G145" s="347"/>
      <c r="I145" s="17"/>
      <c r="M145" s="8"/>
      <c r="O145" s="8"/>
    </row>
    <row r="146" spans="1:15" x14ac:dyDescent="0.2">
      <c r="A146" s="17"/>
      <c r="B146" s="366"/>
      <c r="C146" s="367"/>
      <c r="D146" s="233"/>
      <c r="E146" s="367"/>
      <c r="F146" s="194"/>
      <c r="G146" s="347" t="str">
        <f>IF(СОДЕРЖАНИЕ!P2=1,"EUR","RUB")</f>
        <v>RUB</v>
      </c>
      <c r="I146" s="17"/>
      <c r="M146" s="8"/>
      <c r="O146" s="8"/>
    </row>
    <row r="147" spans="1:15" ht="9" customHeight="1" x14ac:dyDescent="0.2">
      <c r="A147" s="17"/>
      <c r="B147" s="2029"/>
      <c r="C147" s="348" t="s">
        <v>1301</v>
      </c>
      <c r="D147" s="173" t="s">
        <v>784</v>
      </c>
      <c r="E147" s="350" t="s">
        <v>2117</v>
      </c>
      <c r="F147" s="350" t="s">
        <v>2116</v>
      </c>
      <c r="G147" s="347"/>
      <c r="I147" s="17"/>
      <c r="M147" s="8"/>
      <c r="O147" s="8"/>
    </row>
    <row r="148" spans="1:15" x14ac:dyDescent="0.2">
      <c r="A148" s="17"/>
      <c r="B148" s="2030"/>
      <c r="C148" s="2" t="s">
        <v>677</v>
      </c>
      <c r="D148" s="21" t="str">
        <f t="shared" ref="D148:D163" si="8">VLOOKUP(C148,всецены,2,FALSE)</f>
        <v xml:space="preserve">ВМ, Д/петли накладной, 973A0500.01      </v>
      </c>
      <c r="E148" s="3">
        <v>1</v>
      </c>
      <c r="F148" s="12">
        <f t="shared" ref="F148:F163" si="9">VLOOKUP(C148,всецены,4,FALSE)</f>
        <v>91.8930012</v>
      </c>
      <c r="G148" s="352">
        <f t="shared" ref="G148:G163" si="10">F148*E148</f>
        <v>91.8930012</v>
      </c>
      <c r="I148" s="17"/>
      <c r="M148" s="8"/>
      <c r="O148" s="8"/>
    </row>
    <row r="149" spans="1:15" x14ac:dyDescent="0.2">
      <c r="A149" s="17"/>
      <c r="B149" s="2030"/>
      <c r="C149" s="2" t="s">
        <v>372</v>
      </c>
      <c r="D149" s="21" t="str">
        <f t="shared" si="8"/>
        <v xml:space="preserve">ВМ, Д/петли полунакладной, 973А0600     </v>
      </c>
      <c r="E149" s="3">
        <v>1</v>
      </c>
      <c r="F149" s="12">
        <f t="shared" si="9"/>
        <v>156.1367808</v>
      </c>
      <c r="G149" s="352">
        <f t="shared" si="10"/>
        <v>156.1367808</v>
      </c>
      <c r="I149" s="17"/>
      <c r="M149" s="8"/>
      <c r="O149" s="8"/>
    </row>
    <row r="150" spans="1:15" x14ac:dyDescent="0.2">
      <c r="A150" s="17"/>
      <c r="B150" s="2030"/>
      <c r="C150" s="2" t="s">
        <v>371</v>
      </c>
      <c r="D150" s="21" t="str">
        <f t="shared" si="8"/>
        <v xml:space="preserve">ВМ, Д/петли вкладной, 973А0700          </v>
      </c>
      <c r="E150" s="3">
        <v>1</v>
      </c>
      <c r="F150" s="12">
        <f t="shared" si="9"/>
        <v>169.96139159999998</v>
      </c>
      <c r="G150" s="352">
        <f t="shared" si="10"/>
        <v>169.96139159999998</v>
      </c>
      <c r="I150" s="17"/>
      <c r="M150" s="8"/>
      <c r="O150" s="8"/>
    </row>
    <row r="151" spans="1:15" x14ac:dyDescent="0.2">
      <c r="A151" s="17"/>
      <c r="B151" s="2030"/>
      <c r="C151" s="2" t="s">
        <v>2085</v>
      </c>
      <c r="D151" s="21" t="str">
        <f t="shared" si="8"/>
        <v xml:space="preserve">BM, Д/петли +45*, тип I, 973A7480       </v>
      </c>
      <c r="E151" s="3">
        <v>1</v>
      </c>
      <c r="F151" s="12">
        <f t="shared" si="9"/>
        <v>220.38056040000001</v>
      </c>
      <c r="G151" s="352">
        <f t="shared" si="10"/>
        <v>220.38056040000001</v>
      </c>
      <c r="I151" s="17"/>
      <c r="M151" s="8"/>
      <c r="O151" s="8"/>
    </row>
    <row r="152" spans="1:15" x14ac:dyDescent="0.2">
      <c r="A152" s="17"/>
      <c r="B152" s="2030"/>
      <c r="C152" s="2" t="s">
        <v>134</v>
      </c>
      <c r="D152" s="21" t="str">
        <f t="shared" si="8"/>
        <v xml:space="preserve">BM, Д/петли +30*, тип II, 973А7360      </v>
      </c>
      <c r="E152" s="3">
        <v>1</v>
      </c>
      <c r="F152" s="12">
        <f t="shared" si="9"/>
        <v>239.89765800000001</v>
      </c>
      <c r="G152" s="352">
        <f t="shared" si="10"/>
        <v>239.89765800000001</v>
      </c>
      <c r="I152" s="17"/>
      <c r="M152" s="8"/>
      <c r="O152" s="8"/>
    </row>
    <row r="153" spans="1:15" x14ac:dyDescent="0.2">
      <c r="A153" s="17"/>
      <c r="B153" s="2030"/>
      <c r="C153" s="2" t="s">
        <v>2095</v>
      </c>
      <c r="D153" s="21" t="str">
        <f t="shared" si="8"/>
        <v xml:space="preserve">ВМ, Д/петли 155*, 973А7000              </v>
      </c>
      <c r="E153" s="3">
        <v>1</v>
      </c>
      <c r="F153" s="12">
        <f t="shared" si="9"/>
        <v>110.59688640000002</v>
      </c>
      <c r="G153" s="352">
        <f t="shared" si="10"/>
        <v>110.59688640000002</v>
      </c>
      <c r="I153" s="17"/>
      <c r="M153" s="8"/>
      <c r="O153" s="8"/>
    </row>
    <row r="154" spans="1:15" x14ac:dyDescent="0.2">
      <c r="A154" s="17"/>
      <c r="B154" s="2030"/>
      <c r="C154" s="2" t="s">
        <v>1372</v>
      </c>
      <c r="D154" s="21" t="str">
        <f t="shared" si="8"/>
        <v xml:space="preserve">ВМ, Д/петли 170*, 973А6000              </v>
      </c>
      <c r="E154" s="3">
        <v>1</v>
      </c>
      <c r="F154" s="12">
        <f t="shared" si="9"/>
        <v>172.40102880000001</v>
      </c>
      <c r="G154" s="352">
        <f t="shared" si="10"/>
        <v>172.40102880000001</v>
      </c>
      <c r="I154" s="17"/>
      <c r="M154" s="8"/>
      <c r="O154" s="8"/>
    </row>
    <row r="155" spans="1:15" x14ac:dyDescent="0.2">
      <c r="A155" s="17"/>
      <c r="B155" s="2030"/>
      <c r="C155" s="2" t="s">
        <v>374</v>
      </c>
      <c r="D155" s="21" t="str">
        <f t="shared" si="8"/>
        <v xml:space="preserve">BM, Крепл между петлями, б/в, 971A0500  </v>
      </c>
      <c r="E155" s="3">
        <v>1</v>
      </c>
      <c r="F155" s="12">
        <f t="shared" si="9"/>
        <v>199.23703800000001</v>
      </c>
      <c r="G155" s="352">
        <f t="shared" si="10"/>
        <v>199.23703800000001</v>
      </c>
      <c r="I155" s="17"/>
      <c r="M155" s="8"/>
      <c r="O155" s="8"/>
    </row>
    <row r="156" spans="1:15" x14ac:dyDescent="0.2">
      <c r="A156" s="17"/>
      <c r="B156" s="2030"/>
      <c r="C156" s="2" t="s">
        <v>373</v>
      </c>
      <c r="D156" s="21" t="str">
        <f t="shared" si="8"/>
        <v xml:space="preserve">BM, Д/петли Cristallo, 973A9000         </v>
      </c>
      <c r="E156" s="3">
        <v>1</v>
      </c>
      <c r="F156" s="12">
        <f t="shared" si="9"/>
        <v>220.38056040000001</v>
      </c>
      <c r="G156" s="352">
        <f t="shared" si="10"/>
        <v>220.38056040000001</v>
      </c>
      <c r="I156" s="17"/>
      <c r="M156" s="8"/>
      <c r="O156" s="8"/>
    </row>
    <row r="157" spans="1:15" x14ac:dyDescent="0.2">
      <c r="A157" s="17"/>
      <c r="B157" s="2030"/>
      <c r="C157" s="2" t="s">
        <v>370</v>
      </c>
      <c r="D157" s="21" t="str">
        <f t="shared" si="8"/>
        <v xml:space="preserve">BM, Врезной, монтаж у петли, 970А1002   </v>
      </c>
      <c r="E157" s="3">
        <v>1</v>
      </c>
      <c r="F157" s="12">
        <f t="shared" si="9"/>
        <v>105.71761200000002</v>
      </c>
      <c r="G157" s="352">
        <f t="shared" si="10"/>
        <v>105.71761200000002</v>
      </c>
      <c r="I157" s="17"/>
      <c r="M157" s="8"/>
      <c r="O157" s="8"/>
    </row>
    <row r="158" spans="1:15" ht="14.25" customHeight="1" x14ac:dyDescent="0.2">
      <c r="A158" s="17"/>
      <c r="B158" s="2030"/>
      <c r="C158" s="2" t="s">
        <v>1312</v>
      </c>
      <c r="D158" s="21" t="str">
        <f t="shared" si="8"/>
        <v xml:space="preserve">BM, Врезной, монтаж у ручки, 970.1002   </v>
      </c>
      <c r="E158" s="3">
        <v>1</v>
      </c>
      <c r="F158" s="12">
        <f t="shared" si="9"/>
        <v>105.71761200000002</v>
      </c>
      <c r="G158" s="352">
        <f t="shared" si="10"/>
        <v>105.71761200000002</v>
      </c>
      <c r="I158" s="17"/>
      <c r="M158" s="8"/>
      <c r="O158" s="8"/>
    </row>
    <row r="159" spans="1:15" ht="14.25" customHeight="1" x14ac:dyDescent="0.2">
      <c r="A159" s="17"/>
      <c r="B159" s="2030"/>
      <c r="C159" s="766" t="s">
        <v>543</v>
      </c>
      <c r="D159" s="21" t="str">
        <f>VLOOKUP(C159,всецены,2,FALSE)</f>
        <v xml:space="preserve">BM, Держатель прямой, б/в, 970.1201     </v>
      </c>
      <c r="E159" s="3">
        <v>1</v>
      </c>
      <c r="F159" s="12">
        <f>VLOOKUP(C159,всецены,4,FALSE)</f>
        <v>17.890672800000001</v>
      </c>
      <c r="G159" s="352">
        <f>F159*E159</f>
        <v>17.890672800000001</v>
      </c>
      <c r="I159" s="17"/>
      <c r="M159" s="8"/>
      <c r="O159" s="8"/>
    </row>
    <row r="160" spans="1:15" ht="14.25" customHeight="1" x14ac:dyDescent="0.2">
      <c r="A160" s="17"/>
      <c r="B160" s="2030"/>
      <c r="C160" s="766" t="s">
        <v>2163</v>
      </c>
      <c r="D160" s="21" t="str">
        <f>VLOOKUP(C160,всецены,2,FALSE)</f>
        <v xml:space="preserve">BM, Держатель крест, б/в, 970.1501      </v>
      </c>
      <c r="E160" s="3">
        <v>1</v>
      </c>
      <c r="F160" s="12">
        <f>VLOOKUP(C160,всецены,4,FALSE)</f>
        <v>12.198186</v>
      </c>
      <c r="G160" s="352">
        <f>F160*E160</f>
        <v>12.198186</v>
      </c>
      <c r="I160" s="17"/>
      <c r="M160" s="8"/>
      <c r="O160" s="8"/>
    </row>
    <row r="161" spans="1:33" ht="14.25" customHeight="1" x14ac:dyDescent="0.2">
      <c r="A161" s="17"/>
      <c r="B161" s="2030"/>
      <c r="C161" s="766" t="s">
        <v>1434</v>
      </c>
      <c r="D161" s="21" t="str">
        <f>VLOOKUP(C161,всецены,2,FALSE)</f>
        <v>BM, Держатель прямой,никел,б/в, 970.5201</v>
      </c>
      <c r="E161" s="3">
        <v>1</v>
      </c>
      <c r="F161" s="12">
        <f>VLOOKUP(C161,всецены,4,FALSE)</f>
        <v>44.726682000000004</v>
      </c>
      <c r="G161" s="352">
        <f>F161*E161</f>
        <v>44.726682000000004</v>
      </c>
      <c r="I161" s="17"/>
      <c r="M161" s="8"/>
      <c r="O161" s="8"/>
    </row>
    <row r="162" spans="1:33" ht="14.25" customHeight="1" x14ac:dyDescent="0.2">
      <c r="A162" s="17"/>
      <c r="B162" s="2030"/>
      <c r="C162" s="766" t="s">
        <v>2164</v>
      </c>
      <c r="D162" s="21" t="str">
        <f>VLOOKUP(C162,всецены,2,FALSE)</f>
        <v>BM, Держатель крест, с винтами, 970.15E1</v>
      </c>
      <c r="E162" s="3">
        <v>1</v>
      </c>
      <c r="F162" s="12">
        <f>VLOOKUP(C162,всецены,4,FALSE)</f>
        <v>21.143522400000002</v>
      </c>
      <c r="G162" s="352">
        <f>F162*E162</f>
        <v>21.143522400000002</v>
      </c>
      <c r="I162" s="17"/>
      <c r="M162" s="8"/>
      <c r="O162" s="8"/>
    </row>
    <row r="163" spans="1:33" ht="13.5" thickBot="1" x14ac:dyDescent="0.25">
      <c r="A163" s="17"/>
      <c r="B163" s="2031"/>
      <c r="C163" s="353" t="s">
        <v>1416</v>
      </c>
      <c r="D163" s="354" t="str">
        <f t="shared" si="8"/>
        <v>BM, Амортизат. врезной,8х12,5мм, 993.706</v>
      </c>
      <c r="E163" s="355">
        <v>1</v>
      </c>
      <c r="F163" s="356">
        <f t="shared" si="9"/>
        <v>10.571761200000001</v>
      </c>
      <c r="G163" s="357">
        <f t="shared" si="10"/>
        <v>10.571761200000001</v>
      </c>
      <c r="I163" s="17"/>
      <c r="M163" s="8"/>
      <c r="O163" s="8"/>
    </row>
    <row r="164" spans="1:33" ht="8.25" customHeight="1" thickBot="1" x14ac:dyDescent="0.25">
      <c r="A164" s="17"/>
      <c r="B164" s="17"/>
      <c r="C164" s="17"/>
      <c r="D164" s="17"/>
      <c r="E164" s="344"/>
      <c r="F164" s="8"/>
      <c r="G164" s="91"/>
      <c r="I164" s="17"/>
      <c r="M164" s="8"/>
      <c r="O164" s="8"/>
    </row>
    <row r="165" spans="1:33" ht="20.100000000000001" customHeight="1" x14ac:dyDescent="0.2">
      <c r="A165" s="17"/>
      <c r="B165" s="2015" t="s">
        <v>356</v>
      </c>
      <c r="C165" s="2016"/>
      <c r="D165" s="2016"/>
      <c r="E165" s="2016"/>
      <c r="F165" s="2016"/>
      <c r="G165" s="2017"/>
      <c r="I165" s="17"/>
      <c r="M165" s="8"/>
      <c r="O165" s="8"/>
    </row>
    <row r="166" spans="1:33" ht="20.100000000000001" customHeight="1" x14ac:dyDescent="0.2">
      <c r="A166" s="17"/>
      <c r="B166" s="2018"/>
      <c r="C166" s="2019"/>
      <c r="D166" s="2019"/>
      <c r="E166" s="2019"/>
      <c r="F166" s="2019"/>
      <c r="G166" s="2020"/>
      <c r="I166" s="17"/>
      <c r="M166" s="8"/>
      <c r="O166" s="8"/>
    </row>
    <row r="167" spans="1:33" x14ac:dyDescent="0.2">
      <c r="A167" s="17"/>
      <c r="B167" s="364"/>
      <c r="C167" s="194"/>
      <c r="D167" s="144"/>
      <c r="E167" s="365" t="s">
        <v>357</v>
      </c>
      <c r="F167" s="194"/>
      <c r="G167" s="347"/>
      <c r="I167" s="17"/>
      <c r="M167" s="8"/>
      <c r="O167" s="8"/>
    </row>
    <row r="168" spans="1:33" s="1345" customFormat="1" x14ac:dyDescent="0.2">
      <c r="A168" s="17"/>
      <c r="B168" s="2032" t="s">
        <v>3471</v>
      </c>
      <c r="C168" s="2033"/>
      <c r="D168" s="2033"/>
      <c r="E168" s="2033"/>
      <c r="F168" s="1347"/>
      <c r="G168" s="347" t="str">
        <f>IF(СОДЕРЖАНИЕ!P2=1,"EUR","RUB")</f>
        <v>RUB</v>
      </c>
      <c r="H168" s="8"/>
      <c r="I168" s="17"/>
      <c r="J168" s="8"/>
      <c r="K168" s="8"/>
      <c r="L168" s="8"/>
      <c r="M168" s="8"/>
      <c r="N168" s="8"/>
      <c r="O168" s="8"/>
      <c r="P168" s="8"/>
      <c r="Q168" s="771"/>
      <c r="R168" s="771"/>
      <c r="S168" s="771"/>
      <c r="T168" s="771"/>
      <c r="U168" s="771"/>
      <c r="V168" s="771"/>
      <c r="W168" s="771"/>
      <c r="X168" s="771"/>
      <c r="Y168" s="771"/>
      <c r="Z168" s="771"/>
      <c r="AA168" s="771"/>
      <c r="AB168" s="771"/>
      <c r="AC168" s="771"/>
      <c r="AD168" s="771"/>
      <c r="AE168" s="771"/>
      <c r="AF168" s="771"/>
      <c r="AG168" s="771"/>
    </row>
    <row r="169" spans="1:33" x14ac:dyDescent="0.2">
      <c r="A169" s="17"/>
      <c r="B169" s="2035"/>
      <c r="C169" s="1335" t="s">
        <v>409</v>
      </c>
      <c r="D169" s="1348" t="str">
        <f t="shared" ref="D169:D180" si="11">VLOOKUP(C169,всецены,2,FALSE)</f>
        <v>TIP-ON, CLIP T Б/ПР,107ГР,НАК,74T1550.TL</v>
      </c>
      <c r="E169" s="1349">
        <v>1</v>
      </c>
      <c r="F169" s="1350">
        <f t="shared" ref="F169:F180" si="12">VLOOKUP(C169,всецены,4,FALSE)</f>
        <v>91.8930012</v>
      </c>
      <c r="G169" s="1351">
        <f t="shared" ref="G169:G180" si="13">F169*E169</f>
        <v>91.8930012</v>
      </c>
      <c r="I169" s="17"/>
      <c r="M169" s="8"/>
      <c r="O169" s="8"/>
    </row>
    <row r="170" spans="1:33" s="767" customFormat="1" x14ac:dyDescent="0.2">
      <c r="A170" s="17"/>
      <c r="B170" s="2035"/>
      <c r="C170" s="1335" t="s">
        <v>2016</v>
      </c>
      <c r="D170" s="1348" t="str">
        <f t="shared" si="11"/>
        <v xml:space="preserve">TIP-ON, CLIP T Б/ПР, 155 гр, 70T7500NTL </v>
      </c>
      <c r="E170" s="1349">
        <v>1</v>
      </c>
      <c r="F170" s="1350">
        <f t="shared" si="12"/>
        <v>313.89998639999999</v>
      </c>
      <c r="G170" s="1351">
        <f t="shared" si="13"/>
        <v>313.89998639999999</v>
      </c>
      <c r="H170" s="8"/>
      <c r="I170" s="17"/>
      <c r="J170" s="8"/>
      <c r="K170" s="8"/>
      <c r="L170" s="8"/>
      <c r="M170" s="8"/>
      <c r="N170" s="8"/>
      <c r="O170" s="8"/>
      <c r="P170" s="8"/>
      <c r="Q170" s="771"/>
      <c r="R170" s="771"/>
      <c r="S170" s="771"/>
      <c r="T170" s="771"/>
      <c r="U170" s="771"/>
      <c r="V170" s="771"/>
      <c r="W170" s="771"/>
      <c r="X170" s="771"/>
      <c r="Y170" s="771"/>
      <c r="Z170" s="771"/>
      <c r="AA170" s="771"/>
      <c r="AB170" s="771"/>
      <c r="AC170" s="771"/>
      <c r="AD170" s="771"/>
      <c r="AE170" s="771"/>
      <c r="AF170" s="771"/>
      <c r="AG170" s="771"/>
    </row>
    <row r="171" spans="1:33" s="1363" customFormat="1" x14ac:dyDescent="0.2">
      <c r="A171" s="17"/>
      <c r="B171" s="2035"/>
      <c r="C171" s="1335" t="s">
        <v>3097</v>
      </c>
      <c r="D171" s="1348" t="str">
        <f t="shared" si="11"/>
        <v>CLIP top, Д/проф, накл б/пр 70T9550.TLMB</v>
      </c>
      <c r="E171" s="1349">
        <v>1</v>
      </c>
      <c r="F171" s="1350">
        <f t="shared" si="12"/>
        <v>137.43289560000002</v>
      </c>
      <c r="G171" s="1351">
        <f t="shared" si="13"/>
        <v>137.43289560000002</v>
      </c>
      <c r="H171" s="8"/>
      <c r="I171" s="17"/>
      <c r="J171" s="8"/>
      <c r="K171" s="8"/>
      <c r="L171" s="8"/>
      <c r="M171" s="8"/>
      <c r="N171" s="8"/>
      <c r="O171" s="8"/>
      <c r="P171" s="8"/>
      <c r="Q171" s="771"/>
      <c r="R171" s="771"/>
      <c r="S171" s="771"/>
      <c r="T171" s="771"/>
      <c r="U171" s="771"/>
      <c r="V171" s="771"/>
      <c r="W171" s="771"/>
      <c r="X171" s="771"/>
      <c r="Y171" s="771"/>
      <c r="Z171" s="771"/>
      <c r="AA171" s="771"/>
      <c r="AB171" s="771"/>
      <c r="AC171" s="771"/>
      <c r="AD171" s="771"/>
      <c r="AE171" s="771"/>
      <c r="AF171" s="771"/>
      <c r="AG171" s="771"/>
    </row>
    <row r="172" spans="1:33" s="1363" customFormat="1" x14ac:dyDescent="0.2">
      <c r="A172" s="17"/>
      <c r="B172" s="2035"/>
      <c r="C172" s="1335" t="s">
        <v>2749</v>
      </c>
      <c r="D172" s="1348" t="str">
        <f t="shared" si="11"/>
        <v>CLIP top, Петля б/пр 45+ тип II 78T55500</v>
      </c>
      <c r="E172" s="1349">
        <v>1</v>
      </c>
      <c r="F172" s="1350">
        <f t="shared" si="12"/>
        <v>219.56734800000004</v>
      </c>
      <c r="G172" s="1351">
        <f t="shared" si="13"/>
        <v>219.56734800000004</v>
      </c>
      <c r="H172" s="8"/>
      <c r="I172" s="17"/>
      <c r="J172" s="8"/>
      <c r="K172" s="8"/>
      <c r="L172" s="8"/>
      <c r="M172" s="8"/>
      <c r="N172" s="8"/>
      <c r="O172" s="8"/>
      <c r="P172" s="8"/>
      <c r="Q172" s="771"/>
      <c r="R172" s="771"/>
      <c r="S172" s="771"/>
      <c r="T172" s="771"/>
      <c r="U172" s="771"/>
      <c r="V172" s="771"/>
      <c r="W172" s="771"/>
      <c r="X172" s="771"/>
      <c r="Y172" s="771"/>
      <c r="Z172" s="771"/>
      <c r="AA172" s="771"/>
      <c r="AB172" s="771"/>
      <c r="AC172" s="771"/>
      <c r="AD172" s="771"/>
      <c r="AE172" s="771"/>
      <c r="AF172" s="771"/>
      <c r="AG172" s="771"/>
    </row>
    <row r="173" spans="1:33" s="1363" customFormat="1" x14ac:dyDescent="0.2">
      <c r="A173" s="17"/>
      <c r="B173" s="2035"/>
      <c r="C173" s="1335" t="s">
        <v>2747</v>
      </c>
      <c r="D173" s="1348" t="str">
        <f t="shared" si="11"/>
        <v>CLIP top, Петля б/пр накл +30, 78A9556.T</v>
      </c>
      <c r="E173" s="1349">
        <v>1</v>
      </c>
      <c r="F173" s="1350">
        <f t="shared" si="12"/>
        <v>219.56734800000004</v>
      </c>
      <c r="G173" s="1351">
        <f t="shared" si="13"/>
        <v>219.56734800000004</v>
      </c>
      <c r="H173" s="8"/>
      <c r="I173" s="17"/>
      <c r="J173" s="8"/>
      <c r="K173" s="8"/>
      <c r="L173" s="8"/>
      <c r="M173" s="8"/>
      <c r="N173" s="8"/>
      <c r="O173" s="8"/>
      <c r="P173" s="8"/>
      <c r="Q173" s="771"/>
      <c r="R173" s="771"/>
      <c r="S173" s="771"/>
      <c r="T173" s="771"/>
      <c r="U173" s="771"/>
      <c r="V173" s="771"/>
      <c r="W173" s="771"/>
      <c r="X173" s="771"/>
      <c r="Y173" s="771"/>
      <c r="Z173" s="771"/>
      <c r="AA173" s="771"/>
      <c r="AB173" s="771"/>
      <c r="AC173" s="771"/>
      <c r="AD173" s="771"/>
      <c r="AE173" s="771"/>
      <c r="AF173" s="771"/>
      <c r="AG173" s="771"/>
    </row>
    <row r="174" spans="1:33" s="1363" customFormat="1" x14ac:dyDescent="0.2">
      <c r="A174" s="17"/>
      <c r="B174" s="2035"/>
      <c r="C174" s="1335" t="s">
        <v>1370</v>
      </c>
      <c r="D174" s="1348" t="str">
        <f t="shared" si="11"/>
        <v>TIP-ON, CLIP T Б/ПР,107гр,вкл,74T1750.TL</v>
      </c>
      <c r="E174" s="1349">
        <v>1</v>
      </c>
      <c r="F174" s="1350">
        <f t="shared" si="12"/>
        <v>113.84973600000001</v>
      </c>
      <c r="G174" s="1351">
        <f t="shared" si="13"/>
        <v>113.84973600000001</v>
      </c>
      <c r="H174" s="8"/>
      <c r="I174" s="17"/>
      <c r="J174" s="8"/>
      <c r="K174" s="8"/>
      <c r="L174" s="8"/>
      <c r="M174" s="8"/>
      <c r="N174" s="8"/>
      <c r="O174" s="8"/>
      <c r="P174" s="8"/>
      <c r="Q174" s="771"/>
      <c r="R174" s="771"/>
      <c r="S174" s="771"/>
      <c r="T174" s="771"/>
      <c r="U174" s="771"/>
      <c r="V174" s="771"/>
      <c r="W174" s="771"/>
      <c r="X174" s="771"/>
      <c r="Y174" s="771"/>
      <c r="Z174" s="771"/>
      <c r="AA174" s="771"/>
      <c r="AB174" s="771"/>
      <c r="AC174" s="771"/>
      <c r="AD174" s="771"/>
      <c r="AE174" s="771"/>
      <c r="AF174" s="771"/>
      <c r="AG174" s="771"/>
    </row>
    <row r="175" spans="1:33" s="1363" customFormat="1" ht="12.75" customHeight="1" x14ac:dyDescent="0.2">
      <c r="A175" s="17"/>
      <c r="B175" s="2035"/>
      <c r="C175" s="1335" t="s">
        <v>1371</v>
      </c>
      <c r="D175" s="1348" t="str">
        <f t="shared" si="11"/>
        <v>TIP-ON, CLIP T Б/ПР,107ГР,СМЕЖ74T1650.TL</v>
      </c>
      <c r="E175" s="1349">
        <v>1</v>
      </c>
      <c r="F175" s="1350">
        <f t="shared" si="12"/>
        <v>110.59688640000002</v>
      </c>
      <c r="G175" s="1351">
        <f t="shared" si="13"/>
        <v>110.59688640000002</v>
      </c>
      <c r="H175" s="8"/>
      <c r="I175" s="17"/>
      <c r="J175" s="8"/>
      <c r="K175" s="8"/>
      <c r="L175" s="8"/>
      <c r="M175" s="8"/>
      <c r="N175" s="8"/>
      <c r="O175" s="8"/>
      <c r="P175" s="8"/>
      <c r="Q175" s="771"/>
      <c r="R175" s="771"/>
      <c r="S175" s="771"/>
      <c r="T175" s="771"/>
      <c r="U175" s="771"/>
      <c r="V175" s="771"/>
      <c r="W175" s="771"/>
      <c r="X175" s="771"/>
      <c r="Y175" s="771"/>
      <c r="Z175" s="771"/>
      <c r="AA175" s="771"/>
      <c r="AB175" s="771"/>
      <c r="AC175" s="771"/>
      <c r="AD175" s="771"/>
      <c r="AE175" s="771"/>
      <c r="AF175" s="771"/>
      <c r="AG175" s="771"/>
    </row>
    <row r="176" spans="1:33" s="767" customFormat="1" x14ac:dyDescent="0.2">
      <c r="A176" s="17"/>
      <c r="B176" s="2035"/>
      <c r="C176" s="1335" t="s">
        <v>2015</v>
      </c>
      <c r="D176" s="1348" t="str">
        <f t="shared" si="11"/>
        <v>TIP-ON, CLIP T Б/ПР, CRISTALLO, 78C450BT</v>
      </c>
      <c r="E176" s="1349">
        <v>1</v>
      </c>
      <c r="F176" s="1350">
        <f t="shared" si="12"/>
        <v>435.06863399999997</v>
      </c>
      <c r="G176" s="1351">
        <f t="shared" si="13"/>
        <v>435.06863399999997</v>
      </c>
      <c r="H176" s="8"/>
      <c r="I176" s="17"/>
      <c r="J176" s="8"/>
      <c r="K176" s="8"/>
      <c r="L176" s="8"/>
      <c r="M176" s="8"/>
      <c r="N176" s="8"/>
      <c r="O176" s="8"/>
      <c r="P176" s="8"/>
      <c r="Q176" s="771"/>
      <c r="R176" s="771"/>
      <c r="S176" s="771"/>
      <c r="T176" s="771"/>
      <c r="U176" s="771"/>
      <c r="V176" s="771"/>
      <c r="W176" s="771"/>
      <c r="X176" s="771"/>
      <c r="Y176" s="771"/>
      <c r="Z176" s="771"/>
      <c r="AA176" s="771"/>
      <c r="AB176" s="771"/>
      <c r="AC176" s="771"/>
      <c r="AD176" s="771"/>
      <c r="AE176" s="771"/>
      <c r="AF176" s="771"/>
      <c r="AG176" s="771"/>
    </row>
    <row r="177" spans="1:33" x14ac:dyDescent="0.2">
      <c r="A177" s="17"/>
      <c r="B177" s="2035"/>
      <c r="C177" s="1335" t="s">
        <v>145</v>
      </c>
      <c r="D177" s="1348" t="str">
        <f t="shared" si="11"/>
        <v xml:space="preserve">TIP-ON, CLIP T Б/ПР, под фальш, 78T9550 </v>
      </c>
      <c r="E177" s="1349">
        <v>1</v>
      </c>
      <c r="F177" s="1350">
        <f t="shared" si="12"/>
        <v>190.29170160000001</v>
      </c>
      <c r="G177" s="1351">
        <f t="shared" si="13"/>
        <v>190.29170160000001</v>
      </c>
      <c r="I177" s="17"/>
      <c r="M177" s="8"/>
      <c r="O177" s="8"/>
    </row>
    <row r="178" spans="1:33" x14ac:dyDescent="0.2">
      <c r="A178" s="17"/>
      <c r="B178" s="2035"/>
      <c r="C178" s="1335" t="s">
        <v>1433</v>
      </c>
      <c r="D178" s="1348" t="str">
        <f t="shared" si="11"/>
        <v xml:space="preserve">TIP-ON, CLIP T Б/ПР, 45+ ТИП I, 78A9658 </v>
      </c>
      <c r="E178" s="1349">
        <v>1</v>
      </c>
      <c r="F178" s="1350">
        <f t="shared" si="12"/>
        <v>219.56734800000004</v>
      </c>
      <c r="G178" s="1351">
        <f t="shared" si="13"/>
        <v>219.56734800000004</v>
      </c>
      <c r="I178" s="17"/>
      <c r="M178" s="8"/>
      <c r="O178" s="8"/>
    </row>
    <row r="179" spans="1:33" s="767" customFormat="1" x14ac:dyDescent="0.2">
      <c r="A179" s="17"/>
      <c r="B179" s="2035"/>
      <c r="C179" s="1335" t="s">
        <v>1325</v>
      </c>
      <c r="D179" s="1348" t="str">
        <f t="shared" si="11"/>
        <v xml:space="preserve">Tip-on Clip t. б/п, 170*, нак, 70T6550  </v>
      </c>
      <c r="E179" s="1349">
        <v>1</v>
      </c>
      <c r="F179" s="1350">
        <f t="shared" si="12"/>
        <v>271.6129416</v>
      </c>
      <c r="G179" s="1351">
        <f t="shared" si="13"/>
        <v>271.6129416</v>
      </c>
      <c r="H179" s="8"/>
      <c r="I179" s="17"/>
      <c r="J179" s="8"/>
      <c r="K179" s="8"/>
      <c r="L179" s="8"/>
      <c r="M179" s="8"/>
      <c r="N179" s="8"/>
      <c r="O179" s="8"/>
      <c r="P179" s="8"/>
      <c r="Q179" s="771"/>
      <c r="R179" s="771"/>
      <c r="S179" s="771"/>
      <c r="T179" s="771"/>
      <c r="U179" s="771"/>
      <c r="V179" s="771"/>
      <c r="W179" s="771"/>
      <c r="X179" s="771"/>
      <c r="Y179" s="771"/>
      <c r="Z179" s="771"/>
      <c r="AA179" s="771"/>
      <c r="AB179" s="771"/>
      <c r="AC179" s="771"/>
      <c r="AD179" s="771"/>
      <c r="AE179" s="771"/>
      <c r="AF179" s="771"/>
      <c r="AG179" s="771"/>
    </row>
    <row r="180" spans="1:33" s="767" customFormat="1" x14ac:dyDescent="0.2">
      <c r="A180" s="17"/>
      <c r="B180" s="2035"/>
      <c r="C180" s="1335" t="s">
        <v>2014</v>
      </c>
      <c r="D180" s="1348" t="str">
        <f t="shared" si="11"/>
        <v>Tip-on Clip t. б/п, д/ал,нак, 70T950A.TL</v>
      </c>
      <c r="E180" s="1349">
        <v>1</v>
      </c>
      <c r="F180" s="1350">
        <f t="shared" si="12"/>
        <v>187.85206439999999</v>
      </c>
      <c r="G180" s="1351">
        <f t="shared" si="13"/>
        <v>187.85206439999999</v>
      </c>
      <c r="H180" s="8"/>
      <c r="I180" s="17"/>
      <c r="J180" s="8"/>
      <c r="K180" s="8"/>
      <c r="L180" s="8"/>
      <c r="M180" s="8"/>
      <c r="N180" s="8"/>
      <c r="O180" s="8"/>
      <c r="P180" s="8"/>
      <c r="Q180" s="771"/>
      <c r="R180" s="771"/>
      <c r="S180" s="771"/>
      <c r="T180" s="771"/>
      <c r="U180" s="771"/>
      <c r="V180" s="771"/>
      <c r="W180" s="771"/>
      <c r="X180" s="771"/>
      <c r="Y180" s="771"/>
      <c r="Z180" s="771"/>
      <c r="AA180" s="771"/>
      <c r="AB180" s="771"/>
      <c r="AC180" s="771"/>
      <c r="AD180" s="771"/>
      <c r="AE180" s="771"/>
      <c r="AF180" s="771"/>
      <c r="AG180" s="771"/>
    </row>
    <row r="181" spans="1:33" s="1345" customFormat="1" x14ac:dyDescent="0.2">
      <c r="A181" s="17"/>
      <c r="B181" s="2032" t="s">
        <v>3472</v>
      </c>
      <c r="C181" s="2033"/>
      <c r="D181" s="2033"/>
      <c r="E181" s="2034"/>
      <c r="F181" s="1350"/>
      <c r="G181" s="1351"/>
      <c r="H181" s="8"/>
      <c r="I181" s="17"/>
      <c r="J181" s="8"/>
      <c r="K181" s="8"/>
      <c r="L181" s="8"/>
      <c r="M181" s="8"/>
      <c r="N181" s="8"/>
      <c r="O181" s="8"/>
      <c r="P181" s="8"/>
      <c r="Q181" s="771"/>
      <c r="R181" s="771"/>
      <c r="S181" s="771"/>
      <c r="T181" s="771"/>
      <c r="U181" s="771"/>
      <c r="V181" s="771"/>
      <c r="W181" s="771"/>
      <c r="X181" s="771"/>
      <c r="Y181" s="771"/>
      <c r="Z181" s="771"/>
      <c r="AA181" s="771"/>
      <c r="AB181" s="771"/>
      <c r="AC181" s="771"/>
      <c r="AD181" s="771"/>
      <c r="AE181" s="771"/>
      <c r="AF181" s="771"/>
      <c r="AG181" s="771"/>
    </row>
    <row r="182" spans="1:33" s="767" customFormat="1" ht="12.75" customHeight="1" x14ac:dyDescent="0.2">
      <c r="A182" s="17"/>
      <c r="B182" s="2036"/>
      <c r="C182" s="1335" t="s">
        <v>3347</v>
      </c>
      <c r="D182" s="1348" t="str">
        <f t="shared" ref="D182:D190" si="14">VLOOKUP(C182,всецены,2,FALSE)</f>
        <v xml:space="preserve">Tip-on, коротк, сер, 956.1002           </v>
      </c>
      <c r="E182" s="1349">
        <v>1</v>
      </c>
      <c r="F182" s="1350">
        <f t="shared" ref="F182:F190" si="15">VLOOKUP(C182,всецены,4,FALSE)</f>
        <v>190.29170160000001</v>
      </c>
      <c r="G182" s="1351">
        <f t="shared" ref="G182:G190" si="16">F182*E182</f>
        <v>190.29170160000001</v>
      </c>
      <c r="H182" s="8"/>
      <c r="I182" s="17"/>
      <c r="J182" s="8"/>
      <c r="K182" s="8"/>
      <c r="L182" s="8"/>
      <c r="M182" s="8"/>
      <c r="N182" s="8"/>
      <c r="O182" s="8"/>
      <c r="P182" s="8"/>
      <c r="Q182" s="771"/>
      <c r="R182" s="771"/>
      <c r="S182" s="771"/>
      <c r="T182" s="771"/>
      <c r="U182" s="771"/>
      <c r="V182" s="771"/>
      <c r="W182" s="771"/>
      <c r="X182" s="771"/>
      <c r="Y182" s="771"/>
      <c r="Z182" s="771"/>
      <c r="AA182" s="771"/>
      <c r="AB182" s="771"/>
      <c r="AC182" s="771"/>
      <c r="AD182" s="771"/>
      <c r="AE182" s="771"/>
      <c r="AF182" s="771"/>
      <c r="AG182" s="771"/>
    </row>
    <row r="183" spans="1:33" s="767" customFormat="1" x14ac:dyDescent="0.2">
      <c r="A183" s="17"/>
      <c r="B183" s="2030"/>
      <c r="C183" s="1335" t="s">
        <v>3467</v>
      </c>
      <c r="D183" s="1348" t="str">
        <f t="shared" si="14"/>
        <v xml:space="preserve">Tip-on, длин, сер, 956A1002             </v>
      </c>
      <c r="E183" s="1349">
        <v>1</v>
      </c>
      <c r="F183" s="1350">
        <f t="shared" si="15"/>
        <v>256.16190599999999</v>
      </c>
      <c r="G183" s="1351">
        <f t="shared" si="16"/>
        <v>256.16190599999999</v>
      </c>
      <c r="H183" s="8"/>
      <c r="I183" s="17"/>
      <c r="J183" s="8"/>
      <c r="K183" s="8"/>
      <c r="L183" s="8"/>
      <c r="M183" s="8"/>
      <c r="N183" s="8"/>
      <c r="O183" s="8"/>
      <c r="P183" s="8"/>
      <c r="Q183" s="771"/>
      <c r="R183" s="771"/>
      <c r="S183" s="771"/>
      <c r="T183" s="771"/>
      <c r="U183" s="771"/>
      <c r="V183" s="771"/>
      <c r="W183" s="771"/>
      <c r="X183" s="771"/>
      <c r="Y183" s="771"/>
      <c r="Z183" s="771"/>
      <c r="AA183" s="771"/>
      <c r="AB183" s="771"/>
      <c r="AC183" s="771"/>
      <c r="AD183" s="771"/>
      <c r="AE183" s="771"/>
      <c r="AF183" s="771"/>
      <c r="AG183" s="771"/>
    </row>
    <row r="184" spans="1:33" s="1334" customFormat="1" x14ac:dyDescent="0.2">
      <c r="A184" s="17"/>
      <c r="B184" s="2030"/>
      <c r="C184" s="1335" t="s">
        <v>3346</v>
      </c>
      <c r="D184" s="1348" t="str">
        <f t="shared" si="14"/>
        <v xml:space="preserve">Tip-on, коротк, бел, 956.1002           </v>
      </c>
      <c r="E184" s="1349">
        <v>1</v>
      </c>
      <c r="F184" s="1350">
        <f t="shared" si="15"/>
        <v>190.29170160000001</v>
      </c>
      <c r="G184" s="1351">
        <f t="shared" si="16"/>
        <v>190.29170160000001</v>
      </c>
      <c r="H184" s="8"/>
      <c r="I184" s="17"/>
      <c r="J184" s="8"/>
      <c r="K184" s="8"/>
      <c r="L184" s="8"/>
      <c r="M184" s="8"/>
      <c r="N184" s="8"/>
      <c r="O184" s="8"/>
      <c r="P184" s="8"/>
      <c r="Q184" s="771"/>
      <c r="R184" s="771"/>
      <c r="S184" s="771"/>
      <c r="T184" s="771"/>
      <c r="U184" s="771"/>
      <c r="V184" s="771"/>
      <c r="W184" s="771"/>
      <c r="X184" s="771"/>
      <c r="Y184" s="771"/>
      <c r="Z184" s="771"/>
      <c r="AA184" s="771"/>
      <c r="AB184" s="771"/>
      <c r="AC184" s="771"/>
      <c r="AD184" s="771"/>
      <c r="AE184" s="771"/>
      <c r="AF184" s="771"/>
      <c r="AG184" s="771"/>
    </row>
    <row r="185" spans="1:33" s="1334" customFormat="1" x14ac:dyDescent="0.2">
      <c r="A185" s="17"/>
      <c r="B185" s="2030"/>
      <c r="C185" s="1335" t="s">
        <v>3468</v>
      </c>
      <c r="D185" s="1348" t="str">
        <f t="shared" si="14"/>
        <v xml:space="preserve">Tip-on, длин, бел, 956A1002             </v>
      </c>
      <c r="E185" s="1349">
        <v>1</v>
      </c>
      <c r="F185" s="1350">
        <f t="shared" si="15"/>
        <v>256.16190599999999</v>
      </c>
      <c r="G185" s="1351">
        <f t="shared" si="16"/>
        <v>256.16190599999999</v>
      </c>
      <c r="H185" s="8"/>
      <c r="I185" s="17"/>
      <c r="J185" s="8"/>
      <c r="K185" s="8"/>
      <c r="L185" s="8"/>
      <c r="M185" s="8"/>
      <c r="N185" s="8"/>
      <c r="O185" s="8"/>
      <c r="P185" s="8"/>
      <c r="Q185" s="771"/>
      <c r="R185" s="771"/>
      <c r="S185" s="771"/>
      <c r="T185" s="771"/>
      <c r="U185" s="771"/>
      <c r="V185" s="771"/>
      <c r="W185" s="771"/>
      <c r="X185" s="771"/>
      <c r="Y185" s="771"/>
      <c r="Z185" s="771"/>
      <c r="AA185" s="771"/>
      <c r="AB185" s="771"/>
      <c r="AC185" s="771"/>
      <c r="AD185" s="771"/>
      <c r="AE185" s="771"/>
      <c r="AF185" s="771"/>
      <c r="AG185" s="771"/>
    </row>
    <row r="186" spans="1:33" s="1334" customFormat="1" x14ac:dyDescent="0.2">
      <c r="A186" s="17"/>
      <c r="B186" s="2030"/>
      <c r="C186" s="1335" t="s">
        <v>3469</v>
      </c>
      <c r="D186" s="1348" t="str">
        <f t="shared" si="14"/>
        <v xml:space="preserve">Tip-on, коротк, черн, 956.1002          </v>
      </c>
      <c r="E186" s="1349">
        <v>1</v>
      </c>
      <c r="F186" s="1350">
        <f t="shared" si="15"/>
        <v>190.29170160000001</v>
      </c>
      <c r="G186" s="1351">
        <f t="shared" si="16"/>
        <v>190.29170160000001</v>
      </c>
      <c r="H186" s="8"/>
      <c r="I186" s="17"/>
      <c r="J186" s="8"/>
      <c r="K186" s="8"/>
      <c r="L186" s="8"/>
      <c r="M186" s="8"/>
      <c r="N186" s="8"/>
      <c r="O186" s="8"/>
      <c r="P186" s="8"/>
      <c r="Q186" s="771"/>
      <c r="R186" s="771"/>
      <c r="S186" s="771"/>
      <c r="T186" s="771"/>
      <c r="U186" s="771"/>
      <c r="V186" s="771"/>
      <c r="W186" s="771"/>
      <c r="X186" s="771"/>
      <c r="Y186" s="771"/>
      <c r="Z186" s="771"/>
      <c r="AA186" s="771"/>
      <c r="AB186" s="771"/>
      <c r="AC186" s="771"/>
      <c r="AD186" s="771"/>
      <c r="AE186" s="771"/>
      <c r="AF186" s="771"/>
      <c r="AG186" s="771"/>
    </row>
    <row r="187" spans="1:33" s="1334" customFormat="1" x14ac:dyDescent="0.2">
      <c r="A187" s="17"/>
      <c r="B187" s="2030"/>
      <c r="C187" s="1335" t="s">
        <v>3470</v>
      </c>
      <c r="D187" s="1348" t="str">
        <f t="shared" si="14"/>
        <v xml:space="preserve">Tip-on, длин, черн, 956A1002            </v>
      </c>
      <c r="E187" s="1349">
        <v>1</v>
      </c>
      <c r="F187" s="1350">
        <f t="shared" si="15"/>
        <v>256.16190599999999</v>
      </c>
      <c r="G187" s="1351">
        <f t="shared" si="16"/>
        <v>256.16190599999999</v>
      </c>
      <c r="H187" s="8"/>
      <c r="I187" s="17"/>
      <c r="J187" s="8"/>
      <c r="K187" s="8"/>
      <c r="L187" s="8"/>
      <c r="M187" s="8"/>
      <c r="N187" s="8"/>
      <c r="O187" s="8"/>
      <c r="P187" s="8"/>
      <c r="Q187" s="771"/>
      <c r="R187" s="771"/>
      <c r="S187" s="771"/>
      <c r="T187" s="771"/>
      <c r="U187" s="771"/>
      <c r="V187" s="771"/>
      <c r="W187" s="771"/>
      <c r="X187" s="771"/>
      <c r="Y187" s="771"/>
      <c r="Z187" s="771"/>
      <c r="AA187" s="771"/>
      <c r="AB187" s="771"/>
      <c r="AC187" s="771"/>
      <c r="AD187" s="771"/>
      <c r="AE187" s="771"/>
      <c r="AF187" s="771"/>
      <c r="AG187" s="771"/>
    </row>
    <row r="188" spans="1:33" x14ac:dyDescent="0.2">
      <c r="A188" s="17"/>
      <c r="B188" s="2030"/>
      <c r="C188" s="71" t="s">
        <v>406</v>
      </c>
      <c r="D188" s="1356" t="str">
        <f t="shared" si="14"/>
        <v>TIP-ON, д/наклад петель б/пруж, 955.1002</v>
      </c>
      <c r="E188" s="107">
        <v>1</v>
      </c>
      <c r="F188" s="1357">
        <f t="shared" si="15"/>
        <v>137.43289560000002</v>
      </c>
      <c r="G188" s="1358">
        <f t="shared" si="16"/>
        <v>137.43289560000002</v>
      </c>
      <c r="I188" s="17"/>
      <c r="M188" s="8"/>
      <c r="O188" s="8"/>
    </row>
    <row r="189" spans="1:33" s="767" customFormat="1" ht="14.25" customHeight="1" x14ac:dyDescent="0.2">
      <c r="A189" s="17"/>
      <c r="B189" s="2030"/>
      <c r="C189" s="1352" t="s">
        <v>411</v>
      </c>
      <c r="D189" s="1348" t="str">
        <f t="shared" si="14"/>
        <v>TIP-ON, планка п/шур (609.1500)955.1008S</v>
      </c>
      <c r="E189" s="1349">
        <v>1</v>
      </c>
      <c r="F189" s="1350">
        <f t="shared" si="15"/>
        <v>6.5056992000000005</v>
      </c>
      <c r="G189" s="1351">
        <f t="shared" si="16"/>
        <v>6.5056992000000005</v>
      </c>
      <c r="H189" s="8"/>
      <c r="I189" s="17"/>
      <c r="J189" s="8"/>
      <c r="K189" s="8"/>
      <c r="L189" s="8"/>
      <c r="M189" s="8"/>
      <c r="N189" s="8"/>
      <c r="O189" s="8"/>
      <c r="P189" s="8"/>
      <c r="Q189" s="771"/>
      <c r="R189" s="771"/>
      <c r="S189" s="771"/>
      <c r="T189" s="771"/>
      <c r="U189" s="771"/>
      <c r="V189" s="771"/>
      <c r="W189" s="771"/>
      <c r="X189" s="771"/>
      <c r="Y189" s="771"/>
      <c r="Z189" s="771"/>
      <c r="AA189" s="771"/>
      <c r="AB189" s="771"/>
      <c r="AC189" s="771"/>
      <c r="AD189" s="771"/>
      <c r="AE189" s="771"/>
      <c r="AF189" s="771"/>
      <c r="AG189" s="771"/>
    </row>
    <row r="190" spans="1:33" x14ac:dyDescent="0.2">
      <c r="A190" s="17"/>
      <c r="B190" s="2037"/>
      <c r="C190" s="1335" t="s">
        <v>410</v>
      </c>
      <c r="D190" s="1348" t="str">
        <f t="shared" si="14"/>
        <v xml:space="preserve">TIP-ON, планка на клею, сталь, 955.1008 </v>
      </c>
      <c r="E190" s="1349">
        <v>1</v>
      </c>
      <c r="F190" s="1350">
        <f t="shared" si="15"/>
        <v>20.330310000000001</v>
      </c>
      <c r="G190" s="1351">
        <f t="shared" si="16"/>
        <v>20.330310000000001</v>
      </c>
      <c r="I190" s="17"/>
      <c r="M190" s="8"/>
      <c r="O190" s="8"/>
    </row>
    <row r="191" spans="1:33" s="1345" customFormat="1" x14ac:dyDescent="0.2">
      <c r="A191" s="17"/>
      <c r="B191" s="2032" t="s">
        <v>3473</v>
      </c>
      <c r="C191" s="2033"/>
      <c r="D191" s="2033"/>
      <c r="E191" s="2034"/>
      <c r="F191" s="1350"/>
      <c r="G191" s="1351"/>
      <c r="H191" s="8"/>
      <c r="I191" s="17"/>
      <c r="J191" s="8"/>
      <c r="K191" s="8"/>
      <c r="L191" s="8"/>
      <c r="M191" s="8"/>
      <c r="N191" s="8"/>
      <c r="O191" s="8"/>
      <c r="P191" s="8"/>
      <c r="Q191" s="771"/>
      <c r="R191" s="771"/>
      <c r="S191" s="771"/>
      <c r="T191" s="771"/>
      <c r="U191" s="771"/>
      <c r="V191" s="771"/>
      <c r="W191" s="771"/>
      <c r="X191" s="771"/>
      <c r="Y191" s="771"/>
      <c r="Z191" s="771"/>
      <c r="AA191" s="771"/>
      <c r="AB191" s="771"/>
      <c r="AC191" s="771"/>
      <c r="AD191" s="771"/>
      <c r="AE191" s="771"/>
      <c r="AF191" s="771"/>
      <c r="AG191" s="771"/>
    </row>
    <row r="192" spans="1:33" s="767" customFormat="1" x14ac:dyDescent="0.2">
      <c r="A192" s="17"/>
      <c r="B192" s="1355"/>
      <c r="C192" s="1335" t="s">
        <v>3349</v>
      </c>
      <c r="D192" s="1348" t="str">
        <f>VLOOKUP(C192,всецены,2,FALSE)</f>
        <v>Tip-on, Держ прям 20/17,бел 956.1201 V50</v>
      </c>
      <c r="E192" s="1349">
        <v>1</v>
      </c>
      <c r="F192" s="1350">
        <f>VLOOKUP(C192,всецены,4,FALSE)</f>
        <v>51.232381200000006</v>
      </c>
      <c r="G192" s="1351">
        <f>F192*E192</f>
        <v>51.232381200000006</v>
      </c>
      <c r="H192" s="8"/>
      <c r="I192" s="17"/>
      <c r="J192" s="8"/>
      <c r="K192" s="8"/>
      <c r="L192" s="8"/>
      <c r="M192" s="8"/>
      <c r="N192" s="8"/>
      <c r="O192" s="8"/>
      <c r="P192" s="8"/>
      <c r="Q192" s="771"/>
      <c r="R192" s="771"/>
      <c r="S192" s="771"/>
      <c r="T192" s="771"/>
      <c r="U192" s="771"/>
      <c r="V192" s="771"/>
      <c r="W192" s="771"/>
      <c r="X192" s="771"/>
      <c r="Y192" s="771"/>
      <c r="Z192" s="771"/>
      <c r="AA192" s="771"/>
      <c r="AB192" s="771"/>
      <c r="AC192" s="771"/>
      <c r="AD192" s="771"/>
      <c r="AE192" s="771"/>
      <c r="AF192" s="771"/>
      <c r="AG192" s="771"/>
    </row>
    <row r="193" spans="1:33" s="1345" customFormat="1" x14ac:dyDescent="0.2">
      <c r="A193" s="17"/>
      <c r="B193" s="388"/>
      <c r="C193" s="1352" t="s">
        <v>3348</v>
      </c>
      <c r="D193" s="1348" t="str">
        <f t="shared" ref="D193:D200" si="17">VLOOKUP(C193,всецены,2,FALSE)</f>
        <v>Tip-on, Держ прям 20/17,сер 956.1201 V50</v>
      </c>
      <c r="E193" s="1349">
        <v>1</v>
      </c>
      <c r="F193" s="1350">
        <f t="shared" ref="F193:F200" si="18">VLOOKUP(C193,всецены,4,FALSE)</f>
        <v>51.232381200000006</v>
      </c>
      <c r="G193" s="1351">
        <f t="shared" ref="G193:G200" si="19">F193*E193</f>
        <v>51.232381200000006</v>
      </c>
      <c r="H193" s="8"/>
      <c r="I193" s="17"/>
      <c r="J193" s="8"/>
      <c r="K193" s="8"/>
      <c r="L193" s="8"/>
      <c r="M193" s="8"/>
      <c r="N193" s="8"/>
      <c r="O193" s="8"/>
      <c r="P193" s="8"/>
      <c r="Q193" s="771"/>
      <c r="R193" s="771"/>
      <c r="S193" s="771"/>
      <c r="T193" s="771"/>
      <c r="U193" s="771"/>
      <c r="V193" s="771"/>
      <c r="W193" s="771"/>
      <c r="X193" s="771"/>
      <c r="Y193" s="771"/>
      <c r="Z193" s="771"/>
      <c r="AA193" s="771"/>
      <c r="AB193" s="771"/>
      <c r="AC193" s="771"/>
      <c r="AD193" s="771"/>
      <c r="AE193" s="771"/>
      <c r="AF193" s="771"/>
      <c r="AG193" s="771"/>
    </row>
    <row r="194" spans="1:33" s="1345" customFormat="1" x14ac:dyDescent="0.2">
      <c r="A194" s="17"/>
      <c r="B194" s="388"/>
      <c r="C194" s="1352" t="s">
        <v>3474</v>
      </c>
      <c r="D194" s="1348" t="str">
        <f t="shared" si="17"/>
        <v xml:space="preserve">Tip-on, Держ прям 20/32, бел 956A1201   </v>
      </c>
      <c r="E194" s="1349">
        <v>1</v>
      </c>
      <c r="F194" s="1350">
        <f t="shared" si="18"/>
        <v>57.738080400000001</v>
      </c>
      <c r="G194" s="1351">
        <f t="shared" si="19"/>
        <v>57.738080400000001</v>
      </c>
      <c r="H194" s="8"/>
      <c r="I194" s="17"/>
      <c r="J194" s="8"/>
      <c r="K194" s="8"/>
      <c r="L194" s="8"/>
      <c r="M194" s="8"/>
      <c r="N194" s="8"/>
      <c r="O194" s="8"/>
      <c r="P194" s="8"/>
      <c r="Q194" s="771"/>
      <c r="R194" s="771"/>
      <c r="S194" s="771"/>
      <c r="T194" s="771"/>
      <c r="U194" s="771"/>
      <c r="V194" s="771"/>
      <c r="W194" s="771"/>
      <c r="X194" s="771"/>
      <c r="Y194" s="771"/>
      <c r="Z194" s="771"/>
      <c r="AA194" s="771"/>
      <c r="AB194" s="771"/>
      <c r="AC194" s="771"/>
      <c r="AD194" s="771"/>
      <c r="AE194" s="771"/>
      <c r="AF194" s="771"/>
      <c r="AG194" s="771"/>
    </row>
    <row r="195" spans="1:33" s="1345" customFormat="1" x14ac:dyDescent="0.2">
      <c r="A195" s="17"/>
      <c r="B195" s="388"/>
      <c r="C195" s="1352" t="s">
        <v>3475</v>
      </c>
      <c r="D195" s="1348" t="str">
        <f t="shared" si="17"/>
        <v xml:space="preserve">Tip-on, Держ прям 20/32, сер 956A1201   </v>
      </c>
      <c r="E195" s="1349">
        <v>1</v>
      </c>
      <c r="F195" s="1350">
        <f t="shared" si="18"/>
        <v>57.738080400000001</v>
      </c>
      <c r="G195" s="1351">
        <f t="shared" si="19"/>
        <v>57.738080400000001</v>
      </c>
      <c r="H195" s="8"/>
      <c r="I195" s="17"/>
      <c r="J195" s="8"/>
      <c r="K195" s="8"/>
      <c r="L195" s="8"/>
      <c r="M195" s="8"/>
      <c r="N195" s="8"/>
      <c r="O195" s="8"/>
      <c r="P195" s="8"/>
      <c r="Q195" s="771"/>
      <c r="R195" s="771"/>
      <c r="S195" s="771"/>
      <c r="T195" s="771"/>
      <c r="U195" s="771"/>
      <c r="V195" s="771"/>
      <c r="W195" s="771"/>
      <c r="X195" s="771"/>
      <c r="Y195" s="771"/>
      <c r="Z195" s="771"/>
      <c r="AA195" s="771"/>
      <c r="AB195" s="771"/>
      <c r="AC195" s="771"/>
      <c r="AD195" s="771"/>
      <c r="AE195" s="771"/>
      <c r="AF195" s="771"/>
      <c r="AG195" s="771"/>
    </row>
    <row r="196" spans="1:33" s="1345" customFormat="1" x14ac:dyDescent="0.2">
      <c r="A196" s="17"/>
      <c r="B196" s="388"/>
      <c r="C196" s="1352" t="s">
        <v>3476</v>
      </c>
      <c r="D196" s="1348" t="str">
        <f t="shared" si="17"/>
        <v xml:space="preserve">Tip-on, Держ прям 20/32, чер 956A1201   </v>
      </c>
      <c r="E196" s="1349">
        <v>1</v>
      </c>
      <c r="F196" s="1350">
        <f t="shared" si="18"/>
        <v>57.738080400000001</v>
      </c>
      <c r="G196" s="1351">
        <f t="shared" si="19"/>
        <v>57.738080400000001</v>
      </c>
      <c r="H196" s="8"/>
      <c r="I196" s="17"/>
      <c r="J196" s="8"/>
      <c r="K196" s="8"/>
      <c r="L196" s="8"/>
      <c r="M196" s="8"/>
      <c r="N196" s="8"/>
      <c r="O196" s="8"/>
      <c r="P196" s="8"/>
      <c r="Q196" s="771"/>
      <c r="R196" s="771"/>
      <c r="S196" s="771"/>
      <c r="T196" s="771"/>
      <c r="U196" s="771"/>
      <c r="V196" s="771"/>
      <c r="W196" s="771"/>
      <c r="X196" s="771"/>
      <c r="Y196" s="771"/>
      <c r="Z196" s="771"/>
      <c r="AA196" s="771"/>
      <c r="AB196" s="771"/>
      <c r="AC196" s="771"/>
      <c r="AD196" s="771"/>
      <c r="AE196" s="771"/>
      <c r="AF196" s="771"/>
      <c r="AG196" s="771"/>
    </row>
    <row r="197" spans="1:33" s="1345" customFormat="1" x14ac:dyDescent="0.2">
      <c r="A197" s="17"/>
      <c r="B197" s="388"/>
      <c r="C197" s="1352" t="s">
        <v>3477</v>
      </c>
      <c r="D197" s="1348" t="str">
        <f t="shared" si="17"/>
        <v xml:space="preserve">TIP-ON, держатель крест 37/32, 956A1501 </v>
      </c>
      <c r="E197" s="1349">
        <v>1</v>
      </c>
      <c r="F197" s="1350">
        <f t="shared" si="18"/>
        <v>41.473832399999999</v>
      </c>
      <c r="G197" s="1351">
        <f t="shared" si="19"/>
        <v>41.473832399999999</v>
      </c>
      <c r="H197" s="8"/>
      <c r="I197" s="17"/>
      <c r="J197" s="8"/>
      <c r="K197" s="8"/>
      <c r="L197" s="8"/>
      <c r="M197" s="8"/>
      <c r="N197" s="8"/>
      <c r="O197" s="8"/>
      <c r="P197" s="8"/>
      <c r="Q197" s="771"/>
      <c r="R197" s="771"/>
      <c r="S197" s="771"/>
      <c r="T197" s="771"/>
      <c r="U197" s="771"/>
      <c r="V197" s="771"/>
      <c r="W197" s="771"/>
      <c r="X197" s="771"/>
      <c r="Y197" s="771"/>
      <c r="Z197" s="771"/>
      <c r="AA197" s="771"/>
      <c r="AB197" s="771"/>
      <c r="AC197" s="771"/>
      <c r="AD197" s="771"/>
      <c r="AE197" s="771"/>
      <c r="AF197" s="771"/>
      <c r="AG197" s="771"/>
    </row>
    <row r="198" spans="1:33" s="1345" customFormat="1" x14ac:dyDescent="0.2">
      <c r="A198" s="17"/>
      <c r="B198" s="388"/>
      <c r="C198" s="1352" t="s">
        <v>3478</v>
      </c>
      <c r="D198" s="1348" t="str">
        <f t="shared" si="17"/>
        <v>Tip-on,Держ прям 20/17,бел 956.1201,V250</v>
      </c>
      <c r="E198" s="1349">
        <v>1</v>
      </c>
      <c r="F198" s="1350">
        <f t="shared" si="18"/>
        <v>57.738080400000001</v>
      </c>
      <c r="G198" s="1351">
        <f t="shared" si="19"/>
        <v>57.738080400000001</v>
      </c>
      <c r="H198" s="8"/>
      <c r="I198" s="17"/>
      <c r="J198" s="8"/>
      <c r="K198" s="8"/>
      <c r="L198" s="8"/>
      <c r="M198" s="8"/>
      <c r="N198" s="8"/>
      <c r="O198" s="8"/>
      <c r="P198" s="8"/>
      <c r="Q198" s="771"/>
      <c r="R198" s="771"/>
      <c r="S198" s="771"/>
      <c r="T198" s="771"/>
      <c r="U198" s="771"/>
      <c r="V198" s="771"/>
      <c r="W198" s="771"/>
      <c r="X198" s="771"/>
      <c r="Y198" s="771"/>
      <c r="Z198" s="771"/>
      <c r="AA198" s="771"/>
      <c r="AB198" s="771"/>
      <c r="AC198" s="771"/>
      <c r="AD198" s="771"/>
      <c r="AE198" s="771"/>
      <c r="AF198" s="771"/>
      <c r="AG198" s="771"/>
    </row>
    <row r="199" spans="1:33" s="1345" customFormat="1" x14ac:dyDescent="0.2">
      <c r="A199" s="17"/>
      <c r="B199" s="388"/>
      <c r="C199" s="1352" t="s">
        <v>3479</v>
      </c>
      <c r="D199" s="1348" t="str">
        <f t="shared" si="17"/>
        <v>Tip-on,Держ прям 20/17,сер 956.1201,V250</v>
      </c>
      <c r="E199" s="1349">
        <v>1</v>
      </c>
      <c r="F199" s="1350">
        <f t="shared" si="18"/>
        <v>57.738080400000001</v>
      </c>
      <c r="G199" s="1351">
        <f t="shared" si="19"/>
        <v>57.738080400000001</v>
      </c>
      <c r="H199" s="8"/>
      <c r="I199" s="17"/>
      <c r="J199" s="8"/>
      <c r="K199" s="8"/>
      <c r="L199" s="8"/>
      <c r="M199" s="8"/>
      <c r="N199" s="8"/>
      <c r="O199" s="8"/>
      <c r="P199" s="8"/>
      <c r="Q199" s="771"/>
      <c r="R199" s="771"/>
      <c r="S199" s="771"/>
      <c r="T199" s="771"/>
      <c r="U199" s="771"/>
      <c r="V199" s="771"/>
      <c r="W199" s="771"/>
      <c r="X199" s="771"/>
      <c r="Y199" s="771"/>
      <c r="Z199" s="771"/>
      <c r="AA199" s="771"/>
      <c r="AB199" s="771"/>
      <c r="AC199" s="771"/>
      <c r="AD199" s="771"/>
      <c r="AE199" s="771"/>
      <c r="AF199" s="771"/>
      <c r="AG199" s="771"/>
    </row>
    <row r="200" spans="1:33" s="1345" customFormat="1" ht="13.5" thickBot="1" x14ac:dyDescent="0.25">
      <c r="A200" s="17"/>
      <c r="B200" s="389"/>
      <c r="C200" s="1317" t="s">
        <v>3480</v>
      </c>
      <c r="D200" s="1353" t="str">
        <f t="shared" si="17"/>
        <v>Tip-on,Держ прям 20/17,чер 956.1201,V250</v>
      </c>
      <c r="E200" s="1318">
        <v>1</v>
      </c>
      <c r="F200" s="1354">
        <f t="shared" si="18"/>
        <v>57.738080400000001</v>
      </c>
      <c r="G200" s="1344">
        <f t="shared" si="19"/>
        <v>57.738080400000001</v>
      </c>
      <c r="H200" s="8"/>
      <c r="I200" s="17"/>
      <c r="J200" s="8"/>
      <c r="K200" s="8"/>
      <c r="L200" s="8"/>
      <c r="M200" s="8"/>
      <c r="N200" s="8"/>
      <c r="O200" s="8"/>
      <c r="P200" s="8"/>
      <c r="Q200" s="771"/>
      <c r="R200" s="771"/>
      <c r="S200" s="771"/>
      <c r="T200" s="771"/>
      <c r="U200" s="771"/>
      <c r="V200" s="771"/>
      <c r="W200" s="771"/>
      <c r="X200" s="771"/>
      <c r="Y200" s="771"/>
      <c r="Z200" s="771"/>
      <c r="AA200" s="771"/>
      <c r="AB200" s="771"/>
      <c r="AC200" s="771"/>
      <c r="AD200" s="771"/>
      <c r="AE200" s="771"/>
      <c r="AF200" s="771"/>
      <c r="AG200" s="771"/>
    </row>
    <row r="201" spans="1:33" ht="8.25" customHeight="1" thickBot="1" x14ac:dyDescent="0.25">
      <c r="A201" s="17"/>
      <c r="B201" s="17"/>
      <c r="C201" s="17"/>
      <c r="D201" s="17"/>
      <c r="E201" s="344"/>
      <c r="F201" s="8"/>
      <c r="G201" s="91"/>
      <c r="I201" s="17"/>
      <c r="M201" s="8"/>
      <c r="O201" s="8"/>
    </row>
    <row r="202" spans="1:33" ht="20.100000000000001" customHeight="1" x14ac:dyDescent="0.2">
      <c r="A202" s="17"/>
      <c r="B202" s="2015" t="s">
        <v>660</v>
      </c>
      <c r="C202" s="2016"/>
      <c r="D202" s="2016"/>
      <c r="E202" s="2016"/>
      <c r="F202" s="2016"/>
      <c r="G202" s="2017"/>
      <c r="I202" s="17"/>
      <c r="M202" s="8"/>
      <c r="O202" s="8"/>
    </row>
    <row r="203" spans="1:33" ht="20.100000000000001" customHeight="1" x14ac:dyDescent="0.2">
      <c r="A203" s="17"/>
      <c r="B203" s="2018"/>
      <c r="C203" s="2019"/>
      <c r="D203" s="2019"/>
      <c r="E203" s="2019"/>
      <c r="F203" s="2019"/>
      <c r="G203" s="2020"/>
      <c r="I203" s="17"/>
      <c r="M203" s="8"/>
      <c r="O203" s="8"/>
    </row>
    <row r="204" spans="1:33" x14ac:dyDescent="0.2">
      <c r="A204" s="17"/>
      <c r="B204" s="364"/>
      <c r="C204" s="194"/>
      <c r="D204" s="144"/>
      <c r="E204" s="365"/>
      <c r="F204" s="194"/>
      <c r="G204" s="347"/>
      <c r="I204" s="17"/>
      <c r="M204" s="8"/>
      <c r="O204" s="8"/>
    </row>
    <row r="205" spans="1:33" ht="13.5" thickBot="1" x14ac:dyDescent="0.25">
      <c r="A205" s="17"/>
      <c r="B205" s="366"/>
      <c r="C205" s="367"/>
      <c r="D205" s="233"/>
      <c r="E205" s="367"/>
      <c r="F205" s="194"/>
      <c r="G205" s="347" t="str">
        <f>IF(СОДЕРЖАНИЕ!P2=1,"EUR","RUB")</f>
        <v>RUB</v>
      </c>
      <c r="I205" s="17"/>
      <c r="M205" s="8"/>
      <c r="O205" s="8"/>
    </row>
    <row r="206" spans="1:33" x14ac:dyDescent="0.2">
      <c r="A206" s="17"/>
      <c r="B206" s="2023"/>
      <c r="C206" s="368" t="s">
        <v>1211</v>
      </c>
      <c r="D206" s="359" t="str">
        <f t="shared" ref="D206:D213" si="20">VLOOKUP(C206,всецены,2,FALSE)</f>
        <v xml:space="preserve">Clip top, Загл. на петл с изг 70.1663   </v>
      </c>
      <c r="E206" s="360">
        <v>1</v>
      </c>
      <c r="F206" s="361">
        <f t="shared" ref="F206:F213" si="21">VLOOKUP(C206,всецены,4,FALSE)</f>
        <v>7.3189116000000007</v>
      </c>
      <c r="G206" s="362">
        <f t="shared" ref="G206:G213" si="22">F206*E206</f>
        <v>7.3189116000000007</v>
      </c>
      <c r="I206" s="17"/>
      <c r="J206" s="28"/>
      <c r="M206" s="8"/>
      <c r="O206" s="8"/>
    </row>
    <row r="207" spans="1:33" x14ac:dyDescent="0.2">
      <c r="A207" s="17"/>
      <c r="B207" s="2024"/>
      <c r="C207" s="2" t="s">
        <v>1767</v>
      </c>
      <c r="D207" s="21" t="str">
        <f t="shared" si="20"/>
        <v xml:space="preserve">CLIP top, Загл. на чашку 70T1504        </v>
      </c>
      <c r="E207" s="3">
        <v>1</v>
      </c>
      <c r="F207" s="12">
        <f t="shared" si="21"/>
        <v>8.9453364000000004</v>
      </c>
      <c r="G207" s="352">
        <f t="shared" si="22"/>
        <v>8.9453364000000004</v>
      </c>
      <c r="I207" s="17"/>
      <c r="J207" s="28"/>
      <c r="M207" s="8"/>
      <c r="O207" s="8"/>
    </row>
    <row r="208" spans="1:33" x14ac:dyDescent="0.2">
      <c r="A208" s="17"/>
      <c r="B208" s="2024"/>
      <c r="C208" s="2" t="s">
        <v>846</v>
      </c>
      <c r="D208" s="21" t="str">
        <f t="shared" si="20"/>
        <v xml:space="preserve">CLIP top, Загл. п/стекло мат хр 84.4140 </v>
      </c>
      <c r="E208" s="3">
        <v>1</v>
      </c>
      <c r="F208" s="12">
        <f t="shared" si="21"/>
        <v>127.67434680000001</v>
      </c>
      <c r="G208" s="352">
        <f t="shared" si="22"/>
        <v>127.67434680000001</v>
      </c>
      <c r="I208" s="17"/>
      <c r="J208" s="28"/>
      <c r="M208" s="8"/>
      <c r="O208" s="8"/>
    </row>
    <row r="209" spans="1:33" x14ac:dyDescent="0.2">
      <c r="A209" s="17"/>
      <c r="B209" s="2024"/>
      <c r="C209" s="2" t="s">
        <v>1212</v>
      </c>
      <c r="D209" s="21" t="str">
        <f t="shared" si="20"/>
        <v xml:space="preserve">CLIP top, Загл. с лого сталь 70.1503.BP </v>
      </c>
      <c r="E209" s="3">
        <v>1</v>
      </c>
      <c r="F209" s="12">
        <f t="shared" si="21"/>
        <v>5.6924868000000011</v>
      </c>
      <c r="G209" s="352">
        <f t="shared" si="22"/>
        <v>5.6924868000000011</v>
      </c>
      <c r="I209" s="17"/>
      <c r="J209" s="28"/>
      <c r="M209" s="8"/>
      <c r="O209" s="8"/>
    </row>
    <row r="210" spans="1:33" x14ac:dyDescent="0.2">
      <c r="A210" s="17"/>
      <c r="B210" s="2024"/>
      <c r="C210" s="2" t="s">
        <v>843</v>
      </c>
      <c r="D210" s="21" t="str">
        <f t="shared" si="20"/>
        <v xml:space="preserve">CLIP top, Заглушка п/ст золото 84.4140  </v>
      </c>
      <c r="E210" s="3">
        <v>1</v>
      </c>
      <c r="F210" s="12">
        <f t="shared" si="21"/>
        <v>151.25750640000001</v>
      </c>
      <c r="G210" s="352">
        <f t="shared" si="22"/>
        <v>151.25750640000001</v>
      </c>
      <c r="I210" s="17"/>
      <c r="J210" s="28"/>
      <c r="M210" s="8"/>
      <c r="O210" s="8"/>
    </row>
    <row r="211" spans="1:33" x14ac:dyDescent="0.2">
      <c r="A211" s="17"/>
      <c r="B211" s="2024"/>
      <c r="C211" s="2" t="s">
        <v>844</v>
      </c>
      <c r="D211" s="21" t="str">
        <f t="shared" si="20"/>
        <v>CLIP top, Заглушка п/ст кру хром 84.4140</v>
      </c>
      <c r="E211" s="3">
        <v>1</v>
      </c>
      <c r="F211" s="12">
        <f t="shared" si="21"/>
        <v>127.67434680000001</v>
      </c>
      <c r="G211" s="352">
        <f t="shared" si="22"/>
        <v>127.67434680000001</v>
      </c>
      <c r="I211" s="17"/>
      <c r="J211" s="28"/>
      <c r="M211" s="8"/>
      <c r="O211" s="8"/>
    </row>
    <row r="212" spans="1:33" x14ac:dyDescent="0.2">
      <c r="A212" s="17"/>
      <c r="B212" s="2024"/>
      <c r="C212" s="2" t="s">
        <v>1280</v>
      </c>
      <c r="D212" s="21" t="str">
        <f t="shared" si="20"/>
        <v xml:space="preserve">CLIP top, Ограничит откр 130гр 70.6103  </v>
      </c>
      <c r="E212" s="3">
        <v>1</v>
      </c>
      <c r="F212" s="12">
        <f t="shared" si="21"/>
        <v>28.462434000000002</v>
      </c>
      <c r="G212" s="352">
        <f t="shared" si="22"/>
        <v>28.462434000000002</v>
      </c>
      <c r="I212" s="2014" t="s">
        <v>1814</v>
      </c>
      <c r="J212" s="28"/>
      <c r="M212" s="8"/>
      <c r="O212" s="8"/>
    </row>
    <row r="213" spans="1:33" ht="13.5" thickBot="1" x14ac:dyDescent="0.25">
      <c r="A213" s="17"/>
      <c r="B213" s="2025"/>
      <c r="C213" s="353" t="s">
        <v>852</v>
      </c>
      <c r="D213" s="354" t="str">
        <f t="shared" si="20"/>
        <v xml:space="preserve">CLIP top, Ограничит откр 86гр 74.1103   </v>
      </c>
      <c r="E213" s="355">
        <v>1</v>
      </c>
      <c r="F213" s="356">
        <f t="shared" si="21"/>
        <v>14.637823200000001</v>
      </c>
      <c r="G213" s="357">
        <f t="shared" si="22"/>
        <v>14.637823200000001</v>
      </c>
      <c r="I213" s="2014"/>
      <c r="J213" s="28"/>
      <c r="M213" s="8"/>
      <c r="O213" s="8"/>
    </row>
    <row r="214" spans="1:33" ht="17.25" customHeight="1" x14ac:dyDescent="0.2">
      <c r="A214" s="17"/>
      <c r="B214" s="17"/>
      <c r="C214" s="17"/>
      <c r="D214" s="17"/>
      <c r="E214" s="344"/>
      <c r="F214" s="17"/>
      <c r="G214" s="422" t="s">
        <v>1813</v>
      </c>
      <c r="H214" s="17"/>
      <c r="I214" s="17"/>
      <c r="J214" s="28"/>
      <c r="M214" s="8"/>
      <c r="O214" s="8"/>
    </row>
    <row r="215" spans="1:33" s="8" customFormat="1" ht="8.25" customHeight="1" thickBot="1" x14ac:dyDescent="0.25">
      <c r="E215" s="53"/>
      <c r="G215" s="91"/>
      <c r="I215" s="17"/>
      <c r="M215" s="53"/>
      <c r="O215" s="340"/>
      <c r="Q215" s="771"/>
      <c r="R215" s="771"/>
      <c r="S215" s="771"/>
      <c r="T215" s="771"/>
      <c r="U215" s="771"/>
      <c r="V215" s="771"/>
      <c r="W215" s="771"/>
      <c r="X215" s="771"/>
      <c r="Y215" s="771"/>
      <c r="Z215" s="771"/>
      <c r="AA215" s="771"/>
      <c r="AB215" s="771"/>
      <c r="AC215" s="771"/>
      <c r="AD215" s="771"/>
      <c r="AE215" s="771"/>
      <c r="AF215" s="771"/>
      <c r="AG215" s="771"/>
    </row>
    <row r="216" spans="1:33" ht="20.100000000000001" customHeight="1" x14ac:dyDescent="0.2">
      <c r="A216" s="8"/>
      <c r="B216" s="2015" t="s">
        <v>1811</v>
      </c>
      <c r="C216" s="2016"/>
      <c r="D216" s="2016"/>
      <c r="E216" s="2016"/>
      <c r="F216" s="2016"/>
      <c r="G216" s="2017"/>
      <c r="I216" s="17"/>
      <c r="M216" s="8"/>
      <c r="O216" s="8"/>
    </row>
    <row r="217" spans="1:33" ht="20.100000000000001" customHeight="1" x14ac:dyDescent="0.2">
      <c r="A217" s="17"/>
      <c r="B217" s="2018"/>
      <c r="C217" s="2019"/>
      <c r="D217" s="2019"/>
      <c r="E217" s="2019"/>
      <c r="F217" s="2019"/>
      <c r="G217" s="2020"/>
      <c r="I217" s="17"/>
      <c r="M217" s="8"/>
      <c r="O217" s="8"/>
    </row>
    <row r="218" spans="1:33" x14ac:dyDescent="0.2">
      <c r="A218" s="17"/>
      <c r="B218" s="364"/>
      <c r="C218" s="194"/>
      <c r="D218" s="144"/>
      <c r="E218" s="365"/>
      <c r="F218" s="194"/>
      <c r="G218" s="347"/>
      <c r="I218" s="17"/>
      <c r="M218" s="8"/>
      <c r="O218" s="8"/>
    </row>
    <row r="219" spans="1:33" x14ac:dyDescent="0.2">
      <c r="A219" s="17"/>
      <c r="B219" s="2026"/>
      <c r="C219" s="2027"/>
      <c r="D219" s="2027"/>
      <c r="E219" s="2027"/>
      <c r="F219" s="73"/>
      <c r="G219" s="347" t="str">
        <f>IF(СОДЕРЖАНИЕ!P2=1,"EUR","RUB")</f>
        <v>RUB</v>
      </c>
      <c r="I219" s="17"/>
    </row>
    <row r="220" spans="1:33" x14ac:dyDescent="0.2">
      <c r="A220" s="17"/>
      <c r="B220" s="2028"/>
      <c r="C220" s="2" t="s">
        <v>1028</v>
      </c>
      <c r="D220" s="21" t="str">
        <f t="shared" ref="D220:D232" si="23">VLOOKUP(C220,всецены,2,FALSE)</f>
        <v xml:space="preserve">MPL CLIP, подъем 0 мм, б/в  173L6100    </v>
      </c>
      <c r="E220" s="3">
        <v>1</v>
      </c>
      <c r="F220" s="12">
        <f t="shared" ref="F220:F232" si="24">VLOOKUP(C220,всецены,4,FALSE)</f>
        <v>11.384973600000002</v>
      </c>
      <c r="G220" s="369">
        <f t="shared" ref="G220:G232" si="25">F220*E220</f>
        <v>11.384973600000002</v>
      </c>
      <c r="I220" s="17"/>
    </row>
    <row r="221" spans="1:33" x14ac:dyDescent="0.2">
      <c r="A221" s="17"/>
      <c r="B221" s="2024"/>
      <c r="C221" s="2" t="s">
        <v>1321</v>
      </c>
      <c r="D221" s="21" t="str">
        <f t="shared" si="23"/>
        <v xml:space="preserve">MPL CLIP, подъем 0 мм, с/в  173L8100    </v>
      </c>
      <c r="E221" s="3">
        <v>1</v>
      </c>
      <c r="F221" s="12">
        <f t="shared" si="24"/>
        <v>17.0774604</v>
      </c>
      <c r="G221" s="369">
        <f t="shared" si="25"/>
        <v>17.0774604</v>
      </c>
      <c r="I221" s="17"/>
    </row>
    <row r="222" spans="1:33" x14ac:dyDescent="0.2">
      <c r="A222" s="17"/>
      <c r="B222" s="2024"/>
      <c r="C222" s="2" t="s">
        <v>1664</v>
      </c>
      <c r="D222" s="21" t="str">
        <f t="shared" si="23"/>
        <v xml:space="preserve">MPL CLIP, подъем 3 мм, б/в  173L6130    </v>
      </c>
      <c r="E222" s="3">
        <v>1</v>
      </c>
      <c r="F222" s="12">
        <f t="shared" si="24"/>
        <v>15.451035599999999</v>
      </c>
      <c r="G222" s="369">
        <f t="shared" si="25"/>
        <v>15.451035599999999</v>
      </c>
      <c r="I222" s="17"/>
    </row>
    <row r="223" spans="1:33" ht="12" customHeight="1" x14ac:dyDescent="0.2">
      <c r="A223" s="17"/>
      <c r="B223" s="2024"/>
      <c r="C223" s="2" t="s">
        <v>1027</v>
      </c>
      <c r="D223" s="21" t="str">
        <f t="shared" si="23"/>
        <v xml:space="preserve">MPL CLIP, подъем 3 мм, с/в  173L8130    </v>
      </c>
      <c r="E223" s="3">
        <v>1</v>
      </c>
      <c r="F223" s="12">
        <f t="shared" si="24"/>
        <v>22.769947200000004</v>
      </c>
      <c r="G223" s="369">
        <f t="shared" si="25"/>
        <v>22.769947200000004</v>
      </c>
      <c r="I223" s="17"/>
    </row>
    <row r="224" spans="1:33" x14ac:dyDescent="0.2">
      <c r="A224" s="17"/>
      <c r="B224" s="2024"/>
      <c r="C224" s="2" t="s">
        <v>242</v>
      </c>
      <c r="D224" s="21" t="str">
        <f t="shared" si="23"/>
        <v xml:space="preserve">MPL CLIP, прямая, 3 мм с эксц, 175H5430 </v>
      </c>
      <c r="E224" s="3">
        <v>1</v>
      </c>
      <c r="F224" s="12">
        <f t="shared" si="24"/>
        <v>54.485230800000011</v>
      </c>
      <c r="G224" s="369">
        <f t="shared" si="25"/>
        <v>54.485230800000011</v>
      </c>
      <c r="I224" s="17"/>
    </row>
    <row r="225" spans="1:16" x14ac:dyDescent="0.2">
      <c r="A225" s="17"/>
      <c r="B225" s="2024"/>
      <c r="C225" s="2" t="s">
        <v>1568</v>
      </c>
      <c r="D225" s="21" t="str">
        <f t="shared" si="23"/>
        <v xml:space="preserve">MPL CLIP, подъем 6 мм, б/в  175H9160    </v>
      </c>
      <c r="E225" s="3">
        <v>1</v>
      </c>
      <c r="F225" s="12">
        <f t="shared" si="24"/>
        <v>72.375903600000015</v>
      </c>
      <c r="G225" s="369">
        <f t="shared" si="25"/>
        <v>72.375903600000015</v>
      </c>
      <c r="I225" s="17"/>
    </row>
    <row r="226" spans="1:16" x14ac:dyDescent="0.2">
      <c r="A226" s="17"/>
      <c r="B226" s="2024"/>
      <c r="C226" s="2" t="s">
        <v>1940</v>
      </c>
      <c r="D226" s="21" t="str">
        <f t="shared" si="23"/>
        <v xml:space="preserve">MPL CLIP, подъем 9 мм, б/в 175H7190     </v>
      </c>
      <c r="E226" s="3">
        <v>1</v>
      </c>
      <c r="F226" s="12">
        <f t="shared" si="24"/>
        <v>76.441965600000003</v>
      </c>
      <c r="G226" s="369">
        <f t="shared" si="25"/>
        <v>76.441965600000003</v>
      </c>
      <c r="I226" s="17"/>
    </row>
    <row r="227" spans="1:16" x14ac:dyDescent="0.2">
      <c r="A227" s="17"/>
      <c r="B227" s="2024"/>
      <c r="C227" s="2" t="s">
        <v>241</v>
      </c>
      <c r="D227" s="21" t="str">
        <f t="shared" si="23"/>
        <v xml:space="preserve">MPL CLIP, подъем 9 мм, с/в  175L8190    </v>
      </c>
      <c r="E227" s="3">
        <v>1</v>
      </c>
      <c r="F227" s="12">
        <f t="shared" si="24"/>
        <v>70.749478800000006</v>
      </c>
      <c r="G227" s="369">
        <f t="shared" si="25"/>
        <v>70.749478800000006</v>
      </c>
      <c r="I227" s="17"/>
    </row>
    <row r="228" spans="1:16" x14ac:dyDescent="0.2">
      <c r="A228" s="17"/>
      <c r="B228" s="2024"/>
      <c r="C228" s="2" t="s">
        <v>823</v>
      </c>
      <c r="D228" s="21" t="str">
        <f t="shared" si="23"/>
        <v xml:space="preserve">MPL CLIP, подъем 18 мм, б/в 175H7190.22 </v>
      </c>
      <c r="E228" s="3">
        <v>1</v>
      </c>
      <c r="F228" s="12">
        <f t="shared" si="24"/>
        <v>111.41009880000001</v>
      </c>
      <c r="G228" s="369">
        <f t="shared" si="25"/>
        <v>111.41009880000001</v>
      </c>
      <c r="I228" s="17"/>
    </row>
    <row r="229" spans="1:16" x14ac:dyDescent="0.2">
      <c r="A229" s="17"/>
      <c r="B229" s="2024"/>
      <c r="C229" s="2" t="s">
        <v>827</v>
      </c>
      <c r="D229" s="21" t="str">
        <f t="shared" si="23"/>
        <v xml:space="preserve">MPL CLIP, с эксцентр. 173H7100          </v>
      </c>
      <c r="E229" s="3">
        <v>1</v>
      </c>
      <c r="F229" s="12">
        <f t="shared" si="24"/>
        <v>34.154920799999999</v>
      </c>
      <c r="G229" s="369">
        <f t="shared" si="25"/>
        <v>34.154920799999999</v>
      </c>
      <c r="I229" s="17"/>
    </row>
    <row r="230" spans="1:16" x14ac:dyDescent="0.2">
      <c r="A230" s="17"/>
      <c r="B230" s="2024"/>
      <c r="C230" s="2" t="s">
        <v>1074</v>
      </c>
      <c r="D230" s="21" t="str">
        <f t="shared" si="23"/>
        <v xml:space="preserve">MPL CLIP Inserta, подъем 0 мм 174H7100I </v>
      </c>
      <c r="E230" s="3">
        <v>1</v>
      </c>
      <c r="F230" s="12">
        <f t="shared" si="24"/>
        <v>69.12305400000001</v>
      </c>
      <c r="G230" s="369">
        <f t="shared" si="25"/>
        <v>69.12305400000001</v>
      </c>
      <c r="I230" s="17"/>
    </row>
    <row r="231" spans="1:16" x14ac:dyDescent="0.2">
      <c r="A231" s="17"/>
      <c r="B231" s="2024"/>
      <c r="C231" s="2" t="s">
        <v>1075</v>
      </c>
      <c r="D231" s="21" t="str">
        <f t="shared" si="23"/>
        <v xml:space="preserve">MPL CLIP Inserta, подъем 3 мм 174H7130I </v>
      </c>
      <c r="E231" s="3">
        <v>1</v>
      </c>
      <c r="F231" s="12">
        <f t="shared" si="24"/>
        <v>70.749478800000006</v>
      </c>
      <c r="G231" s="369">
        <f t="shared" si="25"/>
        <v>70.749478800000006</v>
      </c>
      <c r="I231" s="2014" t="s">
        <v>1814</v>
      </c>
    </row>
    <row r="232" spans="1:16" ht="13.5" thickBot="1" x14ac:dyDescent="0.25">
      <c r="A232" s="17"/>
      <c r="B232" s="2025"/>
      <c r="C232" s="353" t="s">
        <v>659</v>
      </c>
      <c r="D232" s="354" t="str">
        <f t="shared" si="23"/>
        <v xml:space="preserve">MPL CLIP, Экспандо 174H710ZE            </v>
      </c>
      <c r="E232" s="355">
        <v>1</v>
      </c>
      <c r="F232" s="356">
        <f t="shared" si="24"/>
        <v>42.287044800000004</v>
      </c>
      <c r="G232" s="370">
        <f t="shared" si="25"/>
        <v>42.287044800000004</v>
      </c>
      <c r="I232" s="2014"/>
      <c r="K232" s="28"/>
      <c r="L232" s="58"/>
      <c r="M232" s="32"/>
      <c r="O232" s="339"/>
      <c r="P232" s="28"/>
    </row>
    <row r="233" spans="1:16" ht="18" customHeight="1" x14ac:dyDescent="0.2">
      <c r="A233" s="17"/>
      <c r="B233" s="17"/>
      <c r="C233" s="17"/>
      <c r="D233" s="17"/>
      <c r="E233" s="344"/>
      <c r="F233" s="8"/>
      <c r="G233" s="2013" t="s">
        <v>1815</v>
      </c>
      <c r="H233" s="2014"/>
      <c r="I233" s="17"/>
      <c r="K233" s="28"/>
      <c r="L233" s="58"/>
      <c r="M233" s="32"/>
      <c r="O233" s="339"/>
      <c r="P233" s="28"/>
    </row>
    <row r="234" spans="1:16" ht="10.5" customHeight="1" x14ac:dyDescent="0.2">
      <c r="A234" s="8"/>
      <c r="B234" s="8"/>
      <c r="C234" s="8"/>
      <c r="D234" s="8"/>
      <c r="E234" s="53"/>
      <c r="F234" s="8"/>
      <c r="G234" s="91"/>
      <c r="K234" s="28"/>
      <c r="L234" s="58"/>
      <c r="M234" s="32"/>
      <c r="O234" s="339"/>
      <c r="P234" s="28"/>
    </row>
    <row r="235" spans="1:16" x14ac:dyDescent="0.2">
      <c r="A235" s="8"/>
      <c r="B235" s="8" t="s">
        <v>3488</v>
      </c>
      <c r="C235" s="8"/>
      <c r="D235" s="8"/>
      <c r="E235" s="53"/>
      <c r="F235" s="8"/>
      <c r="G235" s="91"/>
    </row>
    <row r="236" spans="1:16" x14ac:dyDescent="0.2">
      <c r="A236" s="8"/>
      <c r="B236" s="8"/>
      <c r="C236" s="8"/>
      <c r="D236" s="8"/>
      <c r="E236" s="53"/>
      <c r="F236" s="8"/>
      <c r="G236" s="91"/>
    </row>
    <row r="237" spans="1:16" x14ac:dyDescent="0.2">
      <c r="A237" s="8"/>
      <c r="B237" s="8"/>
      <c r="C237" s="8"/>
      <c r="D237" s="8"/>
      <c r="E237" s="53"/>
      <c r="F237" s="8"/>
      <c r="G237" s="91"/>
    </row>
    <row r="238" spans="1:16" x14ac:dyDescent="0.2">
      <c r="A238" s="8"/>
      <c r="B238" s="8"/>
      <c r="C238" s="8"/>
      <c r="D238" s="8"/>
      <c r="E238" s="53"/>
      <c r="F238" s="8"/>
      <c r="G238" s="91"/>
      <c r="N238" s="391"/>
    </row>
    <row r="239" spans="1:16" x14ac:dyDescent="0.2">
      <c r="A239" s="8"/>
      <c r="B239" s="8"/>
      <c r="C239" s="8"/>
      <c r="D239" s="8"/>
      <c r="E239" s="53"/>
      <c r="F239" s="8"/>
      <c r="G239" s="91"/>
      <c r="N239" s="391"/>
    </row>
    <row r="240" spans="1:16" x14ac:dyDescent="0.2">
      <c r="A240" s="8"/>
      <c r="B240" s="8"/>
      <c r="C240" s="8"/>
      <c r="D240" s="8"/>
      <c r="E240" s="53"/>
      <c r="F240" s="8"/>
      <c r="G240" s="91"/>
      <c r="N240" s="391"/>
    </row>
    <row r="241" spans="1:7" x14ac:dyDescent="0.2">
      <c r="A241" s="8"/>
      <c r="B241" s="8"/>
      <c r="C241" s="8"/>
      <c r="D241" s="8"/>
      <c r="E241" s="53"/>
      <c r="F241" s="8"/>
      <c r="G241" s="91"/>
    </row>
    <row r="242" spans="1:7" x14ac:dyDescent="0.2">
      <c r="A242" s="8"/>
      <c r="B242" s="8"/>
      <c r="C242" s="8"/>
      <c r="D242" s="8"/>
      <c r="E242" s="53"/>
      <c r="F242" s="8"/>
      <c r="G242" s="91"/>
    </row>
    <row r="243" spans="1:7" x14ac:dyDescent="0.2">
      <c r="A243" s="8"/>
      <c r="B243" s="8"/>
      <c r="C243" s="8"/>
      <c r="D243" s="8"/>
      <c r="E243" s="53"/>
      <c r="F243" s="8"/>
      <c r="G243" s="91"/>
    </row>
    <row r="244" spans="1:7" x14ac:dyDescent="0.2">
      <c r="A244" s="8"/>
      <c r="B244" s="8"/>
      <c r="C244" s="8"/>
      <c r="D244" s="8"/>
      <c r="E244" s="53"/>
      <c r="F244" s="8"/>
      <c r="G244" s="91"/>
    </row>
    <row r="245" spans="1:7" x14ac:dyDescent="0.2">
      <c r="A245" s="8"/>
      <c r="B245" s="8"/>
      <c r="C245" s="8"/>
      <c r="D245" s="8"/>
      <c r="E245" s="53"/>
      <c r="F245" s="8"/>
      <c r="G245" s="91"/>
    </row>
    <row r="246" spans="1:7" x14ac:dyDescent="0.2">
      <c r="A246" s="8"/>
      <c r="B246" s="8"/>
      <c r="C246" s="8"/>
      <c r="D246" s="8"/>
      <c r="E246" s="53"/>
      <c r="F246" s="8"/>
      <c r="G246" s="91"/>
    </row>
    <row r="247" spans="1:7" x14ac:dyDescent="0.2">
      <c r="A247" s="8"/>
      <c r="B247" s="8"/>
      <c r="C247" s="8"/>
      <c r="D247" s="8"/>
      <c r="E247" s="53"/>
      <c r="F247" s="8"/>
      <c r="G247" s="91"/>
    </row>
    <row r="248" spans="1:7" x14ac:dyDescent="0.2">
      <c r="A248" s="8"/>
      <c r="B248" s="8"/>
      <c r="C248" s="8"/>
      <c r="D248" s="8"/>
      <c r="E248" s="53"/>
      <c r="F248" s="8"/>
      <c r="G248" s="91"/>
    </row>
    <row r="249" spans="1:7" x14ac:dyDescent="0.2">
      <c r="A249" s="8"/>
      <c r="B249" s="8"/>
      <c r="C249" s="8"/>
      <c r="D249" s="8"/>
      <c r="E249" s="53"/>
      <c r="F249" s="8"/>
      <c r="G249" s="91"/>
    </row>
    <row r="250" spans="1:7" x14ac:dyDescent="0.2">
      <c r="A250" s="8"/>
      <c r="B250" s="8"/>
      <c r="C250" s="8"/>
      <c r="D250" s="8"/>
      <c r="E250" s="53"/>
      <c r="F250" s="8"/>
      <c r="G250" s="91"/>
    </row>
    <row r="251" spans="1:7" x14ac:dyDescent="0.2">
      <c r="A251" s="8"/>
      <c r="B251" s="8"/>
      <c r="C251" s="8"/>
      <c r="D251" s="8"/>
      <c r="E251" s="53"/>
      <c r="F251" s="8"/>
      <c r="G251" s="91"/>
    </row>
    <row r="252" spans="1:7" x14ac:dyDescent="0.2">
      <c r="A252" s="8"/>
      <c r="B252" s="8"/>
      <c r="C252" s="8"/>
      <c r="D252" s="8"/>
      <c r="E252" s="53"/>
      <c r="F252" s="8"/>
      <c r="G252" s="91"/>
    </row>
    <row r="253" spans="1:7" x14ac:dyDescent="0.2">
      <c r="A253" s="8"/>
      <c r="B253" s="8"/>
      <c r="C253" s="8"/>
      <c r="D253" s="8"/>
      <c r="E253" s="53"/>
      <c r="F253" s="8"/>
      <c r="G253" s="91"/>
    </row>
    <row r="254" spans="1:7" x14ac:dyDescent="0.2">
      <c r="A254" s="8"/>
      <c r="B254" s="8"/>
      <c r="C254" s="8"/>
      <c r="D254" s="8"/>
      <c r="E254" s="53"/>
      <c r="F254" s="8"/>
      <c r="G254" s="91"/>
    </row>
    <row r="255" spans="1:7" x14ac:dyDescent="0.2">
      <c r="A255" s="8"/>
      <c r="B255" s="8"/>
      <c r="C255" s="8"/>
      <c r="D255" s="8"/>
      <c r="E255" s="53"/>
      <c r="F255" s="8"/>
      <c r="G255" s="91"/>
    </row>
    <row r="256" spans="1:7" x14ac:dyDescent="0.2">
      <c r="A256" s="8"/>
      <c r="B256" s="8"/>
      <c r="C256" s="8"/>
      <c r="D256" s="8"/>
      <c r="E256" s="53"/>
      <c r="F256" s="8"/>
      <c r="G256" s="91"/>
    </row>
    <row r="257" spans="1:7" x14ac:dyDescent="0.2">
      <c r="A257" s="8"/>
      <c r="B257" s="8"/>
      <c r="C257" s="8"/>
      <c r="D257" s="8"/>
      <c r="E257" s="53"/>
      <c r="F257" s="8"/>
      <c r="G257" s="91"/>
    </row>
    <row r="258" spans="1:7" x14ac:dyDescent="0.2">
      <c r="A258" s="8"/>
      <c r="B258" s="8"/>
      <c r="C258" s="8"/>
      <c r="D258" s="8"/>
      <c r="E258" s="53"/>
      <c r="F258" s="8"/>
      <c r="G258" s="91"/>
    </row>
    <row r="259" spans="1:7" x14ac:dyDescent="0.2">
      <c r="A259" s="8"/>
      <c r="B259" s="8"/>
      <c r="C259" s="8"/>
      <c r="D259" s="8"/>
      <c r="E259" s="53"/>
      <c r="F259" s="8"/>
      <c r="G259" s="91"/>
    </row>
    <row r="260" spans="1:7" x14ac:dyDescent="0.2">
      <c r="A260" s="8"/>
      <c r="B260" s="8"/>
      <c r="C260" s="8"/>
      <c r="D260" s="8"/>
      <c r="E260" s="53"/>
      <c r="F260" s="8"/>
      <c r="G260" s="91"/>
    </row>
    <row r="261" spans="1:7" x14ac:dyDescent="0.2">
      <c r="A261" s="8"/>
      <c r="B261" s="8"/>
      <c r="C261" s="8"/>
      <c r="D261" s="8"/>
      <c r="E261" s="53"/>
      <c r="F261" s="8"/>
      <c r="G261" s="91"/>
    </row>
    <row r="262" spans="1:7" x14ac:dyDescent="0.2">
      <c r="A262" s="8"/>
      <c r="B262" s="8"/>
      <c r="C262" s="8"/>
      <c r="D262" s="8"/>
      <c r="E262" s="53"/>
      <c r="F262" s="8"/>
      <c r="G262" s="91"/>
    </row>
    <row r="263" spans="1:7" x14ac:dyDescent="0.2">
      <c r="A263" s="8"/>
      <c r="B263" s="8"/>
      <c r="C263" s="8"/>
      <c r="D263" s="8"/>
      <c r="E263" s="53"/>
      <c r="F263" s="8"/>
      <c r="G263" s="91"/>
    </row>
    <row r="264" spans="1:7" x14ac:dyDescent="0.2">
      <c r="A264" s="8"/>
      <c r="B264" s="8"/>
      <c r="C264" s="8"/>
      <c r="D264" s="8"/>
      <c r="E264" s="53"/>
      <c r="F264" s="8"/>
      <c r="G264" s="91"/>
    </row>
    <row r="265" spans="1:7" x14ac:dyDescent="0.2">
      <c r="A265" s="8"/>
      <c r="B265" s="8"/>
      <c r="C265" s="8"/>
      <c r="D265" s="8"/>
      <c r="E265" s="53"/>
      <c r="F265" s="8"/>
      <c r="G265" s="91"/>
    </row>
    <row r="266" spans="1:7" x14ac:dyDescent="0.2">
      <c r="A266" s="8"/>
      <c r="B266" s="8"/>
      <c r="C266" s="8"/>
      <c r="D266" s="8"/>
      <c r="E266" s="53"/>
      <c r="F266" s="8"/>
      <c r="G266" s="91"/>
    </row>
    <row r="267" spans="1:7" x14ac:dyDescent="0.2">
      <c r="A267" s="8"/>
      <c r="B267" s="8"/>
      <c r="C267" s="8"/>
      <c r="D267" s="8"/>
      <c r="E267" s="53"/>
      <c r="F267" s="8"/>
      <c r="G267" s="91"/>
    </row>
    <row r="268" spans="1:7" x14ac:dyDescent="0.2">
      <c r="A268" s="8"/>
      <c r="B268" s="8"/>
      <c r="C268" s="8"/>
      <c r="D268" s="8"/>
      <c r="E268" s="53"/>
      <c r="F268" s="8"/>
      <c r="G268" s="91"/>
    </row>
  </sheetData>
  <protectedRanges>
    <protectedRange sqref="D6 B5:E5 D54 B53:E53" name="Диапазон1"/>
  </protectedRanges>
  <autoFilter ref="A13:U41" xr:uid="{00000000-0009-0000-0000-000003000000}">
    <filterColumn colId="6" showButton="0"/>
  </autoFilter>
  <customSheetViews>
    <customSheetView guid="{788B8383-784A-4263-9D04-45657AC129FF}" showAutoFilter="1" hiddenRows="1" hiddenColumns="1">
      <pageMargins left="0.75" right="0.75" top="1" bottom="1" header="0.5" footer="0.5"/>
      <pageSetup paperSize="9" orientation="portrait" r:id="rId1"/>
      <headerFooter alignWithMargins="0"/>
      <autoFilter ref="A13:U36" xr:uid="{00000000-0000-0000-0000-000000000000}">
        <filterColumn colId="6" showButton="0"/>
      </autoFilter>
    </customSheetView>
  </customSheetViews>
  <mergeCells count="35">
    <mergeCell ref="B2:G2"/>
    <mergeCell ref="B64:E64"/>
    <mergeCell ref="B65:E65"/>
    <mergeCell ref="B66:B82"/>
    <mergeCell ref="B87:B91"/>
    <mergeCell ref="B62:G63"/>
    <mergeCell ref="G8:G11"/>
    <mergeCell ref="G13:H13"/>
    <mergeCell ref="E5:E6"/>
    <mergeCell ref="B7:B11"/>
    <mergeCell ref="B84:G85"/>
    <mergeCell ref="B50:G50"/>
    <mergeCell ref="E53:E54"/>
    <mergeCell ref="B55:B59"/>
    <mergeCell ref="G56:G59"/>
    <mergeCell ref="I212:I213"/>
    <mergeCell ref="I231:I232"/>
    <mergeCell ref="I94:I95"/>
    <mergeCell ref="B191:E191"/>
    <mergeCell ref="B169:B180"/>
    <mergeCell ref="B182:B190"/>
    <mergeCell ref="G233:H233"/>
    <mergeCell ref="B94:G95"/>
    <mergeCell ref="B96:E96"/>
    <mergeCell ref="B165:G166"/>
    <mergeCell ref="B206:B213"/>
    <mergeCell ref="B219:E219"/>
    <mergeCell ref="B220:B232"/>
    <mergeCell ref="B202:G203"/>
    <mergeCell ref="B143:G144"/>
    <mergeCell ref="B147:B163"/>
    <mergeCell ref="B216:G217"/>
    <mergeCell ref="B168:E168"/>
    <mergeCell ref="B181:E181"/>
    <mergeCell ref="B98:B141"/>
  </mergeCells>
  <phoneticPr fontId="2" type="noConversion"/>
  <conditionalFormatting sqref="C5">
    <cfRule type="expression" dxfId="151" priority="2">
      <formula>$D$5="угловая"</formula>
    </cfRule>
  </conditionalFormatting>
  <conditionalFormatting sqref="C53">
    <cfRule type="expression" dxfId="150" priority="1">
      <formula>$D$5="угловая"</formula>
    </cfRule>
  </conditionalFormatting>
  <dataValidations xWindow="85" yWindow="125" count="6">
    <dataValidation type="list" allowBlank="1" showInputMessage="1" showErrorMessage="1" errorTitle="Петля не угловая!" error="Вы выбрали не угловую петлю, уберите угол." promptTitle="Введите угол." sqref="C5 C53" xr:uid="{00000000-0002-0000-0300-000000000000}">
      <formula1>$N$38:$N$47</formula1>
    </dataValidation>
    <dataValidation type="list" allowBlank="1" showInputMessage="1" showErrorMessage="1" promptTitle="Выбираем петлю:" prompt="Со встроенным доводчиком или без" sqref="B5 B53" xr:uid="{00000000-0002-0000-0300-000001000000}">
      <formula1>$N$14:$N$15</formula1>
    </dataValidation>
    <dataValidation type="list" allowBlank="1" showInputMessage="1" showErrorMessage="1" sqref="D6" xr:uid="{00000000-0002-0000-0300-000002000000}">
      <formula1>$L$6:$L$9</formula1>
    </dataValidation>
    <dataValidation type="list" allowBlank="1" showInputMessage="1" showErrorMessage="1" sqref="D53" xr:uid="{00000000-0002-0000-0300-000003000000}">
      <formula1>$N$24:$N$28</formula1>
    </dataValidation>
    <dataValidation type="list" allowBlank="1" showInputMessage="1" showErrorMessage="1" sqref="D5" xr:uid="{00000000-0002-0000-0300-000004000000}">
      <formula1>$N$17:$N$23</formula1>
    </dataValidation>
    <dataValidation type="list" allowBlank="1" showInputMessage="1" showErrorMessage="1" sqref="D54" xr:uid="{00000000-0002-0000-0300-000005000000}">
      <formula1>$L$54:$L$55</formula1>
    </dataValidation>
  </dataValidations>
  <pageMargins left="0.75" right="0.75" top="1" bottom="1" header="0.5" footer="0.5"/>
  <pageSetup paperSize="9" orientation="portrait" r:id="rId2"/>
  <headerFooter alignWithMargins="0"/>
  <ignoredErrors>
    <ignoredError sqref="D9" formula="1"/>
  </ignoredErrors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4"/>
  <dimension ref="A1:AO82"/>
  <sheetViews>
    <sheetView workbookViewId="0"/>
  </sheetViews>
  <sheetFormatPr defaultColWidth="9.140625" defaultRowHeight="12.75" x14ac:dyDescent="0.2"/>
  <cols>
    <col min="1" max="1" width="3.5703125" customWidth="1"/>
    <col min="2" max="2" width="33.140625" customWidth="1"/>
    <col min="4" max="4" width="41.5703125" customWidth="1"/>
    <col min="5" max="5" width="2.7109375" style="10" customWidth="1"/>
    <col min="6" max="6" width="9.140625" hidden="1" customWidth="1"/>
    <col min="8" max="41" width="9.140625" style="771"/>
  </cols>
  <sheetData>
    <row r="1" spans="1:41" s="770" customFormat="1" ht="9" customHeight="1" thickBot="1" x14ac:dyDescent="0.25">
      <c r="E1" s="773"/>
    </row>
    <row r="2" spans="1:41" ht="20.25" x14ac:dyDescent="0.2">
      <c r="A2" s="8"/>
      <c r="B2" s="2015" t="s">
        <v>1667</v>
      </c>
      <c r="C2" s="2016"/>
      <c r="D2" s="2016"/>
      <c r="E2" s="2016"/>
      <c r="F2" s="371"/>
      <c r="G2" s="372"/>
    </row>
    <row r="3" spans="1:41" ht="20.25" x14ac:dyDescent="0.2">
      <c r="A3" s="17"/>
      <c r="B3" s="2018"/>
      <c r="C3" s="2019"/>
      <c r="D3" s="2019"/>
      <c r="E3" s="2019"/>
      <c r="F3" s="373"/>
      <c r="G3" s="374"/>
    </row>
    <row r="4" spans="1:41" x14ac:dyDescent="0.2">
      <c r="A4" s="17"/>
      <c r="B4" s="2041" t="s">
        <v>206</v>
      </c>
      <c r="C4" s="2042"/>
      <c r="D4" s="2042"/>
      <c r="E4" s="2042"/>
      <c r="F4" s="81"/>
      <c r="G4" s="375"/>
    </row>
    <row r="5" spans="1:41" ht="15" x14ac:dyDescent="0.2">
      <c r="A5" s="17"/>
      <c r="B5" s="2043" t="s">
        <v>1668</v>
      </c>
      <c r="C5" s="2044"/>
      <c r="D5" s="2044"/>
      <c r="E5" s="2044"/>
      <c r="F5" s="82"/>
      <c r="G5" s="1437" t="str">
        <f>IF(СОДЕРЖАНИЕ!P2=1,"EUR","RUB")</f>
        <v>RUB</v>
      </c>
    </row>
    <row r="6" spans="1:41" x14ac:dyDescent="0.2">
      <c r="A6" s="17"/>
      <c r="B6" s="2054"/>
      <c r="C6" s="22" t="s">
        <v>826</v>
      </c>
      <c r="D6" s="2" t="str">
        <f t="shared" ref="D6:D17" si="0">VLOOKUP(C6,всецены,2,FALSE)</f>
        <v xml:space="preserve">MDL, Петля накл, 170 гр. 91A6550        </v>
      </c>
      <c r="E6" s="3">
        <v>1</v>
      </c>
      <c r="F6" s="65">
        <f t="shared" ref="F6:F17" si="1">VLOOKUP(C6,всецены,4,FALSE)</f>
        <v>165.8953296</v>
      </c>
      <c r="G6" s="377">
        <f t="shared" ref="G6:G17" si="2">F6*E6</f>
        <v>165.8953296</v>
      </c>
    </row>
    <row r="7" spans="1:41" x14ac:dyDescent="0.2">
      <c r="A7" s="17"/>
      <c r="B7" s="2055"/>
      <c r="C7" s="22" t="s">
        <v>830</v>
      </c>
      <c r="D7" s="2" t="str">
        <f t="shared" si="0"/>
        <v xml:space="preserve">MDL, Петля угл 45+, 107 гр.   99M1550   </v>
      </c>
      <c r="E7" s="3">
        <v>1</v>
      </c>
      <c r="F7" s="65">
        <f t="shared" si="1"/>
        <v>187.85206439999999</v>
      </c>
      <c r="G7" s="377">
        <f t="shared" si="2"/>
        <v>187.85206439999999</v>
      </c>
    </row>
    <row r="8" spans="1:41" x14ac:dyDescent="0.2">
      <c r="A8" s="17"/>
      <c r="B8" s="2055"/>
      <c r="C8" s="22" t="s">
        <v>1322</v>
      </c>
      <c r="D8" s="2" t="str">
        <f t="shared" si="0"/>
        <v>MDL, Петля накл д/проф дв, 95 гр,91M9550</v>
      </c>
      <c r="E8" s="3">
        <v>1</v>
      </c>
      <c r="F8" s="65">
        <f t="shared" si="1"/>
        <v>102.46476240000001</v>
      </c>
      <c r="G8" s="377">
        <f t="shared" si="2"/>
        <v>102.46476240000001</v>
      </c>
    </row>
    <row r="9" spans="1:41" x14ac:dyDescent="0.2">
      <c r="A9" s="17"/>
      <c r="B9" s="2055"/>
      <c r="C9" s="22" t="s">
        <v>1783</v>
      </c>
      <c r="D9" s="2" t="str">
        <f t="shared" si="0"/>
        <v xml:space="preserve">MDL, Петля накл, 100 гр. 91M2550        </v>
      </c>
      <c r="E9" s="3">
        <v>1</v>
      </c>
      <c r="F9" s="65">
        <f t="shared" si="1"/>
        <v>33.341708400000002</v>
      </c>
      <c r="G9" s="377">
        <f t="shared" si="2"/>
        <v>33.341708400000002</v>
      </c>
    </row>
    <row r="10" spans="1:41" x14ac:dyDescent="0.2">
      <c r="A10" s="17"/>
      <c r="B10" s="2055"/>
      <c r="C10" s="22" t="s">
        <v>1784</v>
      </c>
      <c r="D10" s="2" t="str">
        <f t="shared" si="0"/>
        <v xml:space="preserve">MDL, Петля смежн, 100 гр.  91M2650      </v>
      </c>
      <c r="E10" s="3">
        <v>1</v>
      </c>
      <c r="F10" s="65">
        <f t="shared" si="1"/>
        <v>44.726682000000004</v>
      </c>
      <c r="G10" s="377">
        <f t="shared" si="2"/>
        <v>44.726682000000004</v>
      </c>
    </row>
    <row r="11" spans="1:41" x14ac:dyDescent="0.2">
      <c r="A11" s="17"/>
      <c r="B11" s="2055"/>
      <c r="C11" s="22" t="s">
        <v>935</v>
      </c>
      <c r="D11" s="2" t="str">
        <f t="shared" si="0"/>
        <v xml:space="preserve">MDL, Петля вкл, 100 гр.  91M2750        </v>
      </c>
      <c r="E11" s="80">
        <v>1</v>
      </c>
      <c r="F11" s="65">
        <f t="shared" si="1"/>
        <v>43.100257200000001</v>
      </c>
      <c r="G11" s="377">
        <f t="shared" si="2"/>
        <v>43.100257200000001</v>
      </c>
    </row>
    <row r="12" spans="1:41" x14ac:dyDescent="0.2">
      <c r="A12" s="17"/>
      <c r="B12" s="2055"/>
      <c r="C12" s="22" t="s">
        <v>1773</v>
      </c>
      <c r="D12" s="2" t="str">
        <f t="shared" si="0"/>
        <v>MDL, Петля п/фальшпан п/с 95 гр. 99M9550</v>
      </c>
      <c r="E12" s="80">
        <v>1</v>
      </c>
      <c r="F12" s="65">
        <f t="shared" si="1"/>
        <v>182.97279</v>
      </c>
      <c r="G12" s="377">
        <f t="shared" si="2"/>
        <v>182.97279</v>
      </c>
    </row>
    <row r="13" spans="1:41" x14ac:dyDescent="0.2">
      <c r="A13" s="17"/>
      <c r="B13" s="2055"/>
      <c r="C13" s="22" t="s">
        <v>860</v>
      </c>
      <c r="D13" s="2" t="str">
        <f t="shared" si="0"/>
        <v xml:space="preserve">MPL MODUL, подъем 3 мм, С/В, 14/32      </v>
      </c>
      <c r="E13" s="80">
        <v>1</v>
      </c>
      <c r="F13" s="65">
        <f t="shared" si="1"/>
        <v>43.913469600000006</v>
      </c>
      <c r="G13" s="377">
        <f t="shared" si="2"/>
        <v>43.913469600000006</v>
      </c>
    </row>
    <row r="14" spans="1:41" x14ac:dyDescent="0.2">
      <c r="A14" s="17"/>
      <c r="B14" s="2055"/>
      <c r="C14" s="22" t="s">
        <v>499</v>
      </c>
      <c r="D14" s="2" t="str">
        <f t="shared" si="0"/>
        <v>MDL, Петля дв холод п/прес,94 гр,7396950</v>
      </c>
      <c r="E14" s="80">
        <v>1</v>
      </c>
      <c r="F14" s="65">
        <f t="shared" si="1"/>
        <v>163.45569239999998</v>
      </c>
      <c r="G14" s="377">
        <f t="shared" si="2"/>
        <v>163.45569239999998</v>
      </c>
    </row>
    <row r="15" spans="1:41" s="1581" customFormat="1" x14ac:dyDescent="0.2">
      <c r="A15" s="17"/>
      <c r="B15" s="2055"/>
      <c r="C15" s="1611" t="s">
        <v>1809</v>
      </c>
      <c r="D15" s="2" t="str">
        <f>VLOOKUP(C15,всецены,2,FALSE)</f>
        <v>MDL, Петля дв холод п/самор,95гр,91K9550</v>
      </c>
      <c r="E15" s="80">
        <v>1</v>
      </c>
      <c r="F15" s="65">
        <f t="shared" si="1"/>
        <v>120.35543520000002</v>
      </c>
      <c r="G15" s="377">
        <f t="shared" si="2"/>
        <v>120.35543520000002</v>
      </c>
      <c r="H15" s="771"/>
      <c r="I15" s="771"/>
      <c r="J15" s="771"/>
      <c r="K15" s="771"/>
      <c r="L15" s="771"/>
      <c r="M15" s="771"/>
      <c r="N15" s="771"/>
      <c r="O15" s="771"/>
      <c r="P15" s="771"/>
      <c r="Q15" s="771"/>
      <c r="R15" s="771"/>
      <c r="S15" s="771"/>
      <c r="T15" s="771"/>
      <c r="U15" s="771"/>
      <c r="V15" s="771"/>
      <c r="W15" s="771"/>
      <c r="X15" s="771"/>
      <c r="Y15" s="771"/>
      <c r="Z15" s="771"/>
      <c r="AA15" s="771"/>
      <c r="AB15" s="771"/>
      <c r="AC15" s="771"/>
      <c r="AD15" s="771"/>
      <c r="AE15" s="771"/>
      <c r="AF15" s="771"/>
      <c r="AG15" s="771"/>
      <c r="AH15" s="771"/>
      <c r="AI15" s="771"/>
      <c r="AJ15" s="771"/>
      <c r="AK15" s="771"/>
      <c r="AL15" s="771"/>
      <c r="AM15" s="771"/>
      <c r="AN15" s="771"/>
      <c r="AO15" s="771"/>
    </row>
    <row r="16" spans="1:41" x14ac:dyDescent="0.2">
      <c r="A16" s="17"/>
      <c r="B16" s="2055"/>
      <c r="C16" s="682" t="s">
        <v>103</v>
      </c>
      <c r="D16" s="2" t="str">
        <f t="shared" si="0"/>
        <v xml:space="preserve">MDL, Петля п/фальшпан c BM. 99B9550     </v>
      </c>
      <c r="E16" s="80">
        <v>1</v>
      </c>
      <c r="F16" s="65">
        <f t="shared" si="1"/>
        <v>272.426154</v>
      </c>
      <c r="G16" s="377">
        <f t="shared" si="2"/>
        <v>272.426154</v>
      </c>
    </row>
    <row r="17" spans="1:41" ht="13.5" thickBot="1" x14ac:dyDescent="0.25">
      <c r="A17" s="17"/>
      <c r="B17" s="2056"/>
      <c r="C17" s="380" t="s">
        <v>822</v>
      </c>
      <c r="D17" s="353" t="str">
        <f t="shared" si="0"/>
        <v xml:space="preserve">MDL, Загл. с лого MDL/Clip 90M2503.BP   </v>
      </c>
      <c r="E17" s="381">
        <v>1</v>
      </c>
      <c r="F17" s="382">
        <f t="shared" si="1"/>
        <v>4.0660620000000005</v>
      </c>
      <c r="G17" s="383">
        <f t="shared" si="2"/>
        <v>4.0660620000000005</v>
      </c>
    </row>
    <row r="18" spans="1:41" ht="13.5" thickBot="1" x14ac:dyDescent="0.25">
      <c r="A18" s="17"/>
      <c r="B18" s="17"/>
      <c r="C18" s="75"/>
      <c r="D18" s="358"/>
      <c r="E18" s="169"/>
      <c r="F18" s="79"/>
      <c r="G18" s="339"/>
    </row>
    <row r="19" spans="1:41" ht="15" x14ac:dyDescent="0.2">
      <c r="A19" s="17"/>
      <c r="B19" s="2057" t="s">
        <v>1669</v>
      </c>
      <c r="C19" s="2058"/>
      <c r="D19" s="2058"/>
      <c r="E19" s="2058"/>
      <c r="F19" s="384"/>
      <c r="G19" s="385" t="str">
        <f>IF(СОДЕРЖАНИЕ!P2=1,"EUR","RUB")</f>
        <v>RUB</v>
      </c>
    </row>
    <row r="20" spans="1:41" ht="15" customHeight="1" x14ac:dyDescent="0.2">
      <c r="A20" s="17"/>
      <c r="B20" s="386"/>
      <c r="C20" s="22" t="s">
        <v>860</v>
      </c>
      <c r="D20" s="21" t="str">
        <f t="shared" ref="D20:D25" si="3">VLOOKUP(C20,всецены,2,FALSE)</f>
        <v xml:space="preserve">MPL MODUL, подъем 3 мм, С/В, 14/32      </v>
      </c>
      <c r="E20" s="3">
        <v>1</v>
      </c>
      <c r="F20" s="12">
        <f t="shared" ref="F20:F25" si="4">VLOOKUP(C20,всецены,4,FALSE)</f>
        <v>43.913469600000006</v>
      </c>
      <c r="G20" s="387">
        <f t="shared" ref="G20:G25" si="5">F20*E20</f>
        <v>43.913469600000006</v>
      </c>
    </row>
    <row r="21" spans="1:41" s="1581" customFormat="1" ht="15" customHeight="1" x14ac:dyDescent="0.2">
      <c r="A21" s="17"/>
      <c r="B21" s="388"/>
      <c r="C21" s="1612" t="s">
        <v>1311</v>
      </c>
      <c r="D21" s="21" t="str">
        <f t="shared" si="3"/>
        <v xml:space="preserve">MPL MODUL, подъем 0 мм, 194K6100E, V500 </v>
      </c>
      <c r="E21" s="3">
        <v>1</v>
      </c>
      <c r="F21" s="12">
        <f t="shared" si="4"/>
        <v>32.528496000000004</v>
      </c>
      <c r="G21" s="387">
        <f t="shared" si="5"/>
        <v>32.528496000000004</v>
      </c>
      <c r="H21" s="771"/>
      <c r="I21" s="771"/>
      <c r="J21" s="771"/>
      <c r="K21" s="771"/>
      <c r="L21" s="771"/>
      <c r="M21" s="771"/>
      <c r="N21" s="771"/>
      <c r="O21" s="771"/>
      <c r="P21" s="771"/>
      <c r="Q21" s="771"/>
      <c r="R21" s="771"/>
      <c r="S21" s="771"/>
      <c r="T21" s="771"/>
      <c r="U21" s="771"/>
      <c r="V21" s="771"/>
      <c r="W21" s="771"/>
      <c r="X21" s="771"/>
      <c r="Y21" s="771"/>
      <c r="Z21" s="771"/>
      <c r="AA21" s="771"/>
      <c r="AB21" s="771"/>
      <c r="AC21" s="771"/>
      <c r="AD21" s="771"/>
      <c r="AE21" s="771"/>
      <c r="AF21" s="771"/>
      <c r="AG21" s="771"/>
      <c r="AH21" s="771"/>
      <c r="AI21" s="771"/>
      <c r="AJ21" s="771"/>
      <c r="AK21" s="771"/>
      <c r="AL21" s="771"/>
      <c r="AM21" s="771"/>
      <c r="AN21" s="771"/>
      <c r="AO21" s="771"/>
    </row>
    <row r="22" spans="1:41" ht="15" customHeight="1" x14ac:dyDescent="0.2">
      <c r="A22" s="17"/>
      <c r="B22" s="388"/>
      <c r="C22" s="22" t="s">
        <v>1688</v>
      </c>
      <c r="D22" s="21" t="str">
        <f t="shared" si="3"/>
        <v xml:space="preserve">MPL MODUL, подъем 0 мм, с/в, 28/32      </v>
      </c>
      <c r="E22" s="3">
        <v>1</v>
      </c>
      <c r="F22" s="12">
        <f t="shared" si="4"/>
        <v>20.330310000000001</v>
      </c>
      <c r="G22" s="387">
        <f t="shared" si="5"/>
        <v>20.330310000000001</v>
      </c>
    </row>
    <row r="23" spans="1:41" ht="15" customHeight="1" x14ac:dyDescent="0.2">
      <c r="A23" s="17"/>
      <c r="B23" s="388"/>
      <c r="C23" s="22" t="s">
        <v>114</v>
      </c>
      <c r="D23" s="21" t="str">
        <f t="shared" si="3"/>
        <v xml:space="preserve">MPL MODUL, подъем 0 мм, с/в, 37/32      </v>
      </c>
      <c r="E23" s="3">
        <v>1</v>
      </c>
      <c r="F23" s="12">
        <f t="shared" si="4"/>
        <v>14.637823200000001</v>
      </c>
      <c r="G23" s="387">
        <f t="shared" si="5"/>
        <v>14.637823200000001</v>
      </c>
    </row>
    <row r="24" spans="1:41" ht="15" customHeight="1" x14ac:dyDescent="0.2">
      <c r="A24" s="17"/>
      <c r="B24" s="388"/>
      <c r="C24" s="22" t="s">
        <v>113</v>
      </c>
      <c r="D24" s="21" t="str">
        <f t="shared" si="3"/>
        <v xml:space="preserve">MPL MODUL, подъем 0 мм, без винтов      </v>
      </c>
      <c r="E24" s="3">
        <v>1</v>
      </c>
      <c r="F24" s="12">
        <f t="shared" si="4"/>
        <v>10.571761200000001</v>
      </c>
      <c r="G24" s="387">
        <f t="shared" si="5"/>
        <v>10.571761200000001</v>
      </c>
    </row>
    <row r="25" spans="1:41" ht="15" customHeight="1" thickBot="1" x14ac:dyDescent="0.25">
      <c r="A25" s="17"/>
      <c r="B25" s="389"/>
      <c r="C25" s="380" t="s">
        <v>1717</v>
      </c>
      <c r="D25" s="354" t="str">
        <f t="shared" si="3"/>
        <v xml:space="preserve">MPL MODUL, подъем 3 мм, без винтов      </v>
      </c>
      <c r="E25" s="355">
        <v>1</v>
      </c>
      <c r="F25" s="356">
        <f t="shared" si="4"/>
        <v>14.637823200000001</v>
      </c>
      <c r="G25" s="390">
        <f t="shared" si="5"/>
        <v>14.637823200000001</v>
      </c>
    </row>
    <row r="26" spans="1:41" ht="18.75" customHeight="1" x14ac:dyDescent="0.2">
      <c r="A26" s="17"/>
      <c r="B26" s="17"/>
      <c r="C26" s="17"/>
      <c r="D26" s="17"/>
      <c r="E26" s="344"/>
      <c r="F26" s="8"/>
      <c r="G26" s="392"/>
    </row>
    <row r="27" spans="1:41" s="771" customFormat="1" x14ac:dyDescent="0.2">
      <c r="E27" s="774"/>
    </row>
    <row r="28" spans="1:41" s="771" customFormat="1" x14ac:dyDescent="0.2">
      <c r="E28" s="774"/>
    </row>
    <row r="29" spans="1:41" s="771" customFormat="1" x14ac:dyDescent="0.2">
      <c r="E29" s="774"/>
    </row>
    <row r="30" spans="1:41" s="771" customFormat="1" x14ac:dyDescent="0.2">
      <c r="E30" s="774"/>
    </row>
    <row r="31" spans="1:41" s="771" customFormat="1" x14ac:dyDescent="0.2">
      <c r="E31" s="774"/>
    </row>
    <row r="32" spans="1:41" s="771" customFormat="1" x14ac:dyDescent="0.2">
      <c r="E32" s="774"/>
    </row>
    <row r="33" spans="5:5" s="771" customFormat="1" x14ac:dyDescent="0.2">
      <c r="E33" s="774"/>
    </row>
    <row r="34" spans="5:5" s="771" customFormat="1" x14ac:dyDescent="0.2">
      <c r="E34" s="774"/>
    </row>
    <row r="35" spans="5:5" s="771" customFormat="1" x14ac:dyDescent="0.2">
      <c r="E35" s="774"/>
    </row>
    <row r="36" spans="5:5" s="771" customFormat="1" x14ac:dyDescent="0.2">
      <c r="E36" s="774"/>
    </row>
    <row r="37" spans="5:5" s="771" customFormat="1" x14ac:dyDescent="0.2">
      <c r="E37" s="774"/>
    </row>
    <row r="38" spans="5:5" s="771" customFormat="1" x14ac:dyDescent="0.2">
      <c r="E38" s="774"/>
    </row>
    <row r="39" spans="5:5" s="771" customFormat="1" x14ac:dyDescent="0.2">
      <c r="E39" s="774"/>
    </row>
    <row r="40" spans="5:5" s="771" customFormat="1" x14ac:dyDescent="0.2">
      <c r="E40" s="774"/>
    </row>
    <row r="41" spans="5:5" s="771" customFormat="1" x14ac:dyDescent="0.2">
      <c r="E41" s="774"/>
    </row>
    <row r="42" spans="5:5" s="771" customFormat="1" x14ac:dyDescent="0.2">
      <c r="E42" s="774"/>
    </row>
    <row r="43" spans="5:5" s="771" customFormat="1" x14ac:dyDescent="0.2">
      <c r="E43" s="774"/>
    </row>
    <row r="44" spans="5:5" s="771" customFormat="1" x14ac:dyDescent="0.2">
      <c r="E44" s="774"/>
    </row>
    <row r="45" spans="5:5" s="771" customFormat="1" x14ac:dyDescent="0.2">
      <c r="E45" s="774"/>
    </row>
    <row r="46" spans="5:5" s="771" customFormat="1" x14ac:dyDescent="0.2">
      <c r="E46" s="774"/>
    </row>
    <row r="47" spans="5:5" s="771" customFormat="1" x14ac:dyDescent="0.2">
      <c r="E47" s="774"/>
    </row>
    <row r="48" spans="5:5" s="771" customFormat="1" x14ac:dyDescent="0.2">
      <c r="E48" s="774"/>
    </row>
    <row r="49" spans="5:5" s="771" customFormat="1" x14ac:dyDescent="0.2">
      <c r="E49" s="774"/>
    </row>
    <row r="50" spans="5:5" s="771" customFormat="1" x14ac:dyDescent="0.2">
      <c r="E50" s="774"/>
    </row>
    <row r="51" spans="5:5" s="771" customFormat="1" x14ac:dyDescent="0.2">
      <c r="E51" s="774"/>
    </row>
    <row r="52" spans="5:5" s="771" customFormat="1" x14ac:dyDescent="0.2">
      <c r="E52" s="774"/>
    </row>
    <row r="53" spans="5:5" s="771" customFormat="1" x14ac:dyDescent="0.2">
      <c r="E53" s="774"/>
    </row>
    <row r="54" spans="5:5" s="771" customFormat="1" x14ac:dyDescent="0.2">
      <c r="E54" s="774"/>
    </row>
    <row r="55" spans="5:5" s="771" customFormat="1" x14ac:dyDescent="0.2">
      <c r="E55" s="774"/>
    </row>
    <row r="56" spans="5:5" s="771" customFormat="1" x14ac:dyDescent="0.2">
      <c r="E56" s="774"/>
    </row>
    <row r="57" spans="5:5" s="771" customFormat="1" x14ac:dyDescent="0.2">
      <c r="E57" s="774"/>
    </row>
    <row r="58" spans="5:5" s="771" customFormat="1" x14ac:dyDescent="0.2">
      <c r="E58" s="774"/>
    </row>
    <row r="59" spans="5:5" s="771" customFormat="1" x14ac:dyDescent="0.2">
      <c r="E59" s="774"/>
    </row>
    <row r="60" spans="5:5" s="771" customFormat="1" x14ac:dyDescent="0.2">
      <c r="E60" s="774"/>
    </row>
    <row r="61" spans="5:5" s="771" customFormat="1" x14ac:dyDescent="0.2">
      <c r="E61" s="774"/>
    </row>
    <row r="62" spans="5:5" s="771" customFormat="1" x14ac:dyDescent="0.2">
      <c r="E62" s="774"/>
    </row>
    <row r="63" spans="5:5" s="771" customFormat="1" x14ac:dyDescent="0.2">
      <c r="E63" s="774"/>
    </row>
    <row r="64" spans="5:5" s="771" customFormat="1" x14ac:dyDescent="0.2">
      <c r="E64" s="774"/>
    </row>
    <row r="65" spans="5:5" s="771" customFormat="1" x14ac:dyDescent="0.2">
      <c r="E65" s="774"/>
    </row>
    <row r="66" spans="5:5" s="771" customFormat="1" x14ac:dyDescent="0.2">
      <c r="E66" s="774"/>
    </row>
    <row r="67" spans="5:5" s="771" customFormat="1" x14ac:dyDescent="0.2">
      <c r="E67" s="774"/>
    </row>
    <row r="68" spans="5:5" s="771" customFormat="1" x14ac:dyDescent="0.2">
      <c r="E68" s="774"/>
    </row>
    <row r="69" spans="5:5" s="771" customFormat="1" x14ac:dyDescent="0.2">
      <c r="E69" s="774"/>
    </row>
    <row r="70" spans="5:5" s="771" customFormat="1" x14ac:dyDescent="0.2">
      <c r="E70" s="774"/>
    </row>
    <row r="71" spans="5:5" s="771" customFormat="1" x14ac:dyDescent="0.2">
      <c r="E71" s="774"/>
    </row>
    <row r="72" spans="5:5" s="771" customFormat="1" x14ac:dyDescent="0.2">
      <c r="E72" s="774"/>
    </row>
    <row r="73" spans="5:5" s="771" customFormat="1" x14ac:dyDescent="0.2">
      <c r="E73" s="774"/>
    </row>
    <row r="74" spans="5:5" s="771" customFormat="1" x14ac:dyDescent="0.2">
      <c r="E74" s="774"/>
    </row>
    <row r="75" spans="5:5" s="771" customFormat="1" x14ac:dyDescent="0.2">
      <c r="E75" s="774"/>
    </row>
    <row r="76" spans="5:5" s="771" customFormat="1" x14ac:dyDescent="0.2">
      <c r="E76" s="774"/>
    </row>
    <row r="77" spans="5:5" s="771" customFormat="1" x14ac:dyDescent="0.2">
      <c r="E77" s="774"/>
    </row>
    <row r="78" spans="5:5" s="771" customFormat="1" x14ac:dyDescent="0.2">
      <c r="E78" s="774"/>
    </row>
    <row r="79" spans="5:5" s="771" customFormat="1" x14ac:dyDescent="0.2">
      <c r="E79" s="774"/>
    </row>
    <row r="80" spans="5:5" s="771" customFormat="1" x14ac:dyDescent="0.2">
      <c r="E80" s="774"/>
    </row>
    <row r="81" spans="5:5" s="771" customFormat="1" x14ac:dyDescent="0.2">
      <c r="E81" s="774"/>
    </row>
    <row r="82" spans="5:5" s="771" customFormat="1" x14ac:dyDescent="0.2">
      <c r="E82" s="774"/>
    </row>
  </sheetData>
  <customSheetViews>
    <customSheetView guid="{788B8383-784A-4263-9D04-45657AC129FF}" hiddenColumns="1">
      <pageMargins left="0.7" right="0.7" top="0.75" bottom="0.75" header="0.3" footer="0.3"/>
    </customSheetView>
  </customSheetViews>
  <mergeCells count="5">
    <mergeCell ref="B6:B17"/>
    <mergeCell ref="B2:E3"/>
    <mergeCell ref="B4:E4"/>
    <mergeCell ref="B5:E5"/>
    <mergeCell ref="B19:E19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5"/>
  <dimension ref="A1:BL215"/>
  <sheetViews>
    <sheetView showGridLines="0" workbookViewId="0">
      <pane ySplit="4" topLeftCell="A5" activePane="bottomLeft" state="frozen"/>
      <selection pane="bottomLeft" activeCell="C9" sqref="C9"/>
    </sheetView>
  </sheetViews>
  <sheetFormatPr defaultRowHeight="12.75" x14ac:dyDescent="0.2"/>
  <cols>
    <col min="1" max="1" width="3.7109375" style="8" customWidth="1"/>
    <col min="2" max="2" width="26.140625" customWidth="1"/>
    <col min="3" max="3" width="8.5703125" bestFit="1" customWidth="1"/>
    <col min="4" max="4" width="42.140625" customWidth="1"/>
    <col min="5" max="5" width="3.42578125" style="10" bestFit="1" customWidth="1"/>
    <col min="6" max="6" width="9.140625" hidden="1" customWidth="1"/>
    <col min="7" max="7" width="6.5703125" bestFit="1" customWidth="1"/>
    <col min="8" max="8" width="9.140625" style="9"/>
    <col min="9" max="9" width="1.7109375" style="31" customWidth="1"/>
    <col min="10" max="10" width="3.7109375" style="8" customWidth="1"/>
    <col min="11" max="11" width="1.7109375" style="8" customWidth="1"/>
    <col min="12" max="12" width="3.7109375" style="8" customWidth="1"/>
    <col min="13" max="13" width="4" style="8" hidden="1" customWidth="1"/>
    <col min="14" max="17" width="8.5703125" style="8" hidden="1" customWidth="1"/>
    <col min="18" max="19" width="9.140625" style="8"/>
    <col min="20" max="20" width="2.7109375" style="8" customWidth="1"/>
    <col min="21" max="21" width="9.140625" style="8"/>
    <col min="22" max="26" width="0" style="8" hidden="1" customWidth="1"/>
    <col min="27" max="39" width="9.140625" style="8"/>
  </cols>
  <sheetData>
    <row r="1" spans="1:64" s="8" customFormat="1" ht="3.75" customHeight="1" x14ac:dyDescent="0.2">
      <c r="E1" s="53"/>
      <c r="H1" s="31"/>
      <c r="I1" s="31"/>
    </row>
    <row r="2" spans="1:64" s="771" customFormat="1" ht="6" customHeight="1" thickBot="1" x14ac:dyDescent="0.25">
      <c r="A2" s="1143"/>
      <c r="B2" s="916"/>
      <c r="C2" s="916"/>
      <c r="D2" s="916"/>
      <c r="E2" s="1144"/>
      <c r="F2" s="916"/>
      <c r="G2" s="1145"/>
      <c r="H2" s="887"/>
      <c r="BG2" s="782"/>
      <c r="BH2" s="782"/>
      <c r="BI2" s="782"/>
      <c r="BJ2" s="782"/>
      <c r="BK2" s="782"/>
      <c r="BL2" s="782"/>
    </row>
    <row r="3" spans="1:64" s="771" customFormat="1" ht="15" x14ac:dyDescent="0.2">
      <c r="A3" s="1143"/>
      <c r="B3" s="1643" t="s">
        <v>5082</v>
      </c>
      <c r="C3" s="1164"/>
      <c r="D3" s="1164"/>
      <c r="E3" s="1147"/>
      <c r="F3" s="1146"/>
      <c r="G3" s="1148"/>
      <c r="H3" s="1149"/>
      <c r="BG3" s="782"/>
      <c r="BH3" s="782"/>
      <c r="BI3" s="782"/>
      <c r="BJ3" s="782"/>
      <c r="BK3" s="782"/>
      <c r="BL3" s="782"/>
    </row>
    <row r="4" spans="1:64" s="1128" customFormat="1" ht="20.25" customHeight="1" thickBot="1" x14ac:dyDescent="0.35">
      <c r="B4" s="1308" t="s">
        <v>2402</v>
      </c>
      <c r="C4" s="1273" t="s">
        <v>3173</v>
      </c>
      <c r="D4" s="1165" t="s">
        <v>2357</v>
      </c>
      <c r="E4" s="1365">
        <f>$D$3</f>
        <v>0</v>
      </c>
      <c r="F4" s="1150"/>
      <c r="G4" s="1166">
        <f>$D$3</f>
        <v>0</v>
      </c>
      <c r="H4" s="1167">
        <f>$D$3</f>
        <v>0</v>
      </c>
      <c r="BG4" s="1129"/>
      <c r="BH4" s="1129"/>
      <c r="BI4" s="1129"/>
      <c r="BJ4" s="1129"/>
      <c r="BK4" s="1129"/>
      <c r="BL4" s="1129"/>
    </row>
    <row r="5" spans="1:64" s="8" customFormat="1" ht="9.75" customHeight="1" thickBot="1" x14ac:dyDescent="0.25">
      <c r="E5" s="1583"/>
      <c r="H5" s="31"/>
      <c r="I5" s="31"/>
    </row>
    <row r="6" spans="1:64" ht="19.350000000000001" customHeight="1" x14ac:dyDescent="0.2">
      <c r="B6" s="2015" t="s">
        <v>335</v>
      </c>
      <c r="C6" s="2016"/>
      <c r="D6" s="2016"/>
      <c r="E6" s="2016"/>
      <c r="F6" s="2016"/>
      <c r="G6" s="2016"/>
      <c r="H6" s="400"/>
      <c r="I6" s="394"/>
      <c r="N6" s="8" t="s">
        <v>2357</v>
      </c>
      <c r="O6" s="8" t="s">
        <v>5083</v>
      </c>
    </row>
    <row r="7" spans="1:64" ht="19.350000000000001" customHeight="1" x14ac:dyDescent="0.2">
      <c r="A7" s="17"/>
      <c r="B7" s="2018"/>
      <c r="C7" s="2019"/>
      <c r="D7" s="2019"/>
      <c r="E7" s="2019"/>
      <c r="F7" s="2019"/>
      <c r="G7" s="2019"/>
      <c r="H7" s="401"/>
      <c r="I7" s="394"/>
      <c r="M7" s="53" t="s">
        <v>1640</v>
      </c>
      <c r="N7" s="53" t="s">
        <v>1340</v>
      </c>
      <c r="O7" s="53" t="s">
        <v>1341</v>
      </c>
      <c r="P7" s="53" t="s">
        <v>1342</v>
      </c>
      <c r="Q7" s="53" t="s">
        <v>1343</v>
      </c>
      <c r="V7" s="1583" t="s">
        <v>1640</v>
      </c>
      <c r="W7" s="1583" t="s">
        <v>1340</v>
      </c>
      <c r="X7" s="1583" t="s">
        <v>1341</v>
      </c>
      <c r="Y7" s="1583" t="s">
        <v>1342</v>
      </c>
      <c r="Z7" s="1583" t="s">
        <v>1343</v>
      </c>
    </row>
    <row r="8" spans="1:64" x14ac:dyDescent="0.2">
      <c r="A8" s="17"/>
      <c r="B8" s="419" t="s">
        <v>635</v>
      </c>
      <c r="C8" s="130"/>
      <c r="D8" s="2080" t="s">
        <v>2157</v>
      </c>
      <c r="E8" s="2080"/>
      <c r="F8" s="2080"/>
      <c r="G8" s="2080"/>
      <c r="H8" s="406"/>
      <c r="K8" s="53"/>
      <c r="L8" s="53"/>
      <c r="M8" s="8">
        <v>450</v>
      </c>
      <c r="N8" s="22" t="s">
        <v>2186</v>
      </c>
      <c r="O8" s="22" t="s">
        <v>1313</v>
      </c>
      <c r="P8" s="2" t="s">
        <v>1796</v>
      </c>
      <c r="Q8" s="2" t="s">
        <v>1797</v>
      </c>
      <c r="V8" s="8">
        <v>450</v>
      </c>
      <c r="W8" s="8" t="s">
        <v>2696</v>
      </c>
      <c r="X8" s="8" t="s">
        <v>2695</v>
      </c>
      <c r="Y8" s="8" t="s">
        <v>1798</v>
      </c>
      <c r="Z8" s="8" t="s">
        <v>1799</v>
      </c>
    </row>
    <row r="9" spans="1:64" ht="15.75" thickBot="1" x14ac:dyDescent="0.25">
      <c r="A9" s="17"/>
      <c r="B9" s="410" t="s">
        <v>1639</v>
      </c>
      <c r="C9" s="98">
        <v>500</v>
      </c>
      <c r="D9" s="73" t="s">
        <v>1689</v>
      </c>
      <c r="E9" s="73"/>
      <c r="F9" s="73"/>
      <c r="G9" s="73"/>
      <c r="H9" s="376" t="str">
        <f>IF(СОДЕРЖАНИЕ!P2=1,"EUR","RUB")</f>
        <v>RUB</v>
      </c>
      <c r="I9" s="395"/>
      <c r="M9" s="8">
        <v>500</v>
      </c>
      <c r="N9" s="2" t="s">
        <v>1377</v>
      </c>
      <c r="O9" s="43" t="s">
        <v>1378</v>
      </c>
      <c r="P9" s="43" t="s">
        <v>1800</v>
      </c>
      <c r="Q9" s="43" t="s">
        <v>1853</v>
      </c>
      <c r="V9" s="8">
        <v>500</v>
      </c>
      <c r="W9" s="8" t="s">
        <v>1711</v>
      </c>
      <c r="X9" s="8" t="s">
        <v>1712</v>
      </c>
      <c r="Y9" s="8" t="s">
        <v>1854</v>
      </c>
      <c r="Z9" s="8" t="s">
        <v>1855</v>
      </c>
    </row>
    <row r="10" spans="1:64" ht="9.9499999999999993" customHeight="1" x14ac:dyDescent="0.2">
      <c r="A10" s="17"/>
      <c r="B10" s="2028"/>
      <c r="C10" s="135" t="s">
        <v>1301</v>
      </c>
      <c r="D10" s="139" t="s">
        <v>784</v>
      </c>
      <c r="E10" s="140" t="s">
        <v>2117</v>
      </c>
      <c r="F10" s="139"/>
      <c r="G10" s="141" t="s">
        <v>2116</v>
      </c>
      <c r="H10" s="411"/>
      <c r="I10" s="105"/>
      <c r="J10" s="30"/>
    </row>
    <row r="11" spans="1:64" x14ac:dyDescent="0.2">
      <c r="A11" s="17"/>
      <c r="B11" s="2024"/>
      <c r="C11" s="138" t="str">
        <f>IF($D$4=$O$6,VLOOKUP($C$9,mbxN,2,FALSE),VLOOKUP($C$9,$V$7:$Z$9,2,0))</f>
        <v>6148820/</v>
      </c>
      <c r="D11" s="56" t="str">
        <f t="shared" ref="D11:D16" si="0">VLOOKUP(C11,всецены,2,FALSE)</f>
        <v xml:space="preserve">MBX, Царга, 54/500мм, 30 кг, сер, лев   </v>
      </c>
      <c r="E11" s="3">
        <v>1</v>
      </c>
      <c r="F11" s="12">
        <f t="shared" ref="F11:F16" si="1">VLOOKUP(C11,всецены,4,FALSE)</f>
        <v>195.170976</v>
      </c>
      <c r="G11" s="14">
        <f t="shared" ref="G11:G16" si="2">F11*E11</f>
        <v>195.170976</v>
      </c>
      <c r="H11" s="2081">
        <f>SUM(G11:G16)</f>
        <v>718.87976160000005</v>
      </c>
      <c r="I11" s="105"/>
      <c r="J11" s="30"/>
      <c r="M11" s="8" t="s">
        <v>1333</v>
      </c>
      <c r="N11" s="88"/>
      <c r="V11" s="8" t="s">
        <v>1333</v>
      </c>
    </row>
    <row r="12" spans="1:64" x14ac:dyDescent="0.2">
      <c r="A12" s="17"/>
      <c r="B12" s="2024"/>
      <c r="C12" s="138" t="str">
        <f>IF($D$4=$O$6,VLOOKUP($C$9,mbxN,3,FALSE),VLOOKUP($C$9,$V$7:$Z$9,3,0))</f>
        <v>6148740/</v>
      </c>
      <c r="D12" s="56" t="str">
        <f t="shared" si="0"/>
        <v xml:space="preserve">MBX, Царга, 54/500мм, 30 кг, сер, прав  </v>
      </c>
      <c r="E12" s="3">
        <v>1</v>
      </c>
      <c r="F12" s="12">
        <f t="shared" si="1"/>
        <v>195.170976</v>
      </c>
      <c r="G12" s="14">
        <f t="shared" si="2"/>
        <v>195.170976</v>
      </c>
      <c r="H12" s="2082"/>
      <c r="I12" s="105"/>
      <c r="J12" s="30"/>
      <c r="M12" s="8">
        <v>270</v>
      </c>
      <c r="N12" s="43" t="s">
        <v>1565</v>
      </c>
      <c r="O12" s="43" t="s">
        <v>1564</v>
      </c>
      <c r="P12" s="43" t="s">
        <v>1769</v>
      </c>
      <c r="Q12" s="43" t="s">
        <v>1770</v>
      </c>
      <c r="V12" s="8">
        <v>270</v>
      </c>
      <c r="W12" s="8" t="s">
        <v>1707</v>
      </c>
      <c r="X12" s="8" t="s">
        <v>705</v>
      </c>
      <c r="Y12" s="8" t="s">
        <v>400</v>
      </c>
      <c r="Z12" s="8" t="s">
        <v>399</v>
      </c>
    </row>
    <row r="13" spans="1:64" x14ac:dyDescent="0.2">
      <c r="A13" s="17"/>
      <c r="B13" s="2024"/>
      <c r="C13" s="138" t="str">
        <f>IF($D$4=$O$6,VLOOKUP($C$9,mbxN,4,FALSE),VLOOKUP($C$9,$V$7:$Z$9,4,0))</f>
        <v>7883505/</v>
      </c>
      <c r="D13" s="56" t="str">
        <f t="shared" si="0"/>
        <v xml:space="preserve">MBX, Направл, 30 кг, 500 мм, сер, лев   </v>
      </c>
      <c r="E13" s="3">
        <v>1</v>
      </c>
      <c r="F13" s="12">
        <f t="shared" si="1"/>
        <v>59.364505200000004</v>
      </c>
      <c r="G13" s="14">
        <f t="shared" si="2"/>
        <v>59.364505200000004</v>
      </c>
      <c r="H13" s="2082"/>
      <c r="I13" s="105"/>
      <c r="J13" s="30"/>
      <c r="L13" s="423" t="s">
        <v>1817</v>
      </c>
      <c r="M13" s="8">
        <v>350</v>
      </c>
      <c r="N13" s="43" t="s">
        <v>1567</v>
      </c>
      <c r="O13" s="43" t="s">
        <v>1566</v>
      </c>
      <c r="P13" s="43" t="s">
        <v>2143</v>
      </c>
      <c r="Q13" s="43" t="s">
        <v>2144</v>
      </c>
      <c r="V13" s="8">
        <v>350</v>
      </c>
      <c r="W13" s="8" t="s">
        <v>1709</v>
      </c>
      <c r="X13" s="8" t="s">
        <v>1708</v>
      </c>
      <c r="Y13" s="8" t="s">
        <v>1715</v>
      </c>
      <c r="Z13" s="8" t="s">
        <v>1714</v>
      </c>
    </row>
    <row r="14" spans="1:64" x14ac:dyDescent="0.2">
      <c r="A14" s="17"/>
      <c r="B14" s="2024"/>
      <c r="C14" s="138" t="str">
        <f>IF($D$4=$O$6,VLOOKUP($C$9,mbxN,5,FALSE),VLOOKUP($C$9,$V$7:$Z$9,5,0))</f>
        <v>7883415/</v>
      </c>
      <c r="D14" s="56" t="str">
        <f t="shared" si="0"/>
        <v xml:space="preserve">MBX, Направл, 30 кг, 500 мм, сер, прав  </v>
      </c>
      <c r="E14" s="3">
        <v>1</v>
      </c>
      <c r="F14" s="12">
        <f t="shared" si="1"/>
        <v>59.364505200000004</v>
      </c>
      <c r="G14" s="14">
        <f t="shared" si="2"/>
        <v>59.364505200000004</v>
      </c>
      <c r="H14" s="2082"/>
      <c r="I14" s="105"/>
      <c r="J14" s="30"/>
      <c r="M14" s="8">
        <v>400</v>
      </c>
      <c r="N14" s="43" t="s">
        <v>2225</v>
      </c>
      <c r="O14" s="43" t="s">
        <v>1768</v>
      </c>
      <c r="P14" s="43" t="s">
        <v>1771</v>
      </c>
      <c r="Q14" s="43" t="s">
        <v>2087</v>
      </c>
      <c r="V14" s="8">
        <v>400</v>
      </c>
      <c r="W14" s="8" t="s">
        <v>401</v>
      </c>
      <c r="X14" s="8" t="s">
        <v>402</v>
      </c>
      <c r="Y14" s="8" t="s">
        <v>398</v>
      </c>
      <c r="Z14" s="8" t="s">
        <v>397</v>
      </c>
    </row>
    <row r="15" spans="1:64" x14ac:dyDescent="0.2">
      <c r="A15" s="17"/>
      <c r="B15" s="2024"/>
      <c r="C15" s="138" t="s">
        <v>1651</v>
      </c>
      <c r="D15" s="56" t="str">
        <f t="shared" si="0"/>
        <v xml:space="preserve">MBX, Крепл фас п/шурупы,лев,ZSF.1510.05 </v>
      </c>
      <c r="E15" s="3">
        <v>1</v>
      </c>
      <c r="F15" s="12">
        <f t="shared" si="1"/>
        <v>104.9043996</v>
      </c>
      <c r="G15" s="14">
        <f t="shared" si="2"/>
        <v>104.9043996</v>
      </c>
      <c r="H15" s="2082"/>
      <c r="I15" s="105"/>
      <c r="M15" s="8">
        <v>450</v>
      </c>
      <c r="N15" s="2" t="s">
        <v>2179</v>
      </c>
      <c r="O15" s="2" t="s">
        <v>2180</v>
      </c>
      <c r="P15" s="2" t="s">
        <v>1796</v>
      </c>
      <c r="Q15" s="2" t="s">
        <v>1797</v>
      </c>
      <c r="V15" s="8">
        <v>450</v>
      </c>
      <c r="W15" s="8" t="s">
        <v>1148</v>
      </c>
      <c r="X15" s="8" t="s">
        <v>1149</v>
      </c>
      <c r="Y15" s="8" t="s">
        <v>1798</v>
      </c>
      <c r="Z15" s="8" t="s">
        <v>1799</v>
      </c>
    </row>
    <row r="16" spans="1:64" ht="13.5" thickBot="1" x14ac:dyDescent="0.25">
      <c r="A16" s="17"/>
      <c r="B16" s="2025"/>
      <c r="C16" s="407" t="s">
        <v>1851</v>
      </c>
      <c r="D16" s="408" t="str">
        <f t="shared" si="0"/>
        <v xml:space="preserve">MBX, Крепл фас п/шурупы,пр,ZSF.1510.04  </v>
      </c>
      <c r="E16" s="355">
        <v>1</v>
      </c>
      <c r="F16" s="356">
        <f t="shared" si="1"/>
        <v>104.9043996</v>
      </c>
      <c r="G16" s="409">
        <f t="shared" si="2"/>
        <v>104.9043996</v>
      </c>
      <c r="H16" s="2083"/>
      <c r="I16" s="105"/>
      <c r="M16" s="8">
        <v>500</v>
      </c>
      <c r="N16" s="2" t="s">
        <v>1150</v>
      </c>
      <c r="O16" s="2" t="s">
        <v>1151</v>
      </c>
      <c r="P16" s="2" t="s">
        <v>1800</v>
      </c>
      <c r="Q16" s="2" t="s">
        <v>1853</v>
      </c>
      <c r="V16" s="8">
        <v>500</v>
      </c>
      <c r="W16" s="8" t="s">
        <v>1152</v>
      </c>
      <c r="X16" s="8" t="s">
        <v>1067</v>
      </c>
      <c r="Y16" s="8" t="s">
        <v>1854</v>
      </c>
      <c r="Z16" s="8" t="s">
        <v>1855</v>
      </c>
    </row>
    <row r="17" spans="1:39" ht="15" customHeight="1" x14ac:dyDescent="0.2">
      <c r="A17" s="17"/>
      <c r="B17" s="169"/>
      <c r="C17" s="75"/>
      <c r="D17" s="393"/>
      <c r="E17" s="169"/>
      <c r="F17" s="358"/>
      <c r="G17" s="358"/>
      <c r="H17" s="133"/>
      <c r="I17" s="133"/>
      <c r="J17" s="422" t="s">
        <v>1813</v>
      </c>
      <c r="K17" s="17"/>
      <c r="L17" s="17"/>
      <c r="M17" s="17"/>
      <c r="N17" s="75"/>
      <c r="O17" s="75"/>
      <c r="P17" s="75"/>
      <c r="Q17" s="75"/>
      <c r="V17" s="15"/>
      <c r="AA17"/>
      <c r="AB17"/>
      <c r="AC17"/>
      <c r="AD17"/>
      <c r="AE17"/>
      <c r="AF17"/>
      <c r="AG17"/>
      <c r="AH17"/>
      <c r="AI17"/>
      <c r="AJ17"/>
      <c r="AK17"/>
      <c r="AL17"/>
      <c r="AM17"/>
    </row>
    <row r="18" spans="1:39" ht="8.1" customHeight="1" thickBot="1" x14ac:dyDescent="0.25">
      <c r="B18" s="8"/>
      <c r="C18" s="8"/>
      <c r="D18" s="8"/>
      <c r="E18" s="53"/>
      <c r="F18" s="8"/>
      <c r="G18" s="8"/>
      <c r="H18" s="31"/>
      <c r="L18" s="17"/>
      <c r="M18" s="8" t="s">
        <v>2115</v>
      </c>
      <c r="V18" s="8" t="s">
        <v>2115</v>
      </c>
      <c r="AA18"/>
      <c r="AB18"/>
      <c r="AC18"/>
      <c r="AD18"/>
      <c r="AE18"/>
      <c r="AF18"/>
      <c r="AG18"/>
      <c r="AH18"/>
      <c r="AI18"/>
      <c r="AJ18"/>
      <c r="AK18"/>
      <c r="AL18"/>
      <c r="AM18"/>
    </row>
    <row r="19" spans="1:39" ht="19.350000000000001" customHeight="1" x14ac:dyDescent="0.2">
      <c r="B19" s="2015" t="s">
        <v>336</v>
      </c>
      <c r="C19" s="2016"/>
      <c r="D19" s="2016"/>
      <c r="E19" s="2016"/>
      <c r="F19" s="2016"/>
      <c r="G19" s="2016"/>
      <c r="H19" s="400"/>
      <c r="I19" s="394"/>
      <c r="L19" s="421" t="s">
        <v>1814</v>
      </c>
      <c r="M19" s="8">
        <v>350</v>
      </c>
      <c r="N19" s="43" t="s">
        <v>281</v>
      </c>
      <c r="O19" s="43" t="s">
        <v>279</v>
      </c>
      <c r="P19" s="43" t="s">
        <v>2143</v>
      </c>
      <c r="Q19" s="43" t="s">
        <v>2144</v>
      </c>
      <c r="R19" s="28"/>
      <c r="V19" s="8">
        <v>350</v>
      </c>
      <c r="W19" s="8" t="s">
        <v>1570</v>
      </c>
      <c r="X19" s="8" t="s">
        <v>1569</v>
      </c>
      <c r="Y19" s="8" t="s">
        <v>1715</v>
      </c>
      <c r="Z19" s="8" t="s">
        <v>1714</v>
      </c>
      <c r="AA19"/>
      <c r="AB19"/>
      <c r="AC19"/>
      <c r="AD19"/>
      <c r="AE19"/>
      <c r="AF19"/>
      <c r="AG19"/>
      <c r="AH19"/>
      <c r="AI19"/>
      <c r="AJ19"/>
      <c r="AK19"/>
      <c r="AL19"/>
      <c r="AM19"/>
    </row>
    <row r="20" spans="1:39" ht="19.350000000000001" customHeight="1" x14ac:dyDescent="0.2">
      <c r="A20" s="17"/>
      <c r="B20" s="2018"/>
      <c r="C20" s="2019"/>
      <c r="D20" s="2019"/>
      <c r="E20" s="2019"/>
      <c r="F20" s="2019"/>
      <c r="G20" s="2019"/>
      <c r="H20" s="401"/>
      <c r="I20" s="394"/>
      <c r="L20" s="17"/>
      <c r="M20" s="8">
        <v>400</v>
      </c>
      <c r="N20" s="43" t="s">
        <v>697</v>
      </c>
      <c r="O20" s="43" t="s">
        <v>694</v>
      </c>
      <c r="P20" s="43" t="s">
        <v>1771</v>
      </c>
      <c r="Q20" s="43" t="s">
        <v>2087</v>
      </c>
      <c r="V20" s="8">
        <v>400</v>
      </c>
      <c r="W20" s="8" t="s">
        <v>696</v>
      </c>
      <c r="X20" s="8" t="s">
        <v>693</v>
      </c>
      <c r="Y20" s="8" t="s">
        <v>398</v>
      </c>
      <c r="Z20" s="8" t="s">
        <v>397</v>
      </c>
      <c r="AA20"/>
      <c r="AB20"/>
      <c r="AC20"/>
      <c r="AD20"/>
      <c r="AE20"/>
      <c r="AF20"/>
      <c r="AG20"/>
      <c r="AH20"/>
      <c r="AI20"/>
      <c r="AJ20"/>
      <c r="AK20"/>
      <c r="AL20"/>
      <c r="AM20"/>
    </row>
    <row r="21" spans="1:39" x14ac:dyDescent="0.2">
      <c r="A21" s="17"/>
      <c r="B21" s="2059" t="s">
        <v>7157</v>
      </c>
      <c r="C21" s="2060"/>
      <c r="D21" s="2060"/>
      <c r="E21" s="2060"/>
      <c r="F21" s="2060"/>
      <c r="G21" s="2060"/>
      <c r="H21" s="406"/>
      <c r="L21" s="17"/>
      <c r="M21" s="8">
        <v>450</v>
      </c>
      <c r="N21" s="43" t="s">
        <v>1163</v>
      </c>
      <c r="O21" s="43" t="s">
        <v>1161</v>
      </c>
      <c r="P21" s="2" t="s">
        <v>1796</v>
      </c>
      <c r="Q21" s="2" t="s">
        <v>1797</v>
      </c>
      <c r="U21" s="134"/>
      <c r="V21" s="8">
        <v>450</v>
      </c>
      <c r="W21" s="8" t="s">
        <v>358</v>
      </c>
      <c r="X21" s="8" t="s">
        <v>351</v>
      </c>
      <c r="Y21" s="8" t="s">
        <v>1798</v>
      </c>
      <c r="Z21" s="8" t="s">
        <v>1799</v>
      </c>
      <c r="AA21"/>
      <c r="AB21"/>
      <c r="AC21"/>
      <c r="AD21"/>
      <c r="AE21"/>
      <c r="AF21"/>
      <c r="AG21"/>
      <c r="AH21"/>
      <c r="AI21"/>
      <c r="AJ21"/>
      <c r="AK21"/>
      <c r="AL21"/>
      <c r="AM21"/>
    </row>
    <row r="22" spans="1:39" ht="15.75" thickBot="1" x14ac:dyDescent="0.25">
      <c r="A22" s="17"/>
      <c r="B22" s="410" t="s">
        <v>1639</v>
      </c>
      <c r="C22" s="98">
        <v>450</v>
      </c>
      <c r="D22" s="97" t="s">
        <v>1689</v>
      </c>
      <c r="E22" s="97"/>
      <c r="F22" s="97"/>
      <c r="G22" s="97"/>
      <c r="H22" s="376" t="str">
        <f>IF(СОДЕРЖАНИЕ!P2=1,"EUR","RUB")</f>
        <v>RUB</v>
      </c>
      <c r="I22" s="395"/>
      <c r="L22" s="17"/>
      <c r="M22" s="8">
        <v>500</v>
      </c>
      <c r="N22" s="43" t="s">
        <v>2191</v>
      </c>
      <c r="O22" s="43" t="s">
        <v>359</v>
      </c>
      <c r="P22" s="2" t="s">
        <v>1800</v>
      </c>
      <c r="Q22" s="2" t="s">
        <v>1853</v>
      </c>
      <c r="V22" s="8">
        <v>500</v>
      </c>
      <c r="W22" s="8" t="s">
        <v>2065</v>
      </c>
      <c r="X22" s="8" t="s">
        <v>231</v>
      </c>
      <c r="Y22" s="8" t="s">
        <v>1854</v>
      </c>
      <c r="Z22" s="8" t="s">
        <v>1855</v>
      </c>
      <c r="AA22"/>
      <c r="AB22"/>
      <c r="AC22"/>
      <c r="AD22"/>
      <c r="AE22"/>
      <c r="AF22"/>
      <c r="AG22"/>
      <c r="AH22"/>
      <c r="AI22"/>
      <c r="AJ22"/>
      <c r="AK22"/>
      <c r="AL22"/>
      <c r="AM22"/>
    </row>
    <row r="23" spans="1:39" ht="9.9499999999999993" customHeight="1" x14ac:dyDescent="0.2">
      <c r="A23" s="17"/>
      <c r="B23" s="2064"/>
      <c r="C23" s="135" t="s">
        <v>1301</v>
      </c>
      <c r="D23" s="136" t="s">
        <v>784</v>
      </c>
      <c r="E23" s="137" t="s">
        <v>2117</v>
      </c>
      <c r="F23" s="136"/>
      <c r="G23" s="141" t="s">
        <v>2116</v>
      </c>
      <c r="H23" s="411"/>
      <c r="I23" s="105"/>
      <c r="J23" s="30"/>
      <c r="L23" s="17"/>
      <c r="N23" s="88"/>
      <c r="V23" s="8" t="s">
        <v>1339</v>
      </c>
      <c r="AA23"/>
      <c r="AB23"/>
      <c r="AC23"/>
      <c r="AD23"/>
      <c r="AE23"/>
      <c r="AF23"/>
      <c r="AG23"/>
      <c r="AH23"/>
      <c r="AI23"/>
      <c r="AJ23"/>
      <c r="AK23"/>
      <c r="AL23"/>
      <c r="AM23"/>
    </row>
    <row r="24" spans="1:39" x14ac:dyDescent="0.2">
      <c r="A24" s="17"/>
      <c r="B24" s="2065"/>
      <c r="C24" s="138" t="str">
        <f>IF($D$4=$O$6,VLOOKUP($C$22,mbxM,2,FALSE),VLOOKUP($C$22,$V$12:$Z$16,2,0))</f>
        <v>7500180/</v>
      </c>
      <c r="D24" s="56" t="str">
        <f t="shared" ref="D24:D29" si="3">VLOOKUP(C24,всецены,2,FALSE)</f>
        <v xml:space="preserve">MBX, Царга, 86/450мм, 30 кг, сер, лев.  </v>
      </c>
      <c r="E24" s="3">
        <v>1</v>
      </c>
      <c r="F24" s="12">
        <f t="shared" ref="F24:F29" si="4">VLOOKUP(C24,всецены,4,FALSE)</f>
        <v>182.15957760000003</v>
      </c>
      <c r="G24" s="14">
        <f t="shared" ref="G24:G29" si="5">F24*E24</f>
        <v>182.15957760000003</v>
      </c>
      <c r="H24" s="2075">
        <f>SUM(G24:G29)</f>
        <v>538.34660880000013</v>
      </c>
      <c r="I24" s="105"/>
      <c r="L24" s="17"/>
      <c r="M24" s="8">
        <v>350</v>
      </c>
      <c r="N24" s="43" t="s">
        <v>1710</v>
      </c>
      <c r="O24" s="43" t="s">
        <v>703</v>
      </c>
      <c r="P24" s="43" t="s">
        <v>2143</v>
      </c>
      <c r="Q24" s="43" t="s">
        <v>2144</v>
      </c>
      <c r="V24" s="8">
        <v>350</v>
      </c>
      <c r="W24" s="8" t="s">
        <v>1713</v>
      </c>
      <c r="X24" s="8" t="s">
        <v>702</v>
      </c>
      <c r="Y24" s="8" t="s">
        <v>1715</v>
      </c>
      <c r="Z24" s="8" t="s">
        <v>1714</v>
      </c>
      <c r="AA24"/>
      <c r="AB24"/>
      <c r="AC24"/>
      <c r="AD24"/>
      <c r="AE24"/>
      <c r="AF24"/>
      <c r="AG24"/>
      <c r="AH24"/>
      <c r="AI24"/>
      <c r="AJ24"/>
      <c r="AK24"/>
      <c r="AL24"/>
      <c r="AM24"/>
    </row>
    <row r="25" spans="1:39" x14ac:dyDescent="0.2">
      <c r="A25" s="17"/>
      <c r="B25" s="2065"/>
      <c r="C25" s="138" t="str">
        <f>IF($D$4=$O$6,VLOOKUP($C$22,mbxM,3,FALSE),VLOOKUP($C$22,$V$12:$Z$16,3,0))</f>
        <v>7499820/</v>
      </c>
      <c r="D25" s="56" t="str">
        <f t="shared" si="3"/>
        <v xml:space="preserve">MBX, Царга, 86/450мм, 30 кг, сер, пр.   </v>
      </c>
      <c r="E25" s="3">
        <v>1</v>
      </c>
      <c r="F25" s="12">
        <f t="shared" si="4"/>
        <v>182.15957760000003</v>
      </c>
      <c r="G25" s="14">
        <f t="shared" si="5"/>
        <v>182.15957760000003</v>
      </c>
      <c r="H25" s="2075"/>
      <c r="I25" s="105"/>
      <c r="L25" s="17"/>
      <c r="M25" s="8">
        <v>400</v>
      </c>
      <c r="N25" s="43" t="s">
        <v>468</v>
      </c>
      <c r="O25" s="43" t="s">
        <v>466</v>
      </c>
      <c r="P25" s="43" t="s">
        <v>1771</v>
      </c>
      <c r="Q25" s="43" t="s">
        <v>2087</v>
      </c>
      <c r="V25" s="8">
        <v>400</v>
      </c>
      <c r="W25" s="8" t="s">
        <v>701</v>
      </c>
      <c r="X25" s="8" t="s">
        <v>700</v>
      </c>
      <c r="Y25" s="8" t="s">
        <v>398</v>
      </c>
      <c r="Z25" s="8" t="s">
        <v>397</v>
      </c>
      <c r="AA25"/>
      <c r="AB25"/>
      <c r="AC25"/>
      <c r="AD25"/>
      <c r="AE25"/>
      <c r="AF25"/>
      <c r="AG25"/>
      <c r="AH25"/>
      <c r="AI25"/>
      <c r="AJ25"/>
      <c r="AK25"/>
      <c r="AL25"/>
      <c r="AM25"/>
    </row>
    <row r="26" spans="1:39" x14ac:dyDescent="0.2">
      <c r="A26" s="17"/>
      <c r="B26" s="2065"/>
      <c r="C26" s="138" t="str">
        <f>IF($D$4=$O$6,VLOOKUP($C$22,mbxM,4,FALSE),VLOOKUP($C$22,$V$12:$Z$16,4,0))</f>
        <v>7931245/</v>
      </c>
      <c r="D26" s="56" t="str">
        <f t="shared" si="3"/>
        <v xml:space="preserve">MBX, Направл, 30 кг, 450 мм, сер, лев.  </v>
      </c>
      <c r="E26" s="3">
        <v>1</v>
      </c>
      <c r="F26" s="12">
        <f t="shared" si="4"/>
        <v>54.485230800000011</v>
      </c>
      <c r="G26" s="14">
        <f t="shared" si="5"/>
        <v>54.485230800000011</v>
      </c>
      <c r="H26" s="2075"/>
      <c r="I26" s="105"/>
      <c r="L26" s="17"/>
      <c r="M26" s="8">
        <v>450</v>
      </c>
      <c r="N26" s="2" t="s">
        <v>818</v>
      </c>
      <c r="O26" s="2" t="s">
        <v>816</v>
      </c>
      <c r="P26" s="2" t="s">
        <v>1796</v>
      </c>
      <c r="Q26" s="2" t="s">
        <v>1797</v>
      </c>
      <c r="V26" s="8">
        <v>450</v>
      </c>
      <c r="W26" s="8" t="s">
        <v>699</v>
      </c>
      <c r="X26" s="8" t="s">
        <v>698</v>
      </c>
      <c r="Y26" s="8" t="s">
        <v>1798</v>
      </c>
      <c r="Z26" s="8" t="s">
        <v>1799</v>
      </c>
      <c r="AA26"/>
      <c r="AB26"/>
      <c r="AC26"/>
      <c r="AD26"/>
      <c r="AE26"/>
      <c r="AF26"/>
      <c r="AG26"/>
      <c r="AH26"/>
      <c r="AI26"/>
      <c r="AJ26"/>
      <c r="AK26"/>
      <c r="AL26"/>
      <c r="AM26"/>
    </row>
    <row r="27" spans="1:39" x14ac:dyDescent="0.2">
      <c r="A27" s="17"/>
      <c r="B27" s="2065"/>
      <c r="C27" s="138" t="str">
        <f>IF($D$4=$O$6,VLOOKUP($C$22,mbxM,5,FALSE),VLOOKUP($C$22,$V$12:$Z$16,5,0))</f>
        <v>7931165/</v>
      </c>
      <c r="D27" s="56" t="str">
        <f t="shared" si="3"/>
        <v xml:space="preserve">MBX, Направл, 30 кг, 450 мм, сер, пр    </v>
      </c>
      <c r="E27" s="3">
        <v>1</v>
      </c>
      <c r="F27" s="12">
        <f t="shared" si="4"/>
        <v>54.485230800000011</v>
      </c>
      <c r="G27" s="14">
        <f t="shared" si="5"/>
        <v>54.485230800000011</v>
      </c>
      <c r="H27" s="2075"/>
      <c r="I27" s="105"/>
      <c r="L27" s="17"/>
      <c r="M27" s="8">
        <v>500</v>
      </c>
      <c r="N27" s="2" t="s">
        <v>1374</v>
      </c>
      <c r="O27" s="2" t="s">
        <v>1375</v>
      </c>
      <c r="P27" s="2" t="s">
        <v>1800</v>
      </c>
      <c r="Q27" s="2" t="s">
        <v>1853</v>
      </c>
      <c r="V27" s="8">
        <v>500</v>
      </c>
      <c r="W27" s="8" t="s">
        <v>1379</v>
      </c>
      <c r="X27" s="8" t="s">
        <v>1649</v>
      </c>
      <c r="Y27" s="8" t="s">
        <v>1854</v>
      </c>
      <c r="Z27" s="8" t="s">
        <v>1855</v>
      </c>
      <c r="AA27"/>
      <c r="AB27"/>
      <c r="AC27"/>
      <c r="AD27"/>
      <c r="AE27"/>
      <c r="AF27"/>
      <c r="AG27"/>
      <c r="AH27"/>
      <c r="AI27"/>
      <c r="AJ27"/>
      <c r="AK27"/>
      <c r="AL27"/>
      <c r="AM27"/>
    </row>
    <row r="28" spans="1:39" x14ac:dyDescent="0.2">
      <c r="A28" s="17"/>
      <c r="B28" s="2065"/>
      <c r="C28" s="138" t="s">
        <v>2217</v>
      </c>
      <c r="D28" s="56" t="str">
        <f t="shared" si="3"/>
        <v xml:space="preserve">MBX, Крепл фас п/шурупы, лев,ZSF.1700   </v>
      </c>
      <c r="E28" s="3">
        <v>1</v>
      </c>
      <c r="F28" s="12">
        <f t="shared" si="4"/>
        <v>32.528496000000004</v>
      </c>
      <c r="G28" s="14">
        <f t="shared" si="5"/>
        <v>32.528496000000004</v>
      </c>
      <c r="H28" s="2075"/>
      <c r="I28" s="105"/>
      <c r="L28" s="17"/>
      <c r="AA28"/>
      <c r="AB28"/>
      <c r="AC28"/>
      <c r="AD28"/>
      <c r="AE28"/>
      <c r="AF28"/>
      <c r="AG28"/>
      <c r="AH28"/>
      <c r="AI28"/>
      <c r="AJ28"/>
      <c r="AK28"/>
      <c r="AL28"/>
      <c r="AM28"/>
    </row>
    <row r="29" spans="1:39" ht="12" customHeight="1" thickBot="1" x14ac:dyDescent="0.25">
      <c r="A29" s="17"/>
      <c r="B29" s="2066"/>
      <c r="C29" s="407" t="s">
        <v>2216</v>
      </c>
      <c r="D29" s="408" t="str">
        <f t="shared" si="3"/>
        <v xml:space="preserve">MBX, Крепл фас п/шурупы, пр,ZSF.1700    </v>
      </c>
      <c r="E29" s="355">
        <v>1</v>
      </c>
      <c r="F29" s="356">
        <f t="shared" si="4"/>
        <v>32.528496000000004</v>
      </c>
      <c r="G29" s="409">
        <f t="shared" si="5"/>
        <v>32.528496000000004</v>
      </c>
      <c r="H29" s="2076"/>
      <c r="I29" s="105"/>
      <c r="L29" s="17"/>
      <c r="AA29"/>
      <c r="AB29"/>
      <c r="AC29"/>
      <c r="AD29"/>
      <c r="AE29"/>
      <c r="AF29"/>
      <c r="AG29"/>
      <c r="AH29"/>
      <c r="AI29"/>
      <c r="AJ29"/>
      <c r="AK29"/>
      <c r="AL29"/>
      <c r="AM29"/>
    </row>
    <row r="30" spans="1:39" ht="15" customHeight="1" x14ac:dyDescent="0.2">
      <c r="A30" s="17"/>
      <c r="B30" s="17"/>
      <c r="C30" s="17"/>
      <c r="D30" s="17"/>
      <c r="E30" s="344"/>
      <c r="F30" s="17"/>
      <c r="G30" s="17"/>
      <c r="H30" s="422" t="s">
        <v>1813</v>
      </c>
      <c r="I30" s="16"/>
      <c r="J30" s="17"/>
      <c r="L30" s="17"/>
      <c r="AA30"/>
      <c r="AB30"/>
      <c r="AC30"/>
      <c r="AD30"/>
      <c r="AE30"/>
      <c r="AF30"/>
      <c r="AG30"/>
      <c r="AH30"/>
      <c r="AI30"/>
      <c r="AJ30"/>
      <c r="AK30"/>
      <c r="AL30"/>
      <c r="AM30"/>
    </row>
    <row r="31" spans="1:39" ht="8.1" customHeight="1" thickBot="1" x14ac:dyDescent="0.25">
      <c r="B31" s="32"/>
      <c r="C31" s="28"/>
      <c r="D31" s="145"/>
      <c r="E31" s="32"/>
      <c r="F31" s="58"/>
      <c r="G31" s="58"/>
      <c r="H31" s="105"/>
      <c r="I31" s="105"/>
      <c r="J31" s="17"/>
      <c r="L31" s="17"/>
      <c r="N31" s="88"/>
      <c r="O31" s="88"/>
      <c r="P31" s="88"/>
      <c r="Q31" s="88"/>
      <c r="AA31"/>
      <c r="AB31"/>
      <c r="AC31"/>
      <c r="AD31"/>
      <c r="AE31"/>
      <c r="AF31"/>
      <c r="AG31"/>
      <c r="AH31"/>
      <c r="AI31"/>
      <c r="AJ31"/>
      <c r="AK31"/>
      <c r="AL31"/>
      <c r="AM31"/>
    </row>
    <row r="32" spans="1:39" ht="19.350000000000001" customHeight="1" x14ac:dyDescent="0.2">
      <c r="B32" s="2015" t="s">
        <v>1126</v>
      </c>
      <c r="C32" s="2016"/>
      <c r="D32" s="2016"/>
      <c r="E32" s="2016"/>
      <c r="F32" s="2016"/>
      <c r="G32" s="2016"/>
      <c r="H32" s="400"/>
      <c r="I32" s="394"/>
      <c r="J32" s="421" t="s">
        <v>1814</v>
      </c>
      <c r="L32" s="17"/>
      <c r="AA32"/>
      <c r="AB32"/>
      <c r="AC32"/>
      <c r="AD32"/>
      <c r="AE32"/>
      <c r="AF32"/>
      <c r="AG32"/>
      <c r="AH32"/>
      <c r="AI32"/>
      <c r="AJ32"/>
      <c r="AK32"/>
      <c r="AL32"/>
      <c r="AM32"/>
    </row>
    <row r="33" spans="1:39" ht="19.350000000000001" customHeight="1" x14ac:dyDescent="0.2">
      <c r="A33" s="17"/>
      <c r="B33" s="2018"/>
      <c r="C33" s="2019"/>
      <c r="D33" s="2019"/>
      <c r="E33" s="2019"/>
      <c r="F33" s="2019"/>
      <c r="G33" s="2019"/>
      <c r="H33" s="401"/>
      <c r="I33" s="394"/>
      <c r="J33" s="17"/>
      <c r="L33" s="17"/>
      <c r="X33"/>
      <c r="Y33"/>
      <c r="Z33"/>
      <c r="AA33"/>
      <c r="AB33"/>
      <c r="AC33"/>
      <c r="AD33"/>
      <c r="AE33"/>
      <c r="AF33"/>
      <c r="AG33"/>
      <c r="AH33"/>
      <c r="AI33"/>
      <c r="AJ33"/>
      <c r="AK33"/>
      <c r="AL33"/>
      <c r="AM33"/>
    </row>
    <row r="34" spans="1:39" x14ac:dyDescent="0.2">
      <c r="A34" s="17"/>
      <c r="B34" s="2059" t="s">
        <v>7158</v>
      </c>
      <c r="C34" s="2060"/>
      <c r="D34" s="2060"/>
      <c r="E34" s="2060"/>
      <c r="F34" s="2060"/>
      <c r="G34" s="2060"/>
      <c r="H34" s="406"/>
      <c r="J34" s="17"/>
      <c r="L34" s="17"/>
      <c r="X34"/>
      <c r="Y34"/>
      <c r="Z34"/>
      <c r="AA34"/>
      <c r="AB34"/>
      <c r="AC34"/>
      <c r="AD34"/>
      <c r="AE34"/>
      <c r="AF34"/>
      <c r="AG34"/>
      <c r="AH34"/>
      <c r="AI34"/>
      <c r="AJ34"/>
      <c r="AK34"/>
      <c r="AL34"/>
      <c r="AM34"/>
    </row>
    <row r="35" spans="1:39" ht="15.75" thickBot="1" x14ac:dyDescent="0.25">
      <c r="A35" s="17"/>
      <c r="B35" s="410" t="s">
        <v>1639</v>
      </c>
      <c r="C35" s="98">
        <v>500</v>
      </c>
      <c r="D35" s="97" t="s">
        <v>1689</v>
      </c>
      <c r="E35" s="97"/>
      <c r="F35" s="97"/>
      <c r="G35" s="97"/>
      <c r="H35" s="376" t="str">
        <f>IF(СОДЕРЖАНИЕ!P2=1,"EUR","RUB")</f>
        <v>RUB</v>
      </c>
      <c r="I35" s="395"/>
      <c r="J35" s="17"/>
      <c r="L35" s="17"/>
      <c r="N35" s="8" t="s">
        <v>1643</v>
      </c>
      <c r="W35" s="8" t="s">
        <v>1643</v>
      </c>
      <c r="X35"/>
      <c r="Y35"/>
      <c r="Z35"/>
      <c r="AA35"/>
      <c r="AB35"/>
      <c r="AC35"/>
      <c r="AD35"/>
      <c r="AE35"/>
      <c r="AF35"/>
      <c r="AG35"/>
      <c r="AH35"/>
      <c r="AI35"/>
      <c r="AJ35"/>
      <c r="AK35"/>
      <c r="AL35"/>
      <c r="AM35"/>
    </row>
    <row r="36" spans="1:39" ht="9.9499999999999993" customHeight="1" x14ac:dyDescent="0.2">
      <c r="A36" s="17"/>
      <c r="B36" s="2072"/>
      <c r="C36" s="135" t="s">
        <v>1301</v>
      </c>
      <c r="D36" s="136" t="s">
        <v>784</v>
      </c>
      <c r="E36" s="137" t="s">
        <v>2117</v>
      </c>
      <c r="F36" s="136"/>
      <c r="G36" s="141" t="s">
        <v>2116</v>
      </c>
      <c r="H36" s="411"/>
      <c r="I36" s="105"/>
      <c r="J36" s="420"/>
      <c r="L36" s="17"/>
      <c r="N36" s="88"/>
      <c r="V36" s="8">
        <v>350</v>
      </c>
      <c r="W36" s="8" t="s">
        <v>1418</v>
      </c>
      <c r="X36"/>
      <c r="Y36"/>
      <c r="Z36"/>
      <c r="AA36"/>
      <c r="AB36"/>
      <c r="AC36"/>
      <c r="AD36"/>
      <c r="AE36"/>
      <c r="AF36"/>
      <c r="AG36"/>
      <c r="AH36"/>
      <c r="AI36"/>
      <c r="AJ36"/>
      <c r="AK36"/>
      <c r="AL36"/>
      <c r="AM36"/>
    </row>
    <row r="37" spans="1:39" x14ac:dyDescent="0.2">
      <c r="A37" s="17"/>
      <c r="B37" s="2073"/>
      <c r="C37" s="138" t="str">
        <f>IF($D$4=$O$6,VLOOKUP($C$35,mbxK,2,FALSE),VLOOKUP($C$35,$V$19:$Z$22,2,0))</f>
        <v>1220260/</v>
      </c>
      <c r="D37" s="56" t="str">
        <f t="shared" ref="D37:D42" si="6">VLOOKUP(C37,всецены,2,FALSE)</f>
        <v xml:space="preserve">MBX, Царга, 118/500мм, 30 кг, сер, лев. </v>
      </c>
      <c r="E37" s="3">
        <v>1</v>
      </c>
      <c r="F37" s="12">
        <f t="shared" ref="F37:F42" si="7">VLOOKUP(C37,всецены,4,FALSE)</f>
        <v>259.41475560000003</v>
      </c>
      <c r="G37" s="14">
        <f t="shared" ref="G37:G42" si="8">F37*E37</f>
        <v>259.41475560000003</v>
      </c>
      <c r="H37" s="2075">
        <f>SUM(G37:G42)</f>
        <v>702.61551360000021</v>
      </c>
      <c r="I37" s="105"/>
      <c r="J37" s="17"/>
      <c r="L37" s="17"/>
      <c r="M37" s="8">
        <v>350</v>
      </c>
      <c r="N37" s="8" t="s">
        <v>1057</v>
      </c>
      <c r="V37" s="8">
        <v>400</v>
      </c>
      <c r="W37" s="8" t="s">
        <v>821</v>
      </c>
      <c r="X37"/>
      <c r="Y37"/>
      <c r="Z37"/>
      <c r="AA37"/>
      <c r="AB37"/>
      <c r="AC37"/>
      <c r="AD37"/>
      <c r="AE37"/>
      <c r="AF37"/>
      <c r="AG37"/>
      <c r="AH37"/>
      <c r="AI37"/>
      <c r="AJ37"/>
      <c r="AK37"/>
      <c r="AL37"/>
      <c r="AM37"/>
    </row>
    <row r="38" spans="1:39" x14ac:dyDescent="0.2">
      <c r="A38" s="17"/>
      <c r="B38" s="2073"/>
      <c r="C38" s="138" t="str">
        <f>IF($D$4=$O$6,VLOOKUP($C$35,mbxK,3,FALSE),VLOOKUP($C$35,$V$19:$Z$22,3,0))</f>
        <v>1220180/</v>
      </c>
      <c r="D38" s="56" t="str">
        <f t="shared" si="6"/>
        <v xml:space="preserve">MBX, Царга, 118/500мм, 30 кг, сер, прав </v>
      </c>
      <c r="E38" s="3">
        <v>1</v>
      </c>
      <c r="F38" s="12">
        <f t="shared" si="7"/>
        <v>259.41475560000003</v>
      </c>
      <c r="G38" s="14">
        <f t="shared" si="8"/>
        <v>259.41475560000003</v>
      </c>
      <c r="H38" s="2075"/>
      <c r="I38" s="105"/>
      <c r="J38" s="17"/>
      <c r="L38" s="17"/>
      <c r="M38" s="8">
        <v>400</v>
      </c>
      <c r="N38" s="8" t="s">
        <v>1055</v>
      </c>
      <c r="V38" s="8">
        <v>450</v>
      </c>
      <c r="W38" s="8" t="s">
        <v>1058</v>
      </c>
      <c r="X38"/>
      <c r="Y38"/>
      <c r="Z38"/>
      <c r="AA38"/>
      <c r="AB38"/>
      <c r="AC38"/>
      <c r="AD38"/>
      <c r="AE38"/>
      <c r="AF38"/>
      <c r="AG38"/>
      <c r="AH38"/>
      <c r="AI38"/>
      <c r="AJ38"/>
      <c r="AK38"/>
      <c r="AL38"/>
      <c r="AM38"/>
    </row>
    <row r="39" spans="1:39" x14ac:dyDescent="0.2">
      <c r="A39" s="17"/>
      <c r="B39" s="2073"/>
      <c r="C39" s="138" t="str">
        <f>IF($D$4=$O$6,VLOOKUP($C$35,mbxK,4,FALSE),VLOOKUP($C$35,$V$19:$Z$22,4,0))</f>
        <v>7883505/</v>
      </c>
      <c r="D39" s="56" t="str">
        <f t="shared" si="6"/>
        <v xml:space="preserve">MBX, Направл, 30 кг, 500 мм, сер, лев   </v>
      </c>
      <c r="E39" s="3">
        <v>1</v>
      </c>
      <c r="F39" s="12">
        <f t="shared" si="7"/>
        <v>59.364505200000004</v>
      </c>
      <c r="G39" s="14">
        <f t="shared" si="8"/>
        <v>59.364505200000004</v>
      </c>
      <c r="H39" s="2075"/>
      <c r="I39" s="105"/>
      <c r="J39" s="17"/>
      <c r="L39" s="17"/>
      <c r="M39" s="8">
        <v>450</v>
      </c>
      <c r="N39" s="8" t="s">
        <v>1026</v>
      </c>
      <c r="V39" s="8">
        <v>500</v>
      </c>
      <c r="W39" s="8" t="s">
        <v>1029</v>
      </c>
      <c r="X39"/>
      <c r="Y39"/>
      <c r="Z39"/>
      <c r="AA39"/>
      <c r="AB39"/>
      <c r="AC39"/>
      <c r="AD39"/>
      <c r="AE39"/>
      <c r="AF39"/>
      <c r="AG39"/>
      <c r="AH39"/>
      <c r="AI39"/>
      <c r="AJ39"/>
      <c r="AK39"/>
      <c r="AL39"/>
      <c r="AM39"/>
    </row>
    <row r="40" spans="1:39" x14ac:dyDescent="0.2">
      <c r="A40" s="17"/>
      <c r="B40" s="2073"/>
      <c r="C40" s="138" t="str">
        <f>IF($D$4=$O$6,VLOOKUP($C$35,mbxK,5,FALSE),VLOOKUP($C$35,$V$19:$Z$22,5,0))</f>
        <v>7883415/</v>
      </c>
      <c r="D40" s="56" t="str">
        <f t="shared" si="6"/>
        <v xml:space="preserve">MBX, Направл, 30 кг, 500 мм, сер, прав  </v>
      </c>
      <c r="E40" s="3">
        <v>1</v>
      </c>
      <c r="F40" s="12">
        <f t="shared" si="7"/>
        <v>59.364505200000004</v>
      </c>
      <c r="G40" s="14">
        <f t="shared" si="8"/>
        <v>59.364505200000004</v>
      </c>
      <c r="H40" s="2075"/>
      <c r="I40" s="105"/>
      <c r="J40" s="17"/>
      <c r="L40" s="17"/>
      <c r="M40" s="8">
        <v>500</v>
      </c>
      <c r="N40" s="8" t="s">
        <v>1134</v>
      </c>
      <c r="X40"/>
      <c r="Y40"/>
      <c r="Z40"/>
      <c r="AA40"/>
      <c r="AB40"/>
      <c r="AC40"/>
      <c r="AD40"/>
      <c r="AE40"/>
      <c r="AF40"/>
      <c r="AG40"/>
      <c r="AH40"/>
      <c r="AI40"/>
      <c r="AJ40"/>
      <c r="AK40"/>
      <c r="AL40"/>
      <c r="AM40"/>
    </row>
    <row r="41" spans="1:39" x14ac:dyDescent="0.2">
      <c r="A41" s="17"/>
      <c r="B41" s="2073"/>
      <c r="C41" s="138" t="s">
        <v>2217</v>
      </c>
      <c r="D41" s="56" t="str">
        <f t="shared" si="6"/>
        <v xml:space="preserve">MBX, Крепл фас п/шурупы, лев,ZSF.1700   </v>
      </c>
      <c r="E41" s="3">
        <v>1</v>
      </c>
      <c r="F41" s="12">
        <f t="shared" si="7"/>
        <v>32.528496000000004</v>
      </c>
      <c r="G41" s="14">
        <f t="shared" si="8"/>
        <v>32.528496000000004</v>
      </c>
      <c r="H41" s="2075"/>
      <c r="I41" s="105"/>
      <c r="J41" s="17"/>
      <c r="L41" s="17"/>
      <c r="X41"/>
      <c r="Y41"/>
      <c r="Z41"/>
      <c r="AA41"/>
      <c r="AB41"/>
      <c r="AC41"/>
      <c r="AD41"/>
      <c r="AE41"/>
      <c r="AF41"/>
      <c r="AG41"/>
      <c r="AH41"/>
      <c r="AI41"/>
      <c r="AJ41"/>
      <c r="AK41"/>
      <c r="AL41"/>
      <c r="AM41"/>
    </row>
    <row r="42" spans="1:39" ht="12" customHeight="1" thickBot="1" x14ac:dyDescent="0.25">
      <c r="A42" s="17"/>
      <c r="B42" s="2074"/>
      <c r="C42" s="407" t="s">
        <v>2216</v>
      </c>
      <c r="D42" s="408" t="str">
        <f t="shared" si="6"/>
        <v xml:space="preserve">MBX, Крепл фас п/шурупы, пр,ZSF.1700    </v>
      </c>
      <c r="E42" s="355">
        <v>1</v>
      </c>
      <c r="F42" s="356">
        <f t="shared" si="7"/>
        <v>32.528496000000004</v>
      </c>
      <c r="G42" s="409">
        <f t="shared" si="8"/>
        <v>32.528496000000004</v>
      </c>
      <c r="H42" s="2076"/>
      <c r="I42" s="105"/>
      <c r="J42" s="17"/>
      <c r="L42" s="17"/>
      <c r="X42"/>
      <c r="Y42"/>
      <c r="Z42"/>
      <c r="AA42"/>
      <c r="AB42"/>
      <c r="AC42"/>
      <c r="AD42"/>
      <c r="AE42"/>
      <c r="AF42"/>
      <c r="AG42"/>
      <c r="AH42"/>
      <c r="AI42"/>
      <c r="AJ42"/>
      <c r="AK42"/>
      <c r="AL42"/>
      <c r="AM42"/>
    </row>
    <row r="43" spans="1:39" s="8" customFormat="1" ht="15" customHeight="1" x14ac:dyDescent="0.2">
      <c r="A43" s="17"/>
      <c r="B43" s="17"/>
      <c r="C43" s="17"/>
      <c r="D43" s="17"/>
      <c r="E43" s="344"/>
      <c r="F43" s="17"/>
      <c r="G43" s="17"/>
      <c r="H43" s="422" t="s">
        <v>1813</v>
      </c>
      <c r="I43" s="16"/>
      <c r="J43" s="17"/>
      <c r="L43" s="17"/>
    </row>
    <row r="44" spans="1:39" ht="8.1" customHeight="1" thickBot="1" x14ac:dyDescent="0.25">
      <c r="B44" s="32"/>
      <c r="C44" s="28"/>
      <c r="D44" s="145"/>
      <c r="E44" s="32"/>
      <c r="F44" s="58"/>
      <c r="G44" s="58"/>
      <c r="H44" s="105"/>
      <c r="I44" s="105"/>
      <c r="J44" s="17"/>
      <c r="L44" s="17"/>
      <c r="N44" s="88"/>
      <c r="O44" s="88"/>
      <c r="P44" s="88"/>
      <c r="Q44" s="88"/>
      <c r="X44"/>
      <c r="Y44"/>
      <c r="Z44"/>
      <c r="AA44"/>
      <c r="AB44"/>
      <c r="AC44"/>
      <c r="AD44"/>
      <c r="AE44"/>
      <c r="AF44"/>
      <c r="AG44"/>
      <c r="AH44"/>
      <c r="AI44"/>
      <c r="AJ44"/>
      <c r="AK44"/>
      <c r="AL44"/>
      <c r="AM44"/>
    </row>
    <row r="45" spans="1:39" ht="19.350000000000001" customHeight="1" x14ac:dyDescent="0.2">
      <c r="B45" s="2015" t="s">
        <v>337</v>
      </c>
      <c r="C45" s="2016"/>
      <c r="D45" s="2016"/>
      <c r="E45" s="2016"/>
      <c r="F45" s="2016"/>
      <c r="G45" s="2016"/>
      <c r="H45" s="400"/>
      <c r="I45" s="394"/>
      <c r="J45" s="421" t="s">
        <v>1814</v>
      </c>
      <c r="L45" s="17"/>
      <c r="X45"/>
      <c r="Y45"/>
      <c r="Z45"/>
      <c r="AA45"/>
      <c r="AB45"/>
      <c r="AC45"/>
      <c r="AD45"/>
      <c r="AE45"/>
      <c r="AF45"/>
      <c r="AG45"/>
      <c r="AH45"/>
      <c r="AI45"/>
      <c r="AJ45"/>
      <c r="AK45"/>
      <c r="AL45"/>
      <c r="AM45"/>
    </row>
    <row r="46" spans="1:39" ht="19.350000000000001" customHeight="1" x14ac:dyDescent="0.2">
      <c r="A46" s="17"/>
      <c r="B46" s="2018"/>
      <c r="C46" s="2019"/>
      <c r="D46" s="2019"/>
      <c r="E46" s="2019"/>
      <c r="F46" s="2019"/>
      <c r="G46" s="2019"/>
      <c r="H46" s="401"/>
      <c r="I46" s="394"/>
      <c r="J46" s="17"/>
      <c r="L46" s="17"/>
      <c r="X46"/>
      <c r="Y46"/>
      <c r="Z46"/>
      <c r="AA46"/>
      <c r="AB46"/>
      <c r="AC46"/>
      <c r="AD46"/>
      <c r="AE46"/>
      <c r="AF46"/>
      <c r="AG46"/>
      <c r="AH46"/>
      <c r="AI46"/>
      <c r="AJ46"/>
      <c r="AK46"/>
      <c r="AL46"/>
      <c r="AM46"/>
    </row>
    <row r="47" spans="1:39" x14ac:dyDescent="0.2">
      <c r="A47" s="17"/>
      <c r="B47" s="2059" t="s">
        <v>7158</v>
      </c>
      <c r="C47" s="2060"/>
      <c r="D47" s="2060"/>
      <c r="E47" s="2060"/>
      <c r="F47" s="2060"/>
      <c r="G47" s="2060"/>
      <c r="H47" s="406"/>
      <c r="J47" s="17"/>
      <c r="L47" s="17"/>
      <c r="X47"/>
      <c r="Y47"/>
      <c r="Z47"/>
      <c r="AA47"/>
      <c r="AB47"/>
      <c r="AC47"/>
      <c r="AD47"/>
      <c r="AE47"/>
      <c r="AF47"/>
      <c r="AG47"/>
      <c r="AH47"/>
      <c r="AI47"/>
      <c r="AJ47"/>
      <c r="AK47"/>
      <c r="AL47"/>
      <c r="AM47"/>
    </row>
    <row r="48" spans="1:39" ht="15.75" thickBot="1" x14ac:dyDescent="0.25">
      <c r="A48" s="17"/>
      <c r="B48" s="410" t="s">
        <v>1639</v>
      </c>
      <c r="C48" s="98">
        <v>350</v>
      </c>
      <c r="D48" s="97" t="s">
        <v>1689</v>
      </c>
      <c r="E48" s="97"/>
      <c r="F48" s="97"/>
      <c r="G48" s="97"/>
      <c r="H48" s="376" t="str">
        <f>IF(СОДЕРЖАНИЕ!P2=1,"EUR","RUB")</f>
        <v>RUB</v>
      </c>
      <c r="I48" s="395"/>
      <c r="J48" s="17"/>
      <c r="L48" s="17"/>
      <c r="X48"/>
      <c r="Y48"/>
      <c r="Z48"/>
      <c r="AA48"/>
      <c r="AB48"/>
      <c r="AC48"/>
      <c r="AD48"/>
      <c r="AE48"/>
      <c r="AF48"/>
      <c r="AG48"/>
      <c r="AH48"/>
      <c r="AI48"/>
      <c r="AJ48"/>
      <c r="AK48"/>
      <c r="AL48"/>
      <c r="AM48"/>
    </row>
    <row r="49" spans="1:39" ht="9.9499999999999993" customHeight="1" x14ac:dyDescent="0.2">
      <c r="A49" s="17"/>
      <c r="B49" s="418"/>
      <c r="C49" s="135" t="s">
        <v>1301</v>
      </c>
      <c r="D49" s="136" t="s">
        <v>784</v>
      </c>
      <c r="E49" s="137" t="s">
        <v>2117</v>
      </c>
      <c r="F49" s="136"/>
      <c r="G49" s="141" t="s">
        <v>2116</v>
      </c>
      <c r="H49" s="411"/>
      <c r="I49" s="105"/>
      <c r="J49" s="420"/>
      <c r="L49" s="17"/>
      <c r="N49" s="88"/>
      <c r="R49"/>
      <c r="S49"/>
      <c r="T49"/>
      <c r="U49"/>
      <c r="V49"/>
      <c r="W49"/>
      <c r="X49"/>
      <c r="Y49"/>
      <c r="Z49"/>
      <c r="AA49"/>
      <c r="AB49"/>
      <c r="AC49"/>
      <c r="AD49"/>
      <c r="AE49"/>
      <c r="AF49"/>
      <c r="AG49"/>
      <c r="AH49"/>
      <c r="AI49"/>
      <c r="AJ49"/>
      <c r="AK49"/>
      <c r="AL49"/>
      <c r="AM49"/>
    </row>
    <row r="50" spans="1:39" x14ac:dyDescent="0.2">
      <c r="A50" s="17"/>
      <c r="B50" s="2085"/>
      <c r="C50" s="138" t="str">
        <f>IF($D$4=$O$6,VLOOKUP($C$48,mbxH,2,FALSE),VLOOKUP($C$48,$V$24:$Z$27,2,0))</f>
        <v>6120060/</v>
      </c>
      <c r="D50" s="56" t="str">
        <f t="shared" ref="D50:D55" si="9">VLOOKUP(C50,всецены,2,FALSE)</f>
        <v xml:space="preserve">MBX, Царга, 150/350мм, 30 кг, сер, лев  </v>
      </c>
      <c r="E50" s="3">
        <v>1</v>
      </c>
      <c r="F50" s="12">
        <f t="shared" ref="F50:F55" si="10">VLOOKUP(C50,всецены,4,FALSE)</f>
        <v>286.25076480000001</v>
      </c>
      <c r="G50" s="14">
        <f t="shared" ref="G50:G55" si="11">F50*E50</f>
        <v>286.25076480000001</v>
      </c>
      <c r="H50" s="2075">
        <f>SUM(G50:G55)</f>
        <v>746.52898320000008</v>
      </c>
      <c r="I50" s="105"/>
      <c r="J50" s="17"/>
      <c r="L50" s="17"/>
      <c r="R50"/>
      <c r="S50"/>
      <c r="T50"/>
      <c r="U50"/>
      <c r="V50"/>
      <c r="W50"/>
      <c r="X50"/>
      <c r="Y50"/>
      <c r="Z50"/>
      <c r="AA50"/>
      <c r="AB50"/>
      <c r="AC50"/>
      <c r="AD50"/>
      <c r="AE50"/>
      <c r="AF50"/>
      <c r="AG50"/>
      <c r="AH50"/>
      <c r="AI50"/>
      <c r="AJ50"/>
      <c r="AK50"/>
      <c r="AL50"/>
      <c r="AM50"/>
    </row>
    <row r="51" spans="1:39" x14ac:dyDescent="0.2">
      <c r="A51" s="17"/>
      <c r="B51" s="2085"/>
      <c r="C51" s="138" t="str">
        <f>IF($D$4=$O$6,VLOOKUP($C$48,mbxH,3,FALSE),VLOOKUP($C$48,$V$24:$Z$27,3,0))</f>
        <v>4971420/</v>
      </c>
      <c r="D51" s="56" t="str">
        <f t="shared" si="9"/>
        <v xml:space="preserve">MBX, Царга, 150/350мм, 30 кг, сер, прав </v>
      </c>
      <c r="E51" s="3">
        <v>1</v>
      </c>
      <c r="F51" s="12">
        <f t="shared" si="10"/>
        <v>286.25076480000001</v>
      </c>
      <c r="G51" s="14">
        <f t="shared" si="11"/>
        <v>286.25076480000001</v>
      </c>
      <c r="H51" s="2075"/>
      <c r="I51" s="105"/>
      <c r="J51" s="17"/>
      <c r="L51" s="17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</row>
    <row r="52" spans="1:39" x14ac:dyDescent="0.2">
      <c r="A52" s="17"/>
      <c r="B52" s="2085"/>
      <c r="C52" s="138" t="str">
        <f>IF($D$4=$O$6,VLOOKUP($C$48,mbxK,4,FALSE),VLOOKUP($C$48,$V$24:$Z$27,4,0))</f>
        <v>6119815/</v>
      </c>
      <c r="D52" s="56" t="str">
        <f t="shared" si="9"/>
        <v xml:space="preserve">MBX, Направл, 30 кг, 350 мм, сер, лев.  </v>
      </c>
      <c r="E52" s="3">
        <v>1</v>
      </c>
      <c r="F52" s="12">
        <f t="shared" si="10"/>
        <v>54.485230800000011</v>
      </c>
      <c r="G52" s="14">
        <f t="shared" si="11"/>
        <v>54.485230800000011</v>
      </c>
      <c r="H52" s="2075"/>
      <c r="I52" s="105"/>
      <c r="J52" s="17"/>
      <c r="L52" s="17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</row>
    <row r="53" spans="1:39" x14ac:dyDescent="0.2">
      <c r="A53" s="17"/>
      <c r="B53" s="2085"/>
      <c r="C53" s="138" t="str">
        <f>IF($D$4=$O$6,VLOOKUP($C$48,mbxK,5,FALSE),VLOOKUP($C$48,$V$24:$Z$27,5,0))</f>
        <v>6119995/</v>
      </c>
      <c r="D53" s="56" t="str">
        <f t="shared" si="9"/>
        <v xml:space="preserve">MBX, Направл, 30 кг, 350 мм, сер, прав. </v>
      </c>
      <c r="E53" s="3">
        <v>1</v>
      </c>
      <c r="F53" s="12">
        <f t="shared" si="10"/>
        <v>54.485230800000011</v>
      </c>
      <c r="G53" s="14">
        <f t="shared" si="11"/>
        <v>54.485230800000011</v>
      </c>
      <c r="H53" s="2075"/>
      <c r="I53" s="105"/>
      <c r="J53" s="17"/>
      <c r="L53" s="17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</row>
    <row r="54" spans="1:39" x14ac:dyDescent="0.2">
      <c r="A54" s="17"/>
      <c r="B54" s="2085"/>
      <c r="C54" s="2" t="s">
        <v>2217</v>
      </c>
      <c r="D54" s="56" t="str">
        <f t="shared" si="9"/>
        <v xml:space="preserve">MBX, Крепл фас п/шурупы, лев,ZSF.1700   </v>
      </c>
      <c r="E54" s="3">
        <v>1</v>
      </c>
      <c r="F54" s="12">
        <f t="shared" si="10"/>
        <v>32.528496000000004</v>
      </c>
      <c r="G54" s="14">
        <f t="shared" si="11"/>
        <v>32.528496000000004</v>
      </c>
      <c r="H54" s="2075"/>
      <c r="I54" s="105"/>
      <c r="J54" s="17"/>
      <c r="L54" s="17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</row>
    <row r="55" spans="1:39" ht="12" customHeight="1" thickBot="1" x14ac:dyDescent="0.25">
      <c r="A55" s="17"/>
      <c r="B55" s="2086"/>
      <c r="C55" s="353" t="s">
        <v>2216</v>
      </c>
      <c r="D55" s="408" t="str">
        <f t="shared" si="9"/>
        <v xml:space="preserve">MBX, Крепл фас п/шурупы, пр,ZSF.1700    </v>
      </c>
      <c r="E55" s="355">
        <v>1</v>
      </c>
      <c r="F55" s="356">
        <f t="shared" si="10"/>
        <v>32.528496000000004</v>
      </c>
      <c r="G55" s="409">
        <f t="shared" si="11"/>
        <v>32.528496000000004</v>
      </c>
      <c r="H55" s="2076"/>
      <c r="I55" s="105"/>
      <c r="J55" s="17"/>
      <c r="L55" s="17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</row>
    <row r="56" spans="1:39" s="8" customFormat="1" ht="15" customHeight="1" x14ac:dyDescent="0.2">
      <c r="A56" s="17"/>
      <c r="B56" s="17"/>
      <c r="C56" s="17"/>
      <c r="D56" s="17"/>
      <c r="E56" s="344"/>
      <c r="F56" s="17"/>
      <c r="G56" s="17"/>
      <c r="H56" s="422" t="s">
        <v>1813</v>
      </c>
      <c r="I56" s="16"/>
      <c r="J56" s="17"/>
      <c r="L56" s="17"/>
    </row>
    <row r="57" spans="1:39" ht="8.1" customHeight="1" thickBot="1" x14ac:dyDescent="0.25">
      <c r="B57" s="32"/>
      <c r="C57" s="28"/>
      <c r="D57" s="145"/>
      <c r="E57" s="32"/>
      <c r="F57" s="58"/>
      <c r="G57" s="58"/>
      <c r="H57" s="105"/>
      <c r="I57" s="105"/>
      <c r="J57" s="17"/>
      <c r="L57" s="17"/>
      <c r="N57" s="88"/>
      <c r="O57" s="88"/>
      <c r="P57" s="88"/>
      <c r="Q57" s="88"/>
      <c r="R57"/>
      <c r="S57"/>
      <c r="T57"/>
      <c r="U57"/>
      <c r="V57"/>
      <c r="W57"/>
      <c r="X57"/>
      <c r="Y57"/>
      <c r="Z57"/>
      <c r="AA57"/>
      <c r="AB57"/>
      <c r="AC57"/>
      <c r="AD57"/>
      <c r="AE57"/>
      <c r="AF57"/>
      <c r="AG57"/>
      <c r="AH57"/>
      <c r="AI57"/>
      <c r="AJ57"/>
      <c r="AK57"/>
      <c r="AL57"/>
      <c r="AM57"/>
    </row>
    <row r="58" spans="1:39" ht="20.25" customHeight="1" x14ac:dyDescent="0.2">
      <c r="B58" s="2015" t="s">
        <v>2159</v>
      </c>
      <c r="C58" s="2016"/>
      <c r="D58" s="2016"/>
      <c r="E58" s="2016"/>
      <c r="F58" s="2016"/>
      <c r="G58" s="2016"/>
      <c r="H58" s="400"/>
      <c r="I58" s="394"/>
      <c r="J58" s="421" t="s">
        <v>1814</v>
      </c>
      <c r="L58" s="17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</row>
    <row r="59" spans="1:39" ht="20.25" x14ac:dyDescent="0.2">
      <c r="A59" s="17"/>
      <c r="B59" s="2018"/>
      <c r="C59" s="2019"/>
      <c r="D59" s="2019"/>
      <c r="E59" s="2019"/>
      <c r="F59" s="2019"/>
      <c r="G59" s="2019"/>
      <c r="H59" s="401"/>
      <c r="I59" s="394"/>
      <c r="J59" s="17"/>
      <c r="L59" s="17"/>
      <c r="R59"/>
      <c r="S59"/>
      <c r="T59"/>
      <c r="U59"/>
      <c r="V59"/>
      <c r="W59"/>
      <c r="X59"/>
      <c r="Y59"/>
      <c r="Z59"/>
      <c r="AA59"/>
      <c r="AB59"/>
      <c r="AC59"/>
      <c r="AD59"/>
      <c r="AE59"/>
      <c r="AF59"/>
      <c r="AG59"/>
      <c r="AH59"/>
      <c r="AI59"/>
      <c r="AJ59"/>
      <c r="AK59"/>
      <c r="AL59"/>
      <c r="AM59"/>
    </row>
    <row r="60" spans="1:39" x14ac:dyDescent="0.2">
      <c r="A60" s="17"/>
      <c r="B60" s="2059" t="s">
        <v>7158</v>
      </c>
      <c r="C60" s="2060"/>
      <c r="D60" s="2060"/>
      <c r="E60" s="2060"/>
      <c r="F60" s="2060"/>
      <c r="G60" s="2060"/>
      <c r="H60" s="406"/>
      <c r="J60" s="17"/>
      <c r="L60" s="17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</row>
    <row r="61" spans="1:39" ht="15.75" thickBot="1" x14ac:dyDescent="0.25">
      <c r="A61" s="17"/>
      <c r="B61" s="410" t="s">
        <v>1639</v>
      </c>
      <c r="C61" s="98">
        <v>500</v>
      </c>
      <c r="D61" s="97" t="s">
        <v>1689</v>
      </c>
      <c r="E61" s="97"/>
      <c r="F61" s="97"/>
      <c r="G61" s="97"/>
      <c r="H61" s="376" t="str">
        <f>IF(СОДЕРЖАНИЕ!P2=1,"EUR","RUB")</f>
        <v>RUB</v>
      </c>
      <c r="I61" s="395"/>
      <c r="J61" s="17"/>
      <c r="L61" s="17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</row>
    <row r="62" spans="1:39" ht="9.9499999999999993" customHeight="1" x14ac:dyDescent="0.2">
      <c r="A62" s="17"/>
      <c r="B62" s="2028"/>
      <c r="C62" s="140" t="s">
        <v>1301</v>
      </c>
      <c r="D62" s="139" t="s">
        <v>784</v>
      </c>
      <c r="E62" s="140" t="s">
        <v>2117</v>
      </c>
      <c r="F62" s="139"/>
      <c r="G62" s="141" t="s">
        <v>2116</v>
      </c>
      <c r="H62" s="411"/>
      <c r="I62" s="105"/>
      <c r="J62" s="420"/>
      <c r="L62" s="17"/>
      <c r="N62" s="88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</row>
    <row r="63" spans="1:39" x14ac:dyDescent="0.2">
      <c r="A63" s="17"/>
      <c r="B63" s="2024"/>
      <c r="C63" s="138" t="str">
        <f>IF($D$4=$O$6,VLOOKUP($C$61,M37:N40,2,FALSE),VLOOKUP($C$61,V36:W39,2,0))</f>
        <v>1950400/</v>
      </c>
      <c r="D63" s="56" t="str">
        <f>VLOOKUP(C63,всецены,2,FALSE)</f>
        <v xml:space="preserve">MBX, Релинг продольный, 500 мм, сер.    </v>
      </c>
      <c r="E63" s="3">
        <v>2</v>
      </c>
      <c r="F63" s="12">
        <f>VLOOKUP(C63,всецены,4,FALSE)</f>
        <v>110.59688640000002</v>
      </c>
      <c r="G63" s="14">
        <f>F63*E63</f>
        <v>221.19377280000003</v>
      </c>
      <c r="H63" s="2075">
        <f>SUM(G63:G64)</f>
        <v>286.25076480000007</v>
      </c>
      <c r="I63" s="105"/>
      <c r="J63" s="17"/>
      <c r="L63" s="17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</row>
    <row r="64" spans="1:39" x14ac:dyDescent="0.2">
      <c r="A64" s="17"/>
      <c r="B64" s="2024"/>
      <c r="C64" s="138" t="s">
        <v>1135</v>
      </c>
      <c r="D64" s="56" t="str">
        <f>VLOOKUP(C64,всецены,2,FALSE)</f>
        <v>MBX, Крепл прод релинг,никел,ZRR.8000.01</v>
      </c>
      <c r="E64" s="3">
        <v>2</v>
      </c>
      <c r="F64" s="12">
        <f>VLOOKUP(C64,всецены,4,FALSE)</f>
        <v>32.528496000000004</v>
      </c>
      <c r="G64" s="14">
        <f>F64*E64</f>
        <v>65.056992000000008</v>
      </c>
      <c r="H64" s="2084"/>
      <c r="I64" s="396"/>
      <c r="J64" s="17"/>
      <c r="L64" s="17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</row>
    <row r="65" spans="1:39" x14ac:dyDescent="0.2">
      <c r="A65" s="17"/>
      <c r="B65" s="2067"/>
      <c r="C65" s="146"/>
      <c r="D65" s="147"/>
      <c r="E65" s="148"/>
      <c r="F65" s="147"/>
      <c r="G65" s="149"/>
      <c r="H65" s="406"/>
      <c r="J65" s="17"/>
      <c r="L65" s="17"/>
      <c r="R65"/>
      <c r="S65"/>
      <c r="T65"/>
      <c r="U65"/>
      <c r="V65"/>
      <c r="W65"/>
      <c r="X65"/>
      <c r="Y65"/>
      <c r="Z65"/>
      <c r="AA65"/>
      <c r="AB65"/>
      <c r="AC65"/>
      <c r="AD65"/>
      <c r="AE65"/>
      <c r="AF65"/>
      <c r="AG65"/>
      <c r="AH65"/>
      <c r="AI65"/>
      <c r="AJ65"/>
      <c r="AK65"/>
      <c r="AL65"/>
      <c r="AM65"/>
    </row>
    <row r="66" spans="1:39" x14ac:dyDescent="0.2">
      <c r="A66" s="17"/>
      <c r="B66" s="2067"/>
      <c r="C66" s="2069"/>
      <c r="D66" s="2070"/>
      <c r="E66" s="2070"/>
      <c r="F66" s="2070"/>
      <c r="G66" s="2071"/>
      <c r="H66" s="406"/>
      <c r="I66" s="215"/>
      <c r="J66" s="17"/>
      <c r="L66" s="17"/>
      <c r="R66"/>
      <c r="S66"/>
      <c r="T66"/>
      <c r="U66"/>
      <c r="V66"/>
      <c r="W66"/>
      <c r="X66"/>
      <c r="Y66"/>
      <c r="Z66"/>
      <c r="AA66"/>
      <c r="AB66"/>
      <c r="AC66"/>
      <c r="AD66"/>
      <c r="AE66"/>
      <c r="AF66"/>
      <c r="AG66"/>
      <c r="AH66"/>
      <c r="AI66"/>
      <c r="AJ66"/>
      <c r="AK66"/>
      <c r="AL66"/>
      <c r="AM66"/>
    </row>
    <row r="67" spans="1:39" ht="9.9499999999999993" customHeight="1" x14ac:dyDescent="0.2">
      <c r="A67" s="17"/>
      <c r="B67" s="2067"/>
      <c r="C67" s="150"/>
      <c r="D67" s="144"/>
      <c r="E67" s="135"/>
      <c r="F67" s="144"/>
      <c r="G67" s="151"/>
      <c r="H67" s="411"/>
      <c r="I67" s="105"/>
      <c r="J67" s="420"/>
      <c r="L67" s="17"/>
      <c r="N67" s="88"/>
      <c r="R67"/>
      <c r="S67"/>
      <c r="T67"/>
      <c r="U67"/>
      <c r="V67"/>
      <c r="W67"/>
      <c r="X67"/>
      <c r="Y67"/>
      <c r="Z67"/>
      <c r="AA67"/>
      <c r="AB67"/>
      <c r="AC67"/>
      <c r="AD67"/>
      <c r="AE67"/>
      <c r="AF67"/>
      <c r="AG67"/>
      <c r="AH67"/>
      <c r="AI67"/>
      <c r="AJ67"/>
      <c r="AK67"/>
      <c r="AL67"/>
      <c r="AM67"/>
    </row>
    <row r="68" spans="1:39" x14ac:dyDescent="0.2">
      <c r="A68" s="17"/>
      <c r="B68" s="2067"/>
      <c r="C68" s="152"/>
      <c r="D68" s="145"/>
      <c r="E68" s="32"/>
      <c r="F68" s="58"/>
      <c r="G68" s="153"/>
      <c r="H68" s="412"/>
      <c r="I68" s="90"/>
      <c r="J68" s="2077" t="s">
        <v>1814</v>
      </c>
      <c r="L68" s="17"/>
      <c r="R68"/>
      <c r="S68"/>
      <c r="T68"/>
      <c r="U68"/>
      <c r="V68"/>
      <c r="W68"/>
      <c r="X68"/>
      <c r="Y68"/>
      <c r="Z68"/>
      <c r="AA68"/>
      <c r="AB68"/>
      <c r="AC68"/>
      <c r="AD68"/>
      <c r="AE68"/>
      <c r="AF68"/>
      <c r="AG68"/>
      <c r="AH68"/>
      <c r="AI68"/>
      <c r="AJ68"/>
      <c r="AK68"/>
      <c r="AL68"/>
      <c r="AM68"/>
    </row>
    <row r="69" spans="1:39" ht="13.5" thickBot="1" x14ac:dyDescent="0.25">
      <c r="A69" s="17"/>
      <c r="B69" s="2068"/>
      <c r="C69" s="413"/>
      <c r="D69" s="414"/>
      <c r="E69" s="125"/>
      <c r="F69" s="415"/>
      <c r="G69" s="416"/>
      <c r="H69" s="417"/>
      <c r="I69" s="397"/>
      <c r="J69" s="2077"/>
      <c r="L69" s="17"/>
      <c r="R69"/>
      <c r="S69"/>
      <c r="T69"/>
      <c r="U69"/>
      <c r="V69"/>
      <c r="W69"/>
      <c r="X69"/>
      <c r="Y69"/>
      <c r="Z69"/>
      <c r="AA69"/>
      <c r="AB69"/>
      <c r="AC69"/>
      <c r="AD69"/>
      <c r="AE69"/>
      <c r="AF69"/>
      <c r="AG69"/>
      <c r="AH69"/>
      <c r="AI69"/>
      <c r="AJ69"/>
      <c r="AK69"/>
      <c r="AL69"/>
      <c r="AM69"/>
    </row>
    <row r="70" spans="1:39" ht="15" customHeight="1" x14ac:dyDescent="0.2">
      <c r="A70" s="17"/>
      <c r="B70" s="17"/>
      <c r="C70" s="17"/>
      <c r="D70" s="17"/>
      <c r="E70" s="344"/>
      <c r="F70" s="17"/>
      <c r="G70" s="17"/>
      <c r="H70" s="2078" t="s">
        <v>1815</v>
      </c>
      <c r="I70" s="2079"/>
      <c r="J70" s="17"/>
      <c r="L70" s="17"/>
      <c r="R70"/>
      <c r="S70"/>
      <c r="T70"/>
      <c r="U70"/>
      <c r="V70"/>
      <c r="W70"/>
      <c r="X70"/>
      <c r="Y70"/>
      <c r="Z70"/>
      <c r="AA70"/>
      <c r="AB70"/>
      <c r="AC70"/>
      <c r="AD70"/>
      <c r="AE70"/>
      <c r="AF70"/>
      <c r="AG70"/>
      <c r="AH70"/>
      <c r="AI70"/>
      <c r="AJ70"/>
      <c r="AK70"/>
      <c r="AL70"/>
      <c r="AM70"/>
    </row>
    <row r="71" spans="1:39" ht="8.1" customHeight="1" thickBot="1" x14ac:dyDescent="0.25">
      <c r="B71" s="32"/>
      <c r="C71" s="28"/>
      <c r="D71" s="145"/>
      <c r="E71" s="32"/>
      <c r="F71" s="58"/>
      <c r="G71" s="58"/>
      <c r="H71" s="105"/>
      <c r="I71" s="105"/>
      <c r="J71" s="17"/>
      <c r="L71" s="17"/>
      <c r="N71" s="88"/>
      <c r="O71" s="88"/>
      <c r="P71" s="88"/>
      <c r="Q71" s="88"/>
      <c r="R71"/>
      <c r="S71"/>
      <c r="T71"/>
      <c r="U71"/>
      <c r="V71"/>
      <c r="W71"/>
      <c r="X71"/>
      <c r="Y71"/>
      <c r="Z71"/>
      <c r="AA71"/>
      <c r="AB71"/>
      <c r="AC71"/>
      <c r="AD71"/>
      <c r="AE71"/>
      <c r="AF71"/>
      <c r="AG71"/>
      <c r="AH71"/>
      <c r="AI71"/>
      <c r="AJ71"/>
      <c r="AK71"/>
      <c r="AL71"/>
      <c r="AM71"/>
    </row>
    <row r="72" spans="1:39" ht="20.25" customHeight="1" x14ac:dyDescent="0.2">
      <c r="B72" s="2015" t="s">
        <v>2158</v>
      </c>
      <c r="C72" s="2016"/>
      <c r="D72" s="2016"/>
      <c r="E72" s="2016"/>
      <c r="F72" s="2016"/>
      <c r="G72" s="2016"/>
      <c r="H72" s="400"/>
      <c r="I72" s="394"/>
      <c r="J72" s="17"/>
      <c r="L72" s="17"/>
      <c r="R72"/>
      <c r="S72"/>
      <c r="T72"/>
      <c r="U72"/>
      <c r="V72"/>
      <c r="W72"/>
      <c r="X72"/>
      <c r="Y72"/>
      <c r="Z72"/>
      <c r="AA72"/>
      <c r="AB72"/>
      <c r="AC72"/>
      <c r="AD72"/>
      <c r="AE72"/>
      <c r="AF72"/>
      <c r="AG72"/>
      <c r="AH72"/>
      <c r="AI72"/>
      <c r="AJ72"/>
      <c r="AK72"/>
      <c r="AL72"/>
      <c r="AM72"/>
    </row>
    <row r="73" spans="1:39" s="28" customFormat="1" ht="20.25" x14ac:dyDescent="0.2">
      <c r="A73" s="75"/>
      <c r="B73" s="2018"/>
      <c r="C73" s="2019"/>
      <c r="D73" s="2019"/>
      <c r="E73" s="2019"/>
      <c r="F73" s="2019"/>
      <c r="G73" s="2019"/>
      <c r="H73" s="401"/>
      <c r="I73" s="394"/>
      <c r="J73" s="75"/>
      <c r="L73" s="75"/>
    </row>
    <row r="74" spans="1:39" s="28" customFormat="1" ht="20.25" customHeight="1" x14ac:dyDescent="0.2">
      <c r="A74" s="75"/>
      <c r="B74" s="2061"/>
      <c r="C74" s="2080"/>
      <c r="D74" s="2080"/>
      <c r="E74" s="2080"/>
      <c r="F74" s="2080"/>
      <c r="G74" s="2080"/>
      <c r="H74" s="406"/>
      <c r="I74" s="31"/>
      <c r="J74" s="75"/>
      <c r="L74" s="75"/>
    </row>
    <row r="75" spans="1:39" s="28" customFormat="1" ht="15.75" customHeight="1" x14ac:dyDescent="0.2">
      <c r="A75" s="75"/>
      <c r="B75" s="2062"/>
      <c r="C75" s="2027" t="s">
        <v>955</v>
      </c>
      <c r="D75" s="2027"/>
      <c r="E75" s="2027"/>
      <c r="F75" s="2027"/>
      <c r="G75" s="2027"/>
      <c r="H75" s="406"/>
      <c r="I75" s="215"/>
      <c r="J75" s="75"/>
      <c r="L75" s="75"/>
    </row>
    <row r="76" spans="1:39" s="28" customFormat="1" x14ac:dyDescent="0.2">
      <c r="A76" s="75"/>
      <c r="B76" s="2062"/>
      <c r="C76" s="140" t="s">
        <v>1301</v>
      </c>
      <c r="D76" s="139" t="s">
        <v>784</v>
      </c>
      <c r="E76" s="140" t="s">
        <v>2117</v>
      </c>
      <c r="F76" s="139"/>
      <c r="G76" s="141" t="s">
        <v>2116</v>
      </c>
      <c r="H76" s="402" t="str">
        <f>IF(СОДЕРЖАНИЕ!P2=1,"EUR","RUB")</f>
        <v>RUB</v>
      </c>
      <c r="I76" s="57"/>
      <c r="J76" s="2077" t="s">
        <v>1814</v>
      </c>
      <c r="L76" s="75"/>
    </row>
    <row r="77" spans="1:39" s="28" customFormat="1" ht="13.5" thickBot="1" x14ac:dyDescent="0.25">
      <c r="A77" s="75"/>
      <c r="B77" s="2063"/>
      <c r="C77" s="407" t="str">
        <f>IF(D4="Серый","9177805/","9177803/")</f>
        <v>9177805/</v>
      </c>
      <c r="D77" s="408" t="str">
        <f>VLOOKUP(C77,всецены,2,FALSE)</f>
        <v xml:space="preserve">MBX, ВМ, сер, Z70.0320                  </v>
      </c>
      <c r="E77" s="355">
        <v>1</v>
      </c>
      <c r="F77" s="356">
        <f>VLOOKUP(C77,всецены,4,FALSE)</f>
        <v>238.27123320000001</v>
      </c>
      <c r="G77" s="409">
        <f>F77*E77</f>
        <v>238.27123320000001</v>
      </c>
      <c r="H77" s="357">
        <f>SUM(G77:G78)</f>
        <v>238.27123320000001</v>
      </c>
      <c r="I77" s="105"/>
      <c r="J77" s="2077"/>
      <c r="L77" s="75"/>
    </row>
    <row r="78" spans="1:39" s="28" customFormat="1" ht="15" customHeight="1" x14ac:dyDescent="0.2">
      <c r="A78" s="75"/>
      <c r="B78" s="169"/>
      <c r="C78" s="75"/>
      <c r="D78" s="393"/>
      <c r="E78" s="169"/>
      <c r="F78" s="358"/>
      <c r="G78" s="358"/>
      <c r="H78" s="2078" t="s">
        <v>1815</v>
      </c>
      <c r="I78" s="2077"/>
      <c r="J78" s="75"/>
      <c r="K78" s="2078" t="s">
        <v>1815</v>
      </c>
      <c r="L78" s="2077"/>
    </row>
    <row r="79" spans="1:39" ht="8.1" customHeight="1" thickBot="1" x14ac:dyDescent="0.25">
      <c r="B79" s="32"/>
      <c r="C79" s="28"/>
      <c r="D79" s="145"/>
      <c r="E79" s="32"/>
      <c r="F79" s="58"/>
      <c r="G79" s="58"/>
      <c r="H79" s="105"/>
      <c r="I79" s="105"/>
      <c r="J79" s="17"/>
      <c r="N79" s="88"/>
      <c r="O79" s="88"/>
      <c r="P79" s="88"/>
      <c r="Q79" s="88"/>
      <c r="R79"/>
      <c r="S79"/>
      <c r="T79"/>
      <c r="U79"/>
      <c r="V79"/>
      <c r="W79"/>
      <c r="X79"/>
      <c r="Y79"/>
      <c r="Z79"/>
      <c r="AA79"/>
      <c r="AB79"/>
      <c r="AC79"/>
      <c r="AD79"/>
      <c r="AE79"/>
      <c r="AF79"/>
      <c r="AG79"/>
      <c r="AH79"/>
      <c r="AI79"/>
      <c r="AJ79"/>
      <c r="AK79"/>
      <c r="AL79"/>
      <c r="AM79"/>
    </row>
    <row r="80" spans="1:39" ht="20.25" customHeight="1" x14ac:dyDescent="0.2">
      <c r="B80" s="2015" t="s">
        <v>1812</v>
      </c>
      <c r="C80" s="2016"/>
      <c r="D80" s="2016"/>
      <c r="E80" s="2016"/>
      <c r="F80" s="2016"/>
      <c r="G80" s="2016"/>
      <c r="H80" s="400"/>
      <c r="I80" s="394"/>
      <c r="J80" s="17"/>
      <c r="R80"/>
      <c r="S80"/>
      <c r="T80"/>
      <c r="U80"/>
      <c r="V80"/>
      <c r="W80"/>
      <c r="X80"/>
      <c r="Y80"/>
      <c r="Z80"/>
      <c r="AA80"/>
      <c r="AB80"/>
      <c r="AC80"/>
      <c r="AD80"/>
      <c r="AE80"/>
      <c r="AF80"/>
      <c r="AG80"/>
      <c r="AH80"/>
      <c r="AI80"/>
      <c r="AJ80"/>
      <c r="AK80"/>
      <c r="AL80"/>
      <c r="AM80"/>
    </row>
    <row r="81" spans="1:39" s="28" customFormat="1" ht="20.25" x14ac:dyDescent="0.2">
      <c r="A81" s="75"/>
      <c r="B81" s="2018"/>
      <c r="C81" s="2019"/>
      <c r="D81" s="2019"/>
      <c r="E81" s="2019"/>
      <c r="F81" s="2019"/>
      <c r="G81" s="2019"/>
      <c r="H81" s="401"/>
      <c r="I81" s="394"/>
      <c r="J81" s="75"/>
    </row>
    <row r="82" spans="1:39" s="28" customFormat="1" x14ac:dyDescent="0.2">
      <c r="A82" s="75"/>
      <c r="B82" s="2061"/>
      <c r="C82" s="140" t="s">
        <v>1301</v>
      </c>
      <c r="D82" s="139" t="s">
        <v>784</v>
      </c>
      <c r="E82" s="140" t="s">
        <v>2117</v>
      </c>
      <c r="F82" s="139"/>
      <c r="G82" s="141" t="s">
        <v>2116</v>
      </c>
      <c r="H82" s="402" t="str">
        <f>IF(СОДЕРЖАНИЕ!P2=1,"EUR","RUB")</f>
        <v>RUB</v>
      </c>
      <c r="I82" s="31"/>
      <c r="J82" s="75"/>
    </row>
    <row r="83" spans="1:39" s="28" customFormat="1" x14ac:dyDescent="0.2">
      <c r="A83" s="75"/>
      <c r="B83" s="2062"/>
      <c r="C83" s="399" t="s">
        <v>2215</v>
      </c>
      <c r="D83" s="398" t="str">
        <f>VLOOKUP(C83,всецены,2,FALSE)</f>
        <v>MBX, Заглушка с лого, крем, сим ZAA.3500</v>
      </c>
      <c r="E83" s="80">
        <v>2</v>
      </c>
      <c r="F83" s="21">
        <f>VLOOKUP(C83,всецены,4,FALSE)</f>
        <v>8.9453364000000004</v>
      </c>
      <c r="G83" s="21">
        <f>F83*E83</f>
        <v>17.890672800000001</v>
      </c>
      <c r="H83" s="403">
        <f>G83</f>
        <v>17.890672800000001</v>
      </c>
      <c r="I83" s="215"/>
      <c r="J83" s="75"/>
    </row>
    <row r="84" spans="1:39" s="28" customFormat="1" x14ac:dyDescent="0.2">
      <c r="A84" s="75"/>
      <c r="B84" s="2062"/>
      <c r="C84" s="43" t="s">
        <v>2192</v>
      </c>
      <c r="D84" s="398" t="str">
        <f>VLOOKUP(C84,всецены,2,FALSE)</f>
        <v xml:space="preserve">MBX, Заглушка с лого, сер, лев ZAA.3500 </v>
      </c>
      <c r="E84" s="80">
        <v>1</v>
      </c>
      <c r="F84" s="21">
        <f>VLOOKUP(C84,всецены,4,FALSE)</f>
        <v>10.571761200000001</v>
      </c>
      <c r="G84" s="21">
        <f>F84*E84</f>
        <v>10.571761200000001</v>
      </c>
      <c r="H84" s="2075">
        <f>SUM(G84:G85)</f>
        <v>21.143522400000002</v>
      </c>
      <c r="I84" s="57"/>
      <c r="J84" s="2077" t="s">
        <v>1814</v>
      </c>
    </row>
    <row r="85" spans="1:39" s="28" customFormat="1" ht="13.5" thickBot="1" x14ac:dyDescent="0.25">
      <c r="A85" s="75"/>
      <c r="B85" s="2063"/>
      <c r="C85" s="404" t="s">
        <v>2193</v>
      </c>
      <c r="D85" s="405" t="str">
        <f>VLOOKUP(C85,всецены,2,FALSE)</f>
        <v xml:space="preserve">MBX, Заглушка с лого, сер, пр ZAA.3500  </v>
      </c>
      <c r="E85" s="381">
        <v>1</v>
      </c>
      <c r="F85" s="354">
        <f>VLOOKUP(C85,всецены,4,FALSE)</f>
        <v>10.571761200000001</v>
      </c>
      <c r="G85" s="354">
        <f>F85*E85</f>
        <v>10.571761200000001</v>
      </c>
      <c r="H85" s="2076"/>
      <c r="I85" s="105"/>
      <c r="J85" s="2077"/>
    </row>
    <row r="86" spans="1:39" ht="15" customHeight="1" x14ac:dyDescent="0.2">
      <c r="A86" s="17"/>
      <c r="B86" s="17"/>
      <c r="C86" s="17"/>
      <c r="D86" s="17"/>
      <c r="E86" s="344"/>
      <c r="F86" s="17"/>
      <c r="G86" s="17"/>
      <c r="H86" s="2078" t="s">
        <v>1815</v>
      </c>
      <c r="I86" s="2077"/>
      <c r="J86" s="17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  <c r="AD86"/>
      <c r="AE86"/>
      <c r="AF86"/>
      <c r="AG86"/>
      <c r="AH86"/>
      <c r="AI86"/>
      <c r="AJ86"/>
      <c r="AK86"/>
      <c r="AL86"/>
      <c r="AM86"/>
    </row>
    <row r="87" spans="1:39" x14ac:dyDescent="0.2">
      <c r="B87" s="8"/>
      <c r="C87" s="8"/>
      <c r="D87" s="8"/>
      <c r="E87" s="53"/>
      <c r="F87" s="8"/>
      <c r="G87" s="8"/>
      <c r="H87" s="31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  <c r="AD87"/>
      <c r="AE87"/>
      <c r="AF87"/>
      <c r="AG87"/>
      <c r="AH87"/>
      <c r="AI87"/>
      <c r="AJ87"/>
      <c r="AK87"/>
      <c r="AL87"/>
      <c r="AM87"/>
    </row>
    <row r="88" spans="1:39" x14ac:dyDescent="0.2">
      <c r="B88" s="8"/>
      <c r="C88" s="8"/>
      <c r="D88" s="8"/>
      <c r="E88" s="53"/>
      <c r="F88" s="8"/>
      <c r="G88" s="8"/>
      <c r="H88" s="31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  <c r="AD88"/>
      <c r="AE88"/>
      <c r="AF88"/>
      <c r="AG88"/>
      <c r="AH88"/>
      <c r="AI88"/>
      <c r="AJ88"/>
      <c r="AK88"/>
      <c r="AL88"/>
      <c r="AM88"/>
    </row>
    <row r="89" spans="1:39" x14ac:dyDescent="0.2">
      <c r="B89" s="8"/>
      <c r="C89" s="8"/>
      <c r="D89" s="8"/>
      <c r="E89" s="53"/>
      <c r="F89" s="8"/>
      <c r="G89" s="8"/>
      <c r="H89" s="31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  <c r="AD89"/>
      <c r="AE89"/>
      <c r="AF89"/>
      <c r="AG89"/>
      <c r="AH89"/>
      <c r="AI89"/>
      <c r="AJ89"/>
      <c r="AK89"/>
      <c r="AL89"/>
      <c r="AM89"/>
    </row>
    <row r="90" spans="1:39" x14ac:dyDescent="0.2">
      <c r="B90" s="8"/>
      <c r="C90" s="8"/>
      <c r="D90" s="8"/>
      <c r="E90" s="53"/>
      <c r="F90" s="8"/>
      <c r="G90" s="8"/>
      <c r="H90" s="31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  <c r="AD90"/>
      <c r="AE90"/>
      <c r="AF90"/>
      <c r="AG90"/>
      <c r="AH90"/>
      <c r="AI90"/>
      <c r="AJ90"/>
      <c r="AK90"/>
      <c r="AL90"/>
      <c r="AM90"/>
    </row>
    <row r="91" spans="1:39" x14ac:dyDescent="0.2">
      <c r="B91" s="8"/>
      <c r="C91" s="8"/>
      <c r="D91" s="8"/>
      <c r="E91" s="53"/>
      <c r="F91" s="8"/>
      <c r="G91" s="8"/>
      <c r="H91" s="3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  <c r="AD91"/>
      <c r="AE91"/>
      <c r="AF91"/>
      <c r="AG91"/>
      <c r="AH91"/>
      <c r="AI91"/>
      <c r="AJ91"/>
      <c r="AK91"/>
      <c r="AL91"/>
      <c r="AM91"/>
    </row>
    <row r="92" spans="1:39" x14ac:dyDescent="0.2">
      <c r="B92" s="8"/>
      <c r="C92" s="8"/>
      <c r="D92" s="8"/>
      <c r="E92" s="53"/>
      <c r="F92" s="8"/>
      <c r="G92" s="8"/>
      <c r="H92" s="31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  <c r="AD92"/>
      <c r="AE92"/>
      <c r="AF92"/>
      <c r="AG92"/>
      <c r="AH92"/>
      <c r="AI92"/>
      <c r="AJ92"/>
      <c r="AK92"/>
      <c r="AL92"/>
      <c r="AM92"/>
    </row>
    <row r="93" spans="1:39" x14ac:dyDescent="0.2">
      <c r="B93" s="8"/>
      <c r="C93" s="8"/>
      <c r="D93" s="8"/>
      <c r="E93" s="53"/>
      <c r="F93" s="8"/>
      <c r="G93" s="8"/>
      <c r="H93" s="31"/>
      <c r="K93"/>
      <c r="L93"/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  <c r="AD93"/>
      <c r="AE93"/>
      <c r="AF93"/>
      <c r="AG93"/>
      <c r="AH93"/>
      <c r="AI93"/>
      <c r="AJ93"/>
      <c r="AK93"/>
      <c r="AL93"/>
      <c r="AM93"/>
    </row>
    <row r="94" spans="1:39" x14ac:dyDescent="0.2">
      <c r="B94" s="8"/>
      <c r="C94" s="8"/>
      <c r="D94" s="8"/>
      <c r="E94" s="53"/>
      <c r="F94" s="8"/>
      <c r="G94" s="8"/>
      <c r="H94" s="31"/>
      <c r="K94"/>
      <c r="L94"/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  <c r="AD94"/>
      <c r="AE94"/>
      <c r="AF94"/>
      <c r="AG94"/>
      <c r="AH94"/>
      <c r="AI94"/>
      <c r="AJ94"/>
      <c r="AK94"/>
      <c r="AL94"/>
      <c r="AM94"/>
    </row>
    <row r="95" spans="1:39" x14ac:dyDescent="0.2">
      <c r="B95" s="8"/>
      <c r="C95" s="8"/>
      <c r="D95" s="8"/>
      <c r="E95" s="53"/>
      <c r="F95" s="8"/>
      <c r="G95" s="8"/>
      <c r="H95" s="31"/>
      <c r="K95"/>
      <c r="L95"/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  <c r="AD95"/>
      <c r="AE95"/>
      <c r="AF95"/>
      <c r="AG95"/>
      <c r="AH95"/>
      <c r="AI95"/>
      <c r="AJ95"/>
      <c r="AK95"/>
      <c r="AL95"/>
      <c r="AM95"/>
    </row>
    <row r="96" spans="1:39" x14ac:dyDescent="0.2">
      <c r="B96" s="8"/>
      <c r="C96" s="8"/>
      <c r="D96" s="8"/>
      <c r="E96" s="53"/>
      <c r="F96" s="8"/>
      <c r="G96" s="8"/>
      <c r="H96" s="31"/>
      <c r="K96"/>
      <c r="L96"/>
      <c r="M96"/>
      <c r="N96"/>
      <c r="O96"/>
      <c r="P96"/>
      <c r="Q96"/>
      <c r="R96"/>
      <c r="S96"/>
      <c r="T96"/>
      <c r="U96"/>
      <c r="V96"/>
      <c r="W96"/>
      <c r="X96"/>
      <c r="Y96"/>
      <c r="Z96"/>
      <c r="AA96"/>
      <c r="AB96"/>
      <c r="AC96"/>
      <c r="AD96"/>
      <c r="AE96"/>
      <c r="AF96"/>
      <c r="AG96"/>
      <c r="AH96"/>
      <c r="AI96"/>
      <c r="AJ96"/>
      <c r="AK96"/>
      <c r="AL96"/>
      <c r="AM96"/>
    </row>
    <row r="97" spans="1:39" x14ac:dyDescent="0.2">
      <c r="A97"/>
      <c r="B97" s="8"/>
      <c r="C97" s="8"/>
      <c r="D97" s="8"/>
      <c r="E97" s="53"/>
      <c r="F97" s="8"/>
      <c r="G97" s="8"/>
      <c r="H97" s="31"/>
      <c r="I97"/>
      <c r="J97"/>
      <c r="K97"/>
      <c r="L97"/>
      <c r="M97"/>
      <c r="N97"/>
      <c r="O97"/>
      <c r="P97"/>
      <c r="Q97"/>
      <c r="R97"/>
      <c r="S97"/>
      <c r="T97"/>
      <c r="U97"/>
      <c r="V97"/>
      <c r="W97"/>
      <c r="X97"/>
      <c r="Y97"/>
      <c r="Z97"/>
      <c r="AA97"/>
      <c r="AB97"/>
      <c r="AC97"/>
      <c r="AD97"/>
      <c r="AE97"/>
      <c r="AF97"/>
      <c r="AG97"/>
      <c r="AH97"/>
      <c r="AI97"/>
      <c r="AJ97"/>
      <c r="AK97"/>
      <c r="AL97"/>
      <c r="AM97"/>
    </row>
    <row r="98" spans="1:39" x14ac:dyDescent="0.2">
      <c r="A98"/>
      <c r="B98" s="8"/>
      <c r="C98" s="8"/>
      <c r="D98" s="8"/>
      <c r="E98" s="53"/>
      <c r="F98" s="8"/>
      <c r="G98" s="8"/>
      <c r="H98" s="31"/>
      <c r="I98"/>
      <c r="J98"/>
      <c r="K98"/>
      <c r="L98"/>
      <c r="M98"/>
      <c r="N98"/>
      <c r="O98"/>
      <c r="P98"/>
      <c r="Q98"/>
      <c r="R98"/>
      <c r="S98"/>
      <c r="T98"/>
      <c r="U98"/>
      <c r="V98"/>
      <c r="W98"/>
      <c r="X98"/>
      <c r="Y98"/>
      <c r="Z98"/>
      <c r="AA98"/>
      <c r="AB98"/>
      <c r="AC98"/>
      <c r="AD98"/>
      <c r="AE98"/>
      <c r="AF98"/>
      <c r="AG98"/>
      <c r="AH98"/>
      <c r="AI98"/>
      <c r="AJ98"/>
      <c r="AK98"/>
      <c r="AL98"/>
      <c r="AM98"/>
    </row>
    <row r="99" spans="1:39" x14ac:dyDescent="0.2">
      <c r="A99"/>
      <c r="B99" s="8"/>
      <c r="C99" s="8"/>
      <c r="D99" s="8"/>
      <c r="E99" s="53"/>
      <c r="F99" s="8"/>
      <c r="G99" s="8"/>
      <c r="H99" s="31"/>
      <c r="I99"/>
      <c r="J99"/>
      <c r="K99"/>
      <c r="L99"/>
      <c r="M99"/>
      <c r="N99"/>
      <c r="O99"/>
      <c r="P99"/>
      <c r="Q99"/>
      <c r="R99"/>
      <c r="S99"/>
      <c r="T99"/>
      <c r="U99"/>
      <c r="V99"/>
      <c r="W99"/>
      <c r="X99"/>
      <c r="Y99"/>
      <c r="Z99"/>
      <c r="AA99"/>
      <c r="AB99"/>
      <c r="AC99"/>
      <c r="AD99"/>
      <c r="AE99"/>
      <c r="AF99"/>
      <c r="AG99"/>
      <c r="AH99"/>
      <c r="AI99"/>
      <c r="AJ99"/>
      <c r="AK99"/>
      <c r="AL99"/>
      <c r="AM99"/>
    </row>
    <row r="100" spans="1:39" x14ac:dyDescent="0.2">
      <c r="A100"/>
      <c r="B100" s="8"/>
      <c r="C100" s="8"/>
      <c r="D100" s="8"/>
      <c r="E100" s="53"/>
      <c r="F100" s="8"/>
      <c r="G100" s="8"/>
      <c r="H100" s="31"/>
      <c r="I100"/>
      <c r="J100"/>
      <c r="K100"/>
      <c r="L100"/>
      <c r="M100"/>
      <c r="N100"/>
      <c r="O100"/>
      <c r="P100"/>
      <c r="Q100"/>
      <c r="R100"/>
      <c r="S100"/>
      <c r="T100"/>
      <c r="U100"/>
      <c r="V100"/>
      <c r="W100"/>
      <c r="X100"/>
      <c r="Y100"/>
      <c r="Z100"/>
      <c r="AA100"/>
      <c r="AB100"/>
      <c r="AC100"/>
      <c r="AD100"/>
      <c r="AE100"/>
      <c r="AF100"/>
      <c r="AG100"/>
      <c r="AH100"/>
      <c r="AI100"/>
      <c r="AJ100"/>
      <c r="AK100"/>
      <c r="AL100"/>
      <c r="AM100"/>
    </row>
    <row r="101" spans="1:39" x14ac:dyDescent="0.2">
      <c r="A101"/>
      <c r="B101" s="8"/>
      <c r="C101" s="8"/>
      <c r="D101" s="8"/>
      <c r="E101" s="53"/>
      <c r="F101" s="8"/>
      <c r="G101" s="8"/>
      <c r="H101" s="31"/>
      <c r="I101"/>
      <c r="J101"/>
      <c r="K101"/>
      <c r="L101"/>
      <c r="M101"/>
      <c r="N101"/>
      <c r="O101"/>
      <c r="P101"/>
      <c r="Q101"/>
      <c r="R101"/>
      <c r="S101"/>
      <c r="T101"/>
      <c r="U101"/>
      <c r="V101"/>
      <c r="W101"/>
      <c r="X101"/>
      <c r="Y101"/>
      <c r="Z101"/>
      <c r="AA101"/>
      <c r="AB101"/>
      <c r="AC101"/>
      <c r="AD101"/>
      <c r="AE101"/>
      <c r="AF101"/>
      <c r="AG101"/>
      <c r="AH101"/>
      <c r="AI101"/>
      <c r="AJ101"/>
      <c r="AK101"/>
      <c r="AL101"/>
      <c r="AM101"/>
    </row>
    <row r="102" spans="1:39" x14ac:dyDescent="0.2">
      <c r="A102"/>
      <c r="B102" s="8"/>
      <c r="C102" s="8"/>
      <c r="D102" s="8"/>
      <c r="E102" s="53"/>
      <c r="F102" s="8"/>
      <c r="G102" s="8"/>
      <c r="H102" s="31"/>
      <c r="I102"/>
      <c r="J102"/>
      <c r="K102"/>
      <c r="L102"/>
      <c r="M102"/>
      <c r="N102"/>
      <c r="O102"/>
      <c r="P102"/>
      <c r="Q102"/>
      <c r="R102"/>
      <c r="S102"/>
      <c r="T102"/>
      <c r="U102"/>
      <c r="V102"/>
      <c r="W102"/>
      <c r="X102"/>
      <c r="Y102"/>
      <c r="Z102"/>
      <c r="AA102"/>
      <c r="AB102"/>
      <c r="AC102"/>
      <c r="AD102"/>
      <c r="AE102"/>
      <c r="AF102"/>
      <c r="AG102"/>
      <c r="AH102"/>
      <c r="AI102"/>
      <c r="AJ102"/>
      <c r="AK102"/>
      <c r="AL102"/>
      <c r="AM102"/>
    </row>
    <row r="103" spans="1:39" x14ac:dyDescent="0.2">
      <c r="A103"/>
      <c r="B103" s="8"/>
      <c r="C103" s="8"/>
      <c r="D103" s="8"/>
      <c r="E103" s="53"/>
      <c r="F103" s="8"/>
      <c r="G103" s="8"/>
      <c r="H103" s="31"/>
      <c r="I103"/>
      <c r="J103"/>
      <c r="K103"/>
      <c r="L103"/>
      <c r="M103"/>
      <c r="N103"/>
      <c r="O103"/>
      <c r="P103"/>
      <c r="Q103"/>
      <c r="R103"/>
      <c r="S103"/>
      <c r="T103"/>
      <c r="U103"/>
      <c r="V103"/>
      <c r="W103"/>
      <c r="X103"/>
      <c r="Y103"/>
      <c r="Z103"/>
      <c r="AA103"/>
      <c r="AB103"/>
      <c r="AC103"/>
      <c r="AD103"/>
      <c r="AE103"/>
      <c r="AF103"/>
      <c r="AG103"/>
      <c r="AH103"/>
      <c r="AI103"/>
      <c r="AJ103"/>
      <c r="AK103"/>
      <c r="AL103"/>
      <c r="AM103"/>
    </row>
    <row r="104" spans="1:39" x14ac:dyDescent="0.2">
      <c r="A104"/>
      <c r="B104" s="8"/>
      <c r="C104" s="8"/>
      <c r="D104" s="8"/>
      <c r="E104" s="53"/>
      <c r="F104" s="8"/>
      <c r="G104" s="8"/>
      <c r="H104" s="31"/>
      <c r="I104"/>
      <c r="J104"/>
      <c r="K104"/>
      <c r="L104"/>
      <c r="M104"/>
      <c r="N104"/>
      <c r="O104"/>
      <c r="P104"/>
      <c r="Q104"/>
      <c r="R104"/>
      <c r="S104"/>
      <c r="T104"/>
      <c r="U104"/>
      <c r="V104"/>
      <c r="W104"/>
      <c r="X104"/>
      <c r="Y104"/>
      <c r="Z104"/>
      <c r="AA104"/>
      <c r="AB104"/>
      <c r="AC104"/>
      <c r="AD104"/>
      <c r="AE104"/>
      <c r="AF104"/>
      <c r="AG104"/>
      <c r="AH104"/>
      <c r="AI104"/>
      <c r="AJ104"/>
      <c r="AK104"/>
      <c r="AL104"/>
      <c r="AM104"/>
    </row>
    <row r="105" spans="1:39" x14ac:dyDescent="0.2">
      <c r="A105"/>
      <c r="B105" s="8"/>
      <c r="C105" s="8"/>
      <c r="D105" s="8"/>
      <c r="E105" s="53"/>
      <c r="F105" s="8"/>
      <c r="G105" s="8"/>
      <c r="H105" s="31"/>
      <c r="I105"/>
      <c r="J105"/>
      <c r="K105"/>
      <c r="L105"/>
      <c r="M105"/>
      <c r="N105"/>
      <c r="O105"/>
      <c r="P105"/>
      <c r="Q105"/>
      <c r="R105"/>
      <c r="S105"/>
      <c r="T105"/>
      <c r="U105"/>
      <c r="V105"/>
      <c r="W105"/>
      <c r="X105"/>
      <c r="Y105"/>
      <c r="Z105"/>
      <c r="AA105"/>
      <c r="AB105"/>
      <c r="AC105"/>
      <c r="AD105"/>
      <c r="AE105"/>
      <c r="AF105"/>
      <c r="AG105"/>
      <c r="AH105"/>
      <c r="AI105"/>
      <c r="AJ105"/>
      <c r="AK105"/>
      <c r="AL105"/>
      <c r="AM105"/>
    </row>
    <row r="106" spans="1:39" x14ac:dyDescent="0.2">
      <c r="A106"/>
      <c r="B106" s="8"/>
      <c r="C106" s="8"/>
      <c r="D106" s="8"/>
      <c r="E106" s="53"/>
      <c r="F106" s="8"/>
      <c r="G106" s="8"/>
      <c r="H106" s="31"/>
      <c r="I106"/>
      <c r="J106"/>
      <c r="K106"/>
      <c r="L106"/>
      <c r="M106"/>
      <c r="N106"/>
      <c r="O106"/>
      <c r="P106"/>
      <c r="Q106"/>
      <c r="R106"/>
      <c r="S106"/>
      <c r="T106"/>
      <c r="U106"/>
      <c r="V106"/>
      <c r="W106"/>
      <c r="X106"/>
      <c r="Y106"/>
      <c r="Z106"/>
      <c r="AA106"/>
      <c r="AB106"/>
      <c r="AC106"/>
      <c r="AD106"/>
      <c r="AE106"/>
      <c r="AF106"/>
      <c r="AG106"/>
      <c r="AH106"/>
      <c r="AI106"/>
      <c r="AJ106"/>
      <c r="AK106"/>
      <c r="AL106"/>
      <c r="AM106"/>
    </row>
    <row r="107" spans="1:39" x14ac:dyDescent="0.2">
      <c r="A107"/>
      <c r="B107" s="8"/>
      <c r="C107" s="8"/>
      <c r="D107" s="8"/>
      <c r="E107" s="53"/>
      <c r="F107" s="8"/>
      <c r="G107" s="8"/>
      <c r="H107" s="31"/>
      <c r="I107"/>
      <c r="J107"/>
      <c r="K107"/>
      <c r="L107"/>
      <c r="M107"/>
      <c r="N107"/>
      <c r="O107"/>
      <c r="P107"/>
      <c r="Q107"/>
      <c r="R107"/>
      <c r="S107"/>
      <c r="T107"/>
      <c r="U107"/>
      <c r="V107"/>
      <c r="W107"/>
      <c r="X107"/>
      <c r="Y107"/>
      <c r="Z107"/>
      <c r="AA107"/>
      <c r="AB107"/>
      <c r="AC107"/>
      <c r="AD107"/>
      <c r="AE107"/>
      <c r="AF107"/>
      <c r="AG107"/>
      <c r="AH107"/>
      <c r="AI107"/>
      <c r="AJ107"/>
      <c r="AK107"/>
      <c r="AL107"/>
      <c r="AM107"/>
    </row>
    <row r="108" spans="1:39" x14ac:dyDescent="0.2">
      <c r="A108"/>
      <c r="B108" s="8"/>
      <c r="C108" s="8"/>
      <c r="D108" s="8"/>
      <c r="E108" s="53"/>
      <c r="F108" s="8"/>
      <c r="G108" s="8"/>
      <c r="H108" s="31"/>
      <c r="I108"/>
      <c r="J108"/>
      <c r="K108"/>
      <c r="L108"/>
      <c r="M108"/>
      <c r="N108"/>
      <c r="O108"/>
      <c r="P108"/>
      <c r="Q108"/>
      <c r="R108"/>
      <c r="S108"/>
      <c r="T108"/>
      <c r="U108"/>
      <c r="V108"/>
      <c r="W108"/>
      <c r="X108"/>
      <c r="Y108"/>
      <c r="Z108"/>
      <c r="AA108"/>
      <c r="AB108"/>
      <c r="AC108"/>
      <c r="AD108"/>
      <c r="AE108"/>
      <c r="AF108"/>
      <c r="AG108"/>
      <c r="AH108"/>
      <c r="AI108"/>
      <c r="AJ108"/>
      <c r="AK108"/>
      <c r="AL108"/>
      <c r="AM108"/>
    </row>
    <row r="109" spans="1:39" x14ac:dyDescent="0.2">
      <c r="A109"/>
      <c r="B109" s="8"/>
      <c r="C109" s="8"/>
      <c r="D109" s="8"/>
      <c r="E109" s="53"/>
      <c r="F109" s="8"/>
      <c r="G109" s="8"/>
      <c r="H109" s="31"/>
      <c r="I109"/>
      <c r="J109"/>
      <c r="K109"/>
      <c r="L109"/>
      <c r="M109"/>
      <c r="N109"/>
      <c r="O109"/>
      <c r="P109"/>
      <c r="Q109"/>
      <c r="R109"/>
      <c r="S109"/>
      <c r="T109"/>
      <c r="U109"/>
      <c r="V109"/>
      <c r="W109"/>
      <c r="X109"/>
      <c r="Y109"/>
      <c r="Z109"/>
      <c r="AA109"/>
      <c r="AB109"/>
      <c r="AC109"/>
      <c r="AD109"/>
      <c r="AE109"/>
      <c r="AF109"/>
      <c r="AG109"/>
      <c r="AH109"/>
      <c r="AI109"/>
      <c r="AJ109"/>
      <c r="AK109"/>
      <c r="AL109"/>
      <c r="AM109"/>
    </row>
    <row r="110" spans="1:39" x14ac:dyDescent="0.2">
      <c r="A110"/>
      <c r="B110" s="8"/>
      <c r="C110" s="8"/>
      <c r="D110" s="8"/>
      <c r="E110" s="53"/>
      <c r="F110" s="8"/>
      <c r="G110" s="8"/>
      <c r="H110" s="31"/>
      <c r="I110"/>
      <c r="J110"/>
      <c r="K110"/>
      <c r="L110"/>
      <c r="M110"/>
      <c r="N110"/>
      <c r="O110"/>
      <c r="P110"/>
      <c r="Q110"/>
      <c r="R110"/>
      <c r="S110"/>
      <c r="T110"/>
      <c r="U110"/>
      <c r="V110"/>
      <c r="W110"/>
      <c r="X110"/>
      <c r="Y110"/>
      <c r="Z110"/>
      <c r="AA110"/>
      <c r="AB110"/>
      <c r="AC110"/>
      <c r="AD110"/>
      <c r="AE110"/>
      <c r="AF110"/>
      <c r="AG110"/>
      <c r="AH110"/>
      <c r="AI110"/>
      <c r="AJ110"/>
      <c r="AK110"/>
      <c r="AL110"/>
      <c r="AM110"/>
    </row>
    <row r="111" spans="1:39" x14ac:dyDescent="0.2">
      <c r="A111"/>
      <c r="B111" s="8"/>
      <c r="C111" s="8"/>
      <c r="D111" s="8"/>
      <c r="E111" s="53"/>
      <c r="F111" s="8"/>
      <c r="G111" s="8"/>
      <c r="H111" s="31"/>
      <c r="I111"/>
      <c r="J111"/>
      <c r="K111"/>
      <c r="L111"/>
      <c r="M111"/>
      <c r="N111"/>
      <c r="O111"/>
      <c r="P111"/>
      <c r="Q111"/>
      <c r="R111"/>
      <c r="S111"/>
      <c r="T111"/>
      <c r="U111"/>
      <c r="V111"/>
      <c r="W111"/>
      <c r="X111"/>
      <c r="Y111"/>
      <c r="Z111"/>
      <c r="AA111"/>
      <c r="AB111"/>
      <c r="AC111"/>
      <c r="AD111"/>
      <c r="AE111"/>
      <c r="AF111"/>
      <c r="AG111"/>
      <c r="AH111"/>
      <c r="AI111"/>
      <c r="AJ111"/>
      <c r="AK111"/>
      <c r="AL111"/>
      <c r="AM111"/>
    </row>
    <row r="112" spans="1:39" x14ac:dyDescent="0.2">
      <c r="A112"/>
      <c r="B112" s="8"/>
      <c r="C112" s="8"/>
      <c r="D112" s="8"/>
      <c r="E112" s="53"/>
      <c r="F112" s="8"/>
      <c r="G112" s="8"/>
      <c r="H112" s="31"/>
      <c r="I112"/>
      <c r="J112"/>
      <c r="K112"/>
      <c r="L112"/>
      <c r="M112"/>
      <c r="N112"/>
      <c r="O112"/>
      <c r="P112"/>
      <c r="Q112"/>
      <c r="R112"/>
      <c r="S112"/>
      <c r="T112"/>
      <c r="U112"/>
      <c r="V112"/>
      <c r="W112"/>
      <c r="X112"/>
      <c r="Y112"/>
      <c r="Z112"/>
      <c r="AA112"/>
      <c r="AB112"/>
      <c r="AC112"/>
      <c r="AD112"/>
      <c r="AE112"/>
      <c r="AF112"/>
      <c r="AG112"/>
      <c r="AH112"/>
      <c r="AI112"/>
      <c r="AJ112"/>
      <c r="AK112"/>
      <c r="AL112"/>
      <c r="AM112"/>
    </row>
    <row r="113" spans="1:39" x14ac:dyDescent="0.2">
      <c r="A113"/>
      <c r="B113" s="8"/>
      <c r="C113" s="8"/>
      <c r="D113" s="8"/>
      <c r="E113" s="53"/>
      <c r="F113" s="8"/>
      <c r="G113" s="8"/>
      <c r="H113" s="31"/>
      <c r="I113"/>
      <c r="J113"/>
      <c r="K113"/>
      <c r="L113"/>
      <c r="M113"/>
      <c r="N113"/>
      <c r="O113"/>
      <c r="P113"/>
      <c r="Q113"/>
      <c r="R113"/>
      <c r="S113"/>
      <c r="T113"/>
      <c r="U113"/>
      <c r="V113"/>
      <c r="W113"/>
      <c r="X113"/>
      <c r="Y113"/>
      <c r="Z113"/>
      <c r="AA113"/>
      <c r="AB113"/>
      <c r="AC113"/>
      <c r="AD113"/>
      <c r="AE113"/>
      <c r="AF113"/>
      <c r="AG113"/>
      <c r="AH113"/>
      <c r="AI113"/>
      <c r="AJ113"/>
      <c r="AK113"/>
      <c r="AL113"/>
      <c r="AM113"/>
    </row>
    <row r="114" spans="1:39" x14ac:dyDescent="0.2">
      <c r="A114"/>
      <c r="B114" s="8"/>
      <c r="C114" s="8"/>
      <c r="D114" s="8"/>
      <c r="E114" s="53"/>
      <c r="F114" s="8"/>
      <c r="G114" s="8"/>
      <c r="H114" s="31"/>
      <c r="I114"/>
      <c r="J114"/>
      <c r="K114"/>
      <c r="L114"/>
      <c r="M114"/>
      <c r="N114"/>
      <c r="O114"/>
      <c r="P114"/>
      <c r="Q114"/>
      <c r="R114"/>
      <c r="S114"/>
      <c r="T114"/>
      <c r="U114"/>
      <c r="V114"/>
      <c r="W114"/>
      <c r="X114"/>
      <c r="Y114"/>
      <c r="Z114"/>
      <c r="AA114"/>
      <c r="AB114"/>
      <c r="AC114"/>
      <c r="AD114"/>
      <c r="AE114"/>
      <c r="AF114"/>
      <c r="AG114"/>
      <c r="AH114"/>
      <c r="AI114"/>
      <c r="AJ114"/>
      <c r="AK114"/>
      <c r="AL114"/>
      <c r="AM114"/>
    </row>
    <row r="115" spans="1:39" x14ac:dyDescent="0.2">
      <c r="A115"/>
      <c r="B115" s="8"/>
      <c r="C115" s="8"/>
      <c r="D115" s="8"/>
      <c r="E115" s="53"/>
      <c r="F115" s="8"/>
      <c r="G115" s="8"/>
      <c r="H115" s="31"/>
      <c r="I115"/>
      <c r="J115"/>
      <c r="K115"/>
      <c r="L115"/>
      <c r="M115"/>
      <c r="N115"/>
      <c r="O115"/>
      <c r="P115"/>
      <c r="Q115"/>
      <c r="R115"/>
      <c r="S115"/>
      <c r="T115"/>
      <c r="U115"/>
      <c r="V115"/>
      <c r="W115"/>
      <c r="X115"/>
      <c r="Y115"/>
      <c r="Z115"/>
      <c r="AA115"/>
      <c r="AB115"/>
      <c r="AC115"/>
      <c r="AD115"/>
      <c r="AE115"/>
      <c r="AF115"/>
      <c r="AG115"/>
      <c r="AH115"/>
      <c r="AI115"/>
      <c r="AJ115"/>
      <c r="AK115"/>
      <c r="AL115"/>
      <c r="AM115"/>
    </row>
    <row r="116" spans="1:39" x14ac:dyDescent="0.2">
      <c r="A116"/>
      <c r="B116" s="8"/>
      <c r="C116" s="8"/>
      <c r="D116" s="8"/>
      <c r="E116" s="53"/>
      <c r="F116" s="8"/>
      <c r="G116" s="8"/>
      <c r="H116" s="31"/>
      <c r="I116"/>
      <c r="J116"/>
      <c r="K116"/>
      <c r="L116"/>
      <c r="M116"/>
      <c r="N116"/>
      <c r="O116"/>
      <c r="P116"/>
      <c r="Q116"/>
      <c r="R116"/>
      <c r="S116"/>
      <c r="T116"/>
      <c r="U116"/>
      <c r="V116"/>
      <c r="W116"/>
      <c r="X116"/>
      <c r="Y116"/>
      <c r="Z116"/>
      <c r="AA116"/>
      <c r="AB116"/>
      <c r="AC116"/>
      <c r="AD116"/>
      <c r="AE116"/>
      <c r="AF116"/>
      <c r="AG116"/>
      <c r="AH116"/>
      <c r="AI116"/>
      <c r="AJ116"/>
      <c r="AK116"/>
      <c r="AL116"/>
      <c r="AM116"/>
    </row>
    <row r="117" spans="1:39" x14ac:dyDescent="0.2">
      <c r="A117"/>
      <c r="B117" s="8"/>
      <c r="C117" s="8"/>
      <c r="D117" s="8"/>
      <c r="E117" s="53"/>
      <c r="F117" s="8"/>
      <c r="G117" s="8"/>
      <c r="H117" s="31"/>
      <c r="I117"/>
      <c r="J117"/>
      <c r="K117"/>
      <c r="L117"/>
      <c r="M117"/>
      <c r="N117"/>
      <c r="O117"/>
      <c r="P117"/>
      <c r="Q117"/>
      <c r="R117"/>
      <c r="S117"/>
      <c r="T117"/>
      <c r="U117"/>
      <c r="V117"/>
      <c r="W117"/>
      <c r="X117"/>
      <c r="Y117"/>
      <c r="Z117"/>
      <c r="AA117"/>
      <c r="AB117"/>
      <c r="AC117"/>
      <c r="AD117"/>
      <c r="AE117"/>
      <c r="AF117"/>
      <c r="AG117"/>
      <c r="AH117"/>
      <c r="AI117"/>
      <c r="AJ117"/>
      <c r="AK117"/>
      <c r="AL117"/>
      <c r="AM117"/>
    </row>
    <row r="118" spans="1:39" x14ac:dyDescent="0.2">
      <c r="A118"/>
      <c r="B118" s="8"/>
      <c r="C118" s="8"/>
      <c r="D118" s="8"/>
      <c r="E118" s="53"/>
      <c r="F118" s="8"/>
      <c r="G118" s="8"/>
      <c r="H118" s="31"/>
      <c r="I118"/>
      <c r="J118"/>
      <c r="K118"/>
      <c r="L118"/>
      <c r="M118"/>
      <c r="N118"/>
      <c r="O118"/>
      <c r="P118"/>
      <c r="Q118"/>
      <c r="R118"/>
      <c r="S118"/>
      <c r="T118"/>
      <c r="U118"/>
      <c r="V118"/>
      <c r="W118"/>
      <c r="X118"/>
      <c r="Y118"/>
      <c r="Z118"/>
      <c r="AA118"/>
      <c r="AB118"/>
      <c r="AC118"/>
      <c r="AD118"/>
      <c r="AE118"/>
      <c r="AF118"/>
      <c r="AG118"/>
      <c r="AH118"/>
      <c r="AI118"/>
      <c r="AJ118"/>
      <c r="AK118"/>
      <c r="AL118"/>
      <c r="AM118"/>
    </row>
    <row r="119" spans="1:39" x14ac:dyDescent="0.2">
      <c r="A119"/>
      <c r="B119" s="8"/>
      <c r="C119" s="8"/>
      <c r="D119" s="8"/>
      <c r="E119" s="53"/>
      <c r="F119" s="8"/>
      <c r="G119" s="8"/>
      <c r="H119" s="31"/>
      <c r="I119"/>
      <c r="J119"/>
      <c r="K119"/>
      <c r="L119"/>
      <c r="M119"/>
      <c r="N119"/>
      <c r="O119"/>
      <c r="P119"/>
      <c r="Q119"/>
      <c r="R119"/>
      <c r="S119"/>
      <c r="T119"/>
      <c r="U119"/>
      <c r="V119"/>
      <c r="W119"/>
      <c r="X119"/>
      <c r="Y119"/>
      <c r="Z119"/>
      <c r="AA119"/>
      <c r="AB119"/>
      <c r="AC119"/>
      <c r="AD119"/>
      <c r="AE119"/>
      <c r="AF119"/>
      <c r="AG119"/>
      <c r="AH119"/>
      <c r="AI119"/>
      <c r="AJ119"/>
      <c r="AK119"/>
      <c r="AL119"/>
      <c r="AM119"/>
    </row>
    <row r="120" spans="1:39" x14ac:dyDescent="0.2">
      <c r="A120"/>
      <c r="B120" s="8"/>
      <c r="C120" s="8"/>
      <c r="D120" s="8"/>
      <c r="E120" s="53"/>
      <c r="F120" s="8"/>
      <c r="G120" s="8"/>
      <c r="H120" s="31"/>
      <c r="I120"/>
      <c r="J120"/>
      <c r="K120"/>
      <c r="L120"/>
      <c r="M120"/>
      <c r="N120"/>
      <c r="O120"/>
      <c r="P120"/>
      <c r="Q120"/>
      <c r="R120"/>
      <c r="S120"/>
      <c r="T120"/>
      <c r="U120"/>
      <c r="V120"/>
      <c r="W120"/>
      <c r="X120"/>
      <c r="Y120"/>
      <c r="Z120"/>
      <c r="AA120"/>
      <c r="AB120"/>
      <c r="AC120"/>
      <c r="AD120"/>
      <c r="AE120"/>
      <c r="AF120"/>
      <c r="AG120"/>
      <c r="AH120"/>
      <c r="AI120"/>
      <c r="AJ120"/>
      <c r="AK120"/>
      <c r="AL120"/>
      <c r="AM120"/>
    </row>
    <row r="121" spans="1:39" x14ac:dyDescent="0.2">
      <c r="A121"/>
      <c r="B121" s="8"/>
      <c r="C121" s="8"/>
      <c r="D121" s="8"/>
      <c r="E121" s="53"/>
      <c r="F121" s="8"/>
      <c r="G121" s="8"/>
      <c r="H121" s="31"/>
      <c r="I121"/>
      <c r="J121"/>
      <c r="K121"/>
      <c r="L121"/>
      <c r="M121"/>
      <c r="N121"/>
      <c r="O121"/>
      <c r="P121"/>
      <c r="Q121"/>
      <c r="R121"/>
      <c r="S121"/>
      <c r="T121"/>
      <c r="U121"/>
      <c r="V121"/>
      <c r="W121"/>
      <c r="X121"/>
      <c r="Y121"/>
      <c r="Z121"/>
      <c r="AA121"/>
      <c r="AB121"/>
      <c r="AC121"/>
      <c r="AD121"/>
      <c r="AE121"/>
      <c r="AF121"/>
      <c r="AG121"/>
      <c r="AH121"/>
      <c r="AI121"/>
      <c r="AJ121"/>
      <c r="AK121"/>
      <c r="AL121"/>
      <c r="AM121"/>
    </row>
    <row r="122" spans="1:39" x14ac:dyDescent="0.2">
      <c r="A122"/>
      <c r="B122" s="8"/>
      <c r="C122" s="8"/>
      <c r="D122" s="8"/>
      <c r="E122" s="53"/>
      <c r="F122" s="8"/>
      <c r="G122" s="8"/>
      <c r="H122" s="31"/>
      <c r="I122"/>
      <c r="J122"/>
      <c r="K122"/>
      <c r="L122"/>
      <c r="M122"/>
      <c r="N122"/>
      <c r="O122"/>
      <c r="P122"/>
      <c r="Q122"/>
      <c r="R122"/>
      <c r="S122"/>
      <c r="T122"/>
      <c r="U122"/>
      <c r="V122"/>
      <c r="W122"/>
      <c r="X122"/>
      <c r="Y122"/>
      <c r="Z122"/>
      <c r="AA122"/>
      <c r="AB122"/>
      <c r="AC122"/>
      <c r="AD122"/>
      <c r="AE122"/>
      <c r="AF122"/>
      <c r="AG122"/>
      <c r="AH122"/>
      <c r="AI122"/>
      <c r="AJ122"/>
      <c r="AK122"/>
      <c r="AL122"/>
      <c r="AM122"/>
    </row>
    <row r="123" spans="1:39" x14ac:dyDescent="0.2">
      <c r="A123"/>
      <c r="B123" s="8"/>
      <c r="C123" s="8"/>
      <c r="D123" s="8"/>
      <c r="E123" s="53"/>
      <c r="F123" s="8"/>
      <c r="G123" s="8"/>
      <c r="H123" s="31"/>
      <c r="I123"/>
      <c r="J123"/>
      <c r="K123"/>
      <c r="L123"/>
      <c r="M123"/>
      <c r="N123"/>
      <c r="O123"/>
      <c r="P123"/>
      <c r="Q123"/>
      <c r="R123"/>
      <c r="S123"/>
      <c r="T123"/>
      <c r="U123"/>
      <c r="V123"/>
      <c r="W123"/>
      <c r="X123"/>
      <c r="Y123"/>
      <c r="Z123"/>
      <c r="AA123"/>
      <c r="AB123"/>
      <c r="AC123"/>
      <c r="AD123"/>
      <c r="AE123"/>
      <c r="AF123"/>
      <c r="AG123"/>
      <c r="AH123"/>
      <c r="AI123"/>
      <c r="AJ123"/>
      <c r="AK123"/>
      <c r="AL123"/>
      <c r="AM123"/>
    </row>
    <row r="124" spans="1:39" x14ac:dyDescent="0.2">
      <c r="A124"/>
      <c r="B124" s="8"/>
      <c r="C124" s="8"/>
      <c r="D124" s="8"/>
      <c r="E124" s="53"/>
      <c r="F124" s="8"/>
      <c r="G124" s="8"/>
      <c r="H124" s="31"/>
      <c r="I124"/>
      <c r="J124"/>
      <c r="K124"/>
      <c r="L124"/>
      <c r="M124"/>
      <c r="N124"/>
      <c r="O124"/>
      <c r="P124"/>
      <c r="Q124"/>
      <c r="R124"/>
      <c r="S124"/>
      <c r="T124"/>
      <c r="U124"/>
      <c r="V124"/>
      <c r="W124"/>
      <c r="X124"/>
      <c r="Y124"/>
      <c r="Z124"/>
      <c r="AA124"/>
      <c r="AB124"/>
      <c r="AC124"/>
      <c r="AD124"/>
      <c r="AE124"/>
      <c r="AF124"/>
      <c r="AG124"/>
      <c r="AH124"/>
      <c r="AI124"/>
      <c r="AJ124"/>
      <c r="AK124"/>
      <c r="AL124"/>
      <c r="AM124"/>
    </row>
    <row r="125" spans="1:39" x14ac:dyDescent="0.2">
      <c r="A125"/>
      <c r="B125" s="8"/>
      <c r="C125" s="8"/>
      <c r="D125" s="8"/>
      <c r="E125" s="53"/>
      <c r="F125" s="8"/>
      <c r="G125" s="8"/>
      <c r="H125" s="31"/>
      <c r="I125"/>
      <c r="J125"/>
      <c r="K125"/>
      <c r="L125"/>
      <c r="M125"/>
      <c r="N125"/>
      <c r="O125"/>
      <c r="P125"/>
      <c r="Q125"/>
      <c r="R125"/>
      <c r="S125"/>
      <c r="T125"/>
      <c r="U125"/>
      <c r="V125"/>
      <c r="W125"/>
      <c r="X125"/>
      <c r="Y125"/>
      <c r="Z125"/>
      <c r="AA125"/>
      <c r="AB125"/>
      <c r="AC125"/>
      <c r="AD125"/>
      <c r="AE125"/>
      <c r="AF125"/>
      <c r="AG125"/>
      <c r="AH125"/>
      <c r="AI125"/>
      <c r="AJ125"/>
      <c r="AK125"/>
      <c r="AL125"/>
      <c r="AM125"/>
    </row>
    <row r="126" spans="1:39" x14ac:dyDescent="0.2">
      <c r="A126"/>
      <c r="B126" s="8"/>
      <c r="C126" s="8"/>
      <c r="D126" s="8"/>
      <c r="E126" s="53"/>
      <c r="F126" s="8"/>
      <c r="G126" s="8"/>
      <c r="H126" s="31"/>
      <c r="I126"/>
      <c r="J126"/>
      <c r="K126"/>
      <c r="L126"/>
      <c r="M126"/>
      <c r="N126"/>
      <c r="O126"/>
      <c r="P126"/>
      <c r="Q126"/>
      <c r="R126"/>
      <c r="S126"/>
      <c r="T126"/>
      <c r="U126"/>
      <c r="V126"/>
      <c r="W126"/>
      <c r="X126"/>
      <c r="Y126"/>
      <c r="Z126"/>
      <c r="AA126"/>
      <c r="AB126"/>
      <c r="AC126"/>
      <c r="AD126"/>
      <c r="AE126"/>
      <c r="AF126"/>
      <c r="AG126"/>
      <c r="AH126"/>
      <c r="AI126"/>
      <c r="AJ126"/>
      <c r="AK126"/>
      <c r="AL126"/>
      <c r="AM126"/>
    </row>
    <row r="127" spans="1:39" x14ac:dyDescent="0.2">
      <c r="A127"/>
      <c r="B127" s="8"/>
      <c r="C127" s="8"/>
      <c r="D127" s="8"/>
      <c r="E127" s="53"/>
      <c r="F127" s="8"/>
      <c r="G127" s="8"/>
      <c r="H127" s="31"/>
      <c r="I127"/>
      <c r="J127"/>
      <c r="K127"/>
      <c r="L127"/>
      <c r="M127"/>
      <c r="N127"/>
      <c r="O127"/>
      <c r="P127"/>
      <c r="Q127"/>
      <c r="R127"/>
      <c r="S127"/>
      <c r="T127"/>
      <c r="U127"/>
      <c r="V127"/>
      <c r="W127"/>
      <c r="X127"/>
      <c r="Y127"/>
      <c r="Z127"/>
      <c r="AA127"/>
      <c r="AB127"/>
      <c r="AC127"/>
      <c r="AD127"/>
      <c r="AE127"/>
      <c r="AF127"/>
      <c r="AG127"/>
      <c r="AH127"/>
      <c r="AI127"/>
      <c r="AJ127"/>
      <c r="AK127"/>
      <c r="AL127"/>
      <c r="AM127"/>
    </row>
    <row r="128" spans="1:39" x14ac:dyDescent="0.2">
      <c r="A128"/>
      <c r="B128" s="8"/>
      <c r="C128" s="8"/>
      <c r="D128" s="8"/>
      <c r="E128" s="53"/>
      <c r="F128" s="8"/>
      <c r="G128" s="8"/>
      <c r="H128" s="31"/>
      <c r="I128"/>
      <c r="J128"/>
      <c r="K128"/>
      <c r="L128"/>
      <c r="M128"/>
      <c r="N128"/>
      <c r="O128"/>
      <c r="P128"/>
      <c r="Q128"/>
      <c r="R128"/>
      <c r="S128"/>
      <c r="T128"/>
      <c r="U128"/>
      <c r="V128"/>
      <c r="W128"/>
      <c r="X128"/>
      <c r="Y128"/>
      <c r="Z128"/>
      <c r="AA128"/>
      <c r="AB128"/>
      <c r="AC128"/>
      <c r="AD128"/>
      <c r="AE128"/>
      <c r="AF128"/>
      <c r="AG128"/>
      <c r="AH128"/>
      <c r="AI128"/>
      <c r="AJ128"/>
      <c r="AK128"/>
      <c r="AL128"/>
      <c r="AM128"/>
    </row>
    <row r="129" spans="1:39" x14ac:dyDescent="0.2">
      <c r="A129"/>
      <c r="B129" s="8"/>
      <c r="C129" s="8"/>
      <c r="D129" s="8"/>
      <c r="E129" s="53"/>
      <c r="F129" s="8"/>
      <c r="G129" s="8"/>
      <c r="H129" s="31"/>
      <c r="I129"/>
      <c r="J129"/>
      <c r="K129"/>
      <c r="L129"/>
      <c r="M129"/>
      <c r="N129"/>
      <c r="O129"/>
      <c r="P129"/>
      <c r="Q129"/>
      <c r="R129"/>
      <c r="S129"/>
      <c r="T129"/>
      <c r="U129"/>
      <c r="V129"/>
      <c r="W129"/>
      <c r="X129"/>
      <c r="Y129"/>
      <c r="Z129"/>
      <c r="AA129"/>
      <c r="AB129"/>
      <c r="AC129"/>
      <c r="AD129"/>
      <c r="AE129"/>
      <c r="AF129"/>
      <c r="AG129"/>
      <c r="AH129"/>
      <c r="AI129"/>
      <c r="AJ129"/>
      <c r="AK129"/>
      <c r="AL129"/>
      <c r="AM129"/>
    </row>
    <row r="130" spans="1:39" x14ac:dyDescent="0.2">
      <c r="A130"/>
      <c r="B130" s="8"/>
      <c r="C130" s="8"/>
      <c r="D130" s="8"/>
      <c r="E130" s="53"/>
      <c r="F130" s="8"/>
      <c r="G130" s="8"/>
      <c r="H130" s="31"/>
      <c r="I130"/>
      <c r="J130"/>
      <c r="K130"/>
      <c r="L130"/>
      <c r="M130"/>
      <c r="N130"/>
      <c r="O130"/>
      <c r="P130"/>
      <c r="Q130"/>
      <c r="R130"/>
      <c r="S130"/>
      <c r="T130"/>
      <c r="U130"/>
      <c r="V130"/>
      <c r="W130"/>
      <c r="X130"/>
      <c r="Y130"/>
      <c r="Z130"/>
      <c r="AA130"/>
      <c r="AB130"/>
      <c r="AC130"/>
      <c r="AD130"/>
      <c r="AE130"/>
      <c r="AF130"/>
      <c r="AG130"/>
      <c r="AH130"/>
      <c r="AI130"/>
      <c r="AJ130"/>
      <c r="AK130"/>
      <c r="AL130"/>
      <c r="AM130"/>
    </row>
    <row r="131" spans="1:39" x14ac:dyDescent="0.2">
      <c r="A131"/>
      <c r="B131" s="8"/>
      <c r="C131" s="8"/>
      <c r="D131" s="8"/>
      <c r="E131" s="53"/>
      <c r="F131" s="8"/>
      <c r="G131" s="8"/>
      <c r="H131" s="31"/>
      <c r="I131"/>
      <c r="J131"/>
      <c r="K131"/>
      <c r="L131"/>
      <c r="M131"/>
      <c r="N131"/>
      <c r="O131"/>
      <c r="P131"/>
      <c r="Q131"/>
      <c r="R131"/>
      <c r="S131"/>
      <c r="T131"/>
      <c r="U131"/>
      <c r="V131"/>
      <c r="W131"/>
      <c r="X131"/>
      <c r="Y131"/>
      <c r="Z131"/>
      <c r="AA131"/>
      <c r="AB131"/>
      <c r="AC131"/>
      <c r="AD131"/>
      <c r="AE131"/>
      <c r="AF131"/>
      <c r="AG131"/>
      <c r="AH131"/>
      <c r="AI131"/>
      <c r="AJ131"/>
      <c r="AK131"/>
      <c r="AL131"/>
      <c r="AM131"/>
    </row>
    <row r="132" spans="1:39" x14ac:dyDescent="0.2">
      <c r="A132"/>
      <c r="B132" s="8"/>
      <c r="C132" s="8"/>
      <c r="D132" s="8"/>
      <c r="E132" s="53"/>
      <c r="F132" s="8"/>
      <c r="G132" s="8"/>
      <c r="H132" s="31"/>
      <c r="I132"/>
      <c r="J132"/>
      <c r="K132"/>
      <c r="L132"/>
      <c r="M132"/>
      <c r="N132"/>
      <c r="O132"/>
      <c r="P132"/>
      <c r="Q132"/>
      <c r="R132"/>
      <c r="S132"/>
      <c r="T132"/>
      <c r="U132"/>
      <c r="V132"/>
      <c r="W132"/>
      <c r="X132"/>
      <c r="Y132"/>
      <c r="Z132"/>
      <c r="AA132"/>
      <c r="AB132"/>
      <c r="AC132"/>
      <c r="AD132"/>
      <c r="AE132"/>
      <c r="AF132"/>
      <c r="AG132"/>
      <c r="AH132"/>
      <c r="AI132"/>
      <c r="AJ132"/>
      <c r="AK132"/>
      <c r="AL132"/>
      <c r="AM132"/>
    </row>
    <row r="133" spans="1:39" x14ac:dyDescent="0.2">
      <c r="A133"/>
      <c r="B133" s="8"/>
      <c r="C133" s="8"/>
      <c r="D133" s="8"/>
      <c r="E133" s="53"/>
      <c r="F133" s="8"/>
      <c r="G133" s="8"/>
      <c r="H133" s="31"/>
      <c r="I133"/>
      <c r="J133"/>
      <c r="K133"/>
      <c r="L133"/>
      <c r="M133"/>
      <c r="N133"/>
      <c r="O133"/>
      <c r="P133"/>
      <c r="Q133"/>
      <c r="R133"/>
      <c r="S133"/>
      <c r="T133"/>
      <c r="U133"/>
      <c r="V133"/>
      <c r="W133"/>
      <c r="X133"/>
      <c r="Y133"/>
      <c r="Z133"/>
      <c r="AA133"/>
      <c r="AB133"/>
      <c r="AC133"/>
      <c r="AD133"/>
      <c r="AE133"/>
      <c r="AF133"/>
      <c r="AG133"/>
      <c r="AH133"/>
      <c r="AI133"/>
      <c r="AJ133"/>
      <c r="AK133"/>
      <c r="AL133"/>
      <c r="AM133"/>
    </row>
    <row r="134" spans="1:39" x14ac:dyDescent="0.2">
      <c r="A134"/>
      <c r="B134" s="8"/>
      <c r="C134" s="8"/>
      <c r="D134" s="8"/>
      <c r="E134" s="53"/>
      <c r="F134" s="8"/>
      <c r="G134" s="8"/>
      <c r="H134" s="31"/>
      <c r="I134"/>
      <c r="J134"/>
      <c r="K134"/>
      <c r="L134"/>
      <c r="M134"/>
      <c r="N134"/>
      <c r="O134"/>
      <c r="P134"/>
      <c r="Q134"/>
      <c r="R134"/>
      <c r="S134"/>
      <c r="T134"/>
      <c r="U134"/>
      <c r="V134"/>
      <c r="W134"/>
      <c r="X134"/>
      <c r="Y134"/>
      <c r="Z134"/>
      <c r="AA134"/>
      <c r="AB134"/>
      <c r="AC134"/>
      <c r="AD134"/>
      <c r="AE134"/>
      <c r="AF134"/>
      <c r="AG134"/>
      <c r="AH134"/>
      <c r="AI134"/>
      <c r="AJ134"/>
      <c r="AK134"/>
      <c r="AL134"/>
      <c r="AM134"/>
    </row>
    <row r="135" spans="1:39" x14ac:dyDescent="0.2">
      <c r="A135"/>
      <c r="B135" s="8"/>
      <c r="C135" s="8"/>
      <c r="D135" s="8"/>
      <c r="E135" s="53"/>
      <c r="F135" s="8"/>
      <c r="G135" s="8"/>
      <c r="H135" s="31"/>
      <c r="I135"/>
      <c r="J135"/>
      <c r="K135"/>
      <c r="L135"/>
      <c r="M135"/>
      <c r="N135"/>
      <c r="O135"/>
      <c r="P135"/>
      <c r="Q135"/>
      <c r="R135"/>
      <c r="S135"/>
      <c r="T135"/>
      <c r="U135"/>
      <c r="V135"/>
      <c r="W135"/>
      <c r="X135"/>
      <c r="Y135"/>
      <c r="Z135"/>
      <c r="AA135"/>
      <c r="AB135"/>
      <c r="AC135"/>
      <c r="AD135"/>
      <c r="AE135"/>
      <c r="AF135"/>
      <c r="AG135"/>
      <c r="AH135"/>
      <c r="AI135"/>
      <c r="AJ135"/>
      <c r="AK135"/>
      <c r="AL135"/>
      <c r="AM135"/>
    </row>
    <row r="136" spans="1:39" x14ac:dyDescent="0.2">
      <c r="A136"/>
      <c r="B136" s="8"/>
      <c r="C136" s="8"/>
      <c r="D136" s="8"/>
      <c r="E136" s="53"/>
      <c r="F136" s="8"/>
      <c r="G136" s="8"/>
      <c r="H136" s="31"/>
      <c r="I136"/>
      <c r="J136"/>
      <c r="K136"/>
      <c r="L136"/>
      <c r="M136"/>
      <c r="N136"/>
      <c r="O136"/>
      <c r="P136"/>
      <c r="Q136"/>
      <c r="R136"/>
      <c r="S136"/>
      <c r="T136"/>
      <c r="U136"/>
      <c r="V136"/>
      <c r="W136"/>
      <c r="X136"/>
      <c r="Y136"/>
      <c r="Z136"/>
      <c r="AA136"/>
      <c r="AB136"/>
      <c r="AC136"/>
      <c r="AD136"/>
      <c r="AE136"/>
      <c r="AF136"/>
      <c r="AG136"/>
      <c r="AH136"/>
      <c r="AI136"/>
      <c r="AJ136"/>
      <c r="AK136"/>
      <c r="AL136"/>
      <c r="AM136"/>
    </row>
    <row r="137" spans="1:39" x14ac:dyDescent="0.2">
      <c r="A137"/>
      <c r="B137" s="8"/>
      <c r="C137" s="8"/>
      <c r="D137" s="8"/>
      <c r="E137" s="53"/>
      <c r="F137" s="8"/>
      <c r="G137" s="8"/>
      <c r="H137" s="31"/>
      <c r="I137"/>
      <c r="J137"/>
      <c r="K137"/>
      <c r="L137"/>
      <c r="M137"/>
      <c r="N137"/>
      <c r="O137"/>
      <c r="P137"/>
      <c r="Q137"/>
      <c r="R137"/>
      <c r="S137"/>
      <c r="T137"/>
      <c r="U137"/>
      <c r="V137"/>
      <c r="W137"/>
      <c r="X137"/>
      <c r="Y137"/>
      <c r="Z137"/>
      <c r="AA137"/>
      <c r="AB137"/>
      <c r="AC137"/>
      <c r="AD137"/>
      <c r="AE137"/>
      <c r="AF137"/>
      <c r="AG137"/>
      <c r="AH137"/>
      <c r="AI137"/>
      <c r="AJ137"/>
      <c r="AK137"/>
      <c r="AL137"/>
      <c r="AM137"/>
    </row>
    <row r="138" spans="1:39" x14ac:dyDescent="0.2">
      <c r="A138"/>
      <c r="B138" s="8"/>
      <c r="C138" s="8"/>
      <c r="D138" s="8"/>
      <c r="E138" s="53"/>
      <c r="F138" s="8"/>
      <c r="G138" s="8"/>
      <c r="H138" s="31"/>
      <c r="I138"/>
      <c r="J138"/>
      <c r="K138"/>
      <c r="L138"/>
      <c r="M138"/>
      <c r="N138"/>
      <c r="O138"/>
      <c r="P138"/>
      <c r="Q138"/>
      <c r="R138"/>
      <c r="S138"/>
      <c r="T138"/>
      <c r="U138"/>
      <c r="V138"/>
      <c r="W138"/>
      <c r="X138"/>
      <c r="Y138"/>
      <c r="Z138"/>
      <c r="AA138"/>
      <c r="AB138"/>
      <c r="AC138"/>
      <c r="AD138"/>
      <c r="AE138"/>
      <c r="AF138"/>
      <c r="AG138"/>
      <c r="AH138"/>
      <c r="AI138"/>
      <c r="AJ138"/>
      <c r="AK138"/>
      <c r="AL138"/>
      <c r="AM138"/>
    </row>
    <row r="139" spans="1:39" x14ac:dyDescent="0.2">
      <c r="A139"/>
      <c r="B139" s="8"/>
      <c r="C139" s="8"/>
      <c r="D139" s="8"/>
      <c r="E139" s="53"/>
      <c r="F139" s="8"/>
      <c r="G139" s="8"/>
      <c r="H139" s="31"/>
      <c r="I139"/>
      <c r="J139"/>
      <c r="K139"/>
      <c r="L139"/>
      <c r="M139"/>
      <c r="N139"/>
      <c r="O139"/>
      <c r="P139"/>
      <c r="Q139"/>
      <c r="R139"/>
      <c r="S139"/>
      <c r="T139"/>
      <c r="U139"/>
      <c r="V139"/>
      <c r="W139"/>
      <c r="X139"/>
      <c r="Y139"/>
      <c r="Z139"/>
      <c r="AA139"/>
      <c r="AB139"/>
      <c r="AC139"/>
      <c r="AD139"/>
      <c r="AE139"/>
      <c r="AF139"/>
      <c r="AG139"/>
      <c r="AH139"/>
      <c r="AI139"/>
      <c r="AJ139"/>
      <c r="AK139"/>
      <c r="AL139"/>
      <c r="AM139"/>
    </row>
    <row r="140" spans="1:39" x14ac:dyDescent="0.2">
      <c r="A140"/>
      <c r="B140" s="8"/>
      <c r="C140" s="8"/>
      <c r="D140" s="8"/>
      <c r="E140" s="53"/>
      <c r="F140" s="8"/>
      <c r="G140" s="8"/>
      <c r="H140" s="31"/>
      <c r="I140"/>
      <c r="J140"/>
      <c r="K140"/>
      <c r="L140"/>
      <c r="M140"/>
      <c r="N140"/>
      <c r="O140"/>
      <c r="P140"/>
      <c r="Q140"/>
      <c r="R140"/>
      <c r="S140"/>
      <c r="T140"/>
      <c r="U140"/>
      <c r="V140"/>
      <c r="W140"/>
      <c r="X140"/>
      <c r="Y140"/>
      <c r="Z140"/>
      <c r="AA140"/>
      <c r="AB140"/>
      <c r="AC140"/>
      <c r="AD140"/>
      <c r="AE140"/>
      <c r="AF140"/>
      <c r="AG140"/>
      <c r="AH140"/>
      <c r="AI140"/>
      <c r="AJ140"/>
      <c r="AK140"/>
      <c r="AL140"/>
      <c r="AM140"/>
    </row>
    <row r="141" spans="1:39" x14ac:dyDescent="0.2">
      <c r="A141"/>
      <c r="B141" s="8"/>
      <c r="C141" s="8"/>
      <c r="D141" s="8"/>
      <c r="E141" s="53"/>
      <c r="F141" s="8"/>
      <c r="G141" s="8"/>
      <c r="H141" s="31"/>
      <c r="I141"/>
      <c r="J141"/>
      <c r="K141"/>
      <c r="L141"/>
      <c r="M141"/>
      <c r="N141"/>
      <c r="O141"/>
      <c r="P141"/>
      <c r="Q141"/>
      <c r="R141"/>
      <c r="S141"/>
      <c r="T141"/>
      <c r="U141"/>
      <c r="V141"/>
      <c r="W141"/>
      <c r="X141"/>
      <c r="Y141"/>
      <c r="Z141"/>
      <c r="AA141"/>
      <c r="AB141"/>
      <c r="AC141"/>
      <c r="AD141"/>
      <c r="AE141"/>
      <c r="AF141"/>
      <c r="AG141"/>
      <c r="AH141"/>
      <c r="AI141"/>
      <c r="AJ141"/>
      <c r="AK141"/>
      <c r="AL141"/>
      <c r="AM141"/>
    </row>
    <row r="142" spans="1:39" x14ac:dyDescent="0.2">
      <c r="A142"/>
      <c r="B142" s="8"/>
      <c r="C142" s="8"/>
      <c r="D142" s="8"/>
      <c r="E142" s="53"/>
      <c r="F142" s="8"/>
      <c r="G142" s="8"/>
      <c r="H142" s="31"/>
      <c r="I142"/>
      <c r="J142"/>
      <c r="K142"/>
      <c r="L142"/>
      <c r="M142"/>
      <c r="N142"/>
      <c r="O142"/>
      <c r="P142"/>
      <c r="Q142"/>
      <c r="R142"/>
      <c r="S142"/>
      <c r="T142"/>
      <c r="U142"/>
      <c r="V142"/>
      <c r="W142"/>
      <c r="X142"/>
      <c r="Y142"/>
      <c r="Z142"/>
      <c r="AA142"/>
      <c r="AB142"/>
      <c r="AC142"/>
      <c r="AD142"/>
      <c r="AE142"/>
      <c r="AF142"/>
      <c r="AG142"/>
      <c r="AH142"/>
      <c r="AI142"/>
      <c r="AJ142"/>
      <c r="AK142"/>
      <c r="AL142"/>
      <c r="AM142"/>
    </row>
    <row r="143" spans="1:39" x14ac:dyDescent="0.2">
      <c r="A143"/>
      <c r="B143" s="8"/>
      <c r="C143" s="8"/>
      <c r="D143" s="8"/>
      <c r="E143" s="53"/>
      <c r="F143" s="8"/>
      <c r="G143" s="8"/>
      <c r="H143" s="31"/>
      <c r="I143"/>
      <c r="J143"/>
      <c r="K143"/>
      <c r="L143"/>
      <c r="M143"/>
      <c r="N143"/>
      <c r="O143"/>
      <c r="P143"/>
      <c r="Q143"/>
      <c r="R143"/>
      <c r="S143"/>
      <c r="T143"/>
      <c r="U143"/>
      <c r="V143"/>
      <c r="W143"/>
      <c r="X143"/>
      <c r="Y143"/>
      <c r="Z143"/>
      <c r="AA143"/>
      <c r="AB143"/>
      <c r="AC143"/>
      <c r="AD143"/>
      <c r="AE143"/>
      <c r="AF143"/>
      <c r="AG143"/>
      <c r="AH143"/>
      <c r="AI143"/>
      <c r="AJ143"/>
      <c r="AK143"/>
      <c r="AL143"/>
      <c r="AM143"/>
    </row>
    <row r="144" spans="1:39" x14ac:dyDescent="0.2">
      <c r="A144"/>
      <c r="B144" s="8"/>
      <c r="C144" s="8"/>
      <c r="D144" s="8"/>
      <c r="E144" s="53"/>
      <c r="F144" s="8"/>
      <c r="G144" s="8"/>
      <c r="H144" s="31"/>
      <c r="I144"/>
      <c r="J144"/>
      <c r="K144"/>
      <c r="L144"/>
      <c r="M144"/>
      <c r="N144"/>
      <c r="O144"/>
      <c r="P144"/>
      <c r="Q144"/>
      <c r="R144"/>
      <c r="S144"/>
      <c r="T144"/>
      <c r="U144"/>
      <c r="V144"/>
      <c r="W144"/>
      <c r="X144"/>
      <c r="Y144"/>
      <c r="Z144"/>
      <c r="AA144"/>
      <c r="AB144"/>
      <c r="AC144"/>
      <c r="AD144"/>
      <c r="AE144"/>
      <c r="AF144"/>
      <c r="AG144"/>
      <c r="AH144"/>
      <c r="AI144"/>
      <c r="AJ144"/>
      <c r="AK144"/>
      <c r="AL144"/>
      <c r="AM144"/>
    </row>
    <row r="145" spans="1:39" x14ac:dyDescent="0.2">
      <c r="A145"/>
      <c r="B145" s="8"/>
      <c r="C145" s="8"/>
      <c r="D145" s="8"/>
      <c r="E145" s="53"/>
      <c r="F145" s="8"/>
      <c r="G145" s="8"/>
      <c r="H145" s="31"/>
      <c r="I145"/>
      <c r="J145"/>
      <c r="K145"/>
      <c r="L145"/>
      <c r="M145"/>
      <c r="N145"/>
      <c r="O145"/>
      <c r="P145"/>
      <c r="Q145"/>
      <c r="R145"/>
      <c r="S145"/>
      <c r="T145"/>
      <c r="U145"/>
      <c r="V145"/>
      <c r="W145"/>
      <c r="X145"/>
      <c r="Y145"/>
      <c r="Z145"/>
      <c r="AA145"/>
      <c r="AB145"/>
      <c r="AC145"/>
      <c r="AD145"/>
      <c r="AE145"/>
      <c r="AF145"/>
      <c r="AG145"/>
      <c r="AH145"/>
      <c r="AI145"/>
      <c r="AJ145"/>
      <c r="AK145"/>
      <c r="AL145"/>
      <c r="AM145"/>
    </row>
    <row r="146" spans="1:39" x14ac:dyDescent="0.2">
      <c r="A146"/>
      <c r="B146" s="8"/>
      <c r="C146" s="8"/>
      <c r="D146" s="8"/>
      <c r="E146" s="53"/>
      <c r="F146" s="8"/>
      <c r="G146" s="8"/>
      <c r="H146" s="31"/>
      <c r="I146"/>
      <c r="J146"/>
      <c r="K146"/>
      <c r="L146"/>
      <c r="M146"/>
      <c r="N146"/>
      <c r="O146"/>
      <c r="P146"/>
      <c r="Q146"/>
      <c r="R146"/>
      <c r="S146"/>
      <c r="T146"/>
      <c r="U146"/>
      <c r="V146"/>
      <c r="W146"/>
      <c r="X146"/>
      <c r="Y146"/>
      <c r="Z146"/>
      <c r="AA146"/>
      <c r="AB146"/>
      <c r="AC146"/>
      <c r="AD146"/>
      <c r="AE146"/>
      <c r="AF146"/>
      <c r="AG146"/>
      <c r="AH146"/>
      <c r="AI146"/>
      <c r="AJ146"/>
      <c r="AK146"/>
      <c r="AL146"/>
      <c r="AM146"/>
    </row>
    <row r="147" spans="1:39" x14ac:dyDescent="0.2">
      <c r="A147"/>
      <c r="B147" s="8"/>
      <c r="C147" s="8"/>
      <c r="D147" s="8"/>
      <c r="E147" s="53"/>
      <c r="F147" s="8"/>
      <c r="G147" s="8"/>
      <c r="H147" s="31"/>
      <c r="I147"/>
      <c r="J147"/>
      <c r="K147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  <c r="AD147"/>
      <c r="AE147"/>
      <c r="AF147"/>
      <c r="AG147"/>
      <c r="AH147"/>
      <c r="AI147"/>
      <c r="AJ147"/>
      <c r="AK147"/>
      <c r="AL147"/>
      <c r="AM147"/>
    </row>
    <row r="148" spans="1:39" x14ac:dyDescent="0.2">
      <c r="A148"/>
      <c r="B148" s="8"/>
      <c r="C148" s="8"/>
      <c r="D148" s="8"/>
      <c r="E148" s="53"/>
      <c r="F148" s="8"/>
      <c r="G148" s="8"/>
      <c r="H148" s="31"/>
      <c r="I148"/>
      <c r="J148"/>
      <c r="K148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  <c r="AD148"/>
      <c r="AE148"/>
      <c r="AF148"/>
      <c r="AG148"/>
      <c r="AH148"/>
      <c r="AI148"/>
      <c r="AJ148"/>
      <c r="AK148"/>
      <c r="AL148"/>
      <c r="AM148"/>
    </row>
    <row r="149" spans="1:39" x14ac:dyDescent="0.2">
      <c r="A149"/>
      <c r="B149" s="8"/>
      <c r="C149" s="8"/>
      <c r="D149" s="8"/>
      <c r="E149" s="53"/>
      <c r="F149" s="8"/>
      <c r="G149" s="8"/>
      <c r="H149" s="31"/>
      <c r="I149"/>
      <c r="J149"/>
      <c r="K149"/>
      <c r="L149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  <c r="AD149"/>
      <c r="AE149"/>
      <c r="AF149"/>
      <c r="AG149"/>
      <c r="AH149"/>
      <c r="AI149"/>
      <c r="AJ149"/>
      <c r="AK149"/>
      <c r="AL149"/>
      <c r="AM149"/>
    </row>
    <row r="150" spans="1:39" x14ac:dyDescent="0.2">
      <c r="A150"/>
      <c r="B150" s="8"/>
      <c r="C150" s="8"/>
      <c r="D150" s="8"/>
      <c r="E150" s="53"/>
      <c r="F150" s="8"/>
      <c r="G150" s="8"/>
      <c r="H150" s="31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  <c r="AD150"/>
      <c r="AE150"/>
      <c r="AF150"/>
      <c r="AG150"/>
      <c r="AH150"/>
      <c r="AI150"/>
      <c r="AJ150"/>
      <c r="AK150"/>
      <c r="AL150"/>
      <c r="AM150"/>
    </row>
    <row r="151" spans="1:39" x14ac:dyDescent="0.2">
      <c r="A151"/>
      <c r="B151" s="8"/>
      <c r="C151" s="8"/>
      <c r="D151" s="8"/>
      <c r="E151" s="53"/>
      <c r="F151" s="8"/>
      <c r="G151" s="8"/>
      <c r="H151" s="3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  <c r="AD151"/>
      <c r="AE151"/>
      <c r="AF151"/>
      <c r="AG151"/>
      <c r="AH151"/>
      <c r="AI151"/>
      <c r="AJ151"/>
      <c r="AK151"/>
      <c r="AL151"/>
      <c r="AM151"/>
    </row>
    <row r="152" spans="1:39" x14ac:dyDescent="0.2">
      <c r="A152"/>
      <c r="B152" s="8"/>
      <c r="C152" s="8"/>
      <c r="D152" s="8"/>
      <c r="E152" s="53"/>
      <c r="F152" s="8"/>
      <c r="G152" s="8"/>
      <c r="H152" s="31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  <c r="AD152"/>
      <c r="AE152"/>
      <c r="AF152"/>
      <c r="AG152"/>
      <c r="AH152"/>
      <c r="AI152"/>
      <c r="AJ152"/>
      <c r="AK152"/>
      <c r="AL152"/>
      <c r="AM152"/>
    </row>
    <row r="153" spans="1:39" x14ac:dyDescent="0.2">
      <c r="A153"/>
      <c r="B153" s="8"/>
      <c r="C153" s="8"/>
      <c r="D153" s="8"/>
      <c r="E153" s="53"/>
      <c r="F153" s="8"/>
      <c r="G153" s="8"/>
      <c r="H153" s="31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  <c r="AD153"/>
      <c r="AE153"/>
      <c r="AF153"/>
      <c r="AG153"/>
      <c r="AH153"/>
      <c r="AI153"/>
      <c r="AJ153"/>
      <c r="AK153"/>
      <c r="AL153"/>
      <c r="AM153"/>
    </row>
    <row r="154" spans="1:39" x14ac:dyDescent="0.2">
      <c r="A154"/>
      <c r="B154" s="8"/>
      <c r="C154" s="8"/>
      <c r="D154" s="8"/>
      <c r="E154" s="53"/>
      <c r="F154" s="8"/>
      <c r="G154" s="8"/>
      <c r="H154" s="31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  <c r="AD154"/>
      <c r="AE154"/>
      <c r="AF154"/>
      <c r="AG154"/>
      <c r="AH154"/>
      <c r="AI154"/>
      <c r="AJ154"/>
      <c r="AK154"/>
      <c r="AL154"/>
      <c r="AM154"/>
    </row>
    <row r="155" spans="1:39" x14ac:dyDescent="0.2">
      <c r="A155"/>
      <c r="B155" s="8"/>
      <c r="C155" s="8"/>
      <c r="D155" s="8"/>
      <c r="E155" s="53"/>
      <c r="F155" s="8"/>
      <c r="G155" s="8"/>
      <c r="H155" s="31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  <c r="AD155"/>
      <c r="AE155"/>
      <c r="AF155"/>
      <c r="AG155"/>
      <c r="AH155"/>
      <c r="AI155"/>
      <c r="AJ155"/>
      <c r="AK155"/>
      <c r="AL155"/>
      <c r="AM155"/>
    </row>
    <row r="156" spans="1:39" x14ac:dyDescent="0.2">
      <c r="A156"/>
      <c r="B156" s="8"/>
      <c r="C156" s="8"/>
      <c r="D156" s="8"/>
      <c r="E156" s="53"/>
      <c r="F156" s="8"/>
      <c r="G156" s="8"/>
      <c r="H156" s="31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  <c r="AD156"/>
      <c r="AE156"/>
      <c r="AF156"/>
      <c r="AG156"/>
      <c r="AH156"/>
      <c r="AI156"/>
      <c r="AJ156"/>
      <c r="AK156"/>
      <c r="AL156"/>
      <c r="AM156"/>
    </row>
    <row r="157" spans="1:39" x14ac:dyDescent="0.2">
      <c r="A157"/>
      <c r="B157" s="8"/>
      <c r="C157" s="8"/>
      <c r="D157" s="8"/>
      <c r="E157" s="53"/>
      <c r="F157" s="8"/>
      <c r="G157" s="8"/>
      <c r="H157" s="31"/>
      <c r="I157"/>
      <c r="J157"/>
      <c r="K157"/>
      <c r="L157"/>
      <c r="M157"/>
      <c r="N157"/>
      <c r="O157"/>
      <c r="P157"/>
      <c r="Q157"/>
      <c r="R157"/>
      <c r="S157"/>
      <c r="T157"/>
      <c r="U157"/>
      <c r="V157"/>
      <c r="W157"/>
      <c r="X157"/>
      <c r="Y157"/>
      <c r="Z157"/>
      <c r="AA157"/>
      <c r="AB157"/>
      <c r="AC157"/>
      <c r="AD157"/>
      <c r="AE157"/>
      <c r="AF157"/>
      <c r="AG157"/>
      <c r="AH157"/>
      <c r="AI157"/>
      <c r="AJ157"/>
      <c r="AK157"/>
      <c r="AL157"/>
      <c r="AM157"/>
    </row>
    <row r="158" spans="1:39" x14ac:dyDescent="0.2">
      <c r="A158"/>
      <c r="B158" s="8"/>
      <c r="C158" s="8"/>
      <c r="D158" s="8"/>
      <c r="E158" s="53"/>
      <c r="F158" s="8"/>
      <c r="G158" s="8"/>
      <c r="H158" s="31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  <c r="AD158"/>
      <c r="AE158"/>
      <c r="AF158"/>
      <c r="AG158"/>
      <c r="AH158"/>
      <c r="AI158"/>
      <c r="AJ158"/>
      <c r="AK158"/>
      <c r="AL158"/>
      <c r="AM158"/>
    </row>
    <row r="159" spans="1:39" x14ac:dyDescent="0.2">
      <c r="A159"/>
      <c r="B159" s="8"/>
      <c r="C159" s="8"/>
      <c r="D159" s="8"/>
      <c r="E159" s="53"/>
      <c r="F159" s="8"/>
      <c r="G159" s="8"/>
      <c r="H159" s="31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  <c r="AD159"/>
      <c r="AE159"/>
      <c r="AF159"/>
      <c r="AG159"/>
      <c r="AH159"/>
      <c r="AI159"/>
      <c r="AJ159"/>
      <c r="AK159"/>
      <c r="AL159"/>
      <c r="AM159"/>
    </row>
    <row r="160" spans="1:39" x14ac:dyDescent="0.2">
      <c r="A160"/>
      <c r="B160" s="8"/>
      <c r="C160" s="8"/>
      <c r="D160" s="8"/>
      <c r="E160" s="53"/>
      <c r="F160" s="8"/>
      <c r="G160" s="8"/>
      <c r="H160" s="31"/>
      <c r="I160"/>
      <c r="J160"/>
      <c r="K160"/>
      <c r="L160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  <c r="AD160"/>
      <c r="AE160"/>
      <c r="AF160"/>
      <c r="AG160"/>
      <c r="AH160"/>
      <c r="AI160"/>
      <c r="AJ160"/>
      <c r="AK160"/>
      <c r="AL160"/>
      <c r="AM160"/>
    </row>
    <row r="161" spans="1:39" x14ac:dyDescent="0.2">
      <c r="A161"/>
      <c r="B161" s="8"/>
      <c r="C161" s="8"/>
      <c r="D161" s="8"/>
      <c r="E161" s="53"/>
      <c r="F161" s="8"/>
      <c r="G161" s="8"/>
      <c r="H161" s="3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  <c r="AD161"/>
      <c r="AE161"/>
      <c r="AF161"/>
      <c r="AG161"/>
      <c r="AH161"/>
      <c r="AI161"/>
      <c r="AJ161"/>
      <c r="AK161"/>
      <c r="AL161"/>
      <c r="AM161"/>
    </row>
    <row r="162" spans="1:39" x14ac:dyDescent="0.2">
      <c r="A162"/>
      <c r="B162" s="8"/>
      <c r="C162" s="8"/>
      <c r="D162" s="8"/>
      <c r="E162" s="53"/>
      <c r="F162" s="8"/>
      <c r="G162" s="8"/>
      <c r="H162" s="31"/>
      <c r="I162"/>
      <c r="J162"/>
      <c r="K162"/>
      <c r="L162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  <c r="AA162"/>
      <c r="AB162"/>
      <c r="AC162"/>
      <c r="AD162"/>
      <c r="AE162"/>
      <c r="AF162"/>
      <c r="AG162"/>
      <c r="AH162"/>
      <c r="AI162"/>
      <c r="AJ162"/>
      <c r="AK162"/>
      <c r="AL162"/>
      <c r="AM162"/>
    </row>
    <row r="163" spans="1:39" x14ac:dyDescent="0.2">
      <c r="A163"/>
      <c r="B163" s="8"/>
      <c r="C163" s="8"/>
      <c r="D163" s="8"/>
      <c r="E163" s="53"/>
      <c r="F163" s="8"/>
      <c r="G163" s="8"/>
      <c r="H163" s="31"/>
      <c r="I163"/>
      <c r="J163"/>
      <c r="K163"/>
      <c r="L163"/>
      <c r="M163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  <c r="AD163"/>
      <c r="AE163"/>
      <c r="AF163"/>
      <c r="AG163"/>
      <c r="AH163"/>
      <c r="AI163"/>
      <c r="AJ163"/>
      <c r="AK163"/>
      <c r="AL163"/>
      <c r="AM163"/>
    </row>
    <row r="164" spans="1:39" x14ac:dyDescent="0.2">
      <c r="A164"/>
      <c r="B164" s="8"/>
      <c r="C164" s="8"/>
      <c r="D164" s="8"/>
      <c r="E164" s="53"/>
      <c r="F164" s="8"/>
      <c r="G164" s="8"/>
      <c r="H164" s="31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  <c r="AD164"/>
      <c r="AE164"/>
      <c r="AF164"/>
      <c r="AG164"/>
      <c r="AH164"/>
      <c r="AI164"/>
      <c r="AJ164"/>
      <c r="AK164"/>
      <c r="AL164"/>
      <c r="AM164"/>
    </row>
    <row r="165" spans="1:39" x14ac:dyDescent="0.2">
      <c r="A165"/>
      <c r="B165" s="8"/>
      <c r="C165" s="8"/>
      <c r="D165" s="8"/>
      <c r="E165" s="53"/>
      <c r="F165" s="8"/>
      <c r="G165" s="8"/>
      <c r="H165" s="31"/>
      <c r="I165"/>
      <c r="J165"/>
      <c r="K165"/>
      <c r="L165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  <c r="AD165"/>
      <c r="AE165"/>
      <c r="AF165"/>
      <c r="AG165"/>
      <c r="AH165"/>
      <c r="AI165"/>
      <c r="AJ165"/>
      <c r="AK165"/>
      <c r="AL165"/>
      <c r="AM165"/>
    </row>
    <row r="166" spans="1:39" x14ac:dyDescent="0.2">
      <c r="A166"/>
      <c r="B166" s="8"/>
      <c r="C166" s="8"/>
      <c r="D166" s="8"/>
      <c r="E166" s="53"/>
      <c r="F166" s="8"/>
      <c r="G166" s="8"/>
      <c r="H166" s="31"/>
      <c r="I166"/>
      <c r="J166"/>
      <c r="K166"/>
      <c r="L166"/>
      <c r="M16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  <c r="AD166"/>
      <c r="AE166"/>
      <c r="AF166"/>
      <c r="AG166"/>
      <c r="AH166"/>
      <c r="AI166"/>
      <c r="AJ166"/>
      <c r="AK166"/>
      <c r="AL166"/>
      <c r="AM166"/>
    </row>
    <row r="167" spans="1:39" x14ac:dyDescent="0.2">
      <c r="A167"/>
      <c r="B167" s="8"/>
      <c r="C167" s="8"/>
      <c r="D167" s="8"/>
      <c r="E167" s="53"/>
      <c r="F167" s="8"/>
      <c r="G167" s="8"/>
      <c r="H167" s="31"/>
      <c r="I167"/>
      <c r="J167"/>
      <c r="K167"/>
      <c r="L167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  <c r="AD167"/>
      <c r="AE167"/>
      <c r="AF167"/>
      <c r="AG167"/>
      <c r="AH167"/>
      <c r="AI167"/>
      <c r="AJ167"/>
      <c r="AK167"/>
      <c r="AL167"/>
      <c r="AM167"/>
    </row>
    <row r="168" spans="1:39" x14ac:dyDescent="0.2">
      <c r="A168"/>
      <c r="B168" s="8"/>
      <c r="C168" s="8"/>
      <c r="D168" s="8"/>
      <c r="E168" s="53"/>
      <c r="F168" s="8"/>
      <c r="G168" s="8"/>
      <c r="H168" s="31"/>
      <c r="I168"/>
      <c r="J168"/>
      <c r="K168"/>
      <c r="L168"/>
      <c r="M168"/>
      <c r="N168"/>
      <c r="O168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  <c r="AD168"/>
      <c r="AE168"/>
      <c r="AF168"/>
      <c r="AG168"/>
      <c r="AH168"/>
      <c r="AI168"/>
      <c r="AJ168"/>
      <c r="AK168"/>
      <c r="AL168"/>
      <c r="AM168"/>
    </row>
    <row r="169" spans="1:39" x14ac:dyDescent="0.2">
      <c r="A169"/>
      <c r="B169" s="8"/>
      <c r="C169" s="8"/>
      <c r="D169" s="8"/>
      <c r="E169" s="53"/>
      <c r="F169" s="8"/>
      <c r="G169" s="8"/>
      <c r="H169" s="31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  <c r="AD169"/>
      <c r="AE169"/>
      <c r="AF169"/>
      <c r="AG169"/>
      <c r="AH169"/>
      <c r="AI169"/>
      <c r="AJ169"/>
      <c r="AK169"/>
      <c r="AL169"/>
      <c r="AM169"/>
    </row>
    <row r="170" spans="1:39" x14ac:dyDescent="0.2">
      <c r="A170"/>
      <c r="B170" s="8"/>
      <c r="C170" s="8"/>
      <c r="D170" s="8"/>
      <c r="E170" s="53"/>
      <c r="F170" s="8"/>
      <c r="G170" s="8"/>
      <c r="H170" s="31"/>
      <c r="I170"/>
      <c r="J170"/>
      <c r="K170"/>
      <c r="L170"/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  <c r="AD170"/>
      <c r="AE170"/>
      <c r="AF170"/>
      <c r="AG170"/>
      <c r="AH170"/>
      <c r="AI170"/>
      <c r="AJ170"/>
      <c r="AK170"/>
      <c r="AL170"/>
      <c r="AM170"/>
    </row>
    <row r="171" spans="1:39" x14ac:dyDescent="0.2">
      <c r="A171"/>
      <c r="B171" s="8"/>
      <c r="C171" s="8"/>
      <c r="D171" s="8"/>
      <c r="E171" s="53"/>
      <c r="F171" s="8"/>
      <c r="G171" s="8"/>
      <c r="H171" s="31"/>
      <c r="I171"/>
      <c r="J171"/>
      <c r="K171"/>
      <c r="L171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  <c r="AD171"/>
      <c r="AE171"/>
      <c r="AF171"/>
      <c r="AG171"/>
      <c r="AH171"/>
      <c r="AI171"/>
      <c r="AJ171"/>
      <c r="AK171"/>
      <c r="AL171"/>
      <c r="AM171"/>
    </row>
    <row r="172" spans="1:39" x14ac:dyDescent="0.2">
      <c r="A172"/>
      <c r="B172" s="8"/>
      <c r="C172" s="8"/>
      <c r="D172" s="8"/>
      <c r="E172" s="53"/>
      <c r="F172" s="8"/>
      <c r="G172" s="8"/>
      <c r="H172" s="31"/>
      <c r="I172"/>
      <c r="J172"/>
      <c r="K172"/>
      <c r="L172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  <c r="AD172"/>
      <c r="AE172"/>
      <c r="AF172"/>
      <c r="AG172"/>
      <c r="AH172"/>
      <c r="AI172"/>
      <c r="AJ172"/>
      <c r="AK172"/>
      <c r="AL172"/>
      <c r="AM172"/>
    </row>
    <row r="173" spans="1:39" x14ac:dyDescent="0.2">
      <c r="A173"/>
      <c r="B173" s="8"/>
      <c r="C173" s="8"/>
      <c r="D173" s="8"/>
      <c r="E173" s="53"/>
      <c r="F173" s="8"/>
      <c r="G173" s="8"/>
      <c r="H173" s="31"/>
      <c r="I173"/>
      <c r="J173"/>
      <c r="K173"/>
      <c r="L173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  <c r="AD173"/>
      <c r="AE173"/>
      <c r="AF173"/>
      <c r="AG173"/>
      <c r="AH173"/>
      <c r="AI173"/>
      <c r="AJ173"/>
      <c r="AK173"/>
      <c r="AL173"/>
      <c r="AM173"/>
    </row>
    <row r="174" spans="1:39" x14ac:dyDescent="0.2">
      <c r="A174"/>
      <c r="B174" s="8"/>
      <c r="C174" s="8"/>
      <c r="D174" s="8"/>
      <c r="E174" s="53"/>
      <c r="F174" s="8"/>
      <c r="G174" s="8"/>
      <c r="H174" s="31"/>
      <c r="I174"/>
      <c r="J174"/>
      <c r="K174"/>
      <c r="L174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  <c r="AD174"/>
      <c r="AE174"/>
      <c r="AF174"/>
      <c r="AG174"/>
      <c r="AH174"/>
      <c r="AI174"/>
      <c r="AJ174"/>
      <c r="AK174"/>
      <c r="AL174"/>
      <c r="AM174"/>
    </row>
    <row r="175" spans="1:39" x14ac:dyDescent="0.2">
      <c r="A175"/>
      <c r="B175" s="8"/>
      <c r="C175" s="8"/>
      <c r="D175" s="8"/>
      <c r="E175" s="53"/>
      <c r="F175" s="8"/>
      <c r="G175" s="8"/>
      <c r="H175" s="31"/>
      <c r="I175"/>
      <c r="J175"/>
      <c r="K175"/>
      <c r="L175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  <c r="AD175"/>
      <c r="AE175"/>
      <c r="AF175"/>
      <c r="AG175"/>
      <c r="AH175"/>
      <c r="AI175"/>
      <c r="AJ175"/>
      <c r="AK175"/>
      <c r="AL175"/>
      <c r="AM175"/>
    </row>
    <row r="176" spans="1:39" x14ac:dyDescent="0.2">
      <c r="A176"/>
      <c r="B176" s="8"/>
      <c r="C176" s="8"/>
      <c r="D176" s="8"/>
      <c r="E176" s="53"/>
      <c r="F176" s="8"/>
      <c r="G176" s="8"/>
      <c r="H176" s="31"/>
      <c r="I176"/>
      <c r="J176"/>
      <c r="K176"/>
      <c r="L176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  <c r="AD176"/>
      <c r="AE176"/>
      <c r="AF176"/>
      <c r="AG176"/>
      <c r="AH176"/>
      <c r="AI176"/>
      <c r="AJ176"/>
      <c r="AK176"/>
      <c r="AL176"/>
      <c r="AM176"/>
    </row>
    <row r="177" spans="1:39" x14ac:dyDescent="0.2">
      <c r="A177"/>
      <c r="B177" s="8"/>
      <c r="C177" s="8"/>
      <c r="D177" s="8"/>
      <c r="E177" s="53"/>
      <c r="F177" s="8"/>
      <c r="G177" s="8"/>
      <c r="H177" s="31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  <c r="AD177"/>
      <c r="AE177"/>
      <c r="AF177"/>
      <c r="AG177"/>
      <c r="AH177"/>
      <c r="AI177"/>
      <c r="AJ177"/>
      <c r="AK177"/>
      <c r="AL177"/>
      <c r="AM177"/>
    </row>
    <row r="178" spans="1:39" x14ac:dyDescent="0.2">
      <c r="A178"/>
      <c r="B178" s="8"/>
      <c r="C178" s="8"/>
      <c r="D178" s="8"/>
      <c r="E178" s="53"/>
      <c r="F178" s="8"/>
      <c r="G178" s="8"/>
      <c r="H178" s="31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  <c r="AD178"/>
      <c r="AE178"/>
      <c r="AF178"/>
      <c r="AG178"/>
      <c r="AH178"/>
      <c r="AI178"/>
      <c r="AJ178"/>
      <c r="AK178"/>
      <c r="AL178"/>
      <c r="AM178"/>
    </row>
    <row r="179" spans="1:39" x14ac:dyDescent="0.2">
      <c r="A179"/>
      <c r="B179" s="8"/>
      <c r="C179" s="8"/>
      <c r="D179" s="8"/>
      <c r="E179" s="53"/>
      <c r="F179" s="8"/>
      <c r="G179" s="8"/>
      <c r="H179" s="31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  <c r="AD179"/>
      <c r="AE179"/>
      <c r="AF179"/>
      <c r="AG179"/>
      <c r="AH179"/>
      <c r="AI179"/>
      <c r="AJ179"/>
      <c r="AK179"/>
      <c r="AL179"/>
      <c r="AM179"/>
    </row>
    <row r="180" spans="1:39" x14ac:dyDescent="0.2">
      <c r="A180"/>
      <c r="B180" s="8"/>
      <c r="C180" s="8"/>
      <c r="D180" s="8"/>
      <c r="E180" s="53"/>
      <c r="F180" s="8"/>
      <c r="G180" s="8"/>
      <c r="H180" s="31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  <c r="AD180"/>
      <c r="AE180"/>
      <c r="AF180"/>
      <c r="AG180"/>
      <c r="AH180"/>
      <c r="AI180"/>
      <c r="AJ180"/>
      <c r="AK180"/>
      <c r="AL180"/>
      <c r="AM180"/>
    </row>
    <row r="181" spans="1:39" x14ac:dyDescent="0.2">
      <c r="A181"/>
      <c r="B181" s="8"/>
      <c r="C181" s="8"/>
      <c r="D181" s="8"/>
      <c r="E181" s="53"/>
      <c r="F181" s="8"/>
      <c r="G181" s="8"/>
      <c r="H181" s="3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  <c r="AD181"/>
      <c r="AE181"/>
      <c r="AF181"/>
      <c r="AG181"/>
      <c r="AH181"/>
      <c r="AI181"/>
      <c r="AJ181"/>
      <c r="AK181"/>
      <c r="AL181"/>
      <c r="AM181"/>
    </row>
    <row r="182" spans="1:39" x14ac:dyDescent="0.2">
      <c r="A182"/>
      <c r="B182" s="8"/>
      <c r="C182" s="8"/>
      <c r="D182" s="8"/>
      <c r="E182" s="53"/>
      <c r="F182" s="8"/>
      <c r="G182" s="8"/>
      <c r="H182" s="31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  <c r="AD182"/>
      <c r="AE182"/>
      <c r="AF182"/>
      <c r="AG182"/>
      <c r="AH182"/>
      <c r="AI182"/>
      <c r="AJ182"/>
      <c r="AK182"/>
      <c r="AL182"/>
      <c r="AM182"/>
    </row>
    <row r="183" spans="1:39" x14ac:dyDescent="0.2">
      <c r="A183"/>
      <c r="B183" s="8"/>
      <c r="C183" s="8"/>
      <c r="D183" s="8"/>
      <c r="E183" s="53"/>
      <c r="F183" s="8"/>
      <c r="G183" s="8"/>
      <c r="H183" s="31"/>
      <c r="I183"/>
      <c r="J183"/>
      <c r="K183"/>
      <c r="L183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  <c r="AD183"/>
      <c r="AE183"/>
      <c r="AF183"/>
      <c r="AG183"/>
      <c r="AH183"/>
      <c r="AI183"/>
      <c r="AJ183"/>
      <c r="AK183"/>
      <c r="AL183"/>
      <c r="AM183"/>
    </row>
    <row r="184" spans="1:39" x14ac:dyDescent="0.2">
      <c r="A184"/>
      <c r="B184" s="8"/>
      <c r="C184" s="8"/>
      <c r="D184" s="8"/>
      <c r="E184" s="53"/>
      <c r="F184" s="8"/>
      <c r="G184" s="8"/>
      <c r="H184" s="31"/>
      <c r="I184"/>
      <c r="J184"/>
      <c r="K184"/>
      <c r="L184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  <c r="AD184"/>
      <c r="AE184"/>
      <c r="AF184"/>
      <c r="AG184"/>
      <c r="AH184"/>
      <c r="AI184"/>
      <c r="AJ184"/>
      <c r="AK184"/>
      <c r="AL184"/>
      <c r="AM184"/>
    </row>
    <row r="185" spans="1:39" x14ac:dyDescent="0.2">
      <c r="A185"/>
      <c r="B185" s="8"/>
      <c r="C185" s="8"/>
      <c r="D185" s="8"/>
      <c r="E185" s="53"/>
      <c r="F185" s="8"/>
      <c r="G185" s="8"/>
      <c r="H185" s="31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  <c r="AD185"/>
      <c r="AE185"/>
      <c r="AF185"/>
      <c r="AG185"/>
      <c r="AH185"/>
      <c r="AI185"/>
      <c r="AJ185"/>
      <c r="AK185"/>
      <c r="AL185"/>
      <c r="AM185"/>
    </row>
    <row r="186" spans="1:39" x14ac:dyDescent="0.2">
      <c r="A186"/>
      <c r="B186" s="8"/>
      <c r="C186" s="8"/>
      <c r="D186" s="8"/>
      <c r="E186" s="53"/>
      <c r="F186" s="8"/>
      <c r="G186" s="8"/>
      <c r="H186" s="31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  <c r="AD186"/>
      <c r="AE186"/>
      <c r="AF186"/>
      <c r="AG186"/>
      <c r="AH186"/>
      <c r="AI186"/>
      <c r="AJ186"/>
      <c r="AK186"/>
      <c r="AL186"/>
      <c r="AM186"/>
    </row>
    <row r="187" spans="1:39" x14ac:dyDescent="0.2">
      <c r="A187"/>
      <c r="B187" s="8"/>
      <c r="C187" s="8"/>
      <c r="D187" s="8"/>
      <c r="E187" s="53"/>
      <c r="F187" s="8"/>
      <c r="G187" s="8"/>
      <c r="H187" s="31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  <c r="AD187"/>
      <c r="AE187"/>
      <c r="AF187"/>
      <c r="AG187"/>
      <c r="AH187"/>
      <c r="AI187"/>
      <c r="AJ187"/>
      <c r="AK187"/>
      <c r="AL187"/>
      <c r="AM187"/>
    </row>
    <row r="188" spans="1:39" x14ac:dyDescent="0.2">
      <c r="A188"/>
      <c r="B188" s="8"/>
      <c r="C188" s="8"/>
      <c r="D188" s="8"/>
      <c r="E188" s="53"/>
      <c r="F188" s="8"/>
      <c r="G188" s="8"/>
      <c r="H188" s="31"/>
      <c r="I188"/>
      <c r="J188"/>
      <c r="K188"/>
      <c r="L18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  <c r="AD188"/>
      <c r="AE188"/>
      <c r="AF188"/>
      <c r="AG188"/>
      <c r="AH188"/>
      <c r="AI188"/>
      <c r="AJ188"/>
      <c r="AK188"/>
      <c r="AL188"/>
      <c r="AM188"/>
    </row>
    <row r="189" spans="1:39" x14ac:dyDescent="0.2">
      <c r="A189"/>
      <c r="B189" s="8"/>
      <c r="C189" s="8"/>
      <c r="D189" s="8"/>
      <c r="E189" s="53"/>
      <c r="F189" s="8"/>
      <c r="G189" s="8"/>
      <c r="H189" s="31"/>
      <c r="I189"/>
      <c r="J189"/>
      <c r="K189"/>
      <c r="L189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  <c r="AD189"/>
      <c r="AE189"/>
      <c r="AF189"/>
      <c r="AG189"/>
      <c r="AH189"/>
      <c r="AI189"/>
      <c r="AJ189"/>
      <c r="AK189"/>
      <c r="AL189"/>
      <c r="AM189"/>
    </row>
    <row r="190" spans="1:39" x14ac:dyDescent="0.2">
      <c r="A190"/>
      <c r="B190" s="8"/>
      <c r="C190" s="8"/>
      <c r="D190" s="8"/>
      <c r="E190" s="53"/>
      <c r="F190" s="8"/>
      <c r="G190" s="8"/>
      <c r="H190" s="31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  <c r="AD190"/>
      <c r="AE190"/>
      <c r="AF190"/>
      <c r="AG190"/>
      <c r="AH190"/>
      <c r="AI190"/>
      <c r="AJ190"/>
      <c r="AK190"/>
      <c r="AL190"/>
      <c r="AM190"/>
    </row>
    <row r="191" spans="1:39" x14ac:dyDescent="0.2">
      <c r="A191"/>
      <c r="B191" s="8"/>
      <c r="C191" s="8"/>
      <c r="D191" s="8"/>
      <c r="E191" s="53"/>
      <c r="F191" s="8"/>
      <c r="G191" s="8"/>
      <c r="H191" s="31"/>
      <c r="I191"/>
      <c r="J191"/>
      <c r="K191"/>
      <c r="L191"/>
      <c r="M191"/>
      <c r="N191"/>
      <c r="O191"/>
      <c r="P191"/>
      <c r="Q191"/>
      <c r="R191"/>
      <c r="S191"/>
      <c r="T191"/>
      <c r="U191"/>
      <c r="V191"/>
      <c r="W191"/>
      <c r="X191"/>
      <c r="Y191"/>
      <c r="Z191"/>
      <c r="AA191"/>
      <c r="AB191"/>
      <c r="AC191"/>
      <c r="AD191"/>
      <c r="AE191"/>
      <c r="AF191"/>
      <c r="AG191"/>
      <c r="AH191"/>
      <c r="AI191"/>
      <c r="AJ191"/>
      <c r="AK191"/>
      <c r="AL191"/>
      <c r="AM191"/>
    </row>
    <row r="192" spans="1:39" x14ac:dyDescent="0.2">
      <c r="A192"/>
      <c r="B192" s="8"/>
      <c r="C192" s="8"/>
      <c r="D192" s="8"/>
      <c r="E192" s="53"/>
      <c r="F192" s="8"/>
      <c r="G192" s="8"/>
      <c r="H192" s="31"/>
      <c r="I192"/>
      <c r="J192"/>
      <c r="K192"/>
      <c r="L192"/>
      <c r="M192"/>
      <c r="N192"/>
      <c r="O192"/>
      <c r="P192"/>
      <c r="Q192"/>
      <c r="R192"/>
      <c r="S192"/>
      <c r="T192"/>
      <c r="U192"/>
      <c r="V192"/>
      <c r="W192"/>
      <c r="X192"/>
      <c r="Y192"/>
      <c r="Z192"/>
      <c r="AA192"/>
      <c r="AB192"/>
      <c r="AC192"/>
      <c r="AD192"/>
      <c r="AE192"/>
      <c r="AF192"/>
      <c r="AG192"/>
      <c r="AH192"/>
      <c r="AI192"/>
      <c r="AJ192"/>
      <c r="AK192"/>
      <c r="AL192"/>
      <c r="AM192"/>
    </row>
    <row r="193" spans="1:39" x14ac:dyDescent="0.2">
      <c r="A193"/>
      <c r="B193" s="8"/>
      <c r="C193" s="8"/>
      <c r="D193" s="8"/>
      <c r="E193" s="53"/>
      <c r="F193" s="8"/>
      <c r="G193" s="8"/>
      <c r="H193" s="31"/>
      <c r="I193"/>
      <c r="J193"/>
      <c r="K193"/>
      <c r="L193"/>
      <c r="M193"/>
      <c r="N193"/>
      <c r="O193"/>
      <c r="P193"/>
      <c r="Q193"/>
      <c r="R193"/>
      <c r="S193"/>
      <c r="T193"/>
      <c r="U193"/>
      <c r="V193"/>
      <c r="W193"/>
      <c r="X193"/>
      <c r="Y193"/>
      <c r="Z193"/>
      <c r="AA193"/>
      <c r="AB193"/>
      <c r="AC193"/>
      <c r="AD193"/>
      <c r="AE193"/>
      <c r="AF193"/>
      <c r="AG193"/>
      <c r="AH193"/>
      <c r="AI193"/>
      <c r="AJ193"/>
      <c r="AK193"/>
      <c r="AL193"/>
      <c r="AM193"/>
    </row>
    <row r="194" spans="1:39" x14ac:dyDescent="0.2">
      <c r="A194"/>
      <c r="B194" s="8"/>
      <c r="C194" s="8"/>
      <c r="D194" s="8"/>
      <c r="E194" s="53"/>
      <c r="F194" s="8"/>
      <c r="G194" s="8"/>
      <c r="H194" s="31"/>
      <c r="I194"/>
      <c r="J194"/>
      <c r="K194"/>
      <c r="L194"/>
      <c r="M194"/>
      <c r="N194"/>
      <c r="O194"/>
      <c r="P194"/>
      <c r="Q194"/>
      <c r="R194"/>
      <c r="S194"/>
      <c r="T194"/>
      <c r="U194"/>
      <c r="V194"/>
      <c r="W194"/>
      <c r="X194"/>
      <c r="Y194"/>
      <c r="Z194"/>
      <c r="AA194"/>
      <c r="AB194"/>
      <c r="AC194"/>
      <c r="AD194"/>
      <c r="AE194"/>
      <c r="AF194"/>
      <c r="AG194"/>
      <c r="AH194"/>
      <c r="AI194"/>
      <c r="AJ194"/>
      <c r="AK194"/>
      <c r="AL194"/>
      <c r="AM194"/>
    </row>
    <row r="195" spans="1:39" x14ac:dyDescent="0.2">
      <c r="A195"/>
      <c r="B195" s="8"/>
      <c r="C195" s="8"/>
      <c r="D195" s="8"/>
      <c r="E195" s="53"/>
      <c r="F195" s="8"/>
      <c r="G195" s="8"/>
      <c r="H195" s="31"/>
      <c r="I195"/>
      <c r="J195"/>
      <c r="K195"/>
      <c r="L195"/>
      <c r="M195"/>
      <c r="N195"/>
      <c r="O195"/>
      <c r="P195"/>
      <c r="Q195"/>
      <c r="R195"/>
      <c r="S195"/>
      <c r="T195"/>
      <c r="U195"/>
      <c r="V195"/>
      <c r="W195"/>
      <c r="X195"/>
      <c r="Y195"/>
      <c r="Z195"/>
      <c r="AA195"/>
      <c r="AB195"/>
      <c r="AC195"/>
      <c r="AD195"/>
      <c r="AE195"/>
      <c r="AF195"/>
      <c r="AG195"/>
      <c r="AH195"/>
      <c r="AI195"/>
      <c r="AJ195"/>
      <c r="AK195"/>
      <c r="AL195"/>
      <c r="AM195"/>
    </row>
    <row r="196" spans="1:39" x14ac:dyDescent="0.2">
      <c r="A196"/>
      <c r="B196" s="8"/>
      <c r="C196" s="8"/>
      <c r="D196" s="8"/>
      <c r="E196" s="53"/>
      <c r="F196" s="8"/>
      <c r="G196" s="8"/>
      <c r="H196" s="31"/>
      <c r="I196"/>
      <c r="J196"/>
      <c r="K196"/>
      <c r="L196"/>
      <c r="M196"/>
      <c r="N196"/>
      <c r="O196"/>
      <c r="P196"/>
      <c r="Q196"/>
      <c r="R196"/>
      <c r="S196"/>
      <c r="T196"/>
      <c r="U196"/>
      <c r="V196"/>
      <c r="W196"/>
      <c r="X196"/>
      <c r="Y196"/>
      <c r="Z196"/>
      <c r="AA196"/>
      <c r="AB196"/>
      <c r="AC196"/>
      <c r="AD196"/>
      <c r="AE196"/>
      <c r="AF196"/>
      <c r="AG196"/>
      <c r="AH196"/>
      <c r="AI196"/>
      <c r="AJ196"/>
      <c r="AK196"/>
      <c r="AL196"/>
      <c r="AM196"/>
    </row>
    <row r="197" spans="1:39" x14ac:dyDescent="0.2">
      <c r="A197"/>
      <c r="B197" s="8"/>
      <c r="C197" s="8"/>
      <c r="D197" s="8"/>
      <c r="E197" s="53"/>
      <c r="F197" s="8"/>
      <c r="G197" s="8"/>
      <c r="H197" s="31"/>
      <c r="I197"/>
      <c r="J197"/>
      <c r="K197"/>
      <c r="L197"/>
      <c r="M197"/>
      <c r="N197"/>
      <c r="O197"/>
      <c r="P197"/>
      <c r="Q197"/>
      <c r="R197"/>
      <c r="S197"/>
      <c r="T197"/>
      <c r="U197"/>
      <c r="V197"/>
      <c r="W197"/>
      <c r="X197"/>
      <c r="Y197"/>
      <c r="Z197"/>
      <c r="AA197"/>
      <c r="AB197"/>
      <c r="AC197"/>
      <c r="AD197"/>
      <c r="AE197"/>
      <c r="AF197"/>
      <c r="AG197"/>
      <c r="AH197"/>
      <c r="AI197"/>
      <c r="AJ197"/>
      <c r="AK197"/>
      <c r="AL197"/>
      <c r="AM197"/>
    </row>
    <row r="198" spans="1:39" x14ac:dyDescent="0.2">
      <c r="A198"/>
      <c r="B198" s="8"/>
      <c r="C198" s="8"/>
      <c r="D198" s="8"/>
      <c r="E198" s="53"/>
      <c r="F198" s="8"/>
      <c r="G198" s="8"/>
      <c r="H198" s="31"/>
      <c r="I198"/>
      <c r="J198"/>
      <c r="K198"/>
      <c r="L198"/>
      <c r="M198"/>
      <c r="N198"/>
      <c r="O198"/>
      <c r="P198"/>
      <c r="Q198"/>
      <c r="R198"/>
      <c r="S198"/>
      <c r="T198"/>
      <c r="U198"/>
      <c r="V198"/>
      <c r="W198"/>
      <c r="X198"/>
      <c r="Y198"/>
      <c r="Z198"/>
      <c r="AA198"/>
      <c r="AB198"/>
      <c r="AC198"/>
      <c r="AD198"/>
      <c r="AE198"/>
      <c r="AF198"/>
      <c r="AG198"/>
      <c r="AH198"/>
      <c r="AI198"/>
      <c r="AJ198"/>
      <c r="AK198"/>
      <c r="AL198"/>
      <c r="AM198"/>
    </row>
    <row r="199" spans="1:39" x14ac:dyDescent="0.2">
      <c r="A199"/>
      <c r="B199" s="8"/>
      <c r="C199" s="8"/>
      <c r="D199" s="8"/>
      <c r="E199" s="53"/>
      <c r="F199" s="8"/>
      <c r="G199" s="8"/>
      <c r="H199" s="31"/>
      <c r="I199"/>
      <c r="J199"/>
      <c r="K199"/>
      <c r="L199"/>
      <c r="M199"/>
      <c r="N199"/>
      <c r="O199"/>
      <c r="P199"/>
      <c r="Q199"/>
      <c r="R199"/>
      <c r="S199"/>
      <c r="T199"/>
      <c r="U199"/>
      <c r="V199"/>
      <c r="W199"/>
      <c r="X199"/>
      <c r="Y199"/>
      <c r="Z199"/>
      <c r="AA199"/>
      <c r="AB199"/>
      <c r="AC199"/>
      <c r="AD199"/>
      <c r="AE199"/>
      <c r="AF199"/>
      <c r="AG199"/>
      <c r="AH199"/>
      <c r="AI199"/>
      <c r="AJ199"/>
      <c r="AK199"/>
      <c r="AL199"/>
      <c r="AM199"/>
    </row>
    <row r="200" spans="1:39" x14ac:dyDescent="0.2">
      <c r="A200"/>
      <c r="B200" s="8"/>
      <c r="C200" s="8"/>
      <c r="D200" s="8"/>
      <c r="E200" s="53"/>
      <c r="F200" s="8"/>
      <c r="G200" s="8"/>
      <c r="H200" s="31"/>
      <c r="I200"/>
      <c r="J200"/>
      <c r="K200"/>
      <c r="L200"/>
      <c r="M200"/>
      <c r="N200"/>
      <c r="O200"/>
      <c r="P200"/>
      <c r="Q200"/>
      <c r="R200"/>
      <c r="S200"/>
      <c r="T200"/>
      <c r="U200"/>
      <c r="V200"/>
      <c r="W200"/>
      <c r="X200"/>
      <c r="Y200"/>
      <c r="Z200"/>
      <c r="AA200"/>
      <c r="AB200"/>
      <c r="AC200"/>
      <c r="AD200"/>
      <c r="AE200"/>
      <c r="AF200"/>
      <c r="AG200"/>
      <c r="AH200"/>
      <c r="AI200"/>
      <c r="AJ200"/>
      <c r="AK200"/>
      <c r="AL200"/>
      <c r="AM200"/>
    </row>
    <row r="201" spans="1:39" x14ac:dyDescent="0.2">
      <c r="A201"/>
      <c r="B201" s="8"/>
      <c r="C201" s="8"/>
      <c r="D201" s="8"/>
      <c r="E201" s="53"/>
      <c r="F201" s="8"/>
      <c r="G201" s="8"/>
      <c r="H201" s="31"/>
      <c r="I201"/>
      <c r="J201"/>
      <c r="K201"/>
      <c r="L201"/>
      <c r="M201"/>
      <c r="N201"/>
      <c r="O201"/>
      <c r="P201"/>
      <c r="Q201"/>
      <c r="R201"/>
      <c r="S201"/>
      <c r="T201"/>
      <c r="U201"/>
      <c r="V201"/>
      <c r="W201"/>
      <c r="X201"/>
      <c r="Y201"/>
      <c r="Z201"/>
      <c r="AA201"/>
      <c r="AB201"/>
      <c r="AC201"/>
      <c r="AD201"/>
      <c r="AE201"/>
      <c r="AF201"/>
      <c r="AG201"/>
      <c r="AH201"/>
      <c r="AI201"/>
      <c r="AJ201"/>
      <c r="AK201"/>
      <c r="AL201"/>
      <c r="AM201"/>
    </row>
    <row r="202" spans="1:39" x14ac:dyDescent="0.2">
      <c r="A202"/>
      <c r="B202" s="8"/>
      <c r="C202" s="8"/>
      <c r="D202" s="8"/>
      <c r="E202" s="53"/>
      <c r="F202" s="8"/>
      <c r="G202" s="8"/>
      <c r="H202" s="31"/>
      <c r="I202"/>
      <c r="J202"/>
      <c r="K202"/>
      <c r="L202"/>
      <c r="M202"/>
      <c r="N202"/>
      <c r="O202"/>
      <c r="P202"/>
      <c r="Q202"/>
      <c r="R202"/>
      <c r="S202"/>
      <c r="T202"/>
      <c r="U202"/>
      <c r="V202"/>
      <c r="W202"/>
      <c r="X202"/>
      <c r="Y202"/>
      <c r="Z202"/>
      <c r="AA202"/>
      <c r="AB202"/>
      <c r="AC202"/>
      <c r="AD202"/>
      <c r="AE202"/>
      <c r="AF202"/>
      <c r="AG202"/>
      <c r="AH202"/>
      <c r="AI202"/>
      <c r="AJ202"/>
      <c r="AK202"/>
      <c r="AL202"/>
      <c r="AM202"/>
    </row>
    <row r="203" spans="1:39" x14ac:dyDescent="0.2">
      <c r="A203"/>
      <c r="B203" s="8"/>
      <c r="C203" s="8"/>
      <c r="D203" s="8"/>
      <c r="E203" s="53"/>
      <c r="F203" s="8"/>
      <c r="G203" s="8"/>
      <c r="H203" s="31"/>
      <c r="I203"/>
      <c r="J203"/>
      <c r="K203"/>
      <c r="L203"/>
      <c r="M203"/>
      <c r="N203"/>
      <c r="O203"/>
      <c r="P203"/>
      <c r="Q203"/>
      <c r="R203"/>
      <c r="S203"/>
      <c r="T203"/>
      <c r="U203"/>
      <c r="V203"/>
      <c r="W203"/>
      <c r="X203"/>
      <c r="Y203"/>
      <c r="Z203"/>
      <c r="AA203"/>
      <c r="AB203"/>
      <c r="AC203"/>
      <c r="AD203"/>
      <c r="AE203"/>
      <c r="AF203"/>
      <c r="AG203"/>
      <c r="AH203"/>
      <c r="AI203"/>
      <c r="AJ203"/>
      <c r="AK203"/>
      <c r="AL203"/>
      <c r="AM203"/>
    </row>
    <row r="204" spans="1:39" x14ac:dyDescent="0.2">
      <c r="A204"/>
      <c r="B204" s="8"/>
      <c r="C204" s="8"/>
      <c r="D204" s="8"/>
      <c r="E204" s="53"/>
      <c r="F204" s="8"/>
      <c r="G204" s="8"/>
      <c r="H204" s="31"/>
      <c r="I204"/>
      <c r="J204"/>
      <c r="K204"/>
      <c r="L204"/>
      <c r="M204"/>
      <c r="N204"/>
      <c r="O204"/>
      <c r="P204"/>
      <c r="Q204"/>
      <c r="R204"/>
      <c r="S204"/>
      <c r="T204"/>
      <c r="U204"/>
      <c r="V204"/>
      <c r="W204"/>
      <c r="X204"/>
      <c r="Y204"/>
      <c r="Z204"/>
      <c r="AA204"/>
      <c r="AB204"/>
      <c r="AC204"/>
      <c r="AD204"/>
      <c r="AE204"/>
      <c r="AF204"/>
      <c r="AG204"/>
      <c r="AH204"/>
      <c r="AI204"/>
      <c r="AJ204"/>
      <c r="AK204"/>
      <c r="AL204"/>
      <c r="AM204"/>
    </row>
    <row r="205" spans="1:39" x14ac:dyDescent="0.2">
      <c r="A205"/>
      <c r="B205" s="8"/>
      <c r="C205" s="8"/>
      <c r="D205" s="8"/>
      <c r="E205" s="53"/>
      <c r="F205" s="8"/>
      <c r="G205" s="8"/>
      <c r="H205" s="31"/>
      <c r="I205"/>
      <c r="J205"/>
      <c r="K205"/>
      <c r="L205"/>
      <c r="M205"/>
      <c r="N205"/>
      <c r="O205"/>
      <c r="P205"/>
      <c r="Q205"/>
      <c r="R205"/>
      <c r="S205"/>
      <c r="T205"/>
      <c r="U205"/>
      <c r="V205"/>
      <c r="W205"/>
      <c r="X205"/>
      <c r="Y205"/>
      <c r="Z205"/>
      <c r="AA205"/>
      <c r="AB205"/>
      <c r="AC205"/>
      <c r="AD205"/>
      <c r="AE205"/>
      <c r="AF205"/>
      <c r="AG205"/>
      <c r="AH205"/>
      <c r="AI205"/>
      <c r="AJ205"/>
      <c r="AK205"/>
      <c r="AL205"/>
      <c r="AM205"/>
    </row>
    <row r="206" spans="1:39" x14ac:dyDescent="0.2">
      <c r="A206"/>
      <c r="B206" s="8"/>
      <c r="C206" s="8"/>
      <c r="D206" s="8"/>
      <c r="E206" s="53"/>
      <c r="F206" s="8"/>
      <c r="G206" s="8"/>
      <c r="H206" s="31"/>
      <c r="I206"/>
      <c r="J206"/>
      <c r="K206"/>
      <c r="L206"/>
      <c r="M206"/>
      <c r="N206"/>
      <c r="O206"/>
      <c r="P206"/>
      <c r="Q206"/>
      <c r="R206"/>
      <c r="S206"/>
      <c r="T206"/>
      <c r="U206"/>
      <c r="V206"/>
      <c r="W206"/>
      <c r="X206"/>
      <c r="Y206"/>
      <c r="Z206"/>
      <c r="AA206"/>
      <c r="AB206"/>
      <c r="AC206"/>
      <c r="AD206"/>
      <c r="AE206"/>
      <c r="AF206"/>
      <c r="AG206"/>
      <c r="AH206"/>
      <c r="AI206"/>
      <c r="AJ206"/>
      <c r="AK206"/>
      <c r="AL206"/>
      <c r="AM206"/>
    </row>
    <row r="207" spans="1:39" x14ac:dyDescent="0.2">
      <c r="A207"/>
      <c r="B207" s="8"/>
      <c r="C207" s="8"/>
      <c r="D207" s="8"/>
      <c r="E207" s="53"/>
      <c r="F207" s="8"/>
      <c r="G207" s="8"/>
      <c r="H207" s="31"/>
      <c r="I207"/>
      <c r="J207"/>
      <c r="K207"/>
      <c r="L207"/>
      <c r="M207"/>
      <c r="N207"/>
      <c r="O207"/>
      <c r="P207"/>
      <c r="Q207"/>
      <c r="R207"/>
      <c r="S207"/>
      <c r="T207"/>
      <c r="U207"/>
      <c r="V207"/>
      <c r="W207"/>
      <c r="X207"/>
      <c r="Y207"/>
      <c r="Z207"/>
      <c r="AA207"/>
      <c r="AB207"/>
      <c r="AC207"/>
      <c r="AD207"/>
      <c r="AE207"/>
      <c r="AF207"/>
      <c r="AG207"/>
      <c r="AH207"/>
      <c r="AI207"/>
      <c r="AJ207"/>
      <c r="AK207"/>
      <c r="AL207"/>
      <c r="AM207"/>
    </row>
    <row r="208" spans="1:39" x14ac:dyDescent="0.2">
      <c r="A208"/>
      <c r="B208" s="8"/>
      <c r="C208" s="8"/>
      <c r="D208" s="8"/>
      <c r="E208" s="53"/>
      <c r="F208" s="8"/>
      <c r="G208" s="8"/>
      <c r="H208" s="31"/>
      <c r="I208"/>
      <c r="J208"/>
      <c r="K208"/>
      <c r="L208"/>
      <c r="M208"/>
      <c r="N208"/>
      <c r="O208"/>
      <c r="P208"/>
      <c r="Q208"/>
      <c r="R208"/>
      <c r="S208"/>
      <c r="T208"/>
      <c r="U208"/>
      <c r="V208"/>
      <c r="W208"/>
      <c r="X208"/>
      <c r="Y208"/>
      <c r="Z208"/>
      <c r="AA208"/>
      <c r="AB208"/>
      <c r="AC208"/>
      <c r="AD208"/>
      <c r="AE208"/>
      <c r="AF208"/>
      <c r="AG208"/>
      <c r="AH208"/>
      <c r="AI208"/>
      <c r="AJ208"/>
      <c r="AK208"/>
      <c r="AL208"/>
      <c r="AM208"/>
    </row>
    <row r="209" spans="1:39" x14ac:dyDescent="0.2">
      <c r="A209"/>
      <c r="B209" s="8"/>
      <c r="C209" s="8"/>
      <c r="D209" s="8"/>
      <c r="E209" s="53"/>
      <c r="F209" s="8"/>
      <c r="G209" s="8"/>
      <c r="H209" s="31"/>
      <c r="I209"/>
      <c r="J209"/>
      <c r="K209"/>
      <c r="L209"/>
      <c r="M209"/>
      <c r="N209"/>
      <c r="O209"/>
      <c r="P209"/>
      <c r="Q209"/>
      <c r="R209"/>
      <c r="S209"/>
      <c r="T209"/>
      <c r="U209"/>
      <c r="V209"/>
      <c r="W209"/>
      <c r="X209"/>
      <c r="Y209"/>
      <c r="Z209"/>
      <c r="AA209"/>
      <c r="AB209"/>
      <c r="AC209"/>
      <c r="AD209"/>
      <c r="AE209"/>
      <c r="AF209"/>
      <c r="AG209"/>
      <c r="AH209"/>
      <c r="AI209"/>
      <c r="AJ209"/>
      <c r="AK209"/>
      <c r="AL209"/>
      <c r="AM209"/>
    </row>
    <row r="210" spans="1:39" x14ac:dyDescent="0.2">
      <c r="A210"/>
      <c r="B210" s="8"/>
      <c r="C210" s="8"/>
      <c r="D210" s="8"/>
      <c r="E210" s="53"/>
      <c r="F210" s="8"/>
      <c r="G210" s="8"/>
      <c r="H210" s="31"/>
      <c r="I210"/>
      <c r="J210"/>
      <c r="K210"/>
      <c r="L210"/>
      <c r="M210"/>
      <c r="N210"/>
      <c r="O210"/>
      <c r="P210"/>
      <c r="Q210"/>
      <c r="R210"/>
      <c r="S210"/>
      <c r="T210"/>
      <c r="U210"/>
      <c r="V210"/>
      <c r="W210"/>
      <c r="X210"/>
      <c r="Y210"/>
      <c r="Z210"/>
      <c r="AA210"/>
      <c r="AB210"/>
      <c r="AC210"/>
      <c r="AD210"/>
      <c r="AE210"/>
      <c r="AF210"/>
      <c r="AG210"/>
      <c r="AH210"/>
      <c r="AI210"/>
      <c r="AJ210"/>
      <c r="AK210"/>
      <c r="AL210"/>
      <c r="AM210"/>
    </row>
    <row r="211" spans="1:39" x14ac:dyDescent="0.2">
      <c r="A211"/>
      <c r="B211" s="8"/>
      <c r="C211" s="8"/>
      <c r="D211" s="8"/>
      <c r="E211" s="53"/>
      <c r="F211" s="8"/>
      <c r="G211" s="8"/>
      <c r="H211" s="31"/>
      <c r="I211"/>
      <c r="J211"/>
      <c r="K211"/>
      <c r="L211"/>
      <c r="M211"/>
      <c r="N211"/>
      <c r="O211"/>
      <c r="P211"/>
      <c r="Q211"/>
      <c r="R211"/>
      <c r="S211"/>
      <c r="T211"/>
      <c r="U211"/>
      <c r="V211"/>
      <c r="W211"/>
      <c r="X211"/>
      <c r="Y211"/>
      <c r="Z211"/>
      <c r="AA211"/>
      <c r="AB211"/>
      <c r="AC211"/>
      <c r="AD211"/>
      <c r="AE211"/>
      <c r="AF211"/>
      <c r="AG211"/>
      <c r="AH211"/>
      <c r="AI211"/>
      <c r="AJ211"/>
      <c r="AK211"/>
      <c r="AL211"/>
      <c r="AM211"/>
    </row>
    <row r="212" spans="1:39" x14ac:dyDescent="0.2">
      <c r="A212"/>
      <c r="B212" s="8"/>
      <c r="C212" s="8"/>
      <c r="D212" s="8"/>
      <c r="E212" s="53"/>
      <c r="F212" s="8"/>
      <c r="G212" s="8"/>
      <c r="H212" s="31"/>
      <c r="I212"/>
      <c r="J212"/>
      <c r="K212"/>
      <c r="L212"/>
      <c r="M212"/>
      <c r="N212"/>
      <c r="O212"/>
      <c r="P212"/>
      <c r="Q212"/>
      <c r="R212"/>
      <c r="S212"/>
      <c r="T212"/>
      <c r="U212"/>
      <c r="V212"/>
      <c r="W212"/>
      <c r="X212"/>
      <c r="Y212"/>
      <c r="Z212"/>
      <c r="AA212"/>
      <c r="AB212"/>
      <c r="AC212"/>
      <c r="AD212"/>
      <c r="AE212"/>
      <c r="AF212"/>
      <c r="AG212"/>
      <c r="AH212"/>
      <c r="AI212"/>
      <c r="AJ212"/>
      <c r="AK212"/>
      <c r="AL212"/>
      <c r="AM212"/>
    </row>
    <row r="213" spans="1:39" x14ac:dyDescent="0.2">
      <c r="A213"/>
      <c r="B213" s="8"/>
      <c r="C213" s="8"/>
      <c r="D213" s="8"/>
      <c r="E213" s="53"/>
      <c r="F213" s="8"/>
      <c r="G213" s="8"/>
      <c r="H213" s="31"/>
      <c r="I213"/>
      <c r="J213"/>
      <c r="K213"/>
      <c r="L213"/>
      <c r="M213"/>
      <c r="N213"/>
      <c r="O213"/>
      <c r="P213"/>
      <c r="Q213"/>
      <c r="R213"/>
      <c r="S213"/>
      <c r="T213"/>
      <c r="U213"/>
      <c r="V213"/>
      <c r="W213"/>
      <c r="X213"/>
      <c r="Y213"/>
      <c r="Z213"/>
      <c r="AA213"/>
      <c r="AB213"/>
      <c r="AC213"/>
      <c r="AD213"/>
      <c r="AE213"/>
      <c r="AF213"/>
      <c r="AG213"/>
      <c r="AH213"/>
      <c r="AI213"/>
      <c r="AJ213"/>
      <c r="AK213"/>
      <c r="AL213"/>
      <c r="AM213"/>
    </row>
    <row r="214" spans="1:39" x14ac:dyDescent="0.2">
      <c r="A214"/>
      <c r="B214" s="8"/>
      <c r="C214" s="8"/>
      <c r="D214" s="8"/>
      <c r="E214" s="53"/>
      <c r="F214" s="8"/>
      <c r="G214" s="8"/>
      <c r="H214" s="31"/>
      <c r="I214"/>
      <c r="J214"/>
      <c r="K214"/>
      <c r="L214"/>
      <c r="M214"/>
      <c r="N214"/>
      <c r="O214"/>
      <c r="P214"/>
      <c r="Q214"/>
      <c r="R214"/>
      <c r="S214"/>
      <c r="T214"/>
      <c r="U214"/>
      <c r="V214"/>
      <c r="W214"/>
      <c r="X214"/>
      <c r="Y214"/>
      <c r="Z214"/>
      <c r="AA214"/>
      <c r="AB214"/>
      <c r="AC214"/>
      <c r="AD214"/>
      <c r="AE214"/>
      <c r="AF214"/>
      <c r="AG214"/>
      <c r="AH214"/>
      <c r="AI214"/>
      <c r="AJ214"/>
      <c r="AK214"/>
      <c r="AL214"/>
      <c r="AM214"/>
    </row>
    <row r="215" spans="1:39" x14ac:dyDescent="0.2">
      <c r="A215"/>
      <c r="B215" s="8"/>
      <c r="C215" s="8"/>
      <c r="D215" s="8"/>
      <c r="E215" s="53"/>
      <c r="F215" s="8"/>
      <c r="G215" s="8"/>
      <c r="H215" s="31"/>
      <c r="I215"/>
      <c r="J215"/>
      <c r="K215"/>
      <c r="L215"/>
      <c r="M215"/>
      <c r="N215"/>
      <c r="O215"/>
      <c r="P215"/>
      <c r="Q215"/>
      <c r="R215"/>
      <c r="S215"/>
      <c r="T215"/>
      <c r="U215"/>
      <c r="V215"/>
      <c r="W215"/>
      <c r="X215"/>
      <c r="Y215"/>
      <c r="Z215"/>
      <c r="AA215"/>
      <c r="AB215"/>
      <c r="AC215"/>
      <c r="AD215"/>
      <c r="AE215"/>
      <c r="AF215"/>
      <c r="AG215"/>
      <c r="AH215"/>
      <c r="AI215"/>
      <c r="AJ215"/>
      <c r="AK215"/>
      <c r="AL215"/>
      <c r="AM215"/>
    </row>
  </sheetData>
  <sheetProtection formatCells="0" formatColumns="0" formatRows="0" insertColumns="0" insertRows="0" insertHyperlinks="0" deleteColumns="0" deleteRows="0"/>
  <protectedRanges>
    <protectedRange sqref="C9 C22 C35 C48 C61" name="Диапазон1"/>
  </protectedRanges>
  <customSheetViews>
    <customSheetView guid="{788B8383-784A-4263-9D04-45657AC129FF}" hiddenColumns="1">
      <pageMargins left="0.75" right="0.75" top="1" bottom="1" header="0.5" footer="0.5"/>
      <pageSetup paperSize="9" orientation="portrait" r:id="rId1"/>
      <headerFooter alignWithMargins="0"/>
    </customSheetView>
  </customSheetViews>
  <mergeCells count="35">
    <mergeCell ref="H86:I86"/>
    <mergeCell ref="J84:J85"/>
    <mergeCell ref="H84:H85"/>
    <mergeCell ref="J76:J77"/>
    <mergeCell ref="K78:L78"/>
    <mergeCell ref="H78:I78"/>
    <mergeCell ref="B80:G81"/>
    <mergeCell ref="B82:B85"/>
    <mergeCell ref="J68:J69"/>
    <mergeCell ref="H70:I70"/>
    <mergeCell ref="B6:G7"/>
    <mergeCell ref="B19:G20"/>
    <mergeCell ref="C74:G74"/>
    <mergeCell ref="H11:H16"/>
    <mergeCell ref="H24:H29"/>
    <mergeCell ref="B58:G59"/>
    <mergeCell ref="D8:G8"/>
    <mergeCell ref="H63:H64"/>
    <mergeCell ref="C75:G75"/>
    <mergeCell ref="B50:B55"/>
    <mergeCell ref="B72:G73"/>
    <mergeCell ref="B21:G21"/>
    <mergeCell ref="H50:H55"/>
    <mergeCell ref="B32:G33"/>
    <mergeCell ref="B34:G34"/>
    <mergeCell ref="H37:H42"/>
    <mergeCell ref="B45:G46"/>
    <mergeCell ref="B60:G60"/>
    <mergeCell ref="B74:B77"/>
    <mergeCell ref="B10:B16"/>
    <mergeCell ref="B23:B29"/>
    <mergeCell ref="B62:B69"/>
    <mergeCell ref="C66:G66"/>
    <mergeCell ref="B47:G47"/>
    <mergeCell ref="B36:B42"/>
  </mergeCells>
  <phoneticPr fontId="2" type="noConversion"/>
  <dataValidations count="5">
    <dataValidation type="list" allowBlank="1" showInputMessage="1" showErrorMessage="1" sqref="C48 C35" xr:uid="{00000000-0002-0000-0500-000000000000}">
      <formula1>$M$24:$M$27</formula1>
    </dataValidation>
    <dataValidation type="list" allowBlank="1" showInputMessage="1" showErrorMessage="1" sqref="C22" xr:uid="{00000000-0002-0000-0500-000001000000}">
      <formula1>$M$12:$M$16</formula1>
    </dataValidation>
    <dataValidation type="list" allowBlank="1" showInputMessage="1" showErrorMessage="1" sqref="C9" xr:uid="{00000000-0002-0000-0500-000002000000}">
      <formula1>$M$8:$M$9</formula1>
    </dataValidation>
    <dataValidation type="list" allowBlank="1" showInputMessage="1" showErrorMessage="1" sqref="C61" xr:uid="{00000000-0002-0000-0500-000003000000}">
      <formula1>$M$37:$M$40</formula1>
    </dataValidation>
    <dataValidation type="list" allowBlank="1" showInputMessage="1" showErrorMessage="1" sqref="D4" xr:uid="{00000000-0002-0000-0500-000004000000}">
      <formula1>$N$6:$O$6</formula1>
    </dataValidation>
  </dataValidations>
  <pageMargins left="0.75" right="0.75" top="1" bottom="1" header="0.5" footer="0.5"/>
  <pageSetup paperSize="9" orientation="portrait" r:id="rId2"/>
  <headerFooter alignWithMargins="0"/>
  <drawing r:id="rId3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ellIs" priority="10" operator="equal" id="{E845B648-5C72-427E-8C50-DECDE5056054}">
            <xm:f>'3.5'!$K$39</xm:f>
            <x14:dxf>
              <font>
                <color theme="0"/>
              </font>
              <fill>
                <patternFill>
                  <bgColor theme="1"/>
                </patternFill>
              </fill>
            </x14:dxf>
          </x14:cfRule>
          <x14:cfRule type="cellIs" priority="11" operator="equal" id="{3CB7432A-375F-4208-9103-939741EC28A7}">
            <xm:f>'3.5'!$K$38</xm:f>
            <x14:dxf>
              <fill>
                <patternFill>
                  <bgColor theme="0" tint="-0.34998626667073579"/>
                </patternFill>
              </fill>
            </x14:dxf>
          </x14:cfRule>
          <xm:sqref>D4</xm:sqref>
        </x14:conditionalFormatting>
        <x14:conditionalFormatting xmlns:xm="http://schemas.microsoft.com/office/excel/2006/main">
          <x14:cfRule type="cellIs" priority="7" operator="equal" id="{08B5C278-2734-47FF-A9C2-28F39F693D96}">
            <xm:f>'3.5'!$K$37</xm:f>
            <x14:dxf>
              <font>
                <color theme="0"/>
              </font>
            </x14:dxf>
          </x14:cfRule>
          <x14:cfRule type="cellIs" priority="8" operator="equal" id="{C5F26D2C-C89E-4337-B4A6-6C989C43F611}">
            <xm:f>'3.5'!$K$39</xm:f>
            <x14:dxf>
              <font>
                <color auto="1"/>
              </font>
              <fill>
                <patternFill>
                  <bgColor theme="1"/>
                </patternFill>
              </fill>
            </x14:dxf>
          </x14:cfRule>
          <x14:cfRule type="cellIs" priority="9" operator="equal" id="{F0E9E939-AF9A-4AEB-AB6C-01904936A27D}">
            <xm:f>'3.5'!$K$38</xm:f>
            <x14:dxf>
              <font>
                <color theme="0" tint="-0.34998626667073579"/>
              </font>
              <fill>
                <patternFill>
                  <bgColor theme="0" tint="-0.34998626667073579"/>
                </patternFill>
              </fill>
            </x14:dxf>
          </x14:cfRule>
          <xm:sqref>E4</xm:sqref>
        </x14:conditionalFormatting>
        <x14:conditionalFormatting xmlns:xm="http://schemas.microsoft.com/office/excel/2006/main">
          <x14:cfRule type="cellIs" priority="4" operator="equal" id="{B46C974F-D107-45E8-B6D6-7C41462B8452}">
            <xm:f>'3.5'!$K$37</xm:f>
            <x14:dxf>
              <font>
                <color theme="0"/>
              </font>
            </x14:dxf>
          </x14:cfRule>
          <x14:cfRule type="cellIs" priority="5" operator="equal" id="{CFFAB025-96BA-4E35-B5F0-63D128136EF4}">
            <xm:f>'3.5'!$K$39</xm:f>
            <x14:dxf>
              <font>
                <color auto="1"/>
              </font>
              <fill>
                <patternFill>
                  <bgColor theme="1"/>
                </patternFill>
              </fill>
            </x14:dxf>
          </x14:cfRule>
          <x14:cfRule type="cellIs" priority="6" operator="equal" id="{DEBCCDA0-4CD2-4A7F-AAEA-1831342A0CCF}">
            <xm:f>'3.5'!$K$38</xm:f>
            <x14:dxf>
              <font>
                <color theme="0" tint="-0.34998626667073579"/>
              </font>
              <fill>
                <patternFill>
                  <bgColor theme="0" tint="-0.34998626667073579"/>
                </patternFill>
              </fill>
            </x14:dxf>
          </x14:cfRule>
          <xm:sqref>G4</xm:sqref>
        </x14:conditionalFormatting>
        <x14:conditionalFormatting xmlns:xm="http://schemas.microsoft.com/office/excel/2006/main">
          <x14:cfRule type="cellIs" priority="1" operator="equal" id="{2BE95579-EAEA-4317-9B88-483DDFDBE2C0}">
            <xm:f>'3.5'!$K$37</xm:f>
            <x14:dxf>
              <font>
                <color theme="0"/>
              </font>
            </x14:dxf>
          </x14:cfRule>
          <x14:cfRule type="cellIs" priority="2" operator="equal" id="{7027F33A-631C-4C45-A2D3-330AB42788B1}">
            <xm:f>'3.5'!$K$39</xm:f>
            <x14:dxf>
              <font>
                <color auto="1"/>
              </font>
              <fill>
                <patternFill>
                  <bgColor theme="1"/>
                </patternFill>
              </fill>
            </x14:dxf>
          </x14:cfRule>
          <x14:cfRule type="cellIs" priority="3" operator="equal" id="{D1694A3F-0A5E-4682-B493-74D19A96B282}">
            <xm:f>'3.5'!$K$38</xm:f>
            <x14:dxf>
              <font>
                <color theme="0" tint="-0.34998626667073579"/>
              </font>
              <fill>
                <patternFill>
                  <bgColor theme="0" tint="-0.34998626667073579"/>
                </patternFill>
              </fill>
            </x14:dxf>
          </x14:cfRule>
          <xm:sqref>H4</xm:sqref>
        </x14:conditionalFormatting>
      </x14:conditionalFormatting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6"/>
  <dimension ref="A1:BH267"/>
  <sheetViews>
    <sheetView showGridLines="0" topLeftCell="A37" zoomScaleNormal="100" zoomScaleSheetLayoutView="100" workbookViewId="0">
      <selection activeCell="D59" sqref="D59"/>
    </sheetView>
  </sheetViews>
  <sheetFormatPr defaultRowHeight="12.75" x14ac:dyDescent="0.2"/>
  <cols>
    <col min="1" max="1" width="3.7109375" style="8" customWidth="1"/>
    <col min="2" max="2" width="30.85546875" customWidth="1"/>
    <col min="3" max="3" width="8.5703125" bestFit="1" customWidth="1"/>
    <col min="4" max="4" width="38.42578125" bestFit="1" customWidth="1"/>
    <col min="5" max="5" width="3.42578125" style="10" bestFit="1" customWidth="1"/>
    <col min="6" max="6" width="9.140625" hidden="1" customWidth="1"/>
    <col min="7" max="7" width="7.5703125" bestFit="1" customWidth="1"/>
    <col min="8" max="8" width="9.140625" style="20"/>
    <col min="9" max="9" width="2.7109375" style="8" customWidth="1"/>
    <col min="10" max="10" width="2" style="8" customWidth="1"/>
    <col min="11" max="11" width="5.5703125" style="8" hidden="1" customWidth="1"/>
    <col min="12" max="17" width="9.140625" style="8" hidden="1" customWidth="1"/>
    <col min="18" max="18" width="4.140625" style="8" customWidth="1"/>
    <col min="19" max="19" width="12.85546875" style="8" customWidth="1"/>
    <col min="20" max="20" width="19.7109375" style="8" customWidth="1"/>
    <col min="21" max="21" width="6.85546875" style="106" bestFit="1" customWidth="1"/>
    <col min="22" max="46" width="9.140625" style="8"/>
  </cols>
  <sheetData>
    <row r="1" spans="1:60" s="771" customFormat="1" ht="21" thickBot="1" x14ac:dyDescent="0.35">
      <c r="A1" s="1143"/>
      <c r="B1" s="1302" t="s">
        <v>3451</v>
      </c>
      <c r="C1" s="1303"/>
      <c r="D1" s="1303"/>
      <c r="E1" s="1304"/>
      <c r="F1" s="1305"/>
      <c r="G1" s="1306"/>
      <c r="H1" s="1307"/>
      <c r="BG1" s="782"/>
      <c r="BH1" s="782"/>
    </row>
    <row r="2" spans="1:60" s="771" customFormat="1" ht="6" customHeight="1" x14ac:dyDescent="0.2">
      <c r="A2" s="1143"/>
      <c r="B2" s="916"/>
      <c r="C2" s="916"/>
      <c r="D2" s="916"/>
      <c r="E2" s="1144"/>
      <c r="F2" s="916"/>
      <c r="G2" s="1145"/>
      <c r="H2" s="887"/>
      <c r="BG2" s="782"/>
      <c r="BH2" s="782"/>
    </row>
    <row r="3" spans="1:60" s="8" customFormat="1" ht="6" customHeight="1" thickBot="1" x14ac:dyDescent="0.25">
      <c r="E3" s="53"/>
      <c r="H3" s="35"/>
      <c r="U3" s="106"/>
    </row>
    <row r="4" spans="1:60" ht="20.100000000000001" customHeight="1" x14ac:dyDescent="0.2">
      <c r="B4" s="2015" t="s">
        <v>2109</v>
      </c>
      <c r="C4" s="2016"/>
      <c r="D4" s="2016"/>
      <c r="E4" s="2016"/>
      <c r="F4" s="2016"/>
      <c r="G4" s="2016"/>
      <c r="H4" s="372"/>
      <c r="K4" s="28"/>
      <c r="L4" s="28"/>
      <c r="M4" s="28"/>
    </row>
    <row r="5" spans="1:60" ht="20.100000000000001" customHeight="1" x14ac:dyDescent="0.2">
      <c r="A5" s="17"/>
      <c r="B5" s="2018"/>
      <c r="C5" s="2019"/>
      <c r="D5" s="2019"/>
      <c r="E5" s="2019"/>
      <c r="F5" s="2019"/>
      <c r="G5" s="2019"/>
      <c r="H5" s="374"/>
      <c r="K5" s="28"/>
    </row>
    <row r="6" spans="1:60" ht="12.75" customHeight="1" x14ac:dyDescent="0.2">
      <c r="A6" s="17"/>
      <c r="B6" s="425" t="s">
        <v>635</v>
      </c>
      <c r="C6" s="131"/>
      <c r="D6" s="2095" t="s">
        <v>1092</v>
      </c>
      <c r="E6" s="2095"/>
      <c r="F6" s="2095"/>
      <c r="G6" s="2095"/>
      <c r="H6" s="426"/>
      <c r="K6" s="29"/>
    </row>
    <row r="7" spans="1:60" ht="15.75" thickBot="1" x14ac:dyDescent="0.25">
      <c r="A7" s="17"/>
      <c r="B7" s="410" t="s">
        <v>1639</v>
      </c>
      <c r="C7" s="98">
        <v>500</v>
      </c>
      <c r="D7" s="95" t="s">
        <v>1689</v>
      </c>
      <c r="E7" s="94"/>
      <c r="F7" s="73"/>
      <c r="G7" s="95"/>
      <c r="H7" s="376" t="str">
        <f>IF(СОДЕРЖАНИЕ!P2=1,"EUR","RUB")</f>
        <v>RUB</v>
      </c>
      <c r="K7" s="28"/>
      <c r="T7" s="2087" t="s">
        <v>1181</v>
      </c>
      <c r="U7" s="2087"/>
    </row>
    <row r="8" spans="1:60" ht="9.9499999999999993" customHeight="1" x14ac:dyDescent="0.2">
      <c r="A8" s="17"/>
      <c r="B8" s="2072"/>
      <c r="C8" s="135" t="s">
        <v>1301</v>
      </c>
      <c r="D8" s="139" t="s">
        <v>784</v>
      </c>
      <c r="E8" s="140" t="s">
        <v>2117</v>
      </c>
      <c r="F8" s="139"/>
      <c r="G8" s="141" t="s">
        <v>2116</v>
      </c>
      <c r="H8" s="411"/>
      <c r="I8" s="30"/>
      <c r="J8" s="30"/>
      <c r="K8" s="96" t="s">
        <v>1640</v>
      </c>
      <c r="L8" s="28"/>
      <c r="M8" s="28"/>
      <c r="T8" s="2088"/>
      <c r="U8" s="2088"/>
      <c r="AM8"/>
      <c r="AN8"/>
      <c r="AO8"/>
      <c r="AP8"/>
      <c r="AQ8"/>
      <c r="AR8"/>
      <c r="AS8"/>
      <c r="AT8"/>
    </row>
    <row r="9" spans="1:60" x14ac:dyDescent="0.2">
      <c r="A9" s="17"/>
      <c r="B9" s="2073"/>
      <c r="C9" s="138" t="str">
        <f>IF(C7=400," ",VLOOKUP(C7,K11:O13,3,FALSE))</f>
        <v>5655213/</v>
      </c>
      <c r="D9" s="43" t="str">
        <f>IF(C9=" "," ",VLOOKUP(C9,всецены,2,FALSE))</f>
        <v xml:space="preserve">TBX, Царга 68/500 мм, сер, прав NEW     </v>
      </c>
      <c r="E9" s="3">
        <f>IF(D9=" ",0,1)</f>
        <v>1</v>
      </c>
      <c r="F9" s="12">
        <f>IF(C9=" ",0,VLOOKUP(C9,всецены,4,FALSE))</f>
        <v>548.10515759999998</v>
      </c>
      <c r="G9" s="14">
        <f>F9*E9</f>
        <v>548.10515759999998</v>
      </c>
      <c r="H9" s="2091">
        <f>SUM(G9:G16)</f>
        <v>2143.6278864000001</v>
      </c>
      <c r="I9" s="30"/>
      <c r="J9" s="30"/>
      <c r="L9" s="53"/>
      <c r="M9" s="53"/>
      <c r="P9" s="53"/>
      <c r="S9" s="926" t="s">
        <v>2812</v>
      </c>
      <c r="T9" s="927" t="s">
        <v>2253</v>
      </c>
      <c r="U9" s="885"/>
    </row>
    <row r="10" spans="1:60" s="910" customFormat="1" x14ac:dyDescent="0.2">
      <c r="A10" s="17"/>
      <c r="B10" s="2073"/>
      <c r="C10" s="138" t="str">
        <f>VLOOKUP(C7,K11:O13,2,FALSE)</f>
        <v>5695147/</v>
      </c>
      <c r="D10" s="43" t="str">
        <f>VLOOKUP(C10,всецены,2,FALSE)</f>
        <v xml:space="preserve">TBX, Царга 68/500 мм, сер, лев NEW      </v>
      </c>
      <c r="E10" s="3">
        <v>1</v>
      </c>
      <c r="F10" s="12">
        <f>VLOOKUP(C10,всецены,4,FALSE)</f>
        <v>548.10515759999998</v>
      </c>
      <c r="G10" s="14">
        <f>F10*E10</f>
        <v>548.10515759999998</v>
      </c>
      <c r="H10" s="2092"/>
      <c r="I10" s="30"/>
      <c r="J10" s="30"/>
      <c r="K10" s="8"/>
      <c r="L10" s="911" t="s">
        <v>1645</v>
      </c>
      <c r="M10" s="911" t="s">
        <v>1644</v>
      </c>
      <c r="N10" s="8" t="s">
        <v>1641</v>
      </c>
      <c r="O10" s="8" t="s">
        <v>1642</v>
      </c>
      <c r="P10" s="911"/>
      <c r="Q10" s="8"/>
      <c r="R10" s="8"/>
      <c r="S10" s="943" t="s">
        <v>1813</v>
      </c>
      <c r="T10" s="924" t="s">
        <v>2262</v>
      </c>
      <c r="U10" s="925" t="s">
        <v>2230</v>
      </c>
      <c r="V10" s="8"/>
      <c r="W10" s="8"/>
      <c r="X10" s="8"/>
      <c r="Y10" s="8"/>
      <c r="Z10" s="8"/>
      <c r="AA10" s="8"/>
      <c r="AB10" s="8"/>
      <c r="AC10" s="8"/>
      <c r="AD10" s="8"/>
      <c r="AE10" s="8"/>
      <c r="AF10" s="8"/>
      <c r="AG10" s="8"/>
      <c r="AH10" s="8"/>
      <c r="AI10" s="8"/>
      <c r="AJ10" s="8"/>
      <c r="AK10" s="8"/>
      <c r="AL10" s="8"/>
      <c r="AM10" s="8"/>
      <c r="AN10" s="8"/>
      <c r="AO10" s="8"/>
      <c r="AP10" s="8"/>
      <c r="AQ10" s="8"/>
      <c r="AR10" s="8"/>
      <c r="AS10" s="8"/>
      <c r="AT10" s="8"/>
    </row>
    <row r="11" spans="1:60" x14ac:dyDescent="0.2">
      <c r="A11" s="17"/>
      <c r="B11" s="2073"/>
      <c r="C11" s="138" t="str">
        <f>VLOOKUP(C7,K11:O13,4,FALSE)</f>
        <v>8716527/</v>
      </c>
      <c r="D11" s="43" t="str">
        <f t="shared" ref="D11:D16" si="0">VLOOKUP(C11,всецены,2,FALSE)</f>
        <v>TBX, Напр. с BM, 30 кг, 500 мм, лев. NEW</v>
      </c>
      <c r="E11" s="3">
        <v>1</v>
      </c>
      <c r="F11" s="12">
        <f t="shared" ref="F11:F16" si="1">VLOOKUP(C11,всецены,4,FALSE)</f>
        <v>424.49687280000001</v>
      </c>
      <c r="G11" s="14">
        <f t="shared" ref="G11:G16" si="2">F11*E11</f>
        <v>424.49687280000001</v>
      </c>
      <c r="H11" s="2092"/>
      <c r="K11" s="8">
        <v>400</v>
      </c>
      <c r="L11" s="43" t="s">
        <v>768</v>
      </c>
      <c r="M11" s="43"/>
      <c r="N11" s="1371" t="s">
        <v>4516</v>
      </c>
      <c r="O11" s="1371" t="s">
        <v>4515</v>
      </c>
      <c r="S11" s="943" t="s">
        <v>1813</v>
      </c>
      <c r="T11" s="924" t="s">
        <v>2263</v>
      </c>
      <c r="U11" s="925" t="s">
        <v>2231</v>
      </c>
    </row>
    <row r="12" spans="1:60" x14ac:dyDescent="0.2">
      <c r="A12" s="17"/>
      <c r="B12" s="2073"/>
      <c r="C12" s="138" t="str">
        <f>VLOOKUP(C7,K11:O13,5,FALSE)</f>
        <v>8709485/</v>
      </c>
      <c r="D12" s="43" t="str">
        <f t="shared" si="0"/>
        <v xml:space="preserve">TBX, Напр. с BM, 30 кг, 500 мм, пр. NEW </v>
      </c>
      <c r="E12" s="3">
        <v>1</v>
      </c>
      <c r="F12" s="12">
        <f t="shared" si="1"/>
        <v>424.49687280000001</v>
      </c>
      <c r="G12" s="14">
        <f t="shared" si="2"/>
        <v>424.49687280000001</v>
      </c>
      <c r="H12" s="2092"/>
      <c r="K12" s="8">
        <v>450</v>
      </c>
      <c r="L12" s="2" t="s">
        <v>3538</v>
      </c>
      <c r="M12" s="2" t="s">
        <v>3537</v>
      </c>
      <c r="N12" s="1369" t="s">
        <v>4519</v>
      </c>
      <c r="O12" s="1369" t="s">
        <v>4518</v>
      </c>
      <c r="S12" s="943" t="s">
        <v>1813</v>
      </c>
      <c r="T12" s="924" t="s">
        <v>2264</v>
      </c>
      <c r="U12" s="925" t="s">
        <v>2232</v>
      </c>
    </row>
    <row r="13" spans="1:60" x14ac:dyDescent="0.2">
      <c r="A13" s="17"/>
      <c r="B13" s="2073"/>
      <c r="C13" s="138" t="s">
        <v>299</v>
      </c>
      <c r="D13" s="43" t="str">
        <f t="shared" si="0"/>
        <v>TBX, Загл. с лого, сер, симм ZAA.330C.BL</v>
      </c>
      <c r="E13" s="3">
        <v>2</v>
      </c>
      <c r="F13" s="12">
        <f t="shared" si="1"/>
        <v>8.9453364000000004</v>
      </c>
      <c r="G13" s="14">
        <f t="shared" si="2"/>
        <v>17.890672800000001</v>
      </c>
      <c r="H13" s="2092"/>
      <c r="K13" s="8">
        <v>500</v>
      </c>
      <c r="L13" s="2" t="s">
        <v>3540</v>
      </c>
      <c r="M13" s="2" t="s">
        <v>3539</v>
      </c>
      <c r="N13" s="1369" t="s">
        <v>4522</v>
      </c>
      <c r="O13" s="1369" t="s">
        <v>4521</v>
      </c>
      <c r="S13" s="943" t="s">
        <v>1813</v>
      </c>
      <c r="T13" s="924" t="s">
        <v>2251</v>
      </c>
      <c r="U13" s="925" t="s">
        <v>2233</v>
      </c>
    </row>
    <row r="14" spans="1:60" x14ac:dyDescent="0.2">
      <c r="A14" s="17"/>
      <c r="B14" s="2073"/>
      <c r="C14" s="1558" t="s">
        <v>4511</v>
      </c>
      <c r="D14" s="43" t="str">
        <f t="shared" si="0"/>
        <v xml:space="preserve">TBX, Крепл фасада INSERTA, NEW ZSF.39A2 </v>
      </c>
      <c r="E14" s="3">
        <v>2</v>
      </c>
      <c r="F14" s="12">
        <f t="shared" si="1"/>
        <v>43.913469600000006</v>
      </c>
      <c r="G14" s="14">
        <f t="shared" si="2"/>
        <v>87.826939200000012</v>
      </c>
      <c r="H14" s="2092"/>
      <c r="S14" s="943" t="s">
        <v>1813</v>
      </c>
      <c r="T14" s="924" t="s">
        <v>2403</v>
      </c>
      <c r="U14" s="925" t="s">
        <v>2234</v>
      </c>
    </row>
    <row r="15" spans="1:60" x14ac:dyDescent="0.2">
      <c r="A15" s="17"/>
      <c r="B15" s="2073"/>
      <c r="C15" s="138" t="s">
        <v>532</v>
      </c>
      <c r="D15" s="43" t="str">
        <f t="shared" si="0"/>
        <v xml:space="preserve">TBX, Держат. задн. ст, 81 мм, сер, лев. </v>
      </c>
      <c r="E15" s="3">
        <v>1</v>
      </c>
      <c r="F15" s="12">
        <f t="shared" si="1"/>
        <v>46.353106799999999</v>
      </c>
      <c r="G15" s="14">
        <f t="shared" si="2"/>
        <v>46.353106799999999</v>
      </c>
      <c r="H15" s="2092"/>
      <c r="S15" s="943" t="s">
        <v>1813</v>
      </c>
      <c r="T15" s="924" t="s">
        <v>2252</v>
      </c>
      <c r="U15" s="925" t="s">
        <v>2235</v>
      </c>
    </row>
    <row r="16" spans="1:60" ht="13.5" thickBot="1" x14ac:dyDescent="0.25">
      <c r="A16" s="17"/>
      <c r="B16" s="2074"/>
      <c r="C16" s="407" t="s">
        <v>534</v>
      </c>
      <c r="D16" s="404" t="str">
        <f t="shared" si="0"/>
        <v xml:space="preserve">TBX, Держат. задн. ст, 81 мм, сер, пр.  </v>
      </c>
      <c r="E16" s="355">
        <v>1</v>
      </c>
      <c r="F16" s="356">
        <f t="shared" si="1"/>
        <v>46.353106799999999</v>
      </c>
      <c r="G16" s="409">
        <f t="shared" si="2"/>
        <v>46.353106799999999</v>
      </c>
      <c r="H16" s="2093"/>
      <c r="S16" s="943" t="s">
        <v>1813</v>
      </c>
      <c r="T16" s="924" t="s">
        <v>2265</v>
      </c>
      <c r="U16" s="925" t="s">
        <v>2240</v>
      </c>
    </row>
    <row r="17" spans="1:46" s="8" customFormat="1" ht="15" customHeight="1" x14ac:dyDescent="0.2">
      <c r="A17" s="17"/>
      <c r="B17" s="69"/>
      <c r="C17" s="75"/>
      <c r="D17" s="75"/>
      <c r="E17" s="169"/>
      <c r="F17" s="358"/>
      <c r="G17" s="358"/>
      <c r="H17" s="19"/>
      <c r="S17" s="943" t="s">
        <v>1813</v>
      </c>
      <c r="T17" s="924" t="s">
        <v>5191</v>
      </c>
      <c r="U17" s="925" t="s">
        <v>5192</v>
      </c>
    </row>
    <row r="18" spans="1:46" ht="8.1" customHeight="1" thickBot="1" x14ac:dyDescent="0.25">
      <c r="B18" s="28"/>
      <c r="C18" s="8"/>
      <c r="D18" s="8"/>
      <c r="E18" s="53"/>
      <c r="F18" s="8"/>
      <c r="G18" s="8"/>
      <c r="H18" s="35"/>
      <c r="S18" s="945"/>
      <c r="U18" s="106" t="s">
        <v>2821</v>
      </c>
    </row>
    <row r="19" spans="1:46" ht="20.100000000000001" customHeight="1" x14ac:dyDescent="0.25">
      <c r="B19" s="2015" t="s">
        <v>2110</v>
      </c>
      <c r="C19" s="2016"/>
      <c r="D19" s="2016"/>
      <c r="E19" s="2016"/>
      <c r="F19" s="2016"/>
      <c r="G19" s="2016"/>
      <c r="H19" s="427"/>
      <c r="S19" s="944" t="s">
        <v>1815</v>
      </c>
      <c r="T19" s="934" t="s">
        <v>2813</v>
      </c>
      <c r="U19" s="933"/>
    </row>
    <row r="20" spans="1:46" ht="20.100000000000001" customHeight="1" x14ac:dyDescent="0.2">
      <c r="A20" s="17"/>
      <c r="B20" s="2018"/>
      <c r="C20" s="2019"/>
      <c r="D20" s="2019"/>
      <c r="E20" s="2019"/>
      <c r="F20" s="2019"/>
      <c r="G20" s="2019"/>
      <c r="H20" s="426"/>
    </row>
    <row r="21" spans="1:46" ht="12.75" customHeight="1" x14ac:dyDescent="0.2">
      <c r="A21" s="17"/>
      <c r="B21" s="425" t="s">
        <v>2204</v>
      </c>
      <c r="C21" s="345"/>
      <c r="D21" s="2094" t="s">
        <v>1852</v>
      </c>
      <c r="E21" s="2094"/>
      <c r="F21" s="2094"/>
      <c r="G21" s="2094"/>
      <c r="H21" s="426"/>
    </row>
    <row r="22" spans="1:46" ht="15.75" thickBot="1" x14ac:dyDescent="0.25">
      <c r="A22" s="17"/>
      <c r="B22" s="410" t="s">
        <v>1639</v>
      </c>
      <c r="C22" s="98">
        <v>500</v>
      </c>
      <c r="D22" s="97" t="s">
        <v>1689</v>
      </c>
      <c r="E22" s="97"/>
      <c r="F22" s="97"/>
      <c r="G22" s="97"/>
      <c r="H22" s="376" t="str">
        <f>IF(СОДЕРЖАНИЕ!P2=1,"EUR","RUB")</f>
        <v>RUB</v>
      </c>
      <c r="K22" s="96" t="s">
        <v>1412</v>
      </c>
      <c r="L22" s="28"/>
      <c r="M22" s="28"/>
    </row>
    <row r="23" spans="1:46" ht="9.9499999999999993" customHeight="1" x14ac:dyDescent="0.2">
      <c r="A23" s="17"/>
      <c r="B23" s="2072"/>
      <c r="C23" s="135" t="s">
        <v>1301</v>
      </c>
      <c r="D23" s="139" t="s">
        <v>784</v>
      </c>
      <c r="E23" s="140" t="s">
        <v>2117</v>
      </c>
      <c r="F23" s="139"/>
      <c r="G23" s="141" t="s">
        <v>2116</v>
      </c>
      <c r="H23" s="411"/>
      <c r="I23" s="30"/>
      <c r="J23" s="30"/>
      <c r="L23" s="53" t="s">
        <v>1645</v>
      </c>
      <c r="M23" s="53" t="s">
        <v>1644</v>
      </c>
      <c r="N23" s="8" t="s">
        <v>1641</v>
      </c>
      <c r="O23" s="8" t="s">
        <v>1642</v>
      </c>
      <c r="P23" s="53" t="s">
        <v>1643</v>
      </c>
      <c r="Q23" s="8" t="s">
        <v>2178</v>
      </c>
      <c r="AM23"/>
      <c r="AN23"/>
      <c r="AO23"/>
      <c r="AP23"/>
      <c r="AQ23"/>
      <c r="AR23"/>
      <c r="AS23"/>
      <c r="AT23"/>
    </row>
    <row r="24" spans="1:46" ht="12.75" customHeight="1" x14ac:dyDescent="0.2">
      <c r="A24" s="17"/>
      <c r="B24" s="2073"/>
      <c r="C24" s="138" t="str">
        <f>VLOOKUP($C$22,tbxM,2,FALSE)</f>
        <v>3863588/</v>
      </c>
      <c r="D24" s="43" t="str">
        <f t="shared" ref="D24:D31" si="3">VLOOKUP(C24,всецены,2,FALSE)</f>
        <v xml:space="preserve">TBX, Царга 83/500 мм, сер, лев. NEW     </v>
      </c>
      <c r="E24" s="3">
        <v>1</v>
      </c>
      <c r="F24" s="72">
        <f t="shared" ref="F24:F31" si="4">VLOOKUP(C24,всецены,4,FALSE)</f>
        <v>417.17796120000003</v>
      </c>
      <c r="G24" s="14">
        <f t="shared" ref="G24:G31" si="5">F24*E24</f>
        <v>417.17796120000003</v>
      </c>
      <c r="H24" s="2089">
        <f>SUM(G24:G31)</f>
        <v>1857.3771215999996</v>
      </c>
      <c r="K24" s="8">
        <v>270</v>
      </c>
      <c r="L24" s="1371" t="s">
        <v>3526</v>
      </c>
      <c r="M24" s="1371" t="s">
        <v>3525</v>
      </c>
      <c r="N24" s="1371" t="s">
        <v>4506</v>
      </c>
      <c r="O24" s="1371" t="s">
        <v>4505</v>
      </c>
      <c r="P24" s="2" t="s">
        <v>1054</v>
      </c>
      <c r="Q24" s="43"/>
      <c r="R24" s="28"/>
    </row>
    <row r="25" spans="1:46" x14ac:dyDescent="0.2">
      <c r="A25" s="17"/>
      <c r="B25" s="2073"/>
      <c r="C25" s="154" t="str">
        <f>IF($C$22=600,"-",IF($C$22=650,"-",(VLOOKUP(C22,tbxM,3,FALSE))))</f>
        <v>3852259/</v>
      </c>
      <c r="D25" s="43" t="str">
        <f>IF($C$22=600,"-",IF($C$22=650,"-",VLOOKUP(C25,всецены,2,FALSE)))</f>
        <v xml:space="preserve">TBX, Царга 83/500 мм, сер, пр. NEW      </v>
      </c>
      <c r="E25" s="3">
        <v>1</v>
      </c>
      <c r="F25" s="72">
        <f t="shared" si="4"/>
        <v>417.17796120000003</v>
      </c>
      <c r="G25" s="14">
        <f>IF(OR($C$22=600,$C$22=650),0,F25*E25)</f>
        <v>417.17796120000003</v>
      </c>
      <c r="H25" s="2089"/>
      <c r="K25" s="8">
        <v>300</v>
      </c>
      <c r="L25" s="1373" t="s">
        <v>3524</v>
      </c>
      <c r="M25" s="1373" t="s">
        <v>3523</v>
      </c>
      <c r="N25" s="1373" t="s">
        <v>4509</v>
      </c>
      <c r="O25" s="1373" t="s">
        <v>4508</v>
      </c>
      <c r="P25" s="43" t="s">
        <v>1143</v>
      </c>
      <c r="Q25" s="43"/>
      <c r="R25" s="28"/>
    </row>
    <row r="26" spans="1:46" x14ac:dyDescent="0.2">
      <c r="A26" s="17"/>
      <c r="B26" s="2073"/>
      <c r="C26" s="154" t="str">
        <f>VLOOKUP(C22,tbxM,4,FALSE)</f>
        <v>8716527/</v>
      </c>
      <c r="D26" s="43" t="str">
        <f t="shared" si="3"/>
        <v>TBX, Напр. с BM, 30 кг, 500 мм, лев. NEW</v>
      </c>
      <c r="E26" s="3">
        <v>1</v>
      </c>
      <c r="F26" s="72">
        <f t="shared" si="4"/>
        <v>424.49687280000001</v>
      </c>
      <c r="G26" s="14">
        <f t="shared" si="5"/>
        <v>424.49687280000001</v>
      </c>
      <c r="H26" s="2089"/>
      <c r="K26" s="8">
        <v>350</v>
      </c>
      <c r="L26" s="1371" t="s">
        <v>3528</v>
      </c>
      <c r="M26" s="1371" t="s">
        <v>3527</v>
      </c>
      <c r="N26" s="1371" t="s">
        <v>4513</v>
      </c>
      <c r="O26" s="1371" t="s">
        <v>4512</v>
      </c>
      <c r="P26" s="2" t="s">
        <v>540</v>
      </c>
      <c r="Q26" s="43"/>
      <c r="R26" s="28"/>
    </row>
    <row r="27" spans="1:46" x14ac:dyDescent="0.2">
      <c r="A27" s="17"/>
      <c r="B27" s="2073"/>
      <c r="C27" s="154" t="str">
        <f>IF($C$22=600,"-",IF($C$22=650,"-",(VLOOKUP(C22,tbxM,5,FALSE))))</f>
        <v>8709485/</v>
      </c>
      <c r="D27" s="43" t="str">
        <f>IF($C$22=600,"-",IF($C$22=650,"-",VLOOKUP(C27,всецены,2,FALSE)))</f>
        <v xml:space="preserve">TBX, Напр. с BM, 30 кг, 500 мм, пр. NEW </v>
      </c>
      <c r="E27" s="3">
        <v>1</v>
      </c>
      <c r="F27" s="72">
        <f t="shared" si="4"/>
        <v>424.49687280000001</v>
      </c>
      <c r="G27" s="14">
        <f>IF(OR($C$22=600,$C$22=650),0,F27*E27)</f>
        <v>424.49687280000001</v>
      </c>
      <c r="H27" s="2089"/>
      <c r="K27" s="8">
        <v>400</v>
      </c>
      <c r="L27" s="1371" t="s">
        <v>3530</v>
      </c>
      <c r="M27" s="1371" t="s">
        <v>3529</v>
      </c>
      <c r="N27" s="1371" t="s">
        <v>4516</v>
      </c>
      <c r="O27" s="1371" t="s">
        <v>4515</v>
      </c>
      <c r="P27" s="2" t="s">
        <v>539</v>
      </c>
      <c r="Q27" s="43" t="s">
        <v>939</v>
      </c>
      <c r="R27" s="28"/>
    </row>
    <row r="28" spans="1:46" x14ac:dyDescent="0.2">
      <c r="A28" s="17"/>
      <c r="B28" s="2073"/>
      <c r="C28" s="1558" t="s">
        <v>4511</v>
      </c>
      <c r="D28" s="43" t="str">
        <f t="shared" si="3"/>
        <v xml:space="preserve">TBX, Крепл фасада INSERTA, NEW ZSF.39A2 </v>
      </c>
      <c r="E28" s="3">
        <v>2</v>
      </c>
      <c r="F28" s="72">
        <f t="shared" si="4"/>
        <v>43.913469600000006</v>
      </c>
      <c r="G28" s="14">
        <f t="shared" si="5"/>
        <v>87.826939200000012</v>
      </c>
      <c r="H28" s="2089"/>
      <c r="K28" s="8">
        <v>450</v>
      </c>
      <c r="L28" s="1371" t="s">
        <v>3532</v>
      </c>
      <c r="M28" s="1371" t="s">
        <v>3531</v>
      </c>
      <c r="N28" s="1371" t="s">
        <v>4519</v>
      </c>
      <c r="O28" s="1371" t="s">
        <v>4518</v>
      </c>
      <c r="P28" s="2" t="s">
        <v>538</v>
      </c>
      <c r="Q28" s="2" t="s">
        <v>1627</v>
      </c>
      <c r="R28" s="782"/>
    </row>
    <row r="29" spans="1:46" x14ac:dyDescent="0.2">
      <c r="A29" s="17"/>
      <c r="B29" s="2073"/>
      <c r="C29" s="154" t="s">
        <v>299</v>
      </c>
      <c r="D29" s="43" t="str">
        <f t="shared" si="3"/>
        <v>TBX, Загл. с лого, сер, симм ZAA.330C.BL</v>
      </c>
      <c r="E29" s="3">
        <v>2</v>
      </c>
      <c r="F29" s="72">
        <f t="shared" si="4"/>
        <v>8.9453364000000004</v>
      </c>
      <c r="G29" s="14">
        <f t="shared" si="5"/>
        <v>17.890672800000001</v>
      </c>
      <c r="H29" s="2089"/>
      <c r="K29" s="8">
        <v>500</v>
      </c>
      <c r="L29" s="1371" t="s">
        <v>3534</v>
      </c>
      <c r="M29" s="1371" t="s">
        <v>3533</v>
      </c>
      <c r="N29" s="1371" t="s">
        <v>4522</v>
      </c>
      <c r="O29" s="1371" t="s">
        <v>4521</v>
      </c>
      <c r="P29" s="2" t="s">
        <v>537</v>
      </c>
      <c r="Q29" s="2" t="s">
        <v>1626</v>
      </c>
      <c r="R29" s="782"/>
    </row>
    <row r="30" spans="1:46" x14ac:dyDescent="0.2">
      <c r="A30" s="17"/>
      <c r="B30" s="2073"/>
      <c r="C30" s="154" t="s">
        <v>1628</v>
      </c>
      <c r="D30" s="43" t="str">
        <f t="shared" si="3"/>
        <v xml:space="preserve">TBX, Держат. задн. ст, 96 мм, сер, пр.  </v>
      </c>
      <c r="E30" s="3">
        <v>1</v>
      </c>
      <c r="F30" s="72">
        <f t="shared" si="4"/>
        <v>34.154920799999999</v>
      </c>
      <c r="G30" s="14">
        <f t="shared" si="5"/>
        <v>34.154920799999999</v>
      </c>
      <c r="H30" s="2089"/>
      <c r="K30" s="8">
        <v>550</v>
      </c>
      <c r="L30" s="1373" t="s">
        <v>3536</v>
      </c>
      <c r="M30" s="1373" t="s">
        <v>3535</v>
      </c>
      <c r="N30" s="1373" t="s">
        <v>4525</v>
      </c>
      <c r="O30" s="1373" t="s">
        <v>4524</v>
      </c>
      <c r="P30" s="43" t="s">
        <v>1056</v>
      </c>
      <c r="Q30" s="43" t="s">
        <v>1314</v>
      </c>
      <c r="R30" s="28"/>
    </row>
    <row r="31" spans="1:46" ht="13.5" thickBot="1" x14ac:dyDescent="0.25">
      <c r="A31" s="17"/>
      <c r="B31" s="2074"/>
      <c r="C31" s="429" t="s">
        <v>1630</v>
      </c>
      <c r="D31" s="404" t="str">
        <f t="shared" si="3"/>
        <v xml:space="preserve">TBX, Держат. задн. ст, 96 мм, сер, лев. </v>
      </c>
      <c r="E31" s="355">
        <v>1</v>
      </c>
      <c r="F31" s="430">
        <f t="shared" si="4"/>
        <v>34.154920799999999</v>
      </c>
      <c r="G31" s="409">
        <f t="shared" si="5"/>
        <v>34.154920799999999</v>
      </c>
      <c r="H31" s="2090"/>
      <c r="K31" s="8">
        <v>600</v>
      </c>
      <c r="L31" s="43" t="s">
        <v>2074</v>
      </c>
      <c r="M31" s="43"/>
      <c r="N31" s="1373" t="s">
        <v>4500</v>
      </c>
      <c r="O31" s="43"/>
      <c r="P31" s="43" t="s">
        <v>129</v>
      </c>
      <c r="Q31" s="43" t="s">
        <v>131</v>
      </c>
      <c r="R31" s="28"/>
    </row>
    <row r="32" spans="1:46" s="8" customFormat="1" ht="15" customHeight="1" x14ac:dyDescent="0.2">
      <c r="A32" s="17"/>
      <c r="B32" s="69"/>
      <c r="C32" s="175"/>
      <c r="D32" s="75"/>
      <c r="E32" s="169"/>
      <c r="F32" s="439"/>
      <c r="G32" s="358"/>
      <c r="H32" s="19"/>
      <c r="K32" s="8">
        <v>650</v>
      </c>
      <c r="L32" s="43" t="s">
        <v>774</v>
      </c>
      <c r="M32" s="43"/>
      <c r="N32" s="43" t="s">
        <v>27</v>
      </c>
      <c r="O32" s="43"/>
      <c r="P32" s="43" t="s">
        <v>2042</v>
      </c>
      <c r="Q32" s="43" t="s">
        <v>753</v>
      </c>
      <c r="R32" s="28"/>
      <c r="U32" s="106"/>
    </row>
    <row r="33" spans="1:46" s="8" customFormat="1" ht="8.1" customHeight="1" thickBot="1" x14ac:dyDescent="0.25">
      <c r="C33" s="108"/>
      <c r="D33" s="28"/>
      <c r="E33" s="32"/>
      <c r="F33" s="34"/>
      <c r="G33" s="58"/>
      <c r="H33" s="19"/>
      <c r="U33" s="106"/>
    </row>
    <row r="34" spans="1:46" ht="20.100000000000001" customHeight="1" x14ac:dyDescent="0.2">
      <c r="B34" s="2015" t="s">
        <v>2111</v>
      </c>
      <c r="C34" s="2016"/>
      <c r="D34" s="2016"/>
      <c r="E34" s="2016"/>
      <c r="F34" s="2016"/>
      <c r="G34" s="2016"/>
      <c r="H34" s="427"/>
    </row>
    <row r="35" spans="1:46" ht="20.100000000000001" customHeight="1" x14ac:dyDescent="0.2">
      <c r="A35" s="17"/>
      <c r="B35" s="2018"/>
      <c r="C35" s="2019"/>
      <c r="D35" s="2019"/>
      <c r="E35" s="2019"/>
      <c r="F35" s="2019"/>
      <c r="G35" s="2019"/>
      <c r="H35" s="426"/>
    </row>
    <row r="36" spans="1:46" x14ac:dyDescent="0.2">
      <c r="A36" s="17"/>
      <c r="B36" s="425" t="s">
        <v>2204</v>
      </c>
      <c r="C36" s="132"/>
      <c r="D36" s="2080" t="s">
        <v>1093</v>
      </c>
      <c r="E36" s="2080"/>
      <c r="F36" s="2080"/>
      <c r="G36" s="2080"/>
      <c r="H36" s="426"/>
    </row>
    <row r="37" spans="1:46" ht="15.75" thickBot="1" x14ac:dyDescent="0.25">
      <c r="A37" s="17"/>
      <c r="B37" s="410" t="s">
        <v>1639</v>
      </c>
      <c r="C37" s="98">
        <v>500</v>
      </c>
      <c r="D37" s="97" t="s">
        <v>1689</v>
      </c>
      <c r="E37" s="97"/>
      <c r="F37" s="97"/>
      <c r="G37" s="97"/>
      <c r="H37" s="376" t="str">
        <f>IF(СОДЕРЖАНИЕ!P2=1,"EUR","RUB")</f>
        <v>RUB</v>
      </c>
    </row>
    <row r="38" spans="1:46" ht="9.9499999999999993" customHeight="1" x14ac:dyDescent="0.2">
      <c r="A38" s="17"/>
      <c r="B38" s="2072"/>
      <c r="C38" s="135" t="s">
        <v>1301</v>
      </c>
      <c r="D38" s="139" t="s">
        <v>784</v>
      </c>
      <c r="E38" s="140" t="s">
        <v>2117</v>
      </c>
      <c r="F38" s="139"/>
      <c r="G38" s="141" t="s">
        <v>2116</v>
      </c>
      <c r="H38" s="411"/>
      <c r="I38" s="30"/>
      <c r="J38" s="30"/>
      <c r="L38" s="88"/>
      <c r="AM38"/>
      <c r="AN38"/>
      <c r="AO38"/>
      <c r="AP38"/>
      <c r="AQ38"/>
      <c r="AR38"/>
      <c r="AS38"/>
      <c r="AT38"/>
    </row>
    <row r="39" spans="1:46" x14ac:dyDescent="0.2">
      <c r="A39" s="17"/>
      <c r="B39" s="2073"/>
      <c r="C39" s="138" t="str">
        <f>VLOOKUP($C$37,tbxM,2,FALSE)</f>
        <v>3863588/</v>
      </c>
      <c r="D39" s="43" t="str">
        <f t="shared" ref="D39:D47" si="6">VLOOKUP(C39,всецены,2,FALSE)</f>
        <v xml:space="preserve">TBX, Царга 83/500 мм, сер, лев. NEW     </v>
      </c>
      <c r="E39" s="3">
        <v>1</v>
      </c>
      <c r="F39" s="12">
        <f t="shared" ref="F39:F47" si="7">VLOOKUP(C39,всецены,4,FALSE)</f>
        <v>417.17796120000003</v>
      </c>
      <c r="G39" s="424">
        <f t="shared" ref="G39:G47" si="8">F39*E39</f>
        <v>417.17796120000003</v>
      </c>
      <c r="H39" s="2091">
        <f>SUM(G39:G47)</f>
        <v>2109.4729656000004</v>
      </c>
    </row>
    <row r="40" spans="1:46" x14ac:dyDescent="0.2">
      <c r="A40" s="17"/>
      <c r="B40" s="2073"/>
      <c r="C40" s="154" t="str">
        <f>IF($C$37=600,"-",IF($C$37=650,"-",VLOOKUP(C37,tbxM,3,FALSE)))</f>
        <v>3852259/</v>
      </c>
      <c r="D40" s="43" t="str">
        <f>IF(OR($C$37=600,$C$37=650),"-",VLOOKUP(C40,всецены,2,FALSE))</f>
        <v xml:space="preserve">TBX, Царга 83/500 мм, сер, пр. NEW      </v>
      </c>
      <c r="E40" s="3">
        <v>1</v>
      </c>
      <c r="F40" s="12">
        <f t="shared" si="7"/>
        <v>417.17796120000003</v>
      </c>
      <c r="G40" s="424">
        <f>IF(OR(C37=600,C37=650),0,F40*E40)</f>
        <v>417.17796120000003</v>
      </c>
      <c r="H40" s="2092"/>
    </row>
    <row r="41" spans="1:46" x14ac:dyDescent="0.2">
      <c r="A41" s="17"/>
      <c r="B41" s="2073"/>
      <c r="C41" s="138" t="str">
        <f>VLOOKUP($C$37,tbxM,4,FALSE)</f>
        <v>8716527/</v>
      </c>
      <c r="D41" s="43" t="str">
        <f t="shared" si="6"/>
        <v>TBX, Напр. с BM, 30 кг, 500 мм, лев. NEW</v>
      </c>
      <c r="E41" s="3">
        <v>1</v>
      </c>
      <c r="F41" s="12">
        <f t="shared" si="7"/>
        <v>424.49687280000001</v>
      </c>
      <c r="G41" s="424">
        <f t="shared" si="8"/>
        <v>424.49687280000001</v>
      </c>
      <c r="H41" s="2092"/>
    </row>
    <row r="42" spans="1:46" x14ac:dyDescent="0.2">
      <c r="A42" s="17"/>
      <c r="B42" s="2073"/>
      <c r="C42" s="154" t="str">
        <f>IF($C$37=600,"-",IF($C$37=650,"-",VLOOKUP(C37,tbxM,5,FALSE)))</f>
        <v>8709485/</v>
      </c>
      <c r="D42" s="43" t="str">
        <f>IF(OR($C$37=600,$C$37=650),"-",VLOOKUP(C42,всецены,2,FALSE))</f>
        <v xml:space="preserve">TBX, Напр. с BM, 30 кг, 500 мм, пр. NEW </v>
      </c>
      <c r="E42" s="3">
        <v>1</v>
      </c>
      <c r="F42" s="12">
        <f t="shared" si="7"/>
        <v>424.49687280000001</v>
      </c>
      <c r="G42" s="424">
        <f>IF(OR(C37=600,C37=650),0,F42*E42)</f>
        <v>424.49687280000001</v>
      </c>
      <c r="H42" s="2092"/>
    </row>
    <row r="43" spans="1:46" x14ac:dyDescent="0.2">
      <c r="A43" s="17"/>
      <c r="B43" s="2073"/>
      <c r="C43" s="138" t="str">
        <f>VLOOKUP($C$37,tbxM,6,FALSE)</f>
        <v>1862960/</v>
      </c>
      <c r="D43" s="43" t="str">
        <f t="shared" si="6"/>
        <v xml:space="preserve">TBX, Релинг продольн, 500 мм, сер.      </v>
      </c>
      <c r="E43" s="3">
        <v>2</v>
      </c>
      <c r="F43" s="12">
        <f t="shared" si="7"/>
        <v>103.27797480000001</v>
      </c>
      <c r="G43" s="424">
        <f t="shared" si="8"/>
        <v>206.55594960000002</v>
      </c>
      <c r="H43" s="2092"/>
    </row>
    <row r="44" spans="1:46" x14ac:dyDescent="0.2">
      <c r="A44" s="17"/>
      <c r="B44" s="2073"/>
      <c r="C44" s="156" t="s">
        <v>1633</v>
      </c>
      <c r="D44" s="43" t="str">
        <f t="shared" si="6"/>
        <v>TBX, Держат. задн. ст, 160 мм, сер, лев.</v>
      </c>
      <c r="E44" s="3">
        <v>1</v>
      </c>
      <c r="F44" s="12">
        <f t="shared" si="7"/>
        <v>56.924868000000004</v>
      </c>
      <c r="G44" s="424">
        <f t="shared" si="8"/>
        <v>56.924868000000004</v>
      </c>
      <c r="H44" s="2092"/>
    </row>
    <row r="45" spans="1:46" x14ac:dyDescent="0.2">
      <c r="A45" s="17"/>
      <c r="B45" s="2073"/>
      <c r="C45" s="138" t="s">
        <v>1632</v>
      </c>
      <c r="D45" s="43" t="str">
        <f t="shared" si="6"/>
        <v xml:space="preserve">TBX, Держат. задн. ст, 160 мм, сер, пр. </v>
      </c>
      <c r="E45" s="3">
        <v>1</v>
      </c>
      <c r="F45" s="12">
        <f t="shared" si="7"/>
        <v>56.924868000000004</v>
      </c>
      <c r="G45" s="424">
        <f t="shared" si="8"/>
        <v>56.924868000000004</v>
      </c>
      <c r="H45" s="2092"/>
    </row>
    <row r="46" spans="1:46" x14ac:dyDescent="0.2">
      <c r="A46" s="17"/>
      <c r="B46" s="2073"/>
      <c r="C46" s="1558" t="s">
        <v>4511</v>
      </c>
      <c r="D46" s="43" t="str">
        <f t="shared" si="6"/>
        <v xml:space="preserve">TBX, Крепл фасада INSERTA, NEW ZSF.39A2 </v>
      </c>
      <c r="E46" s="3">
        <v>2</v>
      </c>
      <c r="F46" s="12">
        <f t="shared" si="7"/>
        <v>43.913469600000006</v>
      </c>
      <c r="G46" s="424">
        <f t="shared" si="8"/>
        <v>87.826939200000012</v>
      </c>
      <c r="H46" s="2092"/>
    </row>
    <row r="47" spans="1:46" ht="13.5" thickBot="1" x14ac:dyDescent="0.25">
      <c r="A47" s="17"/>
      <c r="B47" s="2074"/>
      <c r="C47" s="407" t="s">
        <v>299</v>
      </c>
      <c r="D47" s="404" t="str">
        <f t="shared" si="6"/>
        <v>TBX, Загл. с лого, сер, симм ZAA.330C.BL</v>
      </c>
      <c r="E47" s="355">
        <v>2</v>
      </c>
      <c r="F47" s="356">
        <f t="shared" si="7"/>
        <v>8.9453364000000004</v>
      </c>
      <c r="G47" s="432">
        <f t="shared" si="8"/>
        <v>17.890672800000001</v>
      </c>
      <c r="H47" s="2093"/>
    </row>
    <row r="48" spans="1:46" s="8" customFormat="1" ht="15" customHeight="1" x14ac:dyDescent="0.2">
      <c r="A48" s="17"/>
      <c r="B48" s="69"/>
      <c r="C48" s="75"/>
      <c r="D48" s="75"/>
      <c r="E48" s="169"/>
      <c r="F48" s="358"/>
      <c r="G48" s="438"/>
      <c r="H48" s="19"/>
      <c r="U48" s="106"/>
    </row>
    <row r="49" spans="1:46" ht="8.1" customHeight="1" thickBot="1" x14ac:dyDescent="0.25">
      <c r="B49" s="8"/>
      <c r="C49" s="8"/>
      <c r="D49" s="8"/>
      <c r="E49" s="53"/>
      <c r="F49" s="8"/>
      <c r="G49" s="8"/>
      <c r="H49" s="35"/>
    </row>
    <row r="50" spans="1:46" ht="39.950000000000003" customHeight="1" x14ac:dyDescent="0.2">
      <c r="B50" s="2015" t="s">
        <v>2112</v>
      </c>
      <c r="C50" s="2016"/>
      <c r="D50" s="2016"/>
      <c r="E50" s="2016"/>
      <c r="F50" s="2016"/>
      <c r="G50" s="2016"/>
      <c r="H50" s="427"/>
    </row>
    <row r="51" spans="1:46" x14ac:dyDescent="0.2">
      <c r="A51" s="17"/>
      <c r="B51" s="425" t="s">
        <v>2204</v>
      </c>
      <c r="C51" s="132"/>
      <c r="D51" s="2080" t="s">
        <v>1332</v>
      </c>
      <c r="E51" s="2080"/>
      <c r="F51" s="2080"/>
      <c r="G51" s="2080"/>
      <c r="H51" s="426"/>
    </row>
    <row r="52" spans="1:46" ht="15.75" thickBot="1" x14ac:dyDescent="0.25">
      <c r="A52" s="17"/>
      <c r="B52" s="410" t="s">
        <v>1639</v>
      </c>
      <c r="C52" s="98">
        <v>500</v>
      </c>
      <c r="D52" s="97" t="s">
        <v>7159</v>
      </c>
      <c r="E52" s="784">
        <v>2</v>
      </c>
      <c r="F52" s="97"/>
      <c r="G52" s="97" t="str">
        <f>IF(E52=1,"- ый",IF(E52=2,"- ой"," "))</f>
        <v>- ой</v>
      </c>
      <c r="H52" s="376" t="str">
        <f>IF(СОДЕРЖАНИЕ!P2=1,"EUR","RUB")</f>
        <v>RUB</v>
      </c>
    </row>
    <row r="53" spans="1:46" ht="9.9499999999999993" customHeight="1" x14ac:dyDescent="0.2">
      <c r="A53" s="17"/>
      <c r="B53" s="2072"/>
      <c r="C53" s="135" t="s">
        <v>1301</v>
      </c>
      <c r="D53" s="139" t="s">
        <v>784</v>
      </c>
      <c r="E53" s="137" t="s">
        <v>2117</v>
      </c>
      <c r="F53" s="139"/>
      <c r="G53" s="141" t="s">
        <v>2116</v>
      </c>
      <c r="H53" s="411"/>
      <c r="I53" s="30"/>
      <c r="J53" s="30"/>
      <c r="L53" s="88"/>
      <c r="AM53"/>
      <c r="AN53"/>
      <c r="AO53"/>
      <c r="AP53"/>
      <c r="AQ53"/>
      <c r="AR53"/>
      <c r="AS53"/>
      <c r="AT53"/>
    </row>
    <row r="54" spans="1:46" x14ac:dyDescent="0.2">
      <c r="A54" s="17"/>
      <c r="B54" s="2073"/>
      <c r="C54" s="138" t="str">
        <f>VLOOKUP($C$52,tbxM,2,FALSE)</f>
        <v>3863588/</v>
      </c>
      <c r="D54" s="43" t="str">
        <f t="shared" ref="D54:D62" si="9">VLOOKUP(C54,всецены,2,FALSE)</f>
        <v xml:space="preserve">TBX, Царга 83/500 мм, сер, лев. NEW     </v>
      </c>
      <c r="E54" s="3">
        <v>1</v>
      </c>
      <c r="F54" s="63">
        <f t="shared" ref="F54:F63" si="10">VLOOKUP(C54,всецены,4,FALSE)</f>
        <v>417.17796120000003</v>
      </c>
      <c r="G54" s="14">
        <f t="shared" ref="G54:G62" si="11">F54*E54</f>
        <v>417.17796120000003</v>
      </c>
      <c r="H54" s="2096">
        <f>SUM(G54:G62)</f>
        <v>2135.4957623999999</v>
      </c>
    </row>
    <row r="55" spans="1:46" x14ac:dyDescent="0.2">
      <c r="A55" s="17"/>
      <c r="B55" s="2073"/>
      <c r="C55" s="156" t="str">
        <f>IF(OR($C$52=600,$C$52=650),"-",VLOOKUP($C$52,tbxM,3,FALSE))</f>
        <v>3852259/</v>
      </c>
      <c r="D55" s="43" t="str">
        <f>IF(OR($C$52=600,$C$52=650),"-",VLOOKUP(C55,всецены,2,FALSE))</f>
        <v xml:space="preserve">TBX, Царга 83/500 мм, сер, пр. NEW      </v>
      </c>
      <c r="E55" s="3">
        <v>1</v>
      </c>
      <c r="F55" s="63">
        <f t="shared" si="10"/>
        <v>417.17796120000003</v>
      </c>
      <c r="G55" s="14">
        <f>IF(OR(C52=600,C52=650),0,F55*E55)</f>
        <v>417.17796120000003</v>
      </c>
      <c r="H55" s="2097"/>
    </row>
    <row r="56" spans="1:46" x14ac:dyDescent="0.2">
      <c r="A56" s="17"/>
      <c r="B56" s="2073"/>
      <c r="C56" s="138" t="str">
        <f>VLOOKUP($C$52,tbxM,4,FALSE)</f>
        <v>8716527/</v>
      </c>
      <c r="D56" s="43" t="str">
        <f t="shared" si="9"/>
        <v>TBX, Напр. с BM, 30 кг, 500 мм, лев. NEW</v>
      </c>
      <c r="E56" s="3">
        <v>1</v>
      </c>
      <c r="F56" s="63">
        <f t="shared" si="10"/>
        <v>424.49687280000001</v>
      </c>
      <c r="G56" s="14">
        <f t="shared" si="11"/>
        <v>424.49687280000001</v>
      </c>
      <c r="H56" s="2097"/>
    </row>
    <row r="57" spans="1:46" x14ac:dyDescent="0.2">
      <c r="A57" s="17"/>
      <c r="B57" s="2073"/>
      <c r="C57" s="156" t="str">
        <f>IF(OR($C$52=600,$C$52=650),"-",VLOOKUP($C$52,tbxM,5,FALSE))</f>
        <v>8709485/</v>
      </c>
      <c r="D57" s="43" t="str">
        <f>IF(OR($C$52=600,$C$52=650),"-",VLOOKUP(C57,всецены,2,FALSE))</f>
        <v xml:space="preserve">TBX, Напр. с BM, 30 кг, 500 мм, пр. NEW </v>
      </c>
      <c r="E57" s="3">
        <v>1</v>
      </c>
      <c r="F57" s="63">
        <f t="shared" si="10"/>
        <v>424.49687280000001</v>
      </c>
      <c r="G57" s="14">
        <f>IF(OR(C52=600,C52=650),0,F57*E57)</f>
        <v>424.49687280000001</v>
      </c>
      <c r="H57" s="2097"/>
    </row>
    <row r="58" spans="1:46" x14ac:dyDescent="0.2">
      <c r="A58" s="17"/>
      <c r="B58" s="2073"/>
      <c r="C58" s="138" t="str">
        <f>VLOOKUP($C$52,tbxM,6,FALSE)</f>
        <v>1862960/</v>
      </c>
      <c r="D58" s="43" t="str">
        <f t="shared" si="9"/>
        <v xml:space="preserve">TBX, Релинг продольн, 500 мм, сер.      </v>
      </c>
      <c r="E58" s="3">
        <v>2</v>
      </c>
      <c r="F58" s="63">
        <f t="shared" si="10"/>
        <v>103.27797480000001</v>
      </c>
      <c r="G58" s="14">
        <f t="shared" si="11"/>
        <v>206.55594960000002</v>
      </c>
      <c r="H58" s="2097"/>
    </row>
    <row r="59" spans="1:46" x14ac:dyDescent="0.2">
      <c r="A59" s="17"/>
      <c r="B59" s="2073"/>
      <c r="C59" s="1558" t="s">
        <v>4511</v>
      </c>
      <c r="D59" s="43" t="str">
        <f t="shared" si="9"/>
        <v xml:space="preserve">TBX, Крепл фасада INSERTA, NEW ZSF.39A2 </v>
      </c>
      <c r="E59" s="3">
        <v>2</v>
      </c>
      <c r="F59" s="63">
        <f t="shared" si="10"/>
        <v>43.913469600000006</v>
      </c>
      <c r="G59" s="14">
        <f t="shared" si="11"/>
        <v>87.826939200000012</v>
      </c>
      <c r="H59" s="2097"/>
    </row>
    <row r="60" spans="1:46" x14ac:dyDescent="0.2">
      <c r="A60" s="17"/>
      <c r="B60" s="2073"/>
      <c r="C60" s="138" t="s">
        <v>299</v>
      </c>
      <c r="D60" s="43" t="str">
        <f t="shared" si="9"/>
        <v>TBX, Загл. с лого, сер, симм ZAA.330C.BL</v>
      </c>
      <c r="E60" s="3">
        <v>2</v>
      </c>
      <c r="F60" s="63">
        <f t="shared" si="10"/>
        <v>8.9453364000000004</v>
      </c>
      <c r="G60" s="14">
        <f t="shared" si="11"/>
        <v>17.890672800000001</v>
      </c>
      <c r="H60" s="2097"/>
    </row>
    <row r="61" spans="1:46" x14ac:dyDescent="0.2">
      <c r="A61" s="17"/>
      <c r="B61" s="2073"/>
      <c r="C61" s="157" t="s">
        <v>1634</v>
      </c>
      <c r="D61" s="43" t="str">
        <f t="shared" si="9"/>
        <v xml:space="preserve">TBX, Держ. задн. ст, D 224 мм, сер, пр. </v>
      </c>
      <c r="E61" s="3">
        <v>1</v>
      </c>
      <c r="F61" s="63">
        <f t="shared" si="10"/>
        <v>69.936266400000008</v>
      </c>
      <c r="G61" s="14">
        <f t="shared" si="11"/>
        <v>69.936266400000008</v>
      </c>
      <c r="H61" s="2097"/>
    </row>
    <row r="62" spans="1:46" x14ac:dyDescent="0.2">
      <c r="A62" s="17"/>
      <c r="B62" s="2099"/>
      <c r="C62" s="157" t="s">
        <v>1636</v>
      </c>
      <c r="D62" s="43" t="str">
        <f t="shared" si="9"/>
        <v>TBX, Держ. задн. ст, D 224 мм, сер, лев.</v>
      </c>
      <c r="E62" s="3">
        <v>1</v>
      </c>
      <c r="F62" s="63">
        <f t="shared" si="10"/>
        <v>69.936266400000008</v>
      </c>
      <c r="G62" s="14">
        <f t="shared" si="11"/>
        <v>69.936266400000008</v>
      </c>
      <c r="H62" s="2098"/>
    </row>
    <row r="63" spans="1:46" s="1581" customFormat="1" x14ac:dyDescent="0.2">
      <c r="A63" s="17"/>
      <c r="B63" s="1621"/>
      <c r="C63" s="1622" t="str">
        <f>IF(E52=1,"","4799190/")</f>
        <v>4799190/</v>
      </c>
      <c r="D63" s="1567" t="str">
        <f>IF(C63="","",VLOOKUP(C63,всецены,2,FALSE))</f>
        <v xml:space="preserve">TBX, Держат. средн. релинга, ZRG. 000E3 </v>
      </c>
      <c r="E63" s="1571">
        <v>0</v>
      </c>
      <c r="F63" s="1623">
        <f t="shared" si="10"/>
        <v>6.5056992000000005</v>
      </c>
      <c r="G63" s="14">
        <f>IF(C63="","",F63*E63)</f>
        <v>0</v>
      </c>
      <c r="H63" s="1582"/>
      <c r="I63" s="8"/>
      <c r="J63" s="8"/>
      <c r="K63" s="8"/>
      <c r="L63" s="8"/>
      <c r="M63" s="8"/>
      <c r="N63" s="8"/>
      <c r="O63" s="8"/>
      <c r="P63" s="8"/>
      <c r="Q63" s="8"/>
      <c r="R63" s="8"/>
      <c r="S63" s="8"/>
      <c r="T63" s="8"/>
      <c r="U63" s="106"/>
      <c r="V63" s="8"/>
      <c r="W63" s="8"/>
      <c r="X63" s="8"/>
      <c r="Y63" s="8"/>
      <c r="Z63" s="8"/>
      <c r="AA63" s="8"/>
      <c r="AB63" s="8"/>
      <c r="AC63" s="8"/>
      <c r="AD63" s="8"/>
      <c r="AE63" s="8"/>
      <c r="AF63" s="8"/>
      <c r="AG63" s="8"/>
      <c r="AH63" s="8"/>
      <c r="AI63" s="8"/>
      <c r="AJ63" s="8"/>
      <c r="AK63" s="8"/>
      <c r="AL63" s="8"/>
      <c r="AM63" s="8"/>
      <c r="AN63" s="8"/>
      <c r="AO63" s="8"/>
      <c r="AP63" s="8"/>
      <c r="AQ63" s="8"/>
      <c r="AR63" s="8"/>
      <c r="AS63" s="8"/>
      <c r="AT63" s="8"/>
    </row>
    <row r="64" spans="1:46" x14ac:dyDescent="0.2">
      <c r="A64" s="17"/>
      <c r="B64" s="433"/>
      <c r="C64" s="28"/>
      <c r="D64" s="28"/>
      <c r="E64" s="32"/>
      <c r="F64" s="28"/>
      <c r="G64" s="28"/>
      <c r="H64" s="437"/>
    </row>
    <row r="65" spans="1:46" ht="39.950000000000003" customHeight="1" x14ac:dyDescent="0.2">
      <c r="A65" s="17"/>
      <c r="B65" s="2018" t="s">
        <v>2114</v>
      </c>
      <c r="C65" s="2019"/>
      <c r="D65" s="2019"/>
      <c r="E65" s="2019"/>
      <c r="F65" s="2019"/>
      <c r="G65" s="2019"/>
      <c r="H65" s="426"/>
    </row>
    <row r="66" spans="1:46" x14ac:dyDescent="0.2">
      <c r="A66" s="17"/>
      <c r="B66" s="425" t="s">
        <v>2113</v>
      </c>
      <c r="C66" s="132"/>
      <c r="D66" s="2080" t="s">
        <v>556</v>
      </c>
      <c r="E66" s="2080"/>
      <c r="F66" s="2080"/>
      <c r="G66" s="2080"/>
      <c r="H66" s="426"/>
    </row>
    <row r="67" spans="1:46" ht="15.75" thickBot="1" x14ac:dyDescent="0.25">
      <c r="A67" s="17"/>
      <c r="B67" s="410" t="s">
        <v>1639</v>
      </c>
      <c r="C67" s="98">
        <v>500</v>
      </c>
      <c r="D67" s="97" t="s">
        <v>1689</v>
      </c>
      <c r="E67" s="97"/>
      <c r="F67" s="97"/>
      <c r="G67" s="97"/>
      <c r="H67" s="376" t="str">
        <f>IF(СОДЕРЖАНИЕ!P2=1,"EUR","RUB")</f>
        <v>RUB</v>
      </c>
    </row>
    <row r="68" spans="1:46" ht="9.9499999999999993" customHeight="1" x14ac:dyDescent="0.2">
      <c r="A68" s="17"/>
      <c r="B68" s="2072"/>
      <c r="C68" s="135" t="s">
        <v>1301</v>
      </c>
      <c r="D68" s="139" t="s">
        <v>784</v>
      </c>
      <c r="E68" s="140" t="s">
        <v>2117</v>
      </c>
      <c r="F68" s="139"/>
      <c r="G68" s="141" t="s">
        <v>2116</v>
      </c>
      <c r="H68" s="411"/>
      <c r="I68" s="30"/>
      <c r="J68" s="30"/>
      <c r="L68" s="88"/>
      <c r="AM68"/>
      <c r="AN68"/>
      <c r="AO68"/>
      <c r="AP68"/>
      <c r="AQ68"/>
      <c r="AR68"/>
      <c r="AS68"/>
      <c r="AT68"/>
    </row>
    <row r="69" spans="1:46" x14ac:dyDescent="0.2">
      <c r="A69" s="17"/>
      <c r="B69" s="2073"/>
      <c r="C69" s="138" t="str">
        <f>VLOOKUP($C$67,tbxM,2,FALSE)</f>
        <v>3863588/</v>
      </c>
      <c r="D69" s="43" t="str">
        <f t="shared" ref="D69:D78" si="12">VLOOKUP(C69,всецены,2,FALSE)</f>
        <v xml:space="preserve">TBX, Царга 83/500 мм, сер, лев. NEW     </v>
      </c>
      <c r="E69" s="3">
        <v>1</v>
      </c>
      <c r="F69" s="63">
        <f t="shared" ref="F69:F75" si="13">VLOOKUP(C69,всецены,4,FALSE)</f>
        <v>417.17796120000003</v>
      </c>
      <c r="G69" s="64">
        <f>F69*E69</f>
        <v>417.17796120000003</v>
      </c>
      <c r="H69" s="2091">
        <f>SUM(G69:G78)</f>
        <v>3303.2687688000005</v>
      </c>
    </row>
    <row r="70" spans="1:46" x14ac:dyDescent="0.2">
      <c r="A70" s="17"/>
      <c r="B70" s="2073"/>
      <c r="C70" s="156" t="str">
        <f>IF(OR($C$67=600,$C$67=650),"-",VLOOKUP($C$67,tbxM,3,FALSE))</f>
        <v>3852259/</v>
      </c>
      <c r="D70" s="43" t="str">
        <f>IF(OR($C$67=600,$C$67=650),"-",VLOOKUP(C70,всецены,2,FALSE))</f>
        <v xml:space="preserve">TBX, Царга 83/500 мм, сер, пр. NEW      </v>
      </c>
      <c r="E70" s="3">
        <v>1</v>
      </c>
      <c r="F70" s="63">
        <f t="shared" si="13"/>
        <v>417.17796120000003</v>
      </c>
      <c r="G70" s="14">
        <f>IF(OR(C67=600,C67=650),0,F70*E70)</f>
        <v>417.17796120000003</v>
      </c>
      <c r="H70" s="2092"/>
    </row>
    <row r="71" spans="1:46" x14ac:dyDescent="0.2">
      <c r="A71" s="17"/>
      <c r="B71" s="2073"/>
      <c r="C71" s="138" t="str">
        <f>VLOOKUP($C$67,tbxM,4,FALSE)</f>
        <v>8716527/</v>
      </c>
      <c r="D71" s="43" t="str">
        <f t="shared" si="12"/>
        <v>TBX, Напр. с BM, 30 кг, 500 мм, лев. NEW</v>
      </c>
      <c r="E71" s="3">
        <v>1</v>
      </c>
      <c r="F71" s="63">
        <f t="shared" si="13"/>
        <v>424.49687280000001</v>
      </c>
      <c r="G71" s="64">
        <f>F71*E71</f>
        <v>424.49687280000001</v>
      </c>
      <c r="H71" s="2092"/>
    </row>
    <row r="72" spans="1:46" x14ac:dyDescent="0.2">
      <c r="A72" s="17"/>
      <c r="B72" s="2073"/>
      <c r="C72" s="156" t="str">
        <f>IF(OR($C$67=600,$C$67=650),"-",VLOOKUP($C$67,tbxM,5,FALSE))</f>
        <v>8709485/</v>
      </c>
      <c r="D72" s="43" t="str">
        <f>IF(OR($C$67=600,$C$67=650),"-",VLOOKUP(C72,всецены,2,FALSE))</f>
        <v xml:space="preserve">TBX, Напр. с BM, 30 кг, 500 мм, пр. NEW </v>
      </c>
      <c r="E72" s="3">
        <v>1</v>
      </c>
      <c r="F72" s="63">
        <f t="shared" si="13"/>
        <v>424.49687280000001</v>
      </c>
      <c r="G72" s="14">
        <f>IF(OR(C67=600,C67=650),0,F72*E72)</f>
        <v>424.49687280000001</v>
      </c>
      <c r="H72" s="2092"/>
    </row>
    <row r="73" spans="1:46" x14ac:dyDescent="0.2">
      <c r="A73" s="17"/>
      <c r="B73" s="2073"/>
      <c r="C73" s="138" t="str">
        <f>VLOOKUP($C$67,tbxM,6,FALSE)</f>
        <v>1862960/</v>
      </c>
      <c r="D73" s="43" t="str">
        <f t="shared" si="12"/>
        <v xml:space="preserve">TBX, Релинг продольн, 500 мм, сер.      </v>
      </c>
      <c r="E73" s="3">
        <v>2</v>
      </c>
      <c r="F73" s="63">
        <f t="shared" si="13"/>
        <v>103.27797480000001</v>
      </c>
      <c r="G73" s="64">
        <f t="shared" ref="G73:G78" si="14">F73*E73</f>
        <v>206.55594960000002</v>
      </c>
      <c r="H73" s="2092"/>
    </row>
    <row r="74" spans="1:46" x14ac:dyDescent="0.2">
      <c r="A74" s="17"/>
      <c r="B74" s="2073"/>
      <c r="C74" s="138" t="str">
        <f>VLOOKUP($C$67,tbxM,7,FALSE)</f>
        <v>4170770/</v>
      </c>
      <c r="D74" s="43" t="str">
        <f t="shared" si="12"/>
        <v xml:space="preserve">TBX, Двухст. Boxside, 500 мм, сер, кмп. </v>
      </c>
      <c r="E74" s="3">
        <v>1</v>
      </c>
      <c r="F74" s="63">
        <f t="shared" si="13"/>
        <v>1167.7730064</v>
      </c>
      <c r="G74" s="64">
        <f t="shared" si="14"/>
        <v>1167.7730064</v>
      </c>
      <c r="H74" s="2092"/>
    </row>
    <row r="75" spans="1:46" x14ac:dyDescent="0.2">
      <c r="A75" s="17"/>
      <c r="B75" s="2073"/>
      <c r="C75" s="138" t="s">
        <v>299</v>
      </c>
      <c r="D75" s="43" t="str">
        <f t="shared" si="12"/>
        <v>TBX, Загл. с лого, сер, симм ZAA.330C.BL</v>
      </c>
      <c r="E75" s="3">
        <v>2</v>
      </c>
      <c r="F75" s="63">
        <f t="shared" si="13"/>
        <v>8.9453364000000004</v>
      </c>
      <c r="G75" s="64">
        <f t="shared" si="14"/>
        <v>17.890672800000001</v>
      </c>
      <c r="H75" s="2092"/>
    </row>
    <row r="76" spans="1:46" x14ac:dyDescent="0.2">
      <c r="A76" s="17"/>
      <c r="B76" s="2073"/>
      <c r="C76" s="1558" t="s">
        <v>4511</v>
      </c>
      <c r="D76" s="43" t="str">
        <f t="shared" si="12"/>
        <v xml:space="preserve">TBX, Крепл фасада INSERTA, NEW ZSF.39A2 </v>
      </c>
      <c r="E76" s="3">
        <v>2</v>
      </c>
      <c r="F76" s="63">
        <f>VLOOKUP(C76,всецены,4,FALSE)</f>
        <v>43.913469600000006</v>
      </c>
      <c r="G76" s="64">
        <f t="shared" si="14"/>
        <v>87.826939200000012</v>
      </c>
      <c r="H76" s="2092"/>
    </row>
    <row r="77" spans="1:46" x14ac:dyDescent="0.2">
      <c r="A77" s="17"/>
      <c r="B77" s="2073"/>
      <c r="C77" s="138" t="s">
        <v>1634</v>
      </c>
      <c r="D77" s="43" t="str">
        <f t="shared" si="12"/>
        <v xml:space="preserve">TBX, Держ. задн. ст, D 224 мм, сер, пр. </v>
      </c>
      <c r="E77" s="3">
        <v>1</v>
      </c>
      <c r="F77" s="63">
        <f>VLOOKUP(C77,всецены,4,FALSE)</f>
        <v>69.936266400000008</v>
      </c>
      <c r="G77" s="64">
        <f t="shared" si="14"/>
        <v>69.936266400000008</v>
      </c>
      <c r="H77" s="2092"/>
    </row>
    <row r="78" spans="1:46" x14ac:dyDescent="0.2">
      <c r="A78" s="17"/>
      <c r="B78" s="2099"/>
      <c r="C78" s="155" t="s">
        <v>1636</v>
      </c>
      <c r="D78" s="43" t="str">
        <f t="shared" si="12"/>
        <v>TBX, Держ. задн. ст, D 224 мм, сер, лев.</v>
      </c>
      <c r="E78" s="3">
        <v>1</v>
      </c>
      <c r="F78" s="63">
        <f>VLOOKUP(C78,всецены,4,FALSE)</f>
        <v>69.936266400000008</v>
      </c>
      <c r="G78" s="64">
        <f t="shared" si="14"/>
        <v>69.936266400000008</v>
      </c>
      <c r="H78" s="2100"/>
    </row>
    <row r="79" spans="1:46" x14ac:dyDescent="0.2">
      <c r="A79" s="17"/>
      <c r="B79" s="433"/>
      <c r="C79" s="28"/>
      <c r="D79" s="28"/>
      <c r="E79" s="32"/>
      <c r="F79" s="28"/>
      <c r="G79" s="28"/>
      <c r="H79" s="437"/>
    </row>
    <row r="80" spans="1:46" ht="39.950000000000003" customHeight="1" x14ac:dyDescent="0.2">
      <c r="A80" s="17"/>
      <c r="B80" s="2018" t="s">
        <v>1816</v>
      </c>
      <c r="C80" s="2019"/>
      <c r="D80" s="2019"/>
      <c r="E80" s="2019"/>
      <c r="F80" s="2019"/>
      <c r="G80" s="2019"/>
      <c r="H80" s="426"/>
    </row>
    <row r="81" spans="1:8" x14ac:dyDescent="0.2">
      <c r="A81" s="17"/>
      <c r="B81" s="425" t="s">
        <v>2113</v>
      </c>
      <c r="C81" s="132"/>
      <c r="D81" s="2080" t="s">
        <v>556</v>
      </c>
      <c r="E81" s="2080"/>
      <c r="F81" s="2080"/>
      <c r="G81" s="2080"/>
      <c r="H81" s="426"/>
    </row>
    <row r="82" spans="1:8" ht="15.75" thickBot="1" x14ac:dyDescent="0.25">
      <c r="A82" s="17"/>
      <c r="B82" s="410" t="s">
        <v>1639</v>
      </c>
      <c r="C82" s="98">
        <v>500</v>
      </c>
      <c r="D82" s="97" t="s">
        <v>1689</v>
      </c>
      <c r="E82" s="97"/>
      <c r="F82" s="97"/>
      <c r="G82" s="97"/>
      <c r="H82" s="376" t="str">
        <f>IF(СОДЕРЖАНИЕ!P2=1,"EUR","RUB")</f>
        <v>RUB</v>
      </c>
    </row>
    <row r="83" spans="1:8" x14ac:dyDescent="0.2">
      <c r="A83" s="17"/>
      <c r="B83" s="2072"/>
      <c r="C83" s="135" t="s">
        <v>1301</v>
      </c>
      <c r="D83" s="139" t="s">
        <v>784</v>
      </c>
      <c r="E83" s="140" t="s">
        <v>2117</v>
      </c>
      <c r="F83" s="139"/>
      <c r="G83" s="141" t="s">
        <v>2116</v>
      </c>
      <c r="H83" s="411"/>
    </row>
    <row r="84" spans="1:8" x14ac:dyDescent="0.2">
      <c r="A84" s="17"/>
      <c r="B84" s="2073"/>
      <c r="C84" s="138" t="str">
        <f>VLOOKUP($C$82,tbxM,2,FALSE)</f>
        <v>3863588/</v>
      </c>
      <c r="D84" s="43" t="str">
        <f t="shared" ref="D84:D94" si="15">VLOOKUP(C84,всецены,2,FALSE)</f>
        <v xml:space="preserve">TBX, Царга 83/500 мм, сер, лев. NEW     </v>
      </c>
      <c r="E84" s="3">
        <v>1</v>
      </c>
      <c r="F84" s="63">
        <f t="shared" ref="F84:F91" si="16">VLOOKUP(C84,всецены,4,FALSE)</f>
        <v>417.17796120000003</v>
      </c>
      <c r="G84" s="64">
        <f>F84*E84</f>
        <v>417.17796120000003</v>
      </c>
      <c r="H84" s="2091">
        <f>SUM(G84:G94)</f>
        <v>2450.0364615999997</v>
      </c>
    </row>
    <row r="85" spans="1:8" x14ac:dyDescent="0.2">
      <c r="A85" s="17"/>
      <c r="B85" s="2073"/>
      <c r="C85" s="156" t="str">
        <f>IF(OR($C$82=600,$C$82=650),"-",VLOOKUP($C$82,tbxM,3,FALSE))</f>
        <v>3852259/</v>
      </c>
      <c r="D85" s="43" t="str">
        <f>IF(OR($C$82=600,$C$82=650),"-",VLOOKUP(C85,всецены,2,FALSE))</f>
        <v xml:space="preserve">TBX, Царга 83/500 мм, сер, пр. NEW      </v>
      </c>
      <c r="E85" s="3">
        <v>1</v>
      </c>
      <c r="F85" s="63">
        <f t="shared" si="16"/>
        <v>417.17796120000003</v>
      </c>
      <c r="G85" s="14">
        <f>IF(OR(C82=600,C82=650),0,F85*E85)</f>
        <v>417.17796120000003</v>
      </c>
      <c r="H85" s="2092"/>
    </row>
    <row r="86" spans="1:8" x14ac:dyDescent="0.2">
      <c r="A86" s="17"/>
      <c r="B86" s="2073"/>
      <c r="C86" s="138" t="str">
        <f>VLOOKUP($C$82,tbxM,4,FALSE)</f>
        <v>8716527/</v>
      </c>
      <c r="D86" s="43" t="str">
        <f t="shared" si="15"/>
        <v>TBX, Напр. с BM, 30 кг, 500 мм, лев. NEW</v>
      </c>
      <c r="E86" s="3">
        <v>1</v>
      </c>
      <c r="F86" s="63">
        <f t="shared" si="16"/>
        <v>424.49687280000001</v>
      </c>
      <c r="G86" s="64">
        <f>F86*E86</f>
        <v>424.49687280000001</v>
      </c>
      <c r="H86" s="2092"/>
    </row>
    <row r="87" spans="1:8" x14ac:dyDescent="0.2">
      <c r="A87" s="17"/>
      <c r="B87" s="2073"/>
      <c r="C87" s="156" t="str">
        <f>IF(OR($C$82=600,$C$82=650),"-",VLOOKUP($C$82,tbxM,5,FALSE))</f>
        <v>8709485/</v>
      </c>
      <c r="D87" s="43" t="str">
        <f>IF(OR($C$82=600,$C$82=650),"-",VLOOKUP(C87,всецены,2,FALSE))</f>
        <v xml:space="preserve">TBX, Напр. с BM, 30 кг, 500 мм, пр. NEW </v>
      </c>
      <c r="E87" s="3">
        <v>1</v>
      </c>
      <c r="F87" s="63">
        <f t="shared" si="16"/>
        <v>424.49687280000001</v>
      </c>
      <c r="G87" s="14">
        <f>IF(OR(C82=600,C82=650),0,F87*E87)</f>
        <v>424.49687280000001</v>
      </c>
      <c r="H87" s="2092"/>
    </row>
    <row r="88" spans="1:8" x14ac:dyDescent="0.2">
      <c r="A88" s="17"/>
      <c r="B88" s="2073"/>
      <c r="C88" s="138" t="str">
        <f>VLOOKUP($C$82,tbxM,6,FALSE)</f>
        <v>1862960/</v>
      </c>
      <c r="D88" s="43" t="str">
        <f t="shared" si="15"/>
        <v xml:space="preserve">TBX, Релинг продольн, 500 мм, сер.      </v>
      </c>
      <c r="E88" s="3">
        <v>1.7030303030303</v>
      </c>
      <c r="F88" s="63">
        <f t="shared" si="16"/>
        <v>103.27797480000001</v>
      </c>
      <c r="G88" s="64">
        <f t="shared" ref="G88:G94" si="17">F88*E88</f>
        <v>175.8855207199997</v>
      </c>
      <c r="H88" s="2092"/>
    </row>
    <row r="89" spans="1:8" x14ac:dyDescent="0.2">
      <c r="A89" s="17"/>
      <c r="B89" s="2073"/>
      <c r="C89" s="138" t="s">
        <v>1204</v>
      </c>
      <c r="D89" s="43" t="str">
        <f t="shared" si="15"/>
        <v xml:space="preserve">TBX, Держат. стекл. Boxside, т/сер, лев </v>
      </c>
      <c r="E89" s="3">
        <v>1</v>
      </c>
      <c r="F89" s="63">
        <f>VLOOKUP(C89,всецены,4,FALSE)</f>
        <v>177.28030320000002</v>
      </c>
      <c r="G89" s="64">
        <f>F89*E89</f>
        <v>177.28030320000002</v>
      </c>
      <c r="H89" s="2092"/>
    </row>
    <row r="90" spans="1:8" x14ac:dyDescent="0.2">
      <c r="A90" s="17"/>
      <c r="B90" s="2073"/>
      <c r="C90" s="138" t="s">
        <v>1205</v>
      </c>
      <c r="D90" s="43" t="str">
        <f t="shared" si="15"/>
        <v xml:space="preserve">TBX, Держат. стекл. Boxside, т/сер, пр  </v>
      </c>
      <c r="E90" s="3">
        <v>1</v>
      </c>
      <c r="F90" s="63">
        <f t="shared" si="16"/>
        <v>177.28030320000002</v>
      </c>
      <c r="G90" s="64">
        <f t="shared" si="17"/>
        <v>177.28030320000002</v>
      </c>
      <c r="H90" s="2092"/>
    </row>
    <row r="91" spans="1:8" x14ac:dyDescent="0.2">
      <c r="A91" s="17"/>
      <c r="B91" s="2073"/>
      <c r="C91" s="138" t="s">
        <v>299</v>
      </c>
      <c r="D91" s="43" t="str">
        <f t="shared" si="15"/>
        <v>TBX, Загл. с лого, сер, симм ZAA.330C.BL</v>
      </c>
      <c r="E91" s="3">
        <v>1.7878787878787901</v>
      </c>
      <c r="F91" s="63">
        <f t="shared" si="16"/>
        <v>8.9453364000000004</v>
      </c>
      <c r="G91" s="64">
        <f t="shared" si="17"/>
        <v>15.993177200000019</v>
      </c>
      <c r="H91" s="2092"/>
    </row>
    <row r="92" spans="1:8" x14ac:dyDescent="0.2">
      <c r="A92" s="17"/>
      <c r="B92" s="2073"/>
      <c r="C92" s="1558" t="s">
        <v>4511</v>
      </c>
      <c r="D92" s="43" t="str">
        <f t="shared" si="15"/>
        <v xml:space="preserve">TBX, Крепл фасада INSERTA, NEW ZSF.39A2 </v>
      </c>
      <c r="E92" s="3">
        <v>1.8303030303030301</v>
      </c>
      <c r="F92" s="63">
        <f>VLOOKUP(C92,всецены,4,FALSE)</f>
        <v>43.913469600000006</v>
      </c>
      <c r="G92" s="64">
        <f t="shared" si="17"/>
        <v>80.374956480000009</v>
      </c>
      <c r="H92" s="2092"/>
    </row>
    <row r="93" spans="1:8" x14ac:dyDescent="0.2">
      <c r="A93" s="17"/>
      <c r="B93" s="2073"/>
      <c r="C93" s="138" t="s">
        <v>1634</v>
      </c>
      <c r="D93" s="43" t="str">
        <f t="shared" si="15"/>
        <v xml:space="preserve">TBX, Держ. задн. ст, D 224 мм, сер, пр. </v>
      </c>
      <c r="E93" s="3">
        <v>1</v>
      </c>
      <c r="F93" s="63">
        <f>VLOOKUP(C93,всецены,4,FALSE)</f>
        <v>69.936266400000008</v>
      </c>
      <c r="G93" s="64">
        <f t="shared" si="17"/>
        <v>69.936266400000008</v>
      </c>
      <c r="H93" s="2092"/>
    </row>
    <row r="94" spans="1:8" ht="13.5" thickBot="1" x14ac:dyDescent="0.25">
      <c r="A94" s="17"/>
      <c r="B94" s="2074"/>
      <c r="C94" s="434" t="s">
        <v>1636</v>
      </c>
      <c r="D94" s="404" t="str">
        <f t="shared" si="15"/>
        <v>TBX, Держ. задн. ст, D 224 мм, сер, лев.</v>
      </c>
      <c r="E94" s="355">
        <v>1</v>
      </c>
      <c r="F94" s="435">
        <f>VLOOKUP(C94,всецены,4,FALSE)</f>
        <v>69.936266400000008</v>
      </c>
      <c r="G94" s="436">
        <f t="shared" si="17"/>
        <v>69.936266400000008</v>
      </c>
      <c r="H94" s="2093"/>
    </row>
    <row r="95" spans="1:8" ht="15" customHeight="1" x14ac:dyDescent="0.2">
      <c r="A95" s="17"/>
      <c r="B95" s="75"/>
      <c r="C95" s="17"/>
      <c r="D95" s="17"/>
      <c r="E95" s="344"/>
      <c r="F95" s="17"/>
      <c r="G95" s="17"/>
      <c r="H95" s="35"/>
    </row>
    <row r="96" spans="1:8" ht="8.1" customHeight="1" thickBot="1" x14ac:dyDescent="0.25">
      <c r="B96" s="8"/>
      <c r="C96" s="8"/>
      <c r="D96" s="8"/>
      <c r="E96" s="53"/>
      <c r="F96" s="8"/>
      <c r="G96" s="8"/>
      <c r="H96" s="35"/>
    </row>
    <row r="97" spans="1:46" ht="20.100000000000001" customHeight="1" x14ac:dyDescent="0.2">
      <c r="B97" s="2015" t="s">
        <v>3449</v>
      </c>
      <c r="C97" s="2016"/>
      <c r="D97" s="2016"/>
      <c r="E97" s="2016"/>
      <c r="F97" s="2016"/>
      <c r="G97" s="2016"/>
      <c r="H97" s="372"/>
      <c r="K97" s="28"/>
      <c r="L97" s="28"/>
      <c r="M97" s="28"/>
    </row>
    <row r="98" spans="1:46" ht="20.100000000000001" customHeight="1" x14ac:dyDescent="0.2">
      <c r="A98" s="17"/>
      <c r="B98" s="2018"/>
      <c r="C98" s="2019"/>
      <c r="D98" s="2019"/>
      <c r="E98" s="2019"/>
      <c r="F98" s="2019"/>
      <c r="G98" s="2019"/>
      <c r="H98" s="374"/>
      <c r="K98" s="28"/>
    </row>
    <row r="99" spans="1:46" ht="12.75" customHeight="1" x14ac:dyDescent="0.2">
      <c r="A99" s="17"/>
      <c r="B99" s="425"/>
      <c r="C99" s="131"/>
      <c r="D99" s="2095" t="s">
        <v>1818</v>
      </c>
      <c r="E99" s="2095"/>
      <c r="F99" s="2095"/>
      <c r="G99" s="2095"/>
      <c r="H99" s="426"/>
      <c r="K99" s="29"/>
    </row>
    <row r="100" spans="1:46" ht="15" x14ac:dyDescent="0.2">
      <c r="A100" s="17"/>
      <c r="B100" s="410"/>
      <c r="C100" s="441"/>
      <c r="D100" s="95"/>
      <c r="E100" s="94"/>
      <c r="F100" s="73"/>
      <c r="G100" s="95"/>
      <c r="H100" s="376" t="str">
        <f>IF(СОДЕРЖАНИЕ!P2=1,"EUR","RUB")</f>
        <v>RUB</v>
      </c>
      <c r="K100" s="28"/>
    </row>
    <row r="101" spans="1:46" ht="9.9499999999999993" customHeight="1" x14ac:dyDescent="0.2">
      <c r="A101" s="17"/>
      <c r="B101" s="2072"/>
      <c r="C101" s="135" t="s">
        <v>1301</v>
      </c>
      <c r="D101" s="139" t="s">
        <v>784</v>
      </c>
      <c r="E101" s="140" t="s">
        <v>2117</v>
      </c>
      <c r="F101" s="139"/>
      <c r="G101" s="141" t="s">
        <v>2116</v>
      </c>
      <c r="H101" s="411"/>
      <c r="I101" s="30"/>
      <c r="J101" s="30"/>
      <c r="L101" s="88"/>
      <c r="AM101"/>
      <c r="AN101"/>
      <c r="AO101"/>
      <c r="AP101"/>
      <c r="AQ101"/>
      <c r="AR101"/>
      <c r="AS101"/>
      <c r="AT101"/>
    </row>
    <row r="102" spans="1:46" x14ac:dyDescent="0.2">
      <c r="A102" s="17"/>
      <c r="B102" s="2073"/>
      <c r="C102" s="138" t="s">
        <v>938</v>
      </c>
      <c r="D102" s="43" t="str">
        <f>VLOOKUP(C102,всецены,2,FALSE)</f>
        <v xml:space="preserve">TBX, Бок. стаб,кмп10 шт,ZST.500BB       </v>
      </c>
      <c r="E102" s="3">
        <v>1</v>
      </c>
      <c r="F102" s="12">
        <f>VLOOKUP(C102,всецены,4,FALSE)</f>
        <v>1022.2079868000001</v>
      </c>
      <c r="G102" s="442">
        <f>F102*E102</f>
        <v>1022.2079868000001</v>
      </c>
      <c r="H102" s="387">
        <f>G102</f>
        <v>1022.2079868000001</v>
      </c>
      <c r="I102" s="91"/>
    </row>
    <row r="103" spans="1:46" ht="13.5" thickBot="1" x14ac:dyDescent="0.25">
      <c r="A103" s="17"/>
      <c r="B103" s="2074"/>
      <c r="C103" s="407" t="s">
        <v>691</v>
      </c>
      <c r="D103" s="404" t="str">
        <f>VLOOKUP(C103,всецены,2,FALSE)</f>
        <v xml:space="preserve">TBX, Стабилизатор фасада   Z96.10E1     </v>
      </c>
      <c r="E103" s="355">
        <v>1</v>
      </c>
      <c r="F103" s="356">
        <f>VLOOKUP(C103,всецены,4,FALSE)</f>
        <v>87.013726800000015</v>
      </c>
      <c r="G103" s="443">
        <f>F103*E103</f>
        <v>87.013726800000015</v>
      </c>
      <c r="H103" s="390">
        <f>G103</f>
        <v>87.013726800000015</v>
      </c>
    </row>
    <row r="104" spans="1:46" ht="15" customHeight="1" x14ac:dyDescent="0.2">
      <c r="A104" s="17"/>
      <c r="B104" s="17"/>
      <c r="C104" s="17"/>
      <c r="D104" s="17"/>
      <c r="E104" s="344"/>
      <c r="F104" s="17"/>
      <c r="G104" s="17"/>
      <c r="H104" s="35"/>
    </row>
    <row r="105" spans="1:46" x14ac:dyDescent="0.2">
      <c r="B105" s="8"/>
      <c r="C105" s="8"/>
      <c r="D105" s="8"/>
      <c r="E105" s="53"/>
      <c r="F105" s="8"/>
      <c r="G105" s="8"/>
      <c r="H105" s="35"/>
    </row>
    <row r="106" spans="1:46" x14ac:dyDescent="0.2">
      <c r="B106" s="91" t="s">
        <v>1819</v>
      </c>
      <c r="C106" s="8"/>
      <c r="D106" s="8"/>
      <c r="E106" s="53"/>
      <c r="F106" s="8"/>
      <c r="G106" s="8"/>
      <c r="H106" s="35"/>
    </row>
    <row r="107" spans="1:46" x14ac:dyDescent="0.2">
      <c r="B107" s="91" t="s">
        <v>104</v>
      </c>
      <c r="C107" s="8"/>
      <c r="D107" s="8"/>
      <c r="E107" s="53"/>
      <c r="F107" s="8"/>
      <c r="G107" s="8"/>
      <c r="H107" s="35"/>
    </row>
    <row r="108" spans="1:46" x14ac:dyDescent="0.2">
      <c r="B108" s="8"/>
      <c r="C108" s="8"/>
      <c r="D108" s="8"/>
      <c r="E108" s="53"/>
      <c r="F108" s="8"/>
      <c r="G108" s="8"/>
      <c r="H108" s="35"/>
    </row>
    <row r="109" spans="1:46" x14ac:dyDescent="0.2">
      <c r="B109" s="8"/>
      <c r="C109" s="8"/>
      <c r="D109" s="8"/>
      <c r="E109" s="53"/>
      <c r="F109" s="8"/>
      <c r="G109" s="8"/>
      <c r="H109" s="35"/>
    </row>
    <row r="110" spans="1:46" x14ac:dyDescent="0.2">
      <c r="B110" s="8"/>
      <c r="C110" s="8"/>
      <c r="D110" s="8"/>
      <c r="E110" s="53"/>
      <c r="F110" s="8"/>
      <c r="G110" s="8"/>
      <c r="H110" s="35"/>
    </row>
    <row r="111" spans="1:46" x14ac:dyDescent="0.2">
      <c r="B111" s="8"/>
      <c r="C111" s="8"/>
      <c r="D111" s="8"/>
      <c r="E111" s="53"/>
      <c r="F111" s="8"/>
      <c r="G111" s="8"/>
      <c r="H111" s="35"/>
    </row>
    <row r="112" spans="1:46" x14ac:dyDescent="0.2">
      <c r="B112" s="8"/>
      <c r="C112" s="8"/>
      <c r="D112" s="8"/>
      <c r="E112" s="53"/>
      <c r="F112" s="8"/>
      <c r="G112" s="8"/>
      <c r="H112" s="35"/>
    </row>
    <row r="113" spans="2:8" x14ac:dyDescent="0.2">
      <c r="B113" s="8"/>
      <c r="C113" s="8"/>
      <c r="D113" s="8"/>
      <c r="E113" s="53"/>
      <c r="F113" s="8"/>
      <c r="G113" s="8"/>
      <c r="H113" s="35"/>
    </row>
    <row r="114" spans="2:8" x14ac:dyDescent="0.2">
      <c r="B114" s="8"/>
      <c r="C114" s="8"/>
      <c r="D114" s="8"/>
      <c r="E114" s="53"/>
      <c r="F114" s="8"/>
      <c r="G114" s="8"/>
      <c r="H114" s="35"/>
    </row>
    <row r="115" spans="2:8" x14ac:dyDescent="0.2">
      <c r="B115" s="8"/>
      <c r="C115" s="8"/>
      <c r="D115" s="8"/>
      <c r="E115" s="53"/>
      <c r="F115" s="8"/>
      <c r="G115" s="8"/>
      <c r="H115" s="35"/>
    </row>
    <row r="116" spans="2:8" x14ac:dyDescent="0.2">
      <c r="B116" s="8"/>
      <c r="C116" s="8"/>
      <c r="D116" s="8"/>
      <c r="E116" s="53"/>
      <c r="F116" s="8"/>
      <c r="G116" s="8"/>
      <c r="H116" s="35"/>
    </row>
    <row r="117" spans="2:8" x14ac:dyDescent="0.2">
      <c r="B117" s="8"/>
      <c r="C117" s="8"/>
      <c r="D117" s="8"/>
      <c r="E117" s="53"/>
      <c r="F117" s="8"/>
      <c r="G117" s="8"/>
      <c r="H117" s="35"/>
    </row>
    <row r="118" spans="2:8" x14ac:dyDescent="0.2">
      <c r="B118" s="8"/>
      <c r="C118" s="8"/>
      <c r="D118" s="8"/>
      <c r="E118" s="53"/>
      <c r="F118" s="8"/>
      <c r="G118" s="8"/>
      <c r="H118" s="35"/>
    </row>
    <row r="119" spans="2:8" x14ac:dyDescent="0.2">
      <c r="B119" s="8"/>
      <c r="C119" s="8"/>
      <c r="D119" s="8"/>
      <c r="E119" s="53"/>
      <c r="F119" s="8"/>
      <c r="G119" s="8"/>
      <c r="H119" s="35"/>
    </row>
    <row r="120" spans="2:8" x14ac:dyDescent="0.2">
      <c r="B120" s="8"/>
      <c r="C120" s="8"/>
      <c r="D120" s="8"/>
      <c r="E120" s="53"/>
      <c r="F120" s="8"/>
      <c r="G120" s="8"/>
      <c r="H120" s="35"/>
    </row>
    <row r="121" spans="2:8" x14ac:dyDescent="0.2">
      <c r="B121" s="8"/>
      <c r="C121" s="8"/>
      <c r="D121" s="8"/>
      <c r="E121" s="53"/>
      <c r="F121" s="8"/>
      <c r="G121" s="8"/>
      <c r="H121" s="35"/>
    </row>
    <row r="122" spans="2:8" x14ac:dyDescent="0.2">
      <c r="B122" s="8"/>
      <c r="C122" s="8"/>
      <c r="D122" s="8"/>
      <c r="E122" s="53"/>
      <c r="F122" s="8"/>
      <c r="G122" s="8"/>
      <c r="H122" s="35"/>
    </row>
    <row r="123" spans="2:8" x14ac:dyDescent="0.2">
      <c r="B123" s="8"/>
      <c r="C123" s="8"/>
      <c r="D123" s="8"/>
      <c r="E123" s="53"/>
      <c r="F123" s="8"/>
      <c r="G123" s="8"/>
      <c r="H123" s="35"/>
    </row>
    <row r="124" spans="2:8" x14ac:dyDescent="0.2">
      <c r="B124" s="8"/>
      <c r="C124" s="8"/>
      <c r="D124" s="8"/>
      <c r="E124" s="53"/>
      <c r="F124" s="8"/>
      <c r="G124" s="8"/>
      <c r="H124" s="35"/>
    </row>
    <row r="125" spans="2:8" x14ac:dyDescent="0.2">
      <c r="B125" s="8"/>
      <c r="C125" s="8"/>
      <c r="D125" s="8"/>
      <c r="E125" s="53"/>
      <c r="F125" s="8"/>
      <c r="G125" s="8"/>
      <c r="H125" s="35"/>
    </row>
    <row r="126" spans="2:8" x14ac:dyDescent="0.2">
      <c r="B126" s="8"/>
      <c r="C126" s="8"/>
      <c r="D126" s="8"/>
      <c r="E126" s="53"/>
      <c r="F126" s="8"/>
      <c r="G126" s="8"/>
      <c r="H126" s="35"/>
    </row>
    <row r="127" spans="2:8" x14ac:dyDescent="0.2">
      <c r="B127" s="8"/>
      <c r="C127" s="8"/>
      <c r="D127" s="8"/>
      <c r="E127" s="53"/>
      <c r="F127" s="8"/>
      <c r="G127" s="8"/>
      <c r="H127" s="35"/>
    </row>
    <row r="128" spans="2:8" x14ac:dyDescent="0.2">
      <c r="B128" s="8"/>
      <c r="C128" s="8"/>
      <c r="D128" s="8"/>
      <c r="E128" s="53"/>
      <c r="F128" s="8"/>
      <c r="G128" s="8"/>
      <c r="H128" s="35"/>
    </row>
    <row r="129" spans="2:8" x14ac:dyDescent="0.2">
      <c r="B129" s="8"/>
      <c r="C129" s="8"/>
      <c r="D129" s="8"/>
      <c r="E129" s="53"/>
      <c r="F129" s="8"/>
      <c r="G129" s="8"/>
      <c r="H129" s="35"/>
    </row>
    <row r="130" spans="2:8" x14ac:dyDescent="0.2">
      <c r="B130" s="8"/>
      <c r="C130" s="8"/>
      <c r="D130" s="8"/>
      <c r="E130" s="53"/>
      <c r="F130" s="8"/>
      <c r="G130" s="8"/>
      <c r="H130" s="35"/>
    </row>
    <row r="131" spans="2:8" x14ac:dyDescent="0.2">
      <c r="B131" s="8"/>
      <c r="C131" s="8"/>
      <c r="D131" s="8"/>
      <c r="E131" s="53"/>
      <c r="F131" s="8"/>
      <c r="G131" s="8"/>
      <c r="H131" s="35"/>
    </row>
    <row r="132" spans="2:8" x14ac:dyDescent="0.2">
      <c r="B132" s="8"/>
      <c r="C132" s="8"/>
      <c r="D132" s="8"/>
      <c r="E132" s="53"/>
      <c r="F132" s="8"/>
      <c r="G132" s="8"/>
      <c r="H132" s="35"/>
    </row>
    <row r="133" spans="2:8" x14ac:dyDescent="0.2">
      <c r="B133" s="8"/>
      <c r="C133" s="8"/>
      <c r="D133" s="8"/>
      <c r="E133" s="53"/>
      <c r="F133" s="8"/>
      <c r="G133" s="8"/>
      <c r="H133" s="35"/>
    </row>
    <row r="134" spans="2:8" x14ac:dyDescent="0.2">
      <c r="B134" s="8"/>
      <c r="C134" s="8"/>
      <c r="D134" s="8"/>
      <c r="E134" s="53"/>
      <c r="F134" s="8"/>
      <c r="G134" s="8"/>
      <c r="H134" s="35"/>
    </row>
    <row r="135" spans="2:8" x14ac:dyDescent="0.2">
      <c r="B135" s="8"/>
      <c r="C135" s="8"/>
      <c r="D135" s="8"/>
      <c r="E135" s="53"/>
      <c r="F135" s="8"/>
      <c r="G135" s="8"/>
      <c r="H135" s="35"/>
    </row>
    <row r="136" spans="2:8" x14ac:dyDescent="0.2">
      <c r="B136" s="8"/>
      <c r="C136" s="8"/>
      <c r="D136" s="8"/>
      <c r="E136" s="53"/>
      <c r="F136" s="8"/>
      <c r="G136" s="8"/>
      <c r="H136" s="35"/>
    </row>
    <row r="137" spans="2:8" x14ac:dyDescent="0.2">
      <c r="B137" s="8"/>
      <c r="C137" s="8"/>
      <c r="D137" s="8"/>
      <c r="E137" s="53"/>
      <c r="F137" s="8"/>
      <c r="G137" s="8"/>
      <c r="H137" s="35"/>
    </row>
    <row r="138" spans="2:8" x14ac:dyDescent="0.2">
      <c r="B138" s="8"/>
      <c r="C138" s="8"/>
      <c r="D138" s="8"/>
      <c r="E138" s="53"/>
      <c r="F138" s="8"/>
      <c r="G138" s="8"/>
      <c r="H138" s="35"/>
    </row>
    <row r="139" spans="2:8" x14ac:dyDescent="0.2">
      <c r="B139" s="8"/>
      <c r="C139" s="8"/>
      <c r="D139" s="8"/>
      <c r="E139" s="53"/>
      <c r="F139" s="8"/>
      <c r="G139" s="8"/>
      <c r="H139" s="35"/>
    </row>
    <row r="140" spans="2:8" x14ac:dyDescent="0.2">
      <c r="B140" s="8"/>
      <c r="C140" s="8"/>
      <c r="D140" s="8"/>
      <c r="E140" s="53"/>
      <c r="F140" s="8"/>
      <c r="G140" s="8"/>
      <c r="H140" s="35"/>
    </row>
    <row r="141" spans="2:8" x14ac:dyDescent="0.2">
      <c r="B141" s="8"/>
      <c r="C141" s="8"/>
      <c r="D141" s="8"/>
      <c r="E141" s="53"/>
      <c r="F141" s="8"/>
      <c r="G141" s="8"/>
      <c r="H141" s="35"/>
    </row>
    <row r="142" spans="2:8" x14ac:dyDescent="0.2">
      <c r="B142" s="8"/>
      <c r="C142" s="8"/>
      <c r="D142" s="8"/>
      <c r="E142" s="53"/>
      <c r="F142" s="8"/>
      <c r="G142" s="8"/>
      <c r="H142" s="35"/>
    </row>
    <row r="143" spans="2:8" x14ac:dyDescent="0.2">
      <c r="B143" s="8"/>
      <c r="C143" s="8"/>
      <c r="D143" s="8"/>
      <c r="E143" s="53"/>
      <c r="F143" s="8"/>
      <c r="G143" s="8"/>
      <c r="H143" s="35"/>
    </row>
    <row r="144" spans="2:8" x14ac:dyDescent="0.2">
      <c r="B144" s="8"/>
      <c r="C144" s="8"/>
      <c r="D144" s="8"/>
      <c r="E144" s="53"/>
      <c r="F144" s="8"/>
      <c r="G144" s="8"/>
      <c r="H144" s="35"/>
    </row>
    <row r="145" spans="2:8" x14ac:dyDescent="0.2">
      <c r="B145" s="8"/>
      <c r="C145" s="8"/>
      <c r="D145" s="8"/>
      <c r="E145" s="53"/>
      <c r="F145" s="8"/>
      <c r="G145" s="8"/>
      <c r="H145" s="35"/>
    </row>
    <row r="146" spans="2:8" x14ac:dyDescent="0.2">
      <c r="B146" s="8"/>
      <c r="C146" s="8"/>
      <c r="D146" s="8"/>
      <c r="E146" s="53"/>
      <c r="F146" s="8"/>
      <c r="G146" s="8"/>
      <c r="H146" s="35"/>
    </row>
    <row r="147" spans="2:8" x14ac:dyDescent="0.2">
      <c r="B147" s="8"/>
      <c r="C147" s="8"/>
      <c r="D147" s="8"/>
      <c r="E147" s="53"/>
      <c r="F147" s="8"/>
      <c r="G147" s="8"/>
      <c r="H147" s="35"/>
    </row>
    <row r="148" spans="2:8" x14ac:dyDescent="0.2">
      <c r="B148" s="8"/>
      <c r="C148" s="8"/>
      <c r="D148" s="8"/>
      <c r="E148" s="53"/>
      <c r="F148" s="8"/>
      <c r="G148" s="8"/>
      <c r="H148" s="35"/>
    </row>
    <row r="149" spans="2:8" x14ac:dyDescent="0.2">
      <c r="B149" s="8"/>
      <c r="C149" s="8"/>
      <c r="D149" s="8"/>
      <c r="E149" s="53"/>
      <c r="F149" s="8"/>
      <c r="G149" s="8"/>
      <c r="H149" s="35"/>
    </row>
    <row r="150" spans="2:8" x14ac:dyDescent="0.2">
      <c r="B150" s="8"/>
      <c r="C150" s="8"/>
      <c r="D150" s="8"/>
      <c r="E150" s="53"/>
      <c r="F150" s="8"/>
      <c r="G150" s="8"/>
      <c r="H150" s="35"/>
    </row>
    <row r="151" spans="2:8" x14ac:dyDescent="0.2">
      <c r="B151" s="8"/>
      <c r="C151" s="8"/>
      <c r="D151" s="8"/>
      <c r="E151" s="53"/>
      <c r="F151" s="8"/>
      <c r="G151" s="8"/>
      <c r="H151" s="35"/>
    </row>
    <row r="152" spans="2:8" x14ac:dyDescent="0.2">
      <c r="B152" s="8"/>
      <c r="C152" s="8"/>
      <c r="D152" s="8"/>
      <c r="E152" s="53"/>
      <c r="F152" s="8"/>
      <c r="G152" s="8"/>
      <c r="H152" s="35"/>
    </row>
    <row r="153" spans="2:8" x14ac:dyDescent="0.2">
      <c r="B153" s="8"/>
      <c r="C153" s="8"/>
      <c r="D153" s="8"/>
      <c r="E153" s="53"/>
      <c r="F153" s="8"/>
      <c r="G153" s="8"/>
      <c r="H153" s="35"/>
    </row>
    <row r="154" spans="2:8" x14ac:dyDescent="0.2">
      <c r="B154" s="8"/>
      <c r="C154" s="8"/>
      <c r="D154" s="8"/>
      <c r="E154" s="53"/>
      <c r="F154" s="8"/>
      <c r="G154" s="8"/>
      <c r="H154" s="35"/>
    </row>
    <row r="155" spans="2:8" x14ac:dyDescent="0.2">
      <c r="B155" s="8"/>
      <c r="C155" s="8"/>
      <c r="D155" s="8"/>
      <c r="E155" s="53"/>
      <c r="F155" s="8"/>
      <c r="G155" s="8"/>
      <c r="H155" s="35"/>
    </row>
    <row r="156" spans="2:8" x14ac:dyDescent="0.2">
      <c r="B156" s="8"/>
      <c r="C156" s="8"/>
      <c r="D156" s="8"/>
      <c r="E156" s="53"/>
      <c r="F156" s="8"/>
      <c r="G156" s="8"/>
      <c r="H156" s="35"/>
    </row>
    <row r="157" spans="2:8" x14ac:dyDescent="0.2">
      <c r="B157" s="8"/>
      <c r="C157" s="8"/>
      <c r="D157" s="8"/>
      <c r="E157" s="53"/>
      <c r="F157" s="8"/>
      <c r="G157" s="8"/>
      <c r="H157" s="35"/>
    </row>
    <row r="158" spans="2:8" x14ac:dyDescent="0.2">
      <c r="B158" s="8"/>
      <c r="C158" s="8"/>
      <c r="D158" s="8"/>
      <c r="E158" s="53"/>
      <c r="F158" s="8"/>
      <c r="G158" s="8"/>
      <c r="H158" s="35"/>
    </row>
    <row r="159" spans="2:8" x14ac:dyDescent="0.2">
      <c r="B159" s="8"/>
      <c r="C159" s="8"/>
      <c r="D159" s="8"/>
      <c r="E159" s="53"/>
      <c r="F159" s="8"/>
      <c r="G159" s="8"/>
      <c r="H159" s="35"/>
    </row>
    <row r="160" spans="2:8" x14ac:dyDescent="0.2">
      <c r="B160" s="8"/>
      <c r="C160" s="8"/>
      <c r="D160" s="8"/>
      <c r="E160" s="53"/>
      <c r="F160" s="8"/>
      <c r="G160" s="8"/>
      <c r="H160" s="35"/>
    </row>
    <row r="161" spans="2:8" x14ac:dyDescent="0.2">
      <c r="B161" s="8"/>
      <c r="C161" s="8"/>
      <c r="D161" s="8"/>
      <c r="E161" s="53"/>
      <c r="F161" s="8"/>
      <c r="G161" s="8"/>
      <c r="H161" s="35"/>
    </row>
    <row r="162" spans="2:8" x14ac:dyDescent="0.2">
      <c r="B162" s="8"/>
      <c r="C162" s="8"/>
      <c r="D162" s="8"/>
      <c r="E162" s="53"/>
      <c r="F162" s="8"/>
      <c r="G162" s="8"/>
      <c r="H162" s="35"/>
    </row>
    <row r="163" spans="2:8" x14ac:dyDescent="0.2">
      <c r="B163" s="8"/>
      <c r="C163" s="8"/>
      <c r="D163" s="8"/>
      <c r="E163" s="53"/>
      <c r="F163" s="8"/>
      <c r="G163" s="8"/>
      <c r="H163" s="35"/>
    </row>
    <row r="164" spans="2:8" x14ac:dyDescent="0.2">
      <c r="B164" s="8"/>
      <c r="C164" s="8"/>
      <c r="D164" s="8"/>
      <c r="E164" s="53"/>
      <c r="F164" s="8"/>
      <c r="G164" s="8"/>
      <c r="H164" s="35"/>
    </row>
    <row r="165" spans="2:8" x14ac:dyDescent="0.2">
      <c r="B165" s="8"/>
      <c r="C165" s="8"/>
      <c r="D165" s="8"/>
      <c r="E165" s="53"/>
      <c r="F165" s="8"/>
      <c r="G165" s="8"/>
      <c r="H165" s="35"/>
    </row>
    <row r="166" spans="2:8" x14ac:dyDescent="0.2">
      <c r="B166" s="8"/>
      <c r="C166" s="8"/>
      <c r="D166" s="8"/>
      <c r="E166" s="53"/>
      <c r="F166" s="8"/>
      <c r="G166" s="8"/>
      <c r="H166" s="35"/>
    </row>
    <row r="167" spans="2:8" x14ac:dyDescent="0.2">
      <c r="B167" s="8"/>
      <c r="C167" s="8"/>
      <c r="D167" s="8"/>
      <c r="E167" s="53"/>
      <c r="F167" s="8"/>
      <c r="G167" s="8"/>
      <c r="H167" s="35"/>
    </row>
    <row r="168" spans="2:8" x14ac:dyDescent="0.2">
      <c r="B168" s="8"/>
      <c r="C168" s="8"/>
      <c r="D168" s="8"/>
      <c r="E168" s="53"/>
      <c r="F168" s="8"/>
      <c r="G168" s="8"/>
      <c r="H168" s="35"/>
    </row>
    <row r="169" spans="2:8" x14ac:dyDescent="0.2">
      <c r="B169" s="8"/>
      <c r="C169" s="8"/>
      <c r="D169" s="8"/>
      <c r="E169" s="53"/>
      <c r="F169" s="8"/>
      <c r="G169" s="8"/>
      <c r="H169" s="35"/>
    </row>
    <row r="170" spans="2:8" x14ac:dyDescent="0.2">
      <c r="B170" s="8"/>
      <c r="C170" s="8"/>
      <c r="D170" s="8"/>
      <c r="E170" s="53"/>
      <c r="F170" s="8"/>
      <c r="G170" s="8"/>
      <c r="H170" s="35"/>
    </row>
    <row r="171" spans="2:8" x14ac:dyDescent="0.2">
      <c r="B171" s="8"/>
      <c r="C171" s="8"/>
      <c r="D171" s="8"/>
      <c r="E171" s="53"/>
      <c r="F171" s="8"/>
      <c r="G171" s="8"/>
      <c r="H171" s="35"/>
    </row>
    <row r="172" spans="2:8" x14ac:dyDescent="0.2">
      <c r="B172" s="8"/>
      <c r="C172" s="8"/>
      <c r="D172" s="8"/>
      <c r="E172" s="53"/>
      <c r="F172" s="8"/>
      <c r="G172" s="8"/>
      <c r="H172" s="35"/>
    </row>
    <row r="173" spans="2:8" x14ac:dyDescent="0.2">
      <c r="B173" s="8"/>
      <c r="C173" s="8"/>
      <c r="D173" s="8"/>
      <c r="E173" s="53"/>
      <c r="F173" s="8"/>
      <c r="G173" s="8"/>
      <c r="H173" s="35"/>
    </row>
    <row r="174" spans="2:8" x14ac:dyDescent="0.2">
      <c r="B174" s="8"/>
      <c r="C174" s="8"/>
      <c r="D174" s="8"/>
      <c r="E174" s="53"/>
      <c r="F174" s="8"/>
      <c r="G174" s="8"/>
      <c r="H174" s="35"/>
    </row>
    <row r="175" spans="2:8" x14ac:dyDescent="0.2">
      <c r="B175" s="8"/>
      <c r="C175" s="8"/>
      <c r="D175" s="8"/>
      <c r="E175" s="53"/>
      <c r="F175" s="8"/>
      <c r="G175" s="8"/>
      <c r="H175" s="35"/>
    </row>
    <row r="176" spans="2:8" x14ac:dyDescent="0.2">
      <c r="B176" s="8"/>
      <c r="C176" s="8"/>
      <c r="D176" s="8"/>
      <c r="E176" s="53"/>
      <c r="F176" s="8"/>
      <c r="G176" s="8"/>
      <c r="H176" s="35"/>
    </row>
    <row r="177" spans="2:8" x14ac:dyDescent="0.2">
      <c r="B177" s="8"/>
      <c r="C177" s="8"/>
      <c r="D177" s="8"/>
      <c r="E177" s="53"/>
      <c r="F177" s="8"/>
      <c r="G177" s="8"/>
      <c r="H177" s="35"/>
    </row>
    <row r="178" spans="2:8" x14ac:dyDescent="0.2">
      <c r="B178" s="8"/>
      <c r="C178" s="8"/>
      <c r="D178" s="8"/>
      <c r="E178" s="53"/>
      <c r="F178" s="8"/>
      <c r="G178" s="8"/>
      <c r="H178" s="35"/>
    </row>
    <row r="179" spans="2:8" x14ac:dyDescent="0.2">
      <c r="B179" s="8"/>
      <c r="C179" s="8"/>
      <c r="D179" s="8"/>
      <c r="E179" s="53"/>
      <c r="F179" s="8"/>
      <c r="G179" s="8"/>
      <c r="H179" s="35"/>
    </row>
    <row r="180" spans="2:8" x14ac:dyDescent="0.2">
      <c r="B180" s="8"/>
      <c r="C180" s="8"/>
      <c r="D180" s="8"/>
      <c r="E180" s="53"/>
      <c r="F180" s="8"/>
      <c r="G180" s="8"/>
      <c r="H180" s="35"/>
    </row>
    <row r="181" spans="2:8" x14ac:dyDescent="0.2">
      <c r="B181" s="8"/>
      <c r="C181" s="8"/>
      <c r="D181" s="8"/>
      <c r="E181" s="53"/>
      <c r="F181" s="8"/>
      <c r="G181" s="8"/>
      <c r="H181" s="35"/>
    </row>
    <row r="182" spans="2:8" x14ac:dyDescent="0.2">
      <c r="B182" s="8"/>
      <c r="C182" s="8"/>
      <c r="D182" s="8"/>
      <c r="E182" s="53"/>
      <c r="F182" s="8"/>
      <c r="G182" s="8"/>
      <c r="H182" s="35"/>
    </row>
    <row r="183" spans="2:8" x14ac:dyDescent="0.2">
      <c r="B183" s="8"/>
      <c r="C183" s="8"/>
      <c r="D183" s="8"/>
      <c r="E183" s="53"/>
      <c r="F183" s="8"/>
      <c r="G183" s="8"/>
      <c r="H183" s="35"/>
    </row>
    <row r="184" spans="2:8" x14ac:dyDescent="0.2">
      <c r="B184" s="8"/>
      <c r="C184" s="8"/>
      <c r="D184" s="8"/>
      <c r="E184" s="53"/>
      <c r="F184" s="8"/>
      <c r="G184" s="8"/>
      <c r="H184" s="35"/>
    </row>
    <row r="185" spans="2:8" x14ac:dyDescent="0.2">
      <c r="B185" s="8"/>
      <c r="C185" s="8"/>
      <c r="D185" s="8"/>
      <c r="E185" s="53"/>
      <c r="F185" s="8"/>
      <c r="G185" s="8"/>
      <c r="H185" s="35"/>
    </row>
    <row r="186" spans="2:8" x14ac:dyDescent="0.2">
      <c r="B186" s="8"/>
      <c r="C186" s="8"/>
      <c r="D186" s="8"/>
      <c r="E186" s="53"/>
      <c r="F186" s="8"/>
      <c r="G186" s="8"/>
      <c r="H186" s="35"/>
    </row>
    <row r="187" spans="2:8" x14ac:dyDescent="0.2">
      <c r="B187" s="8"/>
      <c r="C187" s="8"/>
      <c r="D187" s="8"/>
      <c r="E187" s="53"/>
      <c r="F187" s="8"/>
      <c r="G187" s="8"/>
      <c r="H187" s="35"/>
    </row>
    <row r="188" spans="2:8" x14ac:dyDescent="0.2">
      <c r="B188" s="8"/>
      <c r="C188" s="8"/>
      <c r="D188" s="8"/>
      <c r="E188" s="53"/>
      <c r="F188" s="8"/>
      <c r="G188" s="8"/>
      <c r="H188" s="35"/>
    </row>
    <row r="189" spans="2:8" x14ac:dyDescent="0.2">
      <c r="B189" s="8"/>
      <c r="C189" s="8"/>
      <c r="D189" s="8"/>
      <c r="E189" s="53"/>
      <c r="F189" s="8"/>
      <c r="G189" s="8"/>
      <c r="H189" s="35"/>
    </row>
    <row r="190" spans="2:8" x14ac:dyDescent="0.2">
      <c r="B190" s="8"/>
      <c r="C190" s="8"/>
      <c r="D190" s="8"/>
      <c r="E190" s="53"/>
      <c r="F190" s="8"/>
      <c r="G190" s="8"/>
      <c r="H190" s="35"/>
    </row>
    <row r="191" spans="2:8" x14ac:dyDescent="0.2">
      <c r="B191" s="8"/>
      <c r="C191" s="8"/>
      <c r="D191" s="8"/>
      <c r="E191" s="53"/>
      <c r="F191" s="8"/>
      <c r="G191" s="8"/>
      <c r="H191" s="35"/>
    </row>
    <row r="192" spans="2:8" x14ac:dyDescent="0.2">
      <c r="B192" s="8"/>
      <c r="C192" s="8"/>
      <c r="D192" s="8"/>
      <c r="E192" s="53"/>
      <c r="F192" s="8"/>
      <c r="G192" s="8"/>
      <c r="H192" s="35"/>
    </row>
    <row r="193" spans="2:8" x14ac:dyDescent="0.2">
      <c r="B193" s="8"/>
      <c r="C193" s="8"/>
      <c r="D193" s="8"/>
      <c r="E193" s="53"/>
      <c r="F193" s="8"/>
      <c r="G193" s="8"/>
      <c r="H193" s="35"/>
    </row>
    <row r="194" spans="2:8" x14ac:dyDescent="0.2">
      <c r="B194" s="8"/>
      <c r="C194" s="8"/>
      <c r="D194" s="8"/>
      <c r="E194" s="53"/>
      <c r="F194" s="8"/>
      <c r="G194" s="8"/>
      <c r="H194" s="35"/>
    </row>
    <row r="195" spans="2:8" x14ac:dyDescent="0.2">
      <c r="B195" s="8"/>
      <c r="C195" s="8"/>
      <c r="D195" s="8"/>
      <c r="E195" s="53"/>
      <c r="F195" s="8"/>
      <c r="G195" s="8"/>
      <c r="H195" s="35"/>
    </row>
    <row r="196" spans="2:8" x14ac:dyDescent="0.2">
      <c r="B196" s="8"/>
      <c r="C196" s="8"/>
      <c r="D196" s="8"/>
      <c r="E196" s="53"/>
      <c r="F196" s="8"/>
      <c r="G196" s="8"/>
      <c r="H196" s="35"/>
    </row>
    <row r="197" spans="2:8" x14ac:dyDescent="0.2">
      <c r="B197" s="8"/>
      <c r="C197" s="8"/>
      <c r="D197" s="8"/>
      <c r="E197" s="53"/>
      <c r="F197" s="8"/>
      <c r="G197" s="8"/>
      <c r="H197" s="35"/>
    </row>
    <row r="198" spans="2:8" x14ac:dyDescent="0.2">
      <c r="B198" s="8"/>
      <c r="C198" s="8"/>
      <c r="D198" s="8"/>
      <c r="E198" s="53"/>
      <c r="F198" s="8"/>
      <c r="G198" s="8"/>
      <c r="H198" s="35"/>
    </row>
    <row r="199" spans="2:8" x14ac:dyDescent="0.2">
      <c r="B199" s="8"/>
      <c r="C199" s="8"/>
      <c r="D199" s="8"/>
      <c r="E199" s="53"/>
      <c r="F199" s="8"/>
      <c r="G199" s="8"/>
      <c r="H199" s="35"/>
    </row>
    <row r="200" spans="2:8" x14ac:dyDescent="0.2">
      <c r="B200" s="8"/>
      <c r="C200" s="8"/>
      <c r="D200" s="8"/>
      <c r="E200" s="53"/>
      <c r="F200" s="8"/>
      <c r="G200" s="8"/>
      <c r="H200" s="35"/>
    </row>
    <row r="201" spans="2:8" x14ac:dyDescent="0.2">
      <c r="B201" s="8"/>
      <c r="C201" s="8"/>
      <c r="D201" s="8"/>
      <c r="E201" s="53"/>
      <c r="F201" s="8"/>
      <c r="G201" s="8"/>
      <c r="H201" s="35"/>
    </row>
    <row r="202" spans="2:8" x14ac:dyDescent="0.2">
      <c r="B202" s="8"/>
      <c r="C202" s="8"/>
      <c r="D202" s="8"/>
      <c r="E202" s="53"/>
      <c r="F202" s="8"/>
      <c r="G202" s="8"/>
      <c r="H202" s="35"/>
    </row>
    <row r="203" spans="2:8" x14ac:dyDescent="0.2">
      <c r="B203" s="8"/>
      <c r="C203" s="8"/>
      <c r="D203" s="8"/>
      <c r="E203" s="53"/>
      <c r="F203" s="8"/>
      <c r="G203" s="8"/>
      <c r="H203" s="35"/>
    </row>
    <row r="204" spans="2:8" x14ac:dyDescent="0.2">
      <c r="B204" s="8"/>
      <c r="C204" s="8"/>
      <c r="D204" s="8"/>
      <c r="E204" s="53"/>
      <c r="F204" s="8"/>
      <c r="G204" s="8"/>
      <c r="H204" s="35"/>
    </row>
    <row r="205" spans="2:8" x14ac:dyDescent="0.2">
      <c r="B205" s="8"/>
      <c r="C205" s="8"/>
      <c r="D205" s="8"/>
      <c r="E205" s="53"/>
      <c r="F205" s="8"/>
      <c r="G205" s="8"/>
      <c r="H205" s="35"/>
    </row>
    <row r="206" spans="2:8" x14ac:dyDescent="0.2">
      <c r="B206" s="8"/>
      <c r="C206" s="8"/>
      <c r="D206" s="8"/>
      <c r="E206" s="53"/>
      <c r="F206" s="8"/>
      <c r="G206" s="8"/>
      <c r="H206" s="35"/>
    </row>
    <row r="207" spans="2:8" x14ac:dyDescent="0.2">
      <c r="B207" s="8"/>
      <c r="C207" s="8"/>
      <c r="D207" s="8"/>
      <c r="E207" s="53"/>
      <c r="F207" s="8"/>
      <c r="G207" s="8"/>
      <c r="H207" s="35"/>
    </row>
    <row r="208" spans="2:8" x14ac:dyDescent="0.2">
      <c r="B208" s="8"/>
      <c r="C208" s="8"/>
      <c r="D208" s="8"/>
      <c r="E208" s="53"/>
      <c r="F208" s="8"/>
      <c r="G208" s="8"/>
      <c r="H208" s="35"/>
    </row>
    <row r="209" spans="2:8" x14ac:dyDescent="0.2">
      <c r="B209" s="8"/>
      <c r="C209" s="8"/>
      <c r="D209" s="8"/>
      <c r="E209" s="53"/>
      <c r="F209" s="8"/>
      <c r="G209" s="8"/>
      <c r="H209" s="35"/>
    </row>
    <row r="210" spans="2:8" x14ac:dyDescent="0.2">
      <c r="B210" s="8"/>
      <c r="C210" s="8"/>
      <c r="D210" s="8"/>
      <c r="E210" s="53"/>
      <c r="F210" s="8"/>
      <c r="G210" s="8"/>
      <c r="H210" s="35"/>
    </row>
    <row r="211" spans="2:8" x14ac:dyDescent="0.2">
      <c r="B211" s="8"/>
      <c r="C211" s="8"/>
      <c r="D211" s="8"/>
      <c r="E211" s="53"/>
      <c r="F211" s="8"/>
      <c r="G211" s="8"/>
      <c r="H211" s="35"/>
    </row>
    <row r="212" spans="2:8" x14ac:dyDescent="0.2">
      <c r="B212" s="8"/>
      <c r="C212" s="8"/>
      <c r="D212" s="8"/>
      <c r="E212" s="53"/>
      <c r="F212" s="8"/>
      <c r="G212" s="8"/>
      <c r="H212" s="35"/>
    </row>
    <row r="213" spans="2:8" x14ac:dyDescent="0.2">
      <c r="B213" s="8"/>
      <c r="C213" s="8"/>
      <c r="D213" s="8"/>
      <c r="E213" s="53"/>
      <c r="F213" s="8"/>
      <c r="G213" s="8"/>
      <c r="H213" s="35"/>
    </row>
    <row r="214" spans="2:8" x14ac:dyDescent="0.2">
      <c r="B214" s="8"/>
      <c r="C214" s="8"/>
      <c r="D214" s="8"/>
      <c r="E214" s="53"/>
      <c r="F214" s="8"/>
      <c r="G214" s="8"/>
      <c r="H214" s="35"/>
    </row>
    <row r="215" spans="2:8" x14ac:dyDescent="0.2">
      <c r="B215" s="8"/>
      <c r="C215" s="8"/>
      <c r="D215" s="8"/>
      <c r="E215" s="53"/>
      <c r="F215" s="8"/>
      <c r="G215" s="8"/>
      <c r="H215" s="35"/>
    </row>
    <row r="216" spans="2:8" x14ac:dyDescent="0.2">
      <c r="B216" s="8"/>
      <c r="C216" s="8"/>
      <c r="D216" s="8"/>
      <c r="E216" s="53"/>
      <c r="F216" s="8"/>
      <c r="G216" s="8"/>
      <c r="H216" s="35"/>
    </row>
    <row r="217" spans="2:8" x14ac:dyDescent="0.2">
      <c r="B217" s="8"/>
      <c r="C217" s="8"/>
      <c r="D217" s="8"/>
      <c r="E217" s="53"/>
      <c r="F217" s="8"/>
      <c r="G217" s="8"/>
      <c r="H217" s="35"/>
    </row>
    <row r="218" spans="2:8" x14ac:dyDescent="0.2">
      <c r="B218" s="8"/>
      <c r="C218" s="8"/>
      <c r="D218" s="8"/>
      <c r="E218" s="53"/>
      <c r="F218" s="8"/>
      <c r="G218" s="8"/>
      <c r="H218" s="35"/>
    </row>
    <row r="219" spans="2:8" x14ac:dyDescent="0.2">
      <c r="B219" s="8"/>
      <c r="C219" s="8"/>
      <c r="D219" s="8"/>
      <c r="E219" s="53"/>
      <c r="F219" s="8"/>
      <c r="G219" s="8"/>
      <c r="H219" s="35"/>
    </row>
    <row r="220" spans="2:8" x14ac:dyDescent="0.2">
      <c r="B220" s="8"/>
      <c r="C220" s="8"/>
      <c r="D220" s="8"/>
      <c r="E220" s="53"/>
      <c r="F220" s="8"/>
      <c r="G220" s="8"/>
      <c r="H220" s="35"/>
    </row>
    <row r="221" spans="2:8" x14ac:dyDescent="0.2">
      <c r="B221" s="8"/>
      <c r="C221" s="8"/>
      <c r="D221" s="8"/>
      <c r="E221" s="53"/>
      <c r="F221" s="8"/>
      <c r="G221" s="8"/>
      <c r="H221" s="35"/>
    </row>
    <row r="222" spans="2:8" x14ac:dyDescent="0.2">
      <c r="B222" s="8"/>
      <c r="C222" s="8"/>
      <c r="D222" s="8"/>
      <c r="E222" s="53"/>
      <c r="F222" s="8"/>
      <c r="G222" s="8"/>
      <c r="H222" s="35"/>
    </row>
    <row r="223" spans="2:8" x14ac:dyDescent="0.2">
      <c r="B223" s="8"/>
      <c r="C223" s="8"/>
      <c r="D223" s="8"/>
      <c r="E223" s="53"/>
      <c r="F223" s="8"/>
      <c r="G223" s="8"/>
      <c r="H223" s="35"/>
    </row>
    <row r="224" spans="2:8" x14ac:dyDescent="0.2">
      <c r="B224" s="8"/>
      <c r="C224" s="8"/>
      <c r="D224" s="8"/>
      <c r="E224" s="53"/>
      <c r="F224" s="8"/>
      <c r="G224" s="8"/>
      <c r="H224" s="35"/>
    </row>
    <row r="225" spans="2:8" x14ac:dyDescent="0.2">
      <c r="B225" s="8"/>
      <c r="C225" s="8"/>
      <c r="D225" s="8"/>
      <c r="E225" s="53"/>
      <c r="F225" s="8"/>
      <c r="G225" s="8"/>
      <c r="H225" s="35"/>
    </row>
    <row r="226" spans="2:8" x14ac:dyDescent="0.2">
      <c r="B226" s="8"/>
      <c r="C226" s="8"/>
      <c r="D226" s="8"/>
      <c r="E226" s="53"/>
      <c r="F226" s="8"/>
      <c r="G226" s="8"/>
      <c r="H226" s="35"/>
    </row>
    <row r="227" spans="2:8" x14ac:dyDescent="0.2">
      <c r="B227" s="8"/>
      <c r="C227" s="8"/>
      <c r="D227" s="8"/>
      <c r="E227" s="53"/>
      <c r="F227" s="8"/>
      <c r="G227" s="8"/>
      <c r="H227" s="35"/>
    </row>
    <row r="228" spans="2:8" x14ac:dyDescent="0.2">
      <c r="B228" s="8"/>
      <c r="C228" s="8"/>
      <c r="D228" s="8"/>
      <c r="E228" s="53"/>
      <c r="F228" s="8"/>
      <c r="G228" s="8"/>
      <c r="H228" s="35"/>
    </row>
    <row r="229" spans="2:8" x14ac:dyDescent="0.2">
      <c r="B229" s="8"/>
      <c r="C229" s="8"/>
      <c r="D229" s="8"/>
      <c r="E229" s="53"/>
      <c r="F229" s="8"/>
      <c r="G229" s="8"/>
      <c r="H229" s="35"/>
    </row>
    <row r="230" spans="2:8" x14ac:dyDescent="0.2">
      <c r="B230" s="8"/>
      <c r="C230" s="8"/>
      <c r="D230" s="8"/>
      <c r="E230" s="53"/>
      <c r="F230" s="8"/>
      <c r="G230" s="8"/>
      <c r="H230" s="35"/>
    </row>
    <row r="231" spans="2:8" x14ac:dyDescent="0.2">
      <c r="B231" s="8"/>
      <c r="C231" s="8"/>
      <c r="D231" s="8"/>
      <c r="E231" s="53"/>
      <c r="F231" s="8"/>
      <c r="G231" s="8"/>
      <c r="H231" s="35"/>
    </row>
    <row r="232" spans="2:8" x14ac:dyDescent="0.2">
      <c r="B232" s="8"/>
      <c r="C232" s="8"/>
      <c r="D232" s="8"/>
      <c r="E232" s="53"/>
      <c r="F232" s="8"/>
      <c r="G232" s="8"/>
      <c r="H232" s="35"/>
    </row>
    <row r="233" spans="2:8" x14ac:dyDescent="0.2">
      <c r="B233" s="8"/>
      <c r="C233" s="8"/>
      <c r="D233" s="8"/>
      <c r="E233" s="53"/>
      <c r="F233" s="8"/>
      <c r="G233" s="8"/>
      <c r="H233" s="35"/>
    </row>
    <row r="234" spans="2:8" x14ac:dyDescent="0.2">
      <c r="B234" s="8"/>
      <c r="C234" s="8"/>
      <c r="D234" s="8"/>
      <c r="E234" s="53"/>
      <c r="F234" s="8"/>
      <c r="G234" s="8"/>
      <c r="H234" s="35"/>
    </row>
    <row r="235" spans="2:8" x14ac:dyDescent="0.2">
      <c r="B235" s="8"/>
      <c r="C235" s="8"/>
      <c r="D235" s="8"/>
      <c r="E235" s="53"/>
      <c r="F235" s="8"/>
      <c r="G235" s="8"/>
      <c r="H235" s="35"/>
    </row>
    <row r="236" spans="2:8" x14ac:dyDescent="0.2">
      <c r="B236" s="8"/>
      <c r="C236" s="8"/>
      <c r="D236" s="8"/>
      <c r="E236" s="53"/>
      <c r="F236" s="8"/>
      <c r="G236" s="8"/>
      <c r="H236" s="35"/>
    </row>
    <row r="237" spans="2:8" x14ac:dyDescent="0.2">
      <c r="B237" s="8"/>
      <c r="C237" s="8"/>
      <c r="D237" s="8"/>
      <c r="E237" s="53"/>
      <c r="F237" s="8"/>
      <c r="G237" s="8"/>
      <c r="H237" s="35"/>
    </row>
    <row r="238" spans="2:8" x14ac:dyDescent="0.2">
      <c r="B238" s="8"/>
      <c r="C238" s="8"/>
      <c r="D238" s="8"/>
      <c r="E238" s="53"/>
      <c r="F238" s="8"/>
      <c r="G238" s="8"/>
      <c r="H238" s="35"/>
    </row>
    <row r="239" spans="2:8" x14ac:dyDescent="0.2">
      <c r="B239" s="8"/>
      <c r="C239" s="8"/>
      <c r="D239" s="8"/>
      <c r="E239" s="53"/>
      <c r="F239" s="8"/>
      <c r="G239" s="8"/>
      <c r="H239" s="35"/>
    </row>
    <row r="240" spans="2:8" x14ac:dyDescent="0.2">
      <c r="B240" s="8"/>
      <c r="C240" s="8"/>
      <c r="D240" s="8"/>
      <c r="E240" s="53"/>
      <c r="F240" s="8"/>
      <c r="G240" s="8"/>
      <c r="H240" s="35"/>
    </row>
    <row r="241" spans="2:8" x14ac:dyDescent="0.2">
      <c r="B241" s="8"/>
      <c r="C241" s="8"/>
      <c r="D241" s="8"/>
      <c r="E241" s="53"/>
      <c r="F241" s="8"/>
      <c r="G241" s="8"/>
      <c r="H241" s="35"/>
    </row>
    <row r="242" spans="2:8" x14ac:dyDescent="0.2">
      <c r="B242" s="8"/>
      <c r="C242" s="8"/>
      <c r="D242" s="8"/>
      <c r="E242" s="53"/>
      <c r="F242" s="8"/>
      <c r="G242" s="8"/>
      <c r="H242" s="35"/>
    </row>
    <row r="243" spans="2:8" x14ac:dyDescent="0.2">
      <c r="B243" s="8"/>
      <c r="C243" s="8"/>
      <c r="D243" s="8"/>
      <c r="E243" s="53"/>
      <c r="F243" s="8"/>
      <c r="G243" s="8"/>
      <c r="H243" s="35"/>
    </row>
    <row r="244" spans="2:8" x14ac:dyDescent="0.2">
      <c r="B244" s="8"/>
      <c r="C244" s="8"/>
      <c r="D244" s="8"/>
      <c r="E244" s="53"/>
      <c r="F244" s="8"/>
      <c r="G244" s="8"/>
      <c r="H244" s="35"/>
    </row>
    <row r="245" spans="2:8" x14ac:dyDescent="0.2">
      <c r="B245" s="8"/>
      <c r="C245" s="8"/>
      <c r="D245" s="8"/>
      <c r="E245" s="53"/>
      <c r="F245" s="8"/>
      <c r="G245" s="8"/>
      <c r="H245" s="35"/>
    </row>
    <row r="246" spans="2:8" x14ac:dyDescent="0.2">
      <c r="B246" s="8"/>
      <c r="C246" s="8"/>
      <c r="D246" s="8"/>
      <c r="E246" s="53"/>
      <c r="F246" s="8"/>
      <c r="G246" s="8"/>
      <c r="H246" s="35"/>
    </row>
    <row r="247" spans="2:8" x14ac:dyDescent="0.2">
      <c r="B247" s="8"/>
      <c r="C247" s="8"/>
      <c r="D247" s="8"/>
      <c r="E247" s="53"/>
      <c r="F247" s="8"/>
      <c r="G247" s="8"/>
      <c r="H247" s="35"/>
    </row>
    <row r="248" spans="2:8" x14ac:dyDescent="0.2">
      <c r="B248" s="8"/>
      <c r="C248" s="8"/>
      <c r="D248" s="8"/>
      <c r="E248" s="53"/>
      <c r="F248" s="8"/>
      <c r="G248" s="8"/>
      <c r="H248" s="35"/>
    </row>
    <row r="249" spans="2:8" x14ac:dyDescent="0.2">
      <c r="B249" s="8"/>
      <c r="C249" s="8"/>
      <c r="D249" s="8"/>
      <c r="E249" s="53"/>
      <c r="F249" s="8"/>
      <c r="G249" s="8"/>
      <c r="H249" s="35"/>
    </row>
    <row r="250" spans="2:8" x14ac:dyDescent="0.2">
      <c r="B250" s="8"/>
      <c r="C250" s="8"/>
      <c r="D250" s="8"/>
      <c r="E250" s="53"/>
      <c r="F250" s="8"/>
      <c r="G250" s="8"/>
      <c r="H250" s="35"/>
    </row>
    <row r="251" spans="2:8" x14ac:dyDescent="0.2">
      <c r="B251" s="8"/>
      <c r="C251" s="8"/>
      <c r="D251" s="8"/>
      <c r="E251" s="53"/>
      <c r="F251" s="8"/>
      <c r="G251" s="8"/>
      <c r="H251" s="35"/>
    </row>
    <row r="252" spans="2:8" x14ac:dyDescent="0.2">
      <c r="B252" s="8"/>
      <c r="C252" s="8"/>
      <c r="D252" s="8"/>
      <c r="E252" s="53"/>
      <c r="F252" s="8"/>
      <c r="G252" s="8"/>
      <c r="H252" s="35"/>
    </row>
    <row r="253" spans="2:8" x14ac:dyDescent="0.2">
      <c r="B253" s="8"/>
      <c r="C253" s="8"/>
      <c r="D253" s="8"/>
      <c r="E253" s="53"/>
      <c r="F253" s="8"/>
      <c r="G253" s="8"/>
      <c r="H253" s="35"/>
    </row>
    <row r="254" spans="2:8" x14ac:dyDescent="0.2">
      <c r="B254" s="8"/>
      <c r="C254" s="8"/>
      <c r="D254" s="8"/>
      <c r="E254" s="53"/>
      <c r="F254" s="8"/>
      <c r="G254" s="8"/>
      <c r="H254" s="35"/>
    </row>
    <row r="255" spans="2:8" x14ac:dyDescent="0.2">
      <c r="B255" s="8"/>
      <c r="C255" s="8"/>
      <c r="D255" s="8"/>
      <c r="E255" s="53"/>
      <c r="F255" s="8"/>
      <c r="G255" s="8"/>
      <c r="H255" s="35"/>
    </row>
    <row r="256" spans="2:8" x14ac:dyDescent="0.2">
      <c r="B256" s="8"/>
      <c r="C256" s="8"/>
      <c r="D256" s="8"/>
      <c r="E256" s="53"/>
      <c r="F256" s="8"/>
      <c r="G256" s="8"/>
      <c r="H256" s="35"/>
    </row>
    <row r="257" spans="2:8" x14ac:dyDescent="0.2">
      <c r="B257" s="8"/>
      <c r="C257" s="8"/>
      <c r="D257" s="8"/>
      <c r="E257" s="53"/>
      <c r="F257" s="8"/>
      <c r="G257" s="8"/>
      <c r="H257" s="35"/>
    </row>
    <row r="258" spans="2:8" x14ac:dyDescent="0.2">
      <c r="B258" s="8"/>
      <c r="C258" s="8"/>
      <c r="D258" s="8"/>
      <c r="E258" s="53"/>
      <c r="F258" s="8"/>
      <c r="G258" s="8"/>
      <c r="H258" s="35"/>
    </row>
    <row r="259" spans="2:8" x14ac:dyDescent="0.2">
      <c r="B259" s="8"/>
      <c r="C259" s="8"/>
      <c r="D259" s="8"/>
      <c r="E259" s="53"/>
      <c r="F259" s="8"/>
      <c r="G259" s="8"/>
      <c r="H259" s="35"/>
    </row>
    <row r="260" spans="2:8" x14ac:dyDescent="0.2">
      <c r="B260" s="8"/>
      <c r="C260" s="8"/>
      <c r="D260" s="8"/>
      <c r="E260" s="53"/>
      <c r="F260" s="8"/>
      <c r="G260" s="8"/>
      <c r="H260" s="35"/>
    </row>
    <row r="261" spans="2:8" x14ac:dyDescent="0.2">
      <c r="B261" s="8"/>
      <c r="C261" s="8"/>
      <c r="D261" s="8"/>
      <c r="E261" s="53"/>
      <c r="F261" s="8"/>
      <c r="G261" s="8"/>
      <c r="H261" s="35"/>
    </row>
    <row r="262" spans="2:8" x14ac:dyDescent="0.2">
      <c r="B262" s="8"/>
      <c r="C262" s="8"/>
      <c r="D262" s="8"/>
      <c r="E262" s="53"/>
      <c r="F262" s="8"/>
      <c r="G262" s="8"/>
      <c r="H262" s="35"/>
    </row>
    <row r="263" spans="2:8" x14ac:dyDescent="0.2">
      <c r="B263" s="8"/>
      <c r="C263" s="8"/>
      <c r="D263" s="8"/>
      <c r="E263" s="53"/>
      <c r="F263" s="8"/>
      <c r="G263" s="8"/>
      <c r="H263" s="35"/>
    </row>
    <row r="264" spans="2:8" x14ac:dyDescent="0.2">
      <c r="B264" s="8"/>
      <c r="C264" s="8"/>
      <c r="D264" s="8"/>
      <c r="E264" s="53"/>
      <c r="F264" s="8"/>
      <c r="G264" s="8"/>
      <c r="H264" s="35"/>
    </row>
    <row r="265" spans="2:8" x14ac:dyDescent="0.2">
      <c r="B265" s="8"/>
      <c r="C265" s="8"/>
      <c r="D265" s="8"/>
      <c r="E265" s="53"/>
      <c r="F265" s="8"/>
      <c r="G265" s="8"/>
      <c r="H265" s="35"/>
    </row>
    <row r="266" spans="2:8" x14ac:dyDescent="0.2">
      <c r="B266" s="8"/>
      <c r="C266" s="8"/>
      <c r="D266" s="8"/>
      <c r="E266" s="53"/>
      <c r="F266" s="8"/>
      <c r="G266" s="8"/>
      <c r="H266" s="35"/>
    </row>
    <row r="267" spans="2:8" x14ac:dyDescent="0.2">
      <c r="B267" s="8"/>
      <c r="C267" s="8"/>
      <c r="D267" s="8"/>
      <c r="E267" s="53"/>
      <c r="F267" s="8"/>
      <c r="G267" s="8"/>
      <c r="H267" s="35"/>
    </row>
  </sheetData>
  <protectedRanges>
    <protectedRange sqref="C7 C22 C37 C52 C67 C82 E52" name="Диапазон1"/>
  </protectedRanges>
  <customSheetViews>
    <customSheetView guid="{788B8383-784A-4263-9D04-45657AC129FF}" hiddenColumns="1">
      <pageMargins left="0.39370078740157483" right="0.39370078740157483" top="0.78740157480314965" bottom="0.78740157480314965" header="0.51181102362204722" footer="0.51181102362204722"/>
      <pageSetup paperSize="9" orientation="portrait" r:id="rId1"/>
      <headerFooter alignWithMargins="0"/>
    </customSheetView>
  </customSheetViews>
  <mergeCells count="28">
    <mergeCell ref="H54:H62"/>
    <mergeCell ref="B53:B62"/>
    <mergeCell ref="D99:G99"/>
    <mergeCell ref="B101:B103"/>
    <mergeCell ref="B80:G80"/>
    <mergeCell ref="D81:G81"/>
    <mergeCell ref="B83:B94"/>
    <mergeCell ref="H84:H94"/>
    <mergeCell ref="H69:H78"/>
    <mergeCell ref="B65:G65"/>
    <mergeCell ref="D66:G66"/>
    <mergeCell ref="B68:B78"/>
    <mergeCell ref="B97:G98"/>
    <mergeCell ref="H39:H47"/>
    <mergeCell ref="B34:G35"/>
    <mergeCell ref="B50:G50"/>
    <mergeCell ref="D36:G36"/>
    <mergeCell ref="D51:G51"/>
    <mergeCell ref="B38:B47"/>
    <mergeCell ref="T7:U8"/>
    <mergeCell ref="B4:G5"/>
    <mergeCell ref="H24:H31"/>
    <mergeCell ref="B19:G20"/>
    <mergeCell ref="H9:H16"/>
    <mergeCell ref="D21:G21"/>
    <mergeCell ref="D6:G6"/>
    <mergeCell ref="B8:B16"/>
    <mergeCell ref="B23:B31"/>
  </mergeCells>
  <phoneticPr fontId="2" type="noConversion"/>
  <dataValidations xWindow="242" yWindow="162" count="5">
    <dataValidation type="list" errorStyle="warning" allowBlank="1" showInputMessage="1" showErrorMessage="1" errorTitle="ОШИБКА!" error="Такой глубины ящика нет. Внимательно читаем каталог или ориентируемся на всплывающие подсказки!_x000a_" sqref="C52" xr:uid="{00000000-0002-0000-0600-000000000000}">
      <formula1>$K$24:$K$32</formula1>
    </dataValidation>
    <dataValidation type="list" errorStyle="warning" allowBlank="1" showInputMessage="1" showErrorMessage="1" errorTitle="ОШИБКА!" error="Такой глубины ящика нет. Внимательно читаем каталог или ориентируемся на всплывающие подсказки!" sqref="C82 C67" xr:uid="{00000000-0002-0000-0600-000001000000}">
      <formula1>$K$27:$K$32</formula1>
    </dataValidation>
    <dataValidation type="list" allowBlank="1" showInputMessage="1" showErrorMessage="1" sqref="C100" xr:uid="{00000000-0002-0000-0600-000002000000}">
      <formula1>$K$12:$K$13</formula1>
    </dataValidation>
    <dataValidation type="list" errorStyle="warning" allowBlank="1" showInputMessage="1" showErrorMessage="1" errorTitle="ОШИБКА!" error="Такой глубины ящик не предусмотрен. Внимательно читаем каталог или смотрим всплывающие подсказки!_x000a_" prompt="ВВОДИМ ГЛУБИНУ:" sqref="C7" xr:uid="{00000000-0002-0000-0600-000003000000}">
      <formula1>$K$11:$K$13</formula1>
    </dataValidation>
    <dataValidation type="list" errorStyle="warning" allowBlank="1" showInputMessage="1" showErrorMessage="1" errorTitle="ОШИБКА!" error="Такой глубины ящика нет. Внимательно читаем каталог или ориентируемся на всплывающие подсказки!" sqref="C37 C22" xr:uid="{00000000-0002-0000-0600-000004000000}">
      <formula1>$K$24:$K$32</formula1>
    </dataValidation>
  </dataValidations>
  <hyperlinks>
    <hyperlink ref="S10:U10" location="'3.2'!A1" display="→" xr:uid="{00000000-0004-0000-0600-000000000000}"/>
    <hyperlink ref="S11:U11" location="'3.3'!A1" display="→" xr:uid="{00000000-0004-0000-0600-000001000000}"/>
    <hyperlink ref="S12:U12" location="'3.4'!A1" display="→" xr:uid="{00000000-0004-0000-0600-000002000000}"/>
    <hyperlink ref="S13:U13" location="'3.5'!A1" display="→" xr:uid="{00000000-0004-0000-0600-000003000000}"/>
    <hyperlink ref="S14:U14" location="'3.6'!A1" display="→" xr:uid="{00000000-0004-0000-0600-000004000000}"/>
    <hyperlink ref="S15:U15" location="'3.7'!A1" display="→" xr:uid="{00000000-0004-0000-0600-000005000000}"/>
    <hyperlink ref="S16:U16" location="'3.8'!A1" display="→" xr:uid="{00000000-0004-0000-0600-000006000000}"/>
    <hyperlink ref="S19:U19" location="СОДЕРЖАНИЕ!A1" display="←" xr:uid="{00000000-0004-0000-0600-000007000000}"/>
    <hyperlink ref="S17" location="'3.8'!A1" display="→" xr:uid="{00000000-0004-0000-0600-000008000000}"/>
    <hyperlink ref="T17:U17" location="'3.11'!A1" display="Tip-On Blumotion" xr:uid="{00000000-0004-0000-0600-000009000000}"/>
  </hyperlinks>
  <pageMargins left="0.39370078740157483" right="0.39370078740157483" top="0.78740157480314965" bottom="0.78740157480314965" header="0.51181102362204722" footer="0.51181102362204722"/>
  <pageSetup paperSize="9" orientation="portrait" r:id="rId2"/>
  <headerFooter alignWithMargins="0"/>
  <ignoredErrors>
    <ignoredError sqref="C26:D26 C41 C71:D71 D55:D57 C56 D40:D42 D27 G25:G26 G27 D25 G40 G42 G55 G57 G70 D70 D72 G72 D85:D87 G85 G87" formula="1"/>
  </ignoredErrors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Лист7"/>
  <dimension ref="A1:BH140"/>
  <sheetViews>
    <sheetView topLeftCell="A19" zoomScaleNormal="100" zoomScaleSheetLayoutView="100" workbookViewId="0">
      <selection activeCell="D73" sqref="D73"/>
    </sheetView>
  </sheetViews>
  <sheetFormatPr defaultRowHeight="12.75" x14ac:dyDescent="0.2"/>
  <cols>
    <col min="1" max="1" width="3.7109375" style="8" customWidth="1"/>
    <col min="2" max="2" width="30.7109375" style="8" customWidth="1"/>
    <col min="3" max="3" width="9.42578125" customWidth="1"/>
    <col min="4" max="4" width="42.28515625" customWidth="1"/>
    <col min="5" max="5" width="3.28515625" style="10" customWidth="1"/>
    <col min="6" max="6" width="6.28515625" style="6" hidden="1" customWidth="1"/>
    <col min="7" max="7" width="6.5703125" style="104" bestFit="1" customWidth="1"/>
    <col min="8" max="8" width="9.140625" style="20"/>
    <col min="9" max="9" width="9.140625" style="8"/>
    <col min="10" max="10" width="9.140625" style="8" hidden="1" customWidth="1"/>
    <col min="11" max="11" width="12.7109375" style="8" bestFit="1" customWidth="1"/>
    <col min="12" max="12" width="21.85546875" style="8" customWidth="1"/>
    <col min="13" max="13" width="5" style="8" customWidth="1"/>
    <col min="14" max="20" width="9.140625" style="8"/>
    <col min="21" max="51" width="9.140625" style="771"/>
  </cols>
  <sheetData>
    <row r="1" spans="1:60" s="771" customFormat="1" ht="21" thickBot="1" x14ac:dyDescent="0.35">
      <c r="A1" s="1143"/>
      <c r="B1" s="1310" t="s">
        <v>3452</v>
      </c>
      <c r="C1" s="1303"/>
      <c r="D1" s="1303"/>
      <c r="E1" s="1304"/>
      <c r="F1" s="1305"/>
      <c r="G1" s="1306"/>
      <c r="H1" s="1307"/>
      <c r="BG1" s="782"/>
      <c r="BH1" s="782"/>
    </row>
    <row r="2" spans="1:60" s="771" customFormat="1" ht="6" customHeight="1" x14ac:dyDescent="0.2">
      <c r="A2" s="1143"/>
      <c r="B2" s="916"/>
      <c r="C2" s="916"/>
      <c r="D2" s="916"/>
      <c r="E2" s="1144"/>
      <c r="F2" s="916"/>
      <c r="G2" s="1145"/>
      <c r="H2" s="887"/>
      <c r="BG2" s="782"/>
      <c r="BH2" s="782"/>
    </row>
    <row r="3" spans="1:60" s="8" customFormat="1" ht="8.1" customHeight="1" thickBot="1" x14ac:dyDescent="0.25">
      <c r="E3" s="53"/>
      <c r="F3" s="37"/>
      <c r="G3" s="60"/>
      <c r="H3" s="35"/>
      <c r="U3" s="771"/>
      <c r="V3" s="771"/>
      <c r="W3" s="771"/>
      <c r="X3" s="771"/>
      <c r="Y3" s="771"/>
      <c r="Z3" s="771"/>
      <c r="AA3" s="771"/>
      <c r="AB3" s="771"/>
      <c r="AC3" s="771"/>
      <c r="AD3" s="771"/>
      <c r="AE3" s="771"/>
      <c r="AF3" s="771"/>
      <c r="AG3" s="771"/>
      <c r="AH3" s="771"/>
      <c r="AI3" s="771"/>
      <c r="AJ3" s="771"/>
      <c r="AK3" s="771"/>
      <c r="AL3" s="771"/>
      <c r="AM3" s="771"/>
      <c r="AN3" s="771"/>
      <c r="AO3" s="771"/>
      <c r="AP3" s="771"/>
      <c r="AQ3" s="771"/>
      <c r="AR3" s="771"/>
      <c r="AS3" s="771"/>
      <c r="AT3" s="771"/>
      <c r="AU3" s="771"/>
      <c r="AV3" s="771"/>
      <c r="AW3" s="771"/>
      <c r="AX3" s="771"/>
      <c r="AY3" s="771"/>
    </row>
    <row r="4" spans="1:60" ht="20.100000000000001" customHeight="1" x14ac:dyDescent="0.2">
      <c r="B4" s="2015" t="s">
        <v>2118</v>
      </c>
      <c r="C4" s="2016"/>
      <c r="D4" s="2016"/>
      <c r="E4" s="2016"/>
      <c r="F4" s="2016"/>
      <c r="G4" s="2016"/>
      <c r="H4" s="427"/>
    </row>
    <row r="5" spans="1:60" ht="20.100000000000001" customHeight="1" x14ac:dyDescent="0.2">
      <c r="A5" s="17"/>
      <c r="B5" s="2018"/>
      <c r="C5" s="2019"/>
      <c r="D5" s="2019"/>
      <c r="E5" s="2019"/>
      <c r="F5" s="2019"/>
      <c r="G5" s="2019"/>
      <c r="H5" s="426"/>
    </row>
    <row r="6" spans="1:60" ht="12.75" customHeight="1" x14ac:dyDescent="0.2">
      <c r="A6" s="17"/>
      <c r="B6" s="425" t="s">
        <v>2204</v>
      </c>
      <c r="C6" s="2095" t="s">
        <v>1952</v>
      </c>
      <c r="D6" s="2095"/>
      <c r="E6" s="2095"/>
      <c r="F6" s="2095"/>
      <c r="G6" s="2095"/>
      <c r="H6" s="426"/>
      <c r="L6" s="2087" t="s">
        <v>1181</v>
      </c>
      <c r="M6" s="2087"/>
    </row>
    <row r="7" spans="1:60" ht="15.75" thickBot="1" x14ac:dyDescent="0.25">
      <c r="A7" s="17"/>
      <c r="B7" s="410" t="s">
        <v>1639</v>
      </c>
      <c r="C7" s="98">
        <v>500</v>
      </c>
      <c r="D7" s="97" t="s">
        <v>1689</v>
      </c>
      <c r="E7" s="97"/>
      <c r="F7" s="97"/>
      <c r="G7" s="97"/>
      <c r="H7" s="376" t="s">
        <v>1850</v>
      </c>
      <c r="L7" s="2088"/>
      <c r="M7" s="2088"/>
    </row>
    <row r="8" spans="1:60" x14ac:dyDescent="0.2">
      <c r="A8" s="17"/>
      <c r="B8" s="2029"/>
      <c r="C8" s="2" t="str">
        <f>VLOOKUP($C$7,tbxM,2,FALSE)</f>
        <v>3863588/</v>
      </c>
      <c r="D8" s="43" t="str">
        <f t="shared" ref="D8:D17" si="0">VLOOKUP(C8,всецены,2,FALSE)</f>
        <v xml:space="preserve">TBX, Царга 83/500 мм, сер, лев. NEW     </v>
      </c>
      <c r="E8" s="3">
        <v>1</v>
      </c>
      <c r="F8" s="72">
        <f t="shared" ref="F8:F17" si="1">VLOOKUP(C8,всецены,4,FALSE)</f>
        <v>417.17796120000003</v>
      </c>
      <c r="G8" s="14">
        <f>F8*E8</f>
        <v>417.17796120000003</v>
      </c>
      <c r="H8" s="2089">
        <f>SUM(G8:G17)</f>
        <v>2901.5418432000001</v>
      </c>
      <c r="J8" s="8">
        <v>270</v>
      </c>
      <c r="K8" s="943" t="s">
        <v>1813</v>
      </c>
      <c r="L8" s="929" t="s">
        <v>2253</v>
      </c>
      <c r="M8" s="930" t="s">
        <v>2229</v>
      </c>
    </row>
    <row r="9" spans="1:60" x14ac:dyDescent="0.2">
      <c r="A9" s="17"/>
      <c r="B9" s="2030"/>
      <c r="C9" s="2" t="str">
        <f>IF($C$7=600,"-",VLOOKUP($C$7,tbxM,3,FALSE))</f>
        <v>3852259/</v>
      </c>
      <c r="D9" s="43" t="str">
        <f>IF($C$7=600,"-",VLOOKUP(C9,всецены,2,FALSE))</f>
        <v xml:space="preserve">TBX, Царга 83/500 мм, сер, пр. NEW      </v>
      </c>
      <c r="E9" s="3">
        <v>1</v>
      </c>
      <c r="F9" s="72">
        <f t="shared" si="1"/>
        <v>417.17796120000003</v>
      </c>
      <c r="G9" s="14">
        <f>IF($C$7=600,0,F9*E9)</f>
        <v>417.17796120000003</v>
      </c>
      <c r="H9" s="2089"/>
      <c r="J9" s="8">
        <v>300</v>
      </c>
      <c r="K9" s="943" t="s">
        <v>1813</v>
      </c>
      <c r="L9" s="929" t="s">
        <v>5207</v>
      </c>
      <c r="M9" s="925" t="s">
        <v>5192</v>
      </c>
    </row>
    <row r="10" spans="1:60" x14ac:dyDescent="0.2">
      <c r="A10" s="17"/>
      <c r="B10" s="2030"/>
      <c r="C10" s="2" t="str">
        <f>VLOOKUP($C$7,tbxM,4,FALSE)</f>
        <v>8716527/</v>
      </c>
      <c r="D10" s="43" t="str">
        <f t="shared" si="0"/>
        <v>TBX, Напр. с BM, 30 кг, 500 мм, лев. NEW</v>
      </c>
      <c r="E10" s="3">
        <v>1</v>
      </c>
      <c r="F10" s="72">
        <f t="shared" si="1"/>
        <v>424.49687280000001</v>
      </c>
      <c r="G10" s="14">
        <f t="shared" ref="G10:G17" si="2">F10*E10</f>
        <v>424.49687280000001</v>
      </c>
      <c r="H10" s="2089"/>
      <c r="J10" s="8">
        <v>350</v>
      </c>
      <c r="K10" s="926" t="s">
        <v>2812</v>
      </c>
      <c r="L10" s="927" t="s">
        <v>2262</v>
      </c>
      <c r="M10" s="931"/>
    </row>
    <row r="11" spans="1:60" x14ac:dyDescent="0.2">
      <c r="A11" s="17"/>
      <c r="B11" s="2030"/>
      <c r="C11" s="2" t="str">
        <f>IF($C$7=600,"-",VLOOKUP($C$7,tbxM,5,FALSE))</f>
        <v>8709485/</v>
      </c>
      <c r="D11" s="43" t="str">
        <f>IF($C$7=600,"-",VLOOKUP(C11,всецены,2,FALSE))</f>
        <v xml:space="preserve">TBX, Напр. с BM, 30 кг, 500 мм, пр. NEW </v>
      </c>
      <c r="E11" s="3">
        <v>1</v>
      </c>
      <c r="F11" s="72">
        <f t="shared" si="1"/>
        <v>424.49687280000001</v>
      </c>
      <c r="G11" s="14">
        <f>IF($C$7=600,0,F11*E11)</f>
        <v>424.49687280000001</v>
      </c>
      <c r="H11" s="2089"/>
      <c r="J11" s="8">
        <v>400</v>
      </c>
      <c r="K11" s="943" t="s">
        <v>1813</v>
      </c>
      <c r="L11" s="922" t="s">
        <v>2263</v>
      </c>
      <c r="M11" s="923" t="s">
        <v>2231</v>
      </c>
    </row>
    <row r="12" spans="1:60" x14ac:dyDescent="0.2">
      <c r="A12" s="17"/>
      <c r="B12" s="2030"/>
      <c r="C12" s="66" t="s">
        <v>299</v>
      </c>
      <c r="D12" s="43" t="str">
        <f t="shared" si="0"/>
        <v>TBX, Загл. с лого, сер, симм ZAA.330C.BL</v>
      </c>
      <c r="E12" s="3">
        <v>2</v>
      </c>
      <c r="F12" s="72">
        <f t="shared" si="1"/>
        <v>8.9453364000000004</v>
      </c>
      <c r="G12" s="14">
        <f t="shared" si="2"/>
        <v>17.890672800000001</v>
      </c>
      <c r="H12" s="2089"/>
      <c r="J12" s="8">
        <v>450</v>
      </c>
      <c r="K12" s="943" t="s">
        <v>1813</v>
      </c>
      <c r="L12" s="924" t="s">
        <v>2264</v>
      </c>
      <c r="M12" s="925" t="s">
        <v>2232</v>
      </c>
    </row>
    <row r="13" spans="1:60" x14ac:dyDescent="0.2">
      <c r="A13" s="17"/>
      <c r="B13" s="2030"/>
      <c r="C13" s="66" t="s">
        <v>87</v>
      </c>
      <c r="D13" s="43" t="str">
        <f t="shared" si="0"/>
        <v>TBX, Крепл п/пан вн, 96мм, лев, ZIF.70M0</v>
      </c>
      <c r="E13" s="3">
        <v>1</v>
      </c>
      <c r="F13" s="72">
        <f t="shared" si="1"/>
        <v>53.672018400000006</v>
      </c>
      <c r="G13" s="14">
        <f t="shared" si="2"/>
        <v>53.672018400000006</v>
      </c>
      <c r="H13" s="2089"/>
      <c r="J13" s="8">
        <v>500</v>
      </c>
      <c r="K13" s="943" t="s">
        <v>1813</v>
      </c>
      <c r="L13" s="924" t="s">
        <v>2251</v>
      </c>
      <c r="M13" s="925" t="s">
        <v>2233</v>
      </c>
    </row>
    <row r="14" spans="1:60" x14ac:dyDescent="0.2">
      <c r="A14" s="17"/>
      <c r="B14" s="2030"/>
      <c r="C14" s="66" t="s">
        <v>88</v>
      </c>
      <c r="D14" s="43" t="str">
        <f t="shared" si="0"/>
        <v xml:space="preserve">TBX, Крепл п/пан вн, 96мм, пр. ZIF.70M0 </v>
      </c>
      <c r="E14" s="3">
        <v>1</v>
      </c>
      <c r="F14" s="72">
        <f t="shared" si="1"/>
        <v>53.672018400000006</v>
      </c>
      <c r="G14" s="14">
        <f t="shared" si="2"/>
        <v>53.672018400000006</v>
      </c>
      <c r="H14" s="2089"/>
      <c r="J14" s="8">
        <v>550</v>
      </c>
      <c r="K14" s="943" t="s">
        <v>1813</v>
      </c>
      <c r="L14" s="924" t="s">
        <v>2403</v>
      </c>
      <c r="M14" s="925" t="s">
        <v>2234</v>
      </c>
    </row>
    <row r="15" spans="1:60" x14ac:dyDescent="0.2">
      <c r="A15" s="17"/>
      <c r="B15" s="2030"/>
      <c r="C15" s="66" t="s">
        <v>89</v>
      </c>
      <c r="D15" s="43" t="str">
        <f t="shared" si="0"/>
        <v>TBX, Перед. панель 1081мм сер, Z31A1081A</v>
      </c>
      <c r="E15" s="3">
        <v>1</v>
      </c>
      <c r="F15" s="72">
        <f t="shared" si="1"/>
        <v>1024.647624</v>
      </c>
      <c r="G15" s="14">
        <f t="shared" si="2"/>
        <v>1024.647624</v>
      </c>
      <c r="H15" s="2089"/>
      <c r="J15" s="8">
        <v>600</v>
      </c>
      <c r="K15" s="943" t="s">
        <v>1813</v>
      </c>
      <c r="L15" s="924" t="s">
        <v>2252</v>
      </c>
      <c r="M15" s="925" t="s">
        <v>2235</v>
      </c>
    </row>
    <row r="16" spans="1:60" x14ac:dyDescent="0.2">
      <c r="A16" s="17"/>
      <c r="B16" s="2030"/>
      <c r="C16" s="66" t="s">
        <v>1628</v>
      </c>
      <c r="D16" s="43" t="str">
        <f t="shared" si="0"/>
        <v xml:space="preserve">TBX, Держат. задн. ст, 96 мм, сер, пр.  </v>
      </c>
      <c r="E16" s="3">
        <v>1</v>
      </c>
      <c r="F16" s="72">
        <f t="shared" si="1"/>
        <v>34.154920799999999</v>
      </c>
      <c r="G16" s="14">
        <f t="shared" si="2"/>
        <v>34.154920799999999</v>
      </c>
      <c r="H16" s="2089"/>
      <c r="K16" s="943" t="s">
        <v>1813</v>
      </c>
      <c r="L16" s="924" t="s">
        <v>2265</v>
      </c>
      <c r="M16" s="925" t="s">
        <v>2240</v>
      </c>
    </row>
    <row r="17" spans="1:51" ht="13.5" customHeight="1" x14ac:dyDescent="0.2">
      <c r="A17" s="17"/>
      <c r="B17" s="2037"/>
      <c r="C17" s="66" t="s">
        <v>1630</v>
      </c>
      <c r="D17" s="43" t="str">
        <f t="shared" si="0"/>
        <v xml:space="preserve">TBX, Держат. задн. ст, 96 мм, сер, лев. </v>
      </c>
      <c r="E17" s="3">
        <v>1</v>
      </c>
      <c r="F17" s="72">
        <f t="shared" si="1"/>
        <v>34.154920799999999</v>
      </c>
      <c r="G17" s="14">
        <f t="shared" si="2"/>
        <v>34.154920799999999</v>
      </c>
      <c r="H17" s="2089"/>
      <c r="K17" s="945"/>
      <c r="M17" s="106" t="s">
        <v>2822</v>
      </c>
    </row>
    <row r="18" spans="1:51" ht="15.75" x14ac:dyDescent="0.25">
      <c r="A18" s="17"/>
      <c r="B18" s="433"/>
      <c r="C18" s="28"/>
      <c r="D18" s="28"/>
      <c r="E18" s="32"/>
      <c r="F18" s="28"/>
      <c r="G18" s="89"/>
      <c r="H18" s="437"/>
      <c r="K18" s="944" t="s">
        <v>1815</v>
      </c>
      <c r="L18" s="934" t="s">
        <v>2813</v>
      </c>
      <c r="M18" s="933"/>
    </row>
    <row r="19" spans="1:51" x14ac:dyDescent="0.2">
      <c r="A19" s="17"/>
      <c r="B19" s="2106" t="s">
        <v>1650</v>
      </c>
      <c r="C19" s="2107"/>
      <c r="D19" s="2107"/>
      <c r="E19" s="2107"/>
      <c r="F19" s="2107"/>
      <c r="G19" s="2107"/>
      <c r="H19" s="426"/>
    </row>
    <row r="20" spans="1:51" x14ac:dyDescent="0.2">
      <c r="A20" s="17"/>
      <c r="B20" s="2106"/>
      <c r="C20" s="2107"/>
      <c r="D20" s="2107"/>
      <c r="E20" s="2107"/>
      <c r="F20" s="2107"/>
      <c r="G20" s="2107"/>
      <c r="H20" s="426"/>
    </row>
    <row r="21" spans="1:51" ht="12.75" customHeight="1" x14ac:dyDescent="0.2">
      <c r="A21" s="17"/>
      <c r="B21" s="2029"/>
      <c r="C21" s="131"/>
      <c r="D21" s="2105" t="s">
        <v>1650</v>
      </c>
      <c r="E21" s="2105"/>
      <c r="F21" s="2105"/>
      <c r="G21" s="2105"/>
      <c r="H21" s="376" t="s">
        <v>1850</v>
      </c>
    </row>
    <row r="22" spans="1:51" x14ac:dyDescent="0.2">
      <c r="A22" s="17"/>
      <c r="B22" s="2030"/>
      <c r="C22" s="142" t="s">
        <v>690</v>
      </c>
      <c r="D22" s="4" t="s">
        <v>99</v>
      </c>
      <c r="E22" s="70">
        <v>1</v>
      </c>
      <c r="F22" s="62">
        <f>VLOOKUP(C22,всецены,4,FALSE)</f>
        <v>468.41034240000005</v>
      </c>
      <c r="G22" s="102">
        <f>F22</f>
        <v>468.41034240000005</v>
      </c>
      <c r="H22" s="428">
        <f>F22</f>
        <v>468.41034240000005</v>
      </c>
    </row>
    <row r="23" spans="1:51" ht="13.5" thickBot="1" x14ac:dyDescent="0.25">
      <c r="A23" s="17"/>
      <c r="B23" s="2031"/>
      <c r="C23" s="454" t="s">
        <v>1662</v>
      </c>
      <c r="D23" s="455" t="s">
        <v>689</v>
      </c>
      <c r="E23" s="456">
        <v>1</v>
      </c>
      <c r="F23" s="457">
        <f>VLOOKUP(C23,всецены,4,FALSE)</f>
        <v>303.32822520000002</v>
      </c>
      <c r="G23" s="458">
        <f>F23</f>
        <v>303.32822520000002</v>
      </c>
      <c r="H23" s="431">
        <f>F23</f>
        <v>303.32822520000002</v>
      </c>
    </row>
    <row r="24" spans="1:51" s="8" customFormat="1" ht="12.75" customHeight="1" x14ac:dyDescent="0.2">
      <c r="A24" s="17"/>
      <c r="B24" s="17"/>
      <c r="C24" s="444"/>
      <c r="D24" s="445"/>
      <c r="E24" s="446"/>
      <c r="F24" s="447"/>
      <c r="G24" s="448"/>
      <c r="H24" s="19"/>
      <c r="U24" s="771"/>
      <c r="V24" s="771"/>
      <c r="W24" s="771"/>
      <c r="X24" s="771"/>
      <c r="Y24" s="771"/>
      <c r="Z24" s="771"/>
      <c r="AA24" s="771"/>
      <c r="AB24" s="771"/>
      <c r="AC24" s="771"/>
      <c r="AD24" s="771"/>
      <c r="AE24" s="771"/>
      <c r="AF24" s="771"/>
      <c r="AG24" s="771"/>
      <c r="AH24" s="771"/>
      <c r="AI24" s="771"/>
      <c r="AJ24" s="771"/>
      <c r="AK24" s="771"/>
      <c r="AL24" s="771"/>
      <c r="AM24" s="771"/>
      <c r="AN24" s="771"/>
      <c r="AO24" s="771"/>
      <c r="AP24" s="771"/>
      <c r="AQ24" s="771"/>
      <c r="AR24" s="771"/>
      <c r="AS24" s="771"/>
      <c r="AT24" s="771"/>
      <c r="AU24" s="771"/>
      <c r="AV24" s="771"/>
      <c r="AW24" s="771"/>
      <c r="AX24" s="771"/>
      <c r="AY24" s="771"/>
    </row>
    <row r="25" spans="1:51" s="8" customFormat="1" ht="12.75" customHeight="1" thickBot="1" x14ac:dyDescent="0.25">
      <c r="C25" s="99"/>
      <c r="D25" s="33"/>
      <c r="E25" s="100"/>
      <c r="F25" s="101"/>
      <c r="G25" s="103"/>
      <c r="H25" s="19"/>
      <c r="U25" s="771"/>
      <c r="V25" s="771"/>
      <c r="W25" s="771"/>
      <c r="X25" s="771"/>
      <c r="Y25" s="771"/>
      <c r="Z25" s="771"/>
      <c r="AA25" s="771"/>
      <c r="AB25" s="771"/>
      <c r="AC25" s="771"/>
      <c r="AD25" s="771"/>
      <c r="AE25" s="771"/>
      <c r="AF25" s="771"/>
      <c r="AG25" s="771"/>
      <c r="AH25" s="771"/>
      <c r="AI25" s="771"/>
      <c r="AJ25" s="771"/>
      <c r="AK25" s="771"/>
      <c r="AL25" s="771"/>
      <c r="AM25" s="771"/>
      <c r="AN25" s="771"/>
      <c r="AO25" s="771"/>
      <c r="AP25" s="771"/>
      <c r="AQ25" s="771"/>
      <c r="AR25" s="771"/>
      <c r="AS25" s="771"/>
      <c r="AT25" s="771"/>
      <c r="AU25" s="771"/>
      <c r="AV25" s="771"/>
      <c r="AW25" s="771"/>
      <c r="AX25" s="771"/>
      <c r="AY25" s="771"/>
    </row>
    <row r="26" spans="1:51" ht="39.950000000000003" customHeight="1" x14ac:dyDescent="0.2">
      <c r="B26" s="2015" t="s">
        <v>2119</v>
      </c>
      <c r="C26" s="2016"/>
      <c r="D26" s="2016"/>
      <c r="E26" s="2016"/>
      <c r="F26" s="2016"/>
      <c r="G26" s="2016"/>
      <c r="H26" s="427"/>
    </row>
    <row r="27" spans="1:51" ht="12.75" customHeight="1" x14ac:dyDescent="0.2">
      <c r="A27" s="17"/>
      <c r="B27" s="425" t="s">
        <v>2204</v>
      </c>
      <c r="C27" s="28"/>
      <c r="D27" s="28"/>
      <c r="E27" s="32"/>
      <c r="F27" s="28"/>
      <c r="G27" s="85" t="s">
        <v>1952</v>
      </c>
      <c r="H27" s="426"/>
    </row>
    <row r="28" spans="1:51" ht="15.75" thickBot="1" x14ac:dyDescent="0.25">
      <c r="A28" s="17"/>
      <c r="B28" s="410" t="s">
        <v>1639</v>
      </c>
      <c r="C28" s="98">
        <v>500</v>
      </c>
      <c r="D28" s="97" t="s">
        <v>1689</v>
      </c>
      <c r="E28" s="97"/>
      <c r="F28" s="97"/>
      <c r="G28" s="97"/>
      <c r="H28" s="376" t="s">
        <v>1850</v>
      </c>
    </row>
    <row r="29" spans="1:51" x14ac:dyDescent="0.2">
      <c r="A29" s="17"/>
      <c r="B29" s="2029"/>
      <c r="C29" s="2" t="str">
        <f>VLOOKUP($C$28,tbxM,2,FALSE)</f>
        <v>3863588/</v>
      </c>
      <c r="D29" s="43" t="str">
        <f t="shared" ref="D29:D39" si="3">VLOOKUP(C29,всецены,2,FALSE)</f>
        <v xml:space="preserve">TBX, Царга 83/500 мм, сер, лев. NEW     </v>
      </c>
      <c r="E29" s="3">
        <v>1</v>
      </c>
      <c r="F29" s="12">
        <f t="shared" ref="F29:F39" si="4">VLOOKUP(C29,всецены,4,FALSE)</f>
        <v>417.17796120000003</v>
      </c>
      <c r="G29" s="14">
        <f t="shared" ref="G29:G39" si="5">F29*E29</f>
        <v>417.17796120000003</v>
      </c>
      <c r="H29" s="2091">
        <f>SUM(G29:G39)</f>
        <v>3181.2869087999998</v>
      </c>
    </row>
    <row r="30" spans="1:51" x14ac:dyDescent="0.2">
      <c r="A30" s="17"/>
      <c r="B30" s="2030"/>
      <c r="C30" s="2" t="str">
        <f>IF($C$28=600,"-",VLOOKUP($C$28,tbxM,3,FALSE))</f>
        <v>3852259/</v>
      </c>
      <c r="D30" s="43" t="str">
        <f>IF($C$28=600,"-",VLOOKUP(C30,всецены,2,FALSE))</f>
        <v xml:space="preserve">TBX, Царга 83/500 мм, сер, пр. NEW      </v>
      </c>
      <c r="E30" s="3">
        <v>1</v>
      </c>
      <c r="F30" s="12">
        <f t="shared" si="4"/>
        <v>417.17796120000003</v>
      </c>
      <c r="G30" s="14">
        <f>IF($C$28=600,0,F30*E30)</f>
        <v>417.17796120000003</v>
      </c>
      <c r="H30" s="2092"/>
    </row>
    <row r="31" spans="1:51" x14ac:dyDescent="0.2">
      <c r="A31" s="17"/>
      <c r="B31" s="2030"/>
      <c r="C31" s="2" t="str">
        <f>VLOOKUP($C$28,tbxM,4,FALSE)</f>
        <v>8716527/</v>
      </c>
      <c r="D31" s="43" t="str">
        <f t="shared" si="3"/>
        <v>TBX, Напр. с BM, 30 кг, 500 мм, лев. NEW</v>
      </c>
      <c r="E31" s="3">
        <v>1</v>
      </c>
      <c r="F31" s="12">
        <f t="shared" si="4"/>
        <v>424.49687280000001</v>
      </c>
      <c r="G31" s="14">
        <f t="shared" si="5"/>
        <v>424.49687280000001</v>
      </c>
      <c r="H31" s="2092"/>
    </row>
    <row r="32" spans="1:51" x14ac:dyDescent="0.2">
      <c r="A32" s="17"/>
      <c r="B32" s="2030"/>
      <c r="C32" s="2" t="str">
        <f>IF($C$28=600,"-",VLOOKUP($C$28,tbxM,5,FALSE))</f>
        <v>8709485/</v>
      </c>
      <c r="D32" s="43" t="str">
        <f>IF($C$28=600,"-",VLOOKUP(C32,всецены,2,FALSE))</f>
        <v xml:space="preserve">TBX, Напр. с BM, 30 кг, 500 мм, пр. NEW </v>
      </c>
      <c r="E32" s="3">
        <v>1</v>
      </c>
      <c r="F32" s="12">
        <f t="shared" si="4"/>
        <v>424.49687280000001</v>
      </c>
      <c r="G32" s="14">
        <f>IF($C$28=600,0,F32*E32)</f>
        <v>424.49687280000001</v>
      </c>
      <c r="H32" s="2092"/>
    </row>
    <row r="33" spans="1:8" x14ac:dyDescent="0.2">
      <c r="A33" s="17"/>
      <c r="B33" s="2030"/>
      <c r="C33" s="2" t="str">
        <f>VLOOKUP($C$28,tbxM,6,FALSE)</f>
        <v>1862960/</v>
      </c>
      <c r="D33" s="43" t="str">
        <f t="shared" si="3"/>
        <v xml:space="preserve">TBX, Релинг продольн, 500 мм, сер.      </v>
      </c>
      <c r="E33" s="3">
        <v>2</v>
      </c>
      <c r="F33" s="12">
        <f t="shared" si="4"/>
        <v>103.27797480000001</v>
      </c>
      <c r="G33" s="14">
        <f t="shared" si="5"/>
        <v>206.55594960000002</v>
      </c>
      <c r="H33" s="2092"/>
    </row>
    <row r="34" spans="1:8" x14ac:dyDescent="0.2">
      <c r="A34" s="17"/>
      <c r="B34" s="2030"/>
      <c r="C34" s="2" t="s">
        <v>299</v>
      </c>
      <c r="D34" s="43" t="str">
        <f t="shared" si="3"/>
        <v>TBX, Загл. с лого, сер, симм ZAA.330C.BL</v>
      </c>
      <c r="E34" s="3">
        <v>2</v>
      </c>
      <c r="F34" s="12">
        <f t="shared" si="4"/>
        <v>8.9453364000000004</v>
      </c>
      <c r="G34" s="14">
        <f t="shared" si="5"/>
        <v>17.890672800000001</v>
      </c>
      <c r="H34" s="2092"/>
    </row>
    <row r="35" spans="1:8" x14ac:dyDescent="0.2">
      <c r="A35" s="17"/>
      <c r="B35" s="2030"/>
      <c r="C35" s="2" t="s">
        <v>706</v>
      </c>
      <c r="D35" s="43" t="str">
        <f t="shared" si="3"/>
        <v>TBX, Крепл п/пан вн, 160мм, лев,ZIF.72B0</v>
      </c>
      <c r="E35" s="3">
        <v>1</v>
      </c>
      <c r="F35" s="12">
        <f t="shared" si="4"/>
        <v>67.496629200000001</v>
      </c>
      <c r="G35" s="14">
        <f t="shared" si="5"/>
        <v>67.496629200000001</v>
      </c>
      <c r="H35" s="2092"/>
    </row>
    <row r="36" spans="1:8" x14ac:dyDescent="0.2">
      <c r="A36" s="17"/>
      <c r="B36" s="2030"/>
      <c r="C36" s="2" t="s">
        <v>2187</v>
      </c>
      <c r="D36" s="43" t="str">
        <f t="shared" si="3"/>
        <v>TBX, Крепл п/пан вн, 160мм, пр. ZIF.72B0</v>
      </c>
      <c r="E36" s="3">
        <v>1</v>
      </c>
      <c r="F36" s="12">
        <f t="shared" si="4"/>
        <v>67.496629200000001</v>
      </c>
      <c r="G36" s="14">
        <f t="shared" si="5"/>
        <v>67.496629200000001</v>
      </c>
      <c r="H36" s="2092"/>
    </row>
    <row r="37" spans="1:8" x14ac:dyDescent="0.2">
      <c r="A37" s="17"/>
      <c r="B37" s="2030"/>
      <c r="C37" s="2" t="s">
        <v>89</v>
      </c>
      <c r="D37" s="43" t="str">
        <f t="shared" si="3"/>
        <v>TBX, Перед. панель 1081мм сер, Z31A1081A</v>
      </c>
      <c r="E37" s="3">
        <v>1</v>
      </c>
      <c r="F37" s="12">
        <f t="shared" si="4"/>
        <v>1024.647624</v>
      </c>
      <c r="G37" s="14">
        <f t="shared" si="5"/>
        <v>1024.647624</v>
      </c>
      <c r="H37" s="2092"/>
    </row>
    <row r="38" spans="1:8" x14ac:dyDescent="0.2">
      <c r="A38" s="17"/>
      <c r="B38" s="2030"/>
      <c r="C38" s="2" t="s">
        <v>1632</v>
      </c>
      <c r="D38" s="43" t="str">
        <f t="shared" si="3"/>
        <v xml:space="preserve">TBX, Держат. задн. ст, 160 мм, сер, пр. </v>
      </c>
      <c r="E38" s="3">
        <v>1</v>
      </c>
      <c r="F38" s="12">
        <f t="shared" si="4"/>
        <v>56.924868000000004</v>
      </c>
      <c r="G38" s="14">
        <f t="shared" si="5"/>
        <v>56.924868000000004</v>
      </c>
      <c r="H38" s="2092"/>
    </row>
    <row r="39" spans="1:8" ht="13.5" thickBot="1" x14ac:dyDescent="0.25">
      <c r="A39" s="17"/>
      <c r="B39" s="2031"/>
      <c r="C39" s="453" t="s">
        <v>1633</v>
      </c>
      <c r="D39" s="404" t="str">
        <f t="shared" si="3"/>
        <v>TBX, Держат. задн. ст, 160 мм, сер, лев.</v>
      </c>
      <c r="E39" s="355">
        <v>1</v>
      </c>
      <c r="F39" s="356">
        <f t="shared" si="4"/>
        <v>56.924868000000004</v>
      </c>
      <c r="G39" s="409">
        <f t="shared" si="5"/>
        <v>56.924868000000004</v>
      </c>
      <c r="H39" s="2093"/>
    </row>
    <row r="40" spans="1:8" x14ac:dyDescent="0.2">
      <c r="A40" s="17"/>
      <c r="B40" s="17"/>
      <c r="C40" s="17"/>
      <c r="D40" s="17"/>
      <c r="E40" s="344"/>
      <c r="F40" s="52"/>
      <c r="G40" s="449"/>
      <c r="H40" s="35"/>
    </row>
    <row r="41" spans="1:8" ht="13.5" thickBot="1" x14ac:dyDescent="0.25">
      <c r="C41" s="8"/>
      <c r="D41" s="8"/>
      <c r="E41" s="53"/>
      <c r="F41" s="37"/>
      <c r="G41" s="60"/>
      <c r="H41" s="35"/>
    </row>
    <row r="42" spans="1:8" ht="23.25" x14ac:dyDescent="0.2">
      <c r="B42" s="2101" t="s">
        <v>1413</v>
      </c>
      <c r="C42" s="2102"/>
      <c r="D42" s="2102"/>
      <c r="E42" s="2102"/>
      <c r="F42" s="2102"/>
      <c r="G42" s="2102"/>
      <c r="H42" s="450"/>
    </row>
    <row r="43" spans="1:8" ht="23.25" x14ac:dyDescent="0.2">
      <c r="A43" s="17"/>
      <c r="B43" s="2103"/>
      <c r="C43" s="2104"/>
      <c r="D43" s="2104"/>
      <c r="E43" s="2104"/>
      <c r="F43" s="2104"/>
      <c r="G43" s="2104"/>
      <c r="H43" s="451"/>
    </row>
    <row r="44" spans="1:8" x14ac:dyDescent="0.2">
      <c r="A44" s="17"/>
      <c r="B44" s="425" t="s">
        <v>2204</v>
      </c>
      <c r="C44" s="2080" t="s">
        <v>1953</v>
      </c>
      <c r="D44" s="2080"/>
      <c r="E44" s="2080"/>
      <c r="F44" s="2080"/>
      <c r="G44" s="2080"/>
      <c r="H44" s="426"/>
    </row>
    <row r="45" spans="1:8" ht="15.75" thickBot="1" x14ac:dyDescent="0.25">
      <c r="A45" s="17"/>
      <c r="B45" s="410" t="s">
        <v>1639</v>
      </c>
      <c r="C45" s="98">
        <v>500</v>
      </c>
      <c r="D45" s="97" t="s">
        <v>1689</v>
      </c>
      <c r="E45" s="97"/>
      <c r="F45" s="97"/>
      <c r="G45" s="97"/>
      <c r="H45" s="376" t="s">
        <v>1850</v>
      </c>
    </row>
    <row r="46" spans="1:8" x14ac:dyDescent="0.2">
      <c r="A46" s="17"/>
      <c r="B46" s="2029"/>
      <c r="C46" s="2" t="str">
        <f>VLOOKUP($C$45,tbxM,2,FALSE)</f>
        <v>3863588/</v>
      </c>
      <c r="D46" s="43" t="str">
        <f t="shared" ref="D46:D58" si="6">VLOOKUP(C46,всецены,2,FALSE)</f>
        <v xml:space="preserve">TBX, Царга 83/500 мм, сер, лев. NEW     </v>
      </c>
      <c r="E46" s="3">
        <v>1</v>
      </c>
      <c r="F46" s="63">
        <f>VLOOKUP(C46,всецены,4,FALSE)</f>
        <v>417.17796120000003</v>
      </c>
      <c r="G46" s="14">
        <f>F46*E46</f>
        <v>417.17796120000003</v>
      </c>
      <c r="H46" s="2091">
        <f>SUM(G46:G58)</f>
        <v>3837.5493156000007</v>
      </c>
    </row>
    <row r="47" spans="1:8" x14ac:dyDescent="0.2">
      <c r="A47" s="17"/>
      <c r="B47" s="2030"/>
      <c r="C47" s="2" t="str">
        <f>IF($C$45=600,"-",VLOOKUP($C$45,tbxM,3,FALSE))</f>
        <v>3852259/</v>
      </c>
      <c r="D47" s="43" t="str">
        <f>IF(C45=600,"-",VLOOKUP(C47,всецены,2,FALSE))</f>
        <v xml:space="preserve">TBX, Царга 83/500 мм, сер, пр. NEW      </v>
      </c>
      <c r="E47" s="3">
        <v>1</v>
      </c>
      <c r="F47" s="63">
        <f>VLOOKUP(C47,всецены,4,FALSE)</f>
        <v>417.17796120000003</v>
      </c>
      <c r="G47" s="14">
        <f>IF(C45=600,0,F47*E47)</f>
        <v>417.17796120000003</v>
      </c>
      <c r="H47" s="2092"/>
    </row>
    <row r="48" spans="1:8" x14ac:dyDescent="0.2">
      <c r="A48" s="17"/>
      <c r="B48" s="2030"/>
      <c r="C48" s="2" t="str">
        <f>VLOOKUP($C$45,tbxM,4,FALSE)</f>
        <v>8716527/</v>
      </c>
      <c r="D48" s="43" t="str">
        <f t="shared" si="6"/>
        <v>TBX, Напр. с BM, 30 кг, 500 мм, лев. NEW</v>
      </c>
      <c r="E48" s="3">
        <v>1</v>
      </c>
      <c r="F48" s="63">
        <f>VLOOKUP(C48,всецены,4,FALSE)</f>
        <v>424.49687280000001</v>
      </c>
      <c r="G48" s="14">
        <f>F48*E48</f>
        <v>424.49687280000001</v>
      </c>
      <c r="H48" s="2092"/>
    </row>
    <row r="49" spans="1:8" x14ac:dyDescent="0.2">
      <c r="A49" s="17"/>
      <c r="B49" s="2030"/>
      <c r="C49" s="2" t="str">
        <f>IF(C45=600,"-",VLOOKUP($C$45,tbxM,5,FALSE))</f>
        <v>8709485/</v>
      </c>
      <c r="D49" s="43" t="str">
        <f>IF(C45=600,"-",VLOOKUP(C49,всецены,2,FALSE))</f>
        <v xml:space="preserve">TBX, Напр. с BM, 30 кг, 500 мм, пр. NEW </v>
      </c>
      <c r="E49" s="3">
        <v>1</v>
      </c>
      <c r="F49" s="63">
        <f>VLOOKUP(C49,всецены,4,FALSE)</f>
        <v>424.49687280000001</v>
      </c>
      <c r="G49" s="14">
        <f>IF(C45=600,0,F49*E49)</f>
        <v>424.49687280000001</v>
      </c>
      <c r="H49" s="2092"/>
    </row>
    <row r="50" spans="1:8" x14ac:dyDescent="0.2">
      <c r="A50" s="17"/>
      <c r="B50" s="2030"/>
      <c r="C50" s="2" t="str">
        <f>VLOOKUP($C$45,tbxM,6,FALSE)</f>
        <v>1862960/</v>
      </c>
      <c r="D50" s="43" t="str">
        <f t="shared" si="6"/>
        <v xml:space="preserve">TBX, Релинг продольн, 500 мм, сер.      </v>
      </c>
      <c r="E50" s="3">
        <v>4</v>
      </c>
      <c r="F50" s="63">
        <f>VLOOKUP(C50,всецены,4,FALSE)</f>
        <v>103.27797480000001</v>
      </c>
      <c r="G50" s="14">
        <f>F50*E50</f>
        <v>413.11189920000004</v>
      </c>
      <c r="H50" s="2092"/>
    </row>
    <row r="51" spans="1:8" x14ac:dyDescent="0.2">
      <c r="A51" s="17"/>
      <c r="B51" s="2030"/>
      <c r="C51" s="2" t="s">
        <v>299</v>
      </c>
      <c r="D51" s="43" t="str">
        <f t="shared" si="6"/>
        <v>TBX, Загл. с лого, сер, симм ZAA.330C.BL</v>
      </c>
      <c r="E51" s="3">
        <v>2</v>
      </c>
      <c r="F51" s="63">
        <f t="shared" ref="F51:F58" si="7">VLOOKUP(C51,всецены,4,FALSE)</f>
        <v>8.9453364000000004</v>
      </c>
      <c r="G51" s="14">
        <f t="shared" ref="G51:G58" si="8">F51*E51</f>
        <v>17.890672800000001</v>
      </c>
      <c r="H51" s="2092"/>
    </row>
    <row r="52" spans="1:8" x14ac:dyDescent="0.2">
      <c r="A52" s="17"/>
      <c r="B52" s="2030"/>
      <c r="C52" s="2" t="s">
        <v>2189</v>
      </c>
      <c r="D52" s="43" t="str">
        <f t="shared" si="6"/>
        <v>TBX, Крепл п/пан вн, 224мм, лев,ZIF.73D0</v>
      </c>
      <c r="E52" s="3">
        <v>1</v>
      </c>
      <c r="F52" s="63">
        <f t="shared" si="7"/>
        <v>85.387302000000005</v>
      </c>
      <c r="G52" s="14">
        <f t="shared" si="8"/>
        <v>85.387302000000005</v>
      </c>
      <c r="H52" s="2092"/>
    </row>
    <row r="53" spans="1:8" x14ac:dyDescent="0.2">
      <c r="A53" s="17"/>
      <c r="B53" s="2030"/>
      <c r="C53" s="2" t="s">
        <v>1623</v>
      </c>
      <c r="D53" s="43" t="str">
        <f t="shared" si="6"/>
        <v>TBX, Крепл п/пан вн, 224мм, пр. ZIF.73D0</v>
      </c>
      <c r="E53" s="3">
        <v>1</v>
      </c>
      <c r="F53" s="63">
        <f t="shared" si="7"/>
        <v>85.387302000000005</v>
      </c>
      <c r="G53" s="14">
        <f t="shared" si="8"/>
        <v>85.387302000000005</v>
      </c>
      <c r="H53" s="2092"/>
    </row>
    <row r="54" spans="1:8" x14ac:dyDescent="0.2">
      <c r="A54" s="17"/>
      <c r="B54" s="2030"/>
      <c r="C54" s="2" t="s">
        <v>89</v>
      </c>
      <c r="D54" s="43" t="str">
        <f t="shared" si="6"/>
        <v>TBX, Перед. панель 1081мм сер, Z31A1081A</v>
      </c>
      <c r="E54" s="3">
        <v>1</v>
      </c>
      <c r="F54" s="63">
        <f t="shared" si="7"/>
        <v>1024.647624</v>
      </c>
      <c r="G54" s="14">
        <f t="shared" si="8"/>
        <v>1024.647624</v>
      </c>
      <c r="H54" s="2092"/>
    </row>
    <row r="55" spans="1:8" x14ac:dyDescent="0.2">
      <c r="A55" s="17"/>
      <c r="B55" s="2030"/>
      <c r="C55" s="2" t="s">
        <v>1624</v>
      </c>
      <c r="D55" s="43" t="str">
        <f t="shared" si="6"/>
        <v xml:space="preserve">TBX, Ручка д/внутр ящ п/релинг ZIF.7008 </v>
      </c>
      <c r="E55" s="3">
        <v>1</v>
      </c>
      <c r="F55" s="63">
        <f t="shared" si="7"/>
        <v>157.76320559999999</v>
      </c>
      <c r="G55" s="14">
        <f t="shared" si="8"/>
        <v>157.76320559999999</v>
      </c>
      <c r="H55" s="2092"/>
    </row>
    <row r="56" spans="1:8" x14ac:dyDescent="0.2">
      <c r="A56" s="17"/>
      <c r="B56" s="2030"/>
      <c r="C56" s="2" t="s">
        <v>1625</v>
      </c>
      <c r="D56" s="43" t="str">
        <f t="shared" si="6"/>
        <v xml:space="preserve">ORG, Релинг поперечн, 1104 мм, сер.     </v>
      </c>
      <c r="E56" s="3">
        <v>1</v>
      </c>
      <c r="F56" s="63">
        <f t="shared" si="7"/>
        <v>230.13910920000001</v>
      </c>
      <c r="G56" s="14">
        <f t="shared" si="8"/>
        <v>230.13910920000001</v>
      </c>
      <c r="H56" s="2092"/>
    </row>
    <row r="57" spans="1:8" x14ac:dyDescent="0.2">
      <c r="A57" s="17"/>
      <c r="B57" s="2030"/>
      <c r="C57" s="2" t="s">
        <v>1634</v>
      </c>
      <c r="D57" s="43" t="str">
        <f t="shared" si="6"/>
        <v xml:space="preserve">TBX, Держ. задн. ст, D 224 мм, сер, пр. </v>
      </c>
      <c r="E57" s="3">
        <v>1</v>
      </c>
      <c r="F57" s="63">
        <f t="shared" si="7"/>
        <v>69.936266400000008</v>
      </c>
      <c r="G57" s="14">
        <f t="shared" si="8"/>
        <v>69.936266400000008</v>
      </c>
      <c r="H57" s="2092"/>
    </row>
    <row r="58" spans="1:8" x14ac:dyDescent="0.2">
      <c r="A58" s="17"/>
      <c r="B58" s="2037"/>
      <c r="C58" s="2" t="s">
        <v>1636</v>
      </c>
      <c r="D58" s="43" t="str">
        <f t="shared" si="6"/>
        <v>TBX, Держ. задн. ст, D 224 мм, сер, лев.</v>
      </c>
      <c r="E58" s="3">
        <v>1</v>
      </c>
      <c r="F58" s="63">
        <f t="shared" si="7"/>
        <v>69.936266400000008</v>
      </c>
      <c r="G58" s="14">
        <f t="shared" si="8"/>
        <v>69.936266400000008</v>
      </c>
      <c r="H58" s="2100"/>
    </row>
    <row r="59" spans="1:8" x14ac:dyDescent="0.2">
      <c r="A59" s="17"/>
      <c r="B59" s="433"/>
      <c r="C59" s="28"/>
      <c r="D59" s="28"/>
      <c r="E59" s="32"/>
      <c r="F59" s="38"/>
      <c r="G59" s="89"/>
      <c r="H59" s="437"/>
    </row>
    <row r="60" spans="1:8" x14ac:dyDescent="0.2">
      <c r="A60" s="17"/>
      <c r="B60" s="2018" t="s">
        <v>2120</v>
      </c>
      <c r="C60" s="2019"/>
      <c r="D60" s="2019"/>
      <c r="E60" s="2019"/>
      <c r="F60" s="2019"/>
      <c r="G60" s="2019"/>
      <c r="H60" s="426"/>
    </row>
    <row r="61" spans="1:8" x14ac:dyDescent="0.2">
      <c r="A61" s="17"/>
      <c r="B61" s="2018"/>
      <c r="C61" s="2019"/>
      <c r="D61" s="2019"/>
      <c r="E61" s="2019"/>
      <c r="F61" s="2019"/>
      <c r="G61" s="2019"/>
      <c r="H61" s="426"/>
    </row>
    <row r="62" spans="1:8" x14ac:dyDescent="0.2">
      <c r="A62" s="17"/>
      <c r="B62" s="2018"/>
      <c r="C62" s="2019"/>
      <c r="D62" s="2019"/>
      <c r="E62" s="2019"/>
      <c r="F62" s="2019"/>
      <c r="G62" s="2019"/>
      <c r="H62" s="426"/>
    </row>
    <row r="63" spans="1:8" x14ac:dyDescent="0.2">
      <c r="A63" s="17"/>
      <c r="B63" s="425" t="s">
        <v>2113</v>
      </c>
      <c r="C63" s="2080" t="s">
        <v>334</v>
      </c>
      <c r="D63" s="2080"/>
      <c r="E63" s="2080"/>
      <c r="F63" s="2080"/>
      <c r="G63" s="2080"/>
      <c r="H63" s="426"/>
    </row>
    <row r="64" spans="1:8" ht="15.75" thickBot="1" x14ac:dyDescent="0.25">
      <c r="A64" s="17"/>
      <c r="B64" s="410" t="s">
        <v>1639</v>
      </c>
      <c r="C64" s="98">
        <v>450</v>
      </c>
      <c r="D64" s="97" t="s">
        <v>1689</v>
      </c>
      <c r="E64" s="97"/>
      <c r="F64" s="97"/>
      <c r="G64" s="97"/>
      <c r="H64" s="376" t="s">
        <v>1850</v>
      </c>
    </row>
    <row r="65" spans="1:8" x14ac:dyDescent="0.2">
      <c r="A65" s="17"/>
      <c r="B65" s="2085"/>
      <c r="C65" s="2" t="str">
        <f>VLOOKUP($C$64,tbxM,2,FALSE)</f>
        <v>3310076/</v>
      </c>
      <c r="D65" s="43" t="str">
        <f t="shared" ref="D65:D78" si="9">VLOOKUP(C65,всецены,2,FALSE)</f>
        <v xml:space="preserve">TBX, Царга 83/450 мм, сер, лев. NEW     </v>
      </c>
      <c r="E65" s="3">
        <v>1</v>
      </c>
      <c r="F65" s="63">
        <f t="shared" ref="F65:F78" si="10">VLOOKUP(C65,всецены,4,FALSE)</f>
        <v>430.18935960000005</v>
      </c>
      <c r="G65" s="64">
        <f>F65*E65</f>
        <v>430.18935960000005</v>
      </c>
      <c r="H65" s="2091">
        <f>SUM(G65:G78)</f>
        <v>4704.4337340000011</v>
      </c>
    </row>
    <row r="66" spans="1:8" x14ac:dyDescent="0.2">
      <c r="A66" s="17"/>
      <c r="B66" s="2085"/>
      <c r="C66" s="2" t="str">
        <f>IF(C64=600,"-",VLOOKUP($C$64,tbxM,3,FALSE))</f>
        <v>3304791/</v>
      </c>
      <c r="D66" s="43" t="str">
        <f>IF(C64=600,"-",VLOOKUP(C66,всецены,2,FALSE))</f>
        <v xml:space="preserve">TBX, Царга 83/450 мм, сер, пр. NEW      </v>
      </c>
      <c r="E66" s="3">
        <v>1</v>
      </c>
      <c r="F66" s="63">
        <f t="shared" si="10"/>
        <v>430.18935960000005</v>
      </c>
      <c r="G66" s="64">
        <f t="shared" ref="G66:G78" si="11">F66*E66</f>
        <v>430.18935960000005</v>
      </c>
      <c r="H66" s="2092"/>
    </row>
    <row r="67" spans="1:8" x14ac:dyDescent="0.2">
      <c r="A67" s="17"/>
      <c r="B67" s="2085"/>
      <c r="C67" s="2" t="str">
        <f>VLOOKUP($C$64,tbxM,4,FALSE)</f>
        <v>8698727/</v>
      </c>
      <c r="D67" s="43" t="str">
        <f t="shared" si="9"/>
        <v>TBX, Напр. с BM, 30 кг, 450 мм, лев. NEW</v>
      </c>
      <c r="E67" s="3">
        <v>1</v>
      </c>
      <c r="F67" s="63">
        <f t="shared" si="10"/>
        <v>421.24402319999996</v>
      </c>
      <c r="G67" s="64">
        <f t="shared" si="11"/>
        <v>421.24402319999996</v>
      </c>
      <c r="H67" s="2092"/>
    </row>
    <row r="68" spans="1:8" x14ac:dyDescent="0.2">
      <c r="A68" s="17"/>
      <c r="B68" s="2085"/>
      <c r="C68" s="2" t="str">
        <f>IF(C64=600,"-",VLOOKUP($C$64,tbxM,5,FALSE))</f>
        <v>8690466/</v>
      </c>
      <c r="D68" s="43" t="str">
        <f>IF(C64=600,"-",VLOOKUP(C68,всецены,2,FALSE))</f>
        <v xml:space="preserve">TBX, Напр. с BM, 30 кг, 450 мм, пр. NEW </v>
      </c>
      <c r="E68" s="3">
        <v>1</v>
      </c>
      <c r="F68" s="63">
        <f t="shared" si="10"/>
        <v>421.24402319999996</v>
      </c>
      <c r="G68" s="64">
        <f t="shared" si="11"/>
        <v>421.24402319999996</v>
      </c>
      <c r="H68" s="2092"/>
    </row>
    <row r="69" spans="1:8" x14ac:dyDescent="0.2">
      <c r="A69" s="17"/>
      <c r="B69" s="2085"/>
      <c r="C69" s="2" t="str">
        <f>VLOOKUP($C$64,tbxM,6,FALSE)</f>
        <v>2246270/</v>
      </c>
      <c r="D69" s="43" t="str">
        <f t="shared" si="9"/>
        <v xml:space="preserve">TBX, Релинг продольн, 450 мм, сер.      </v>
      </c>
      <c r="E69" s="3">
        <v>2</v>
      </c>
      <c r="F69" s="63">
        <f t="shared" si="10"/>
        <v>103.27797480000001</v>
      </c>
      <c r="G69" s="64">
        <f t="shared" si="11"/>
        <v>206.55594960000002</v>
      </c>
      <c r="H69" s="2092"/>
    </row>
    <row r="70" spans="1:8" x14ac:dyDescent="0.2">
      <c r="A70" s="17"/>
      <c r="B70" s="2085"/>
      <c r="C70" s="2" t="str">
        <f>VLOOKUP($C$64,tbxM,7,FALSE)</f>
        <v>4318600/</v>
      </c>
      <c r="D70" s="43" t="str">
        <f t="shared" si="9"/>
        <v xml:space="preserve">TBX, Двухст. Boxside, 450 мм, сер, кмп  </v>
      </c>
      <c r="E70" s="3">
        <v>1</v>
      </c>
      <c r="F70" s="63">
        <f t="shared" si="10"/>
        <v>1053.9232704000001</v>
      </c>
      <c r="G70" s="64">
        <f t="shared" si="11"/>
        <v>1053.9232704000001</v>
      </c>
      <c r="H70" s="2092"/>
    </row>
    <row r="71" spans="1:8" x14ac:dyDescent="0.2">
      <c r="A71" s="17"/>
      <c r="B71" s="2085"/>
      <c r="C71" s="2" t="s">
        <v>299</v>
      </c>
      <c r="D71" s="43" t="str">
        <f t="shared" si="9"/>
        <v>TBX, Загл. с лого, сер, симм ZAA.330C.BL</v>
      </c>
      <c r="E71" s="3">
        <v>2</v>
      </c>
      <c r="F71" s="63">
        <f t="shared" si="10"/>
        <v>8.9453364000000004</v>
      </c>
      <c r="G71" s="64">
        <f t="shared" si="11"/>
        <v>17.890672800000001</v>
      </c>
      <c r="H71" s="2092"/>
    </row>
    <row r="72" spans="1:8" x14ac:dyDescent="0.2">
      <c r="A72" s="17"/>
      <c r="B72" s="2085"/>
      <c r="C72" s="2" t="s">
        <v>2189</v>
      </c>
      <c r="D72" s="43" t="str">
        <f t="shared" si="9"/>
        <v>TBX, Крепл п/пан вн, 224мм, лев,ZIF.73D0</v>
      </c>
      <c r="E72" s="3">
        <v>1</v>
      </c>
      <c r="F72" s="63">
        <f t="shared" si="10"/>
        <v>85.387302000000005</v>
      </c>
      <c r="G72" s="64">
        <f t="shared" si="11"/>
        <v>85.387302000000005</v>
      </c>
      <c r="H72" s="2092"/>
    </row>
    <row r="73" spans="1:8" x14ac:dyDescent="0.2">
      <c r="A73" s="17"/>
      <c r="B73" s="2085"/>
      <c r="C73" s="2" t="s">
        <v>1623</v>
      </c>
      <c r="D73" s="43" t="str">
        <f t="shared" si="9"/>
        <v>TBX, Крепл п/пан вн, 224мм, пр. ZIF.73D0</v>
      </c>
      <c r="E73" s="3">
        <v>1</v>
      </c>
      <c r="F73" s="63">
        <f t="shared" si="10"/>
        <v>85.387302000000005</v>
      </c>
      <c r="G73" s="64">
        <f t="shared" si="11"/>
        <v>85.387302000000005</v>
      </c>
      <c r="H73" s="2092"/>
    </row>
    <row r="74" spans="1:8" x14ac:dyDescent="0.2">
      <c r="A74" s="17"/>
      <c r="B74" s="2085"/>
      <c r="C74" s="2" t="s">
        <v>89</v>
      </c>
      <c r="D74" s="43" t="str">
        <f t="shared" si="9"/>
        <v>TBX, Перед. панель 1081мм сер, Z31A1081A</v>
      </c>
      <c r="E74" s="3">
        <v>1</v>
      </c>
      <c r="F74" s="63">
        <f t="shared" si="10"/>
        <v>1024.647624</v>
      </c>
      <c r="G74" s="64">
        <f t="shared" si="11"/>
        <v>1024.647624</v>
      </c>
      <c r="H74" s="2092"/>
    </row>
    <row r="75" spans="1:8" x14ac:dyDescent="0.2">
      <c r="A75" s="17"/>
      <c r="B75" s="2085"/>
      <c r="C75" s="2" t="s">
        <v>1624</v>
      </c>
      <c r="D75" s="43" t="str">
        <f t="shared" si="9"/>
        <v xml:space="preserve">TBX, Ручка д/внутр ящ п/релинг ZIF.7008 </v>
      </c>
      <c r="E75" s="3">
        <v>1</v>
      </c>
      <c r="F75" s="63">
        <f t="shared" si="10"/>
        <v>157.76320559999999</v>
      </c>
      <c r="G75" s="64">
        <f t="shared" si="11"/>
        <v>157.76320559999999</v>
      </c>
      <c r="H75" s="2092"/>
    </row>
    <row r="76" spans="1:8" x14ac:dyDescent="0.2">
      <c r="A76" s="17"/>
      <c r="B76" s="2085"/>
      <c r="C76" s="2" t="s">
        <v>1625</v>
      </c>
      <c r="D76" s="43" t="str">
        <f t="shared" si="9"/>
        <v xml:space="preserve">ORG, Релинг поперечн, 1104 мм, сер.     </v>
      </c>
      <c r="E76" s="3">
        <v>1</v>
      </c>
      <c r="F76" s="63">
        <f t="shared" si="10"/>
        <v>230.13910920000001</v>
      </c>
      <c r="G76" s="64">
        <f t="shared" si="11"/>
        <v>230.13910920000001</v>
      </c>
      <c r="H76" s="2092"/>
    </row>
    <row r="77" spans="1:8" x14ac:dyDescent="0.2">
      <c r="A77" s="17"/>
      <c r="B77" s="2085"/>
      <c r="C77" s="2" t="s">
        <v>1634</v>
      </c>
      <c r="D77" s="43" t="str">
        <f t="shared" si="9"/>
        <v xml:space="preserve">TBX, Держ. задн. ст, D 224 мм, сер, пр. </v>
      </c>
      <c r="E77" s="3">
        <v>1</v>
      </c>
      <c r="F77" s="63">
        <f t="shared" si="10"/>
        <v>69.936266400000008</v>
      </c>
      <c r="G77" s="64">
        <f t="shared" si="11"/>
        <v>69.936266400000008</v>
      </c>
      <c r="H77" s="2092"/>
    </row>
    <row r="78" spans="1:8" ht="13.5" thickBot="1" x14ac:dyDescent="0.25">
      <c r="A78" s="17"/>
      <c r="B78" s="2086"/>
      <c r="C78" s="355" t="s">
        <v>1636</v>
      </c>
      <c r="D78" s="404" t="str">
        <f t="shared" si="9"/>
        <v>TBX, Держ. задн. ст, D 224 мм, сер, лев.</v>
      </c>
      <c r="E78" s="355">
        <v>1</v>
      </c>
      <c r="F78" s="435">
        <f t="shared" si="10"/>
        <v>69.936266400000008</v>
      </c>
      <c r="G78" s="436">
        <f t="shared" si="11"/>
        <v>69.936266400000008</v>
      </c>
      <c r="H78" s="2093"/>
    </row>
    <row r="79" spans="1:8" x14ac:dyDescent="0.2">
      <c r="A79" s="17"/>
      <c r="B79" s="75"/>
      <c r="C79" s="17"/>
      <c r="D79" s="17"/>
      <c r="E79" s="344"/>
      <c r="F79" s="52"/>
      <c r="G79" s="449"/>
      <c r="H79" s="35"/>
    </row>
    <row r="80" spans="1:8" x14ac:dyDescent="0.2">
      <c r="C80" s="8"/>
      <c r="D80" s="8"/>
      <c r="E80" s="53"/>
      <c r="F80" s="37"/>
      <c r="G80" s="60"/>
      <c r="H80" s="35"/>
    </row>
    <row r="81" spans="3:8" x14ac:dyDescent="0.2">
      <c r="C81" s="8"/>
      <c r="D81" s="8"/>
      <c r="E81" s="53"/>
      <c r="F81" s="37"/>
      <c r="G81" s="60"/>
      <c r="H81" s="35"/>
    </row>
    <row r="82" spans="3:8" x14ac:dyDescent="0.2">
      <c r="C82" s="8"/>
      <c r="D82" s="8"/>
      <c r="E82" s="53"/>
      <c r="F82" s="37"/>
      <c r="G82" s="60"/>
      <c r="H82" s="35"/>
    </row>
    <row r="83" spans="3:8" x14ac:dyDescent="0.2">
      <c r="C83" s="8"/>
      <c r="D83" s="8"/>
      <c r="E83" s="53"/>
      <c r="F83" s="37"/>
      <c r="G83" s="60"/>
      <c r="H83" s="35"/>
    </row>
    <row r="84" spans="3:8" x14ac:dyDescent="0.2">
      <c r="C84" s="8"/>
      <c r="D84" s="8"/>
      <c r="E84" s="53"/>
      <c r="F84" s="37"/>
      <c r="G84" s="60"/>
      <c r="H84" s="35"/>
    </row>
    <row r="85" spans="3:8" x14ac:dyDescent="0.2">
      <c r="C85" s="8"/>
      <c r="D85" s="8"/>
      <c r="E85" s="53"/>
      <c r="F85" s="37"/>
      <c r="G85" s="60"/>
      <c r="H85" s="35"/>
    </row>
    <row r="86" spans="3:8" x14ac:dyDescent="0.2">
      <c r="C86" s="8"/>
      <c r="D86" s="8"/>
      <c r="E86" s="53"/>
      <c r="F86" s="37"/>
      <c r="G86" s="60"/>
      <c r="H86" s="35"/>
    </row>
    <row r="87" spans="3:8" x14ac:dyDescent="0.2">
      <c r="C87" s="8"/>
      <c r="D87" s="8"/>
      <c r="E87" s="53"/>
      <c r="F87" s="37"/>
      <c r="G87" s="60"/>
      <c r="H87" s="35"/>
    </row>
    <row r="88" spans="3:8" x14ac:dyDescent="0.2">
      <c r="C88" s="8"/>
      <c r="D88" s="8"/>
      <c r="E88" s="53"/>
      <c r="F88" s="37"/>
      <c r="G88" s="60"/>
      <c r="H88" s="35"/>
    </row>
    <row r="89" spans="3:8" x14ac:dyDescent="0.2">
      <c r="C89" s="8"/>
      <c r="D89" s="8"/>
      <c r="E89" s="53"/>
      <c r="F89" s="37"/>
      <c r="G89" s="60"/>
      <c r="H89" s="35"/>
    </row>
    <row r="90" spans="3:8" x14ac:dyDescent="0.2">
      <c r="C90" s="8"/>
      <c r="D90" s="8"/>
      <c r="E90" s="53"/>
      <c r="F90" s="37"/>
      <c r="G90" s="60"/>
      <c r="H90" s="35"/>
    </row>
    <row r="91" spans="3:8" x14ac:dyDescent="0.2">
      <c r="C91" s="8"/>
      <c r="D91" s="8"/>
      <c r="E91" s="53"/>
      <c r="F91" s="37"/>
      <c r="G91" s="60"/>
      <c r="H91" s="35"/>
    </row>
    <row r="92" spans="3:8" x14ac:dyDescent="0.2">
      <c r="C92" s="8"/>
      <c r="D92" s="8"/>
      <c r="E92" s="53"/>
      <c r="F92" s="37"/>
      <c r="G92" s="60"/>
      <c r="H92" s="35"/>
    </row>
    <row r="93" spans="3:8" x14ac:dyDescent="0.2">
      <c r="C93" s="8"/>
      <c r="D93" s="8"/>
      <c r="E93" s="53"/>
      <c r="F93" s="37"/>
      <c r="G93" s="60"/>
      <c r="H93" s="35"/>
    </row>
    <row r="94" spans="3:8" x14ac:dyDescent="0.2">
      <c r="C94" s="8"/>
      <c r="D94" s="8"/>
      <c r="E94" s="53"/>
      <c r="F94" s="37"/>
      <c r="G94" s="60"/>
      <c r="H94" s="35"/>
    </row>
    <row r="95" spans="3:8" x14ac:dyDescent="0.2">
      <c r="C95" s="8"/>
      <c r="D95" s="8"/>
      <c r="E95" s="53"/>
      <c r="F95" s="37"/>
      <c r="G95" s="60"/>
      <c r="H95" s="35"/>
    </row>
    <row r="96" spans="3:8" x14ac:dyDescent="0.2">
      <c r="C96" s="8"/>
      <c r="D96" s="8"/>
      <c r="E96" s="53"/>
      <c r="F96" s="37"/>
      <c r="G96" s="60"/>
      <c r="H96" s="35"/>
    </row>
    <row r="97" spans="3:8" x14ac:dyDescent="0.2">
      <c r="C97" s="8"/>
      <c r="D97" s="8"/>
      <c r="E97" s="53"/>
      <c r="F97" s="37"/>
      <c r="G97" s="60"/>
      <c r="H97" s="35"/>
    </row>
    <row r="98" spans="3:8" x14ac:dyDescent="0.2">
      <c r="C98" s="8"/>
      <c r="D98" s="8"/>
      <c r="E98" s="53"/>
      <c r="F98" s="37"/>
      <c r="G98" s="60"/>
      <c r="H98" s="35"/>
    </row>
    <row r="99" spans="3:8" x14ac:dyDescent="0.2">
      <c r="C99" s="8"/>
      <c r="D99" s="8"/>
      <c r="E99" s="53"/>
      <c r="F99" s="37"/>
      <c r="G99" s="60"/>
      <c r="H99" s="35"/>
    </row>
    <row r="100" spans="3:8" x14ac:dyDescent="0.2">
      <c r="C100" s="8"/>
      <c r="D100" s="8"/>
      <c r="E100" s="53"/>
      <c r="F100" s="37"/>
      <c r="G100" s="60"/>
      <c r="H100" s="35"/>
    </row>
    <row r="101" spans="3:8" x14ac:dyDescent="0.2">
      <c r="C101" s="8"/>
      <c r="D101" s="8"/>
      <c r="E101" s="53"/>
      <c r="F101" s="37"/>
      <c r="G101" s="60"/>
      <c r="H101" s="35"/>
    </row>
    <row r="102" spans="3:8" x14ac:dyDescent="0.2">
      <c r="C102" s="8"/>
      <c r="D102" s="8"/>
      <c r="E102" s="53"/>
      <c r="F102" s="37"/>
      <c r="G102" s="60"/>
      <c r="H102" s="35"/>
    </row>
    <row r="103" spans="3:8" x14ac:dyDescent="0.2">
      <c r="C103" s="8"/>
      <c r="D103" s="8"/>
      <c r="E103" s="53"/>
      <c r="F103" s="37"/>
      <c r="G103" s="60"/>
      <c r="H103" s="35"/>
    </row>
    <row r="104" spans="3:8" x14ac:dyDescent="0.2">
      <c r="C104" s="8"/>
      <c r="D104" s="8"/>
      <c r="E104" s="53"/>
      <c r="F104" s="37"/>
      <c r="G104" s="60"/>
      <c r="H104" s="35"/>
    </row>
    <row r="105" spans="3:8" x14ac:dyDescent="0.2">
      <c r="C105" s="8"/>
      <c r="D105" s="8"/>
      <c r="E105" s="53"/>
      <c r="F105" s="37"/>
      <c r="G105" s="60"/>
      <c r="H105" s="35"/>
    </row>
    <row r="106" spans="3:8" x14ac:dyDescent="0.2">
      <c r="C106" s="8"/>
      <c r="D106" s="8"/>
      <c r="E106" s="53"/>
      <c r="F106" s="37"/>
      <c r="G106" s="60"/>
      <c r="H106" s="35"/>
    </row>
    <row r="107" spans="3:8" x14ac:dyDescent="0.2">
      <c r="C107" s="8"/>
      <c r="D107" s="8"/>
      <c r="E107" s="53"/>
      <c r="F107" s="37"/>
      <c r="G107" s="60"/>
      <c r="H107" s="35"/>
    </row>
    <row r="108" spans="3:8" x14ac:dyDescent="0.2">
      <c r="C108" s="8"/>
      <c r="D108" s="8"/>
      <c r="E108" s="53"/>
      <c r="F108" s="37"/>
      <c r="G108" s="60"/>
      <c r="H108" s="35"/>
    </row>
    <row r="109" spans="3:8" x14ac:dyDescent="0.2">
      <c r="C109" s="8"/>
      <c r="D109" s="8"/>
      <c r="E109" s="53"/>
      <c r="F109" s="37"/>
      <c r="G109" s="60"/>
      <c r="H109" s="35"/>
    </row>
    <row r="110" spans="3:8" x14ac:dyDescent="0.2">
      <c r="C110" s="8"/>
      <c r="D110" s="8"/>
      <c r="E110" s="53"/>
      <c r="F110" s="37"/>
      <c r="G110" s="60"/>
      <c r="H110" s="35"/>
    </row>
    <row r="111" spans="3:8" x14ac:dyDescent="0.2">
      <c r="C111" s="8"/>
      <c r="D111" s="8"/>
      <c r="E111" s="53"/>
      <c r="F111" s="37"/>
      <c r="G111" s="60"/>
      <c r="H111" s="35"/>
    </row>
    <row r="112" spans="3:8" x14ac:dyDescent="0.2">
      <c r="C112" s="8"/>
      <c r="D112" s="8"/>
      <c r="E112" s="53"/>
      <c r="F112" s="37"/>
      <c r="G112" s="60"/>
      <c r="H112" s="35"/>
    </row>
    <row r="113" spans="3:8" x14ac:dyDescent="0.2">
      <c r="C113" s="8"/>
      <c r="D113" s="8"/>
      <c r="E113" s="53"/>
      <c r="F113" s="37"/>
      <c r="G113" s="60"/>
      <c r="H113" s="35"/>
    </row>
    <row r="114" spans="3:8" x14ac:dyDescent="0.2">
      <c r="C114" s="8"/>
      <c r="D114" s="8"/>
      <c r="E114" s="53"/>
      <c r="F114" s="37"/>
      <c r="G114" s="60"/>
      <c r="H114" s="35"/>
    </row>
    <row r="115" spans="3:8" x14ac:dyDescent="0.2">
      <c r="C115" s="8"/>
      <c r="D115" s="8"/>
      <c r="E115" s="53"/>
      <c r="F115" s="37"/>
      <c r="G115" s="60"/>
      <c r="H115" s="35"/>
    </row>
    <row r="116" spans="3:8" x14ac:dyDescent="0.2">
      <c r="C116" s="8"/>
      <c r="D116" s="8"/>
      <c r="E116" s="53"/>
      <c r="F116" s="37"/>
      <c r="G116" s="60"/>
      <c r="H116" s="35"/>
    </row>
    <row r="117" spans="3:8" x14ac:dyDescent="0.2">
      <c r="C117" s="8"/>
      <c r="D117" s="8"/>
      <c r="E117" s="53"/>
      <c r="F117" s="37"/>
      <c r="G117" s="60"/>
      <c r="H117" s="35"/>
    </row>
    <row r="118" spans="3:8" x14ac:dyDescent="0.2">
      <c r="C118" s="8"/>
      <c r="D118" s="8"/>
      <c r="E118" s="53"/>
      <c r="F118" s="37"/>
      <c r="G118" s="60"/>
      <c r="H118" s="35"/>
    </row>
    <row r="119" spans="3:8" x14ac:dyDescent="0.2">
      <c r="C119" s="8"/>
      <c r="D119" s="8"/>
      <c r="E119" s="53"/>
      <c r="F119" s="37"/>
      <c r="G119" s="60"/>
      <c r="H119" s="35"/>
    </row>
    <row r="120" spans="3:8" x14ac:dyDescent="0.2">
      <c r="C120" s="8"/>
      <c r="D120" s="8"/>
      <c r="E120" s="53"/>
      <c r="F120" s="37"/>
      <c r="G120" s="60"/>
      <c r="H120" s="35"/>
    </row>
    <row r="121" spans="3:8" x14ac:dyDescent="0.2">
      <c r="C121" s="8"/>
      <c r="D121" s="8"/>
      <c r="E121" s="53"/>
      <c r="F121" s="37"/>
      <c r="G121" s="60"/>
      <c r="H121" s="35"/>
    </row>
    <row r="122" spans="3:8" x14ac:dyDescent="0.2">
      <c r="C122" s="8"/>
      <c r="D122" s="8"/>
      <c r="E122" s="53"/>
      <c r="F122" s="37"/>
      <c r="G122" s="60"/>
      <c r="H122" s="35"/>
    </row>
    <row r="123" spans="3:8" x14ac:dyDescent="0.2">
      <c r="C123" s="8"/>
      <c r="D123" s="8"/>
      <c r="E123" s="53"/>
      <c r="F123" s="37"/>
      <c r="G123" s="60"/>
      <c r="H123" s="35"/>
    </row>
    <row r="124" spans="3:8" x14ac:dyDescent="0.2">
      <c r="C124" s="8"/>
      <c r="D124" s="8"/>
      <c r="E124" s="53"/>
      <c r="F124" s="37"/>
      <c r="G124" s="60"/>
      <c r="H124" s="35"/>
    </row>
    <row r="125" spans="3:8" x14ac:dyDescent="0.2">
      <c r="C125" s="8"/>
      <c r="D125" s="8"/>
      <c r="E125" s="53"/>
      <c r="F125" s="37"/>
      <c r="G125" s="60"/>
      <c r="H125" s="35"/>
    </row>
    <row r="126" spans="3:8" x14ac:dyDescent="0.2">
      <c r="C126" s="8"/>
      <c r="D126" s="8"/>
      <c r="E126" s="53"/>
      <c r="F126" s="37"/>
      <c r="G126" s="60"/>
      <c r="H126" s="35"/>
    </row>
    <row r="127" spans="3:8" x14ac:dyDescent="0.2">
      <c r="C127" s="8"/>
      <c r="D127" s="8"/>
      <c r="E127" s="53"/>
      <c r="F127" s="37"/>
      <c r="G127" s="60"/>
      <c r="H127" s="35"/>
    </row>
    <row r="128" spans="3:8" x14ac:dyDescent="0.2">
      <c r="C128" s="8"/>
      <c r="D128" s="8"/>
      <c r="E128" s="53"/>
      <c r="F128" s="37"/>
      <c r="G128" s="60"/>
      <c r="H128" s="35"/>
    </row>
    <row r="129" spans="3:8" x14ac:dyDescent="0.2">
      <c r="C129" s="8"/>
      <c r="D129" s="8"/>
      <c r="E129" s="53"/>
      <c r="F129" s="37"/>
      <c r="G129" s="60"/>
      <c r="H129" s="35"/>
    </row>
    <row r="130" spans="3:8" x14ac:dyDescent="0.2">
      <c r="C130" s="8"/>
      <c r="D130" s="8"/>
      <c r="E130" s="53"/>
      <c r="F130" s="37"/>
      <c r="G130" s="60"/>
      <c r="H130" s="35"/>
    </row>
    <row r="131" spans="3:8" x14ac:dyDescent="0.2">
      <c r="C131" s="8"/>
      <c r="D131" s="8"/>
      <c r="E131" s="53"/>
      <c r="F131" s="37"/>
      <c r="G131" s="60"/>
      <c r="H131" s="35"/>
    </row>
    <row r="132" spans="3:8" x14ac:dyDescent="0.2">
      <c r="C132" s="8"/>
      <c r="D132" s="8"/>
      <c r="E132" s="53"/>
      <c r="F132" s="37"/>
      <c r="G132" s="60"/>
      <c r="H132" s="35"/>
    </row>
    <row r="133" spans="3:8" x14ac:dyDescent="0.2">
      <c r="C133" s="8"/>
      <c r="D133" s="8"/>
      <c r="E133" s="53"/>
      <c r="F133" s="37"/>
      <c r="G133" s="60"/>
      <c r="H133" s="35"/>
    </row>
    <row r="134" spans="3:8" x14ac:dyDescent="0.2">
      <c r="C134" s="8"/>
      <c r="D134" s="8"/>
      <c r="E134" s="53"/>
      <c r="F134" s="37"/>
      <c r="G134" s="60"/>
      <c r="H134" s="35"/>
    </row>
    <row r="135" spans="3:8" x14ac:dyDescent="0.2">
      <c r="C135" s="8"/>
      <c r="D135" s="8"/>
      <c r="E135" s="53"/>
      <c r="F135" s="37"/>
      <c r="G135" s="60"/>
      <c r="H135" s="35"/>
    </row>
    <row r="136" spans="3:8" x14ac:dyDescent="0.2">
      <c r="C136" s="8"/>
      <c r="D136" s="8"/>
      <c r="E136" s="53"/>
      <c r="F136" s="37"/>
      <c r="G136" s="60"/>
      <c r="H136" s="35"/>
    </row>
    <row r="137" spans="3:8" x14ac:dyDescent="0.2">
      <c r="C137" s="8"/>
      <c r="D137" s="8"/>
      <c r="E137" s="53"/>
      <c r="F137" s="37"/>
      <c r="G137" s="60"/>
      <c r="H137" s="35"/>
    </row>
    <row r="138" spans="3:8" x14ac:dyDescent="0.2">
      <c r="C138" s="8"/>
      <c r="D138" s="8"/>
      <c r="E138" s="53"/>
      <c r="F138" s="37"/>
      <c r="G138" s="60"/>
      <c r="H138" s="35"/>
    </row>
    <row r="139" spans="3:8" x14ac:dyDescent="0.2">
      <c r="C139" s="8"/>
      <c r="D139" s="8"/>
      <c r="E139" s="53"/>
      <c r="F139" s="37"/>
      <c r="G139" s="60"/>
      <c r="H139" s="35"/>
    </row>
    <row r="140" spans="3:8" x14ac:dyDescent="0.2">
      <c r="C140" s="8"/>
      <c r="D140" s="8"/>
      <c r="E140" s="53"/>
      <c r="F140" s="37"/>
      <c r="G140" s="60"/>
      <c r="H140" s="35"/>
    </row>
  </sheetData>
  <sheetProtection formatCells="0" formatColumns="0" formatRows="0" insertColumns="0" insertRows="0" insertHyperlinks="0" deleteColumns="0" deleteRows="0"/>
  <protectedRanges>
    <protectedRange sqref="C7 C28 C45 C64" name="Диапазон1"/>
  </protectedRanges>
  <customSheetViews>
    <customSheetView guid="{788B8383-784A-4263-9D04-45657AC129FF}" hiddenColumns="1">
      <pageMargins left="0.75" right="0.75" top="1" bottom="1" header="0.5" footer="0.5"/>
      <pageSetup paperSize="9" scale="76" orientation="portrait" r:id="rId1"/>
      <headerFooter alignWithMargins="0"/>
    </customSheetView>
  </customSheetViews>
  <mergeCells count="19">
    <mergeCell ref="B4:G5"/>
    <mergeCell ref="H8:H17"/>
    <mergeCell ref="B42:G43"/>
    <mergeCell ref="H29:H39"/>
    <mergeCell ref="B26:G26"/>
    <mergeCell ref="B29:B39"/>
    <mergeCell ref="D21:G21"/>
    <mergeCell ref="B19:G20"/>
    <mergeCell ref="B8:B17"/>
    <mergeCell ref="L6:M7"/>
    <mergeCell ref="B65:B78"/>
    <mergeCell ref="H65:H78"/>
    <mergeCell ref="B46:B58"/>
    <mergeCell ref="C63:G63"/>
    <mergeCell ref="B21:B23"/>
    <mergeCell ref="C44:G44"/>
    <mergeCell ref="H46:H58"/>
    <mergeCell ref="B60:G62"/>
    <mergeCell ref="C6:G6"/>
  </mergeCells>
  <phoneticPr fontId="2" type="noConversion"/>
  <dataValidations count="2">
    <dataValidation type="list" allowBlank="1" showInputMessage="1" showErrorMessage="1" sqref="C64" xr:uid="{00000000-0002-0000-0700-000000000000}">
      <formula1>$J$11:$J$15</formula1>
    </dataValidation>
    <dataValidation type="list" allowBlank="1" showInputMessage="1" showErrorMessage="1" sqref="C45 C28 C7" xr:uid="{00000000-0002-0000-0700-000001000000}">
      <formula1>$J$8:$J$15</formula1>
    </dataValidation>
  </dataValidations>
  <hyperlinks>
    <hyperlink ref="K11:M11" location="'3.3'!A1" display="→" xr:uid="{00000000-0004-0000-0700-000000000000}"/>
    <hyperlink ref="K12:M12" location="'3.4'!A1" display="→" xr:uid="{00000000-0004-0000-0700-000001000000}"/>
    <hyperlink ref="K13:M13" location="'3.5'!A1" display="→" xr:uid="{00000000-0004-0000-0700-000002000000}"/>
    <hyperlink ref="K14:M14" location="'3.6'!A1" display="→" xr:uid="{00000000-0004-0000-0700-000003000000}"/>
    <hyperlink ref="K15:M15" location="'3.7'!A1" display="→" xr:uid="{00000000-0004-0000-0700-000004000000}"/>
    <hyperlink ref="K16:M16" location="'3.8'!A1" display="→" xr:uid="{00000000-0004-0000-0700-000005000000}"/>
    <hyperlink ref="K8" location="'3.3'!A1" display="→" xr:uid="{00000000-0004-0000-0700-000006000000}"/>
    <hyperlink ref="K8:M8" location="'3.1'!A1" display="→" xr:uid="{00000000-0004-0000-0700-000007000000}"/>
    <hyperlink ref="K18:M18" location="СОДЕРЖАНИЕ!A1" display="←" xr:uid="{00000000-0004-0000-0700-000008000000}"/>
    <hyperlink ref="K9" location="'3.2'!A1" display="→" xr:uid="{00000000-0004-0000-0700-000009000000}"/>
    <hyperlink ref="L9:M9" location="'3.11'!A1" display="plus Tip-On Blumotion" xr:uid="{00000000-0004-0000-0700-00000A000000}"/>
  </hyperlinks>
  <pageMargins left="0.75" right="0.75" top="1" bottom="1" header="0.5" footer="0.5"/>
  <pageSetup paperSize="9" scale="76" orientation="portrait" r:id="rId2"/>
  <headerFooter alignWithMargins="0"/>
  <ignoredErrors>
    <ignoredError sqref="G9:G11 D9:D11 C10 D30:D32 G30:G31 G32 D47 D49 G47 G49 D66 D68" formula="1"/>
  </ignoredErrors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8"/>
  <dimension ref="A1:BH161"/>
  <sheetViews>
    <sheetView zoomScaleNormal="100" zoomScaleSheetLayoutView="115" workbookViewId="0">
      <selection activeCell="D67" sqref="D67"/>
    </sheetView>
  </sheetViews>
  <sheetFormatPr defaultRowHeight="12.75" x14ac:dyDescent="0.2"/>
  <cols>
    <col min="1" max="1" width="3.7109375" style="8" customWidth="1"/>
    <col min="2" max="2" width="28.140625" customWidth="1"/>
    <col min="3" max="3" width="9.7109375" bestFit="1" customWidth="1"/>
    <col min="4" max="4" width="40.5703125" customWidth="1"/>
    <col min="5" max="5" width="4.42578125" style="10" customWidth="1"/>
    <col min="6" max="6" width="8.140625" hidden="1" customWidth="1"/>
    <col min="7" max="7" width="7.5703125" bestFit="1" customWidth="1"/>
    <col min="8" max="8" width="9.140625" style="20"/>
    <col min="9" max="9" width="6.85546875" style="8" customWidth="1"/>
    <col min="10" max="11" width="9.140625" style="8" hidden="1" customWidth="1"/>
    <col min="12" max="12" width="12.7109375" style="8" bestFit="1" customWidth="1"/>
    <col min="13" max="13" width="20.85546875" style="8" customWidth="1"/>
    <col min="14" max="14" width="7" style="8" bestFit="1" customWidth="1"/>
    <col min="15" max="21" width="9.140625" style="8"/>
    <col min="22" max="45" width="9.140625" style="771"/>
  </cols>
  <sheetData>
    <row r="1" spans="1:60" s="771" customFormat="1" ht="21" thickBot="1" x14ac:dyDescent="0.35">
      <c r="A1" s="1143"/>
      <c r="B1" s="1310" t="s">
        <v>3452</v>
      </c>
      <c r="C1" s="1303"/>
      <c r="D1" s="1303"/>
      <c r="E1" s="1304"/>
      <c r="F1" s="1305"/>
      <c r="G1" s="1306"/>
      <c r="H1" s="1307"/>
      <c r="BG1" s="782"/>
      <c r="BH1" s="782"/>
    </row>
    <row r="2" spans="1:60" s="771" customFormat="1" ht="6" customHeight="1" x14ac:dyDescent="0.2">
      <c r="A2" s="1143"/>
      <c r="B2" s="916"/>
      <c r="C2" s="916"/>
      <c r="D2" s="916"/>
      <c r="E2" s="1144"/>
      <c r="F2" s="916"/>
      <c r="G2" s="1145"/>
      <c r="H2" s="887"/>
      <c r="BG2" s="782"/>
      <c r="BH2" s="782"/>
    </row>
    <row r="3" spans="1:60" s="8" customFormat="1" ht="8.1" customHeight="1" thickBot="1" x14ac:dyDescent="0.25">
      <c r="E3" s="53"/>
      <c r="H3" s="35"/>
      <c r="V3" s="771"/>
      <c r="W3" s="771"/>
      <c r="X3" s="771"/>
      <c r="Y3" s="771"/>
      <c r="Z3" s="771"/>
      <c r="AA3" s="771"/>
      <c r="AB3" s="771"/>
      <c r="AC3" s="771"/>
      <c r="AD3" s="771"/>
      <c r="AE3" s="771"/>
      <c r="AF3" s="771"/>
      <c r="AG3" s="771"/>
      <c r="AH3" s="771"/>
      <c r="AI3" s="771"/>
      <c r="AJ3" s="771"/>
      <c r="AK3" s="771"/>
      <c r="AL3" s="771"/>
      <c r="AM3" s="771"/>
      <c r="AN3" s="771"/>
      <c r="AO3" s="771"/>
      <c r="AP3" s="771"/>
      <c r="AQ3" s="771"/>
      <c r="AR3" s="771"/>
      <c r="AS3" s="771"/>
    </row>
    <row r="4" spans="1:60" ht="20.100000000000001" customHeight="1" x14ac:dyDescent="0.2">
      <c r="B4" s="2015" t="s">
        <v>1349</v>
      </c>
      <c r="C4" s="2016"/>
      <c r="D4" s="2016"/>
      <c r="E4" s="2016"/>
      <c r="F4" s="2016"/>
      <c r="G4" s="2016"/>
      <c r="H4" s="372"/>
    </row>
    <row r="5" spans="1:60" ht="20.100000000000001" customHeight="1" x14ac:dyDescent="0.2">
      <c r="A5" s="17"/>
      <c r="B5" s="2018"/>
      <c r="C5" s="2019"/>
      <c r="D5" s="2019"/>
      <c r="E5" s="2019"/>
      <c r="F5" s="2019"/>
      <c r="G5" s="2019"/>
      <c r="H5" s="374"/>
    </row>
    <row r="6" spans="1:60" x14ac:dyDescent="0.2">
      <c r="A6" s="17"/>
      <c r="B6" s="496" t="s">
        <v>635</v>
      </c>
      <c r="C6" s="2080" t="s">
        <v>2212</v>
      </c>
      <c r="D6" s="2080"/>
      <c r="E6" s="2080"/>
      <c r="F6" s="2080"/>
      <c r="G6" s="2080"/>
      <c r="H6" s="426"/>
    </row>
    <row r="7" spans="1:60" ht="15.75" thickBot="1" x14ac:dyDescent="0.25">
      <c r="A7" s="17"/>
      <c r="B7" s="410" t="s">
        <v>1639</v>
      </c>
      <c r="C7" s="98">
        <v>500</v>
      </c>
      <c r="D7" s="97" t="s">
        <v>1689</v>
      </c>
      <c r="E7" s="97"/>
      <c r="F7" s="97"/>
      <c r="G7" s="97"/>
      <c r="H7" s="375"/>
      <c r="M7" s="2087" t="s">
        <v>1181</v>
      </c>
      <c r="N7" s="2087"/>
    </row>
    <row r="8" spans="1:60" ht="9.9499999999999993" customHeight="1" x14ac:dyDescent="0.2">
      <c r="A8" s="17"/>
      <c r="B8" s="2072"/>
      <c r="C8" s="135" t="s">
        <v>1301</v>
      </c>
      <c r="D8" s="139" t="s">
        <v>784</v>
      </c>
      <c r="E8" s="140" t="s">
        <v>2117</v>
      </c>
      <c r="F8" s="139"/>
      <c r="G8" s="141" t="s">
        <v>2116</v>
      </c>
      <c r="H8" s="411"/>
      <c r="I8" s="30"/>
      <c r="M8" s="2088"/>
      <c r="N8" s="2088"/>
    </row>
    <row r="9" spans="1:60" ht="14.25" customHeight="1" x14ac:dyDescent="0.2">
      <c r="A9" s="17"/>
      <c r="B9" s="2073"/>
      <c r="C9" s="138" t="str">
        <f>VLOOKUP($C$7,tbxM,2,FALSE)</f>
        <v>3863588/</v>
      </c>
      <c r="D9" s="138" t="str">
        <f>VLOOKUP(C9,всецены,2,FALSE)</f>
        <v xml:space="preserve">TBX, Царга 83/500 мм, сер, лев. NEW     </v>
      </c>
      <c r="E9" s="3">
        <v>2</v>
      </c>
      <c r="F9" s="65">
        <f t="shared" ref="F9:F16" si="0">VLOOKUP(C9,всецены,4,FALSE)</f>
        <v>417.17796120000003</v>
      </c>
      <c r="G9" s="21">
        <f>F9*E9</f>
        <v>834.35592240000005</v>
      </c>
      <c r="H9" s="2089">
        <f>SUM(G9:G16)</f>
        <v>2777.9335583999996</v>
      </c>
      <c r="K9" s="8" t="s">
        <v>1411</v>
      </c>
      <c r="L9" s="943" t="s">
        <v>1813</v>
      </c>
      <c r="M9" s="929" t="s">
        <v>2253</v>
      </c>
      <c r="N9" s="930" t="s">
        <v>2229</v>
      </c>
    </row>
    <row r="10" spans="1:60" x14ac:dyDescent="0.2">
      <c r="A10" s="17"/>
      <c r="B10" s="2073"/>
      <c r="C10" s="138" t="str">
        <f>VLOOKUP($C$7,tbxM,3,FALSE)</f>
        <v>3852259/</v>
      </c>
      <c r="D10" s="138" t="str">
        <f>VLOOKUP(C10,всецены,2,FALSE)</f>
        <v xml:space="preserve">TBX, Царга 83/500 мм, сер, пр. NEW      </v>
      </c>
      <c r="E10" s="3">
        <v>2</v>
      </c>
      <c r="F10" s="65">
        <f t="shared" si="0"/>
        <v>417.17796120000003</v>
      </c>
      <c r="G10" s="21">
        <f t="shared" ref="G10:G16" si="1">F10*E10</f>
        <v>834.35592240000005</v>
      </c>
      <c r="H10" s="2089"/>
      <c r="J10" s="8">
        <v>450</v>
      </c>
      <c r="K10" s="2" t="s">
        <v>100</v>
      </c>
      <c r="L10" s="943" t="s">
        <v>1813</v>
      </c>
      <c r="M10" s="929" t="s">
        <v>2262</v>
      </c>
      <c r="N10" s="925" t="s">
        <v>2230</v>
      </c>
    </row>
    <row r="11" spans="1:60" x14ac:dyDescent="0.2">
      <c r="A11" s="17"/>
      <c r="B11" s="2073"/>
      <c r="C11" s="138" t="str">
        <f>VLOOKUP($C$7,tbxM,4,FALSE)</f>
        <v>8716527/</v>
      </c>
      <c r="D11" s="138" t="str">
        <f>VLOOKUP(C11,всецены,2,FALSE)</f>
        <v>TBX, Напр. с BM, 30 кг, 500 мм, лев. NEW</v>
      </c>
      <c r="E11" s="3">
        <v>1</v>
      </c>
      <c r="F11" s="65">
        <f t="shared" si="0"/>
        <v>424.49687280000001</v>
      </c>
      <c r="G11" s="21">
        <f t="shared" si="1"/>
        <v>424.49687280000001</v>
      </c>
      <c r="H11" s="2089"/>
      <c r="J11" s="8">
        <v>500</v>
      </c>
      <c r="K11" s="2" t="s">
        <v>1950</v>
      </c>
      <c r="L11" s="943" t="s">
        <v>1813</v>
      </c>
      <c r="M11" s="929" t="s">
        <v>5207</v>
      </c>
      <c r="N11" s="925" t="s">
        <v>5192</v>
      </c>
    </row>
    <row r="12" spans="1:60" x14ac:dyDescent="0.2">
      <c r="A12" s="17"/>
      <c r="B12" s="2073"/>
      <c r="C12" s="138" t="str">
        <f>VLOOKUP($C$7,tbxM,5,FALSE)</f>
        <v>8709485/</v>
      </c>
      <c r="D12" s="138" t="str">
        <f>VLOOKUP(C12,всецены,2,FALSE)</f>
        <v xml:space="preserve">TBX, Напр. с BM, 30 кг, 500 мм, пр. NEW </v>
      </c>
      <c r="E12" s="3">
        <v>1</v>
      </c>
      <c r="F12" s="65">
        <f t="shared" si="0"/>
        <v>424.49687280000001</v>
      </c>
      <c r="G12" s="21">
        <f t="shared" si="1"/>
        <v>424.49687280000001</v>
      </c>
      <c r="H12" s="2089"/>
      <c r="L12" s="938" t="s">
        <v>2812</v>
      </c>
      <c r="M12" s="939" t="s">
        <v>2263</v>
      </c>
      <c r="N12" s="937"/>
    </row>
    <row r="13" spans="1:60" x14ac:dyDescent="0.2">
      <c r="A13" s="17"/>
      <c r="B13" s="2073"/>
      <c r="C13" s="138" t="s">
        <v>4511</v>
      </c>
      <c r="D13" s="138" t="str">
        <f>VLOOKUP(C13,всецены,2,FALSE)</f>
        <v xml:space="preserve">TBX, Крепл фасада INSERTA, NEW ZSF.39A2 </v>
      </c>
      <c r="E13" s="3">
        <v>2</v>
      </c>
      <c r="F13" s="65">
        <f t="shared" si="0"/>
        <v>43.913469600000006</v>
      </c>
      <c r="G13" s="21">
        <f t="shared" si="1"/>
        <v>87.826939200000012</v>
      </c>
      <c r="H13" s="2089"/>
      <c r="L13" s="943" t="s">
        <v>1813</v>
      </c>
      <c r="M13" s="922" t="s">
        <v>2264</v>
      </c>
      <c r="N13" s="925" t="s">
        <v>2232</v>
      </c>
    </row>
    <row r="14" spans="1:60" ht="13.5" customHeight="1" x14ac:dyDescent="0.2">
      <c r="A14" s="17"/>
      <c r="B14" s="2073"/>
      <c r="C14" s="138" t="s">
        <v>299</v>
      </c>
      <c r="D14" s="4" t="s">
        <v>1638</v>
      </c>
      <c r="E14" s="3">
        <v>4</v>
      </c>
      <c r="F14" s="65">
        <f t="shared" si="0"/>
        <v>8.9453364000000004</v>
      </c>
      <c r="G14" s="21">
        <f t="shared" si="1"/>
        <v>35.781345600000002</v>
      </c>
      <c r="H14" s="2089"/>
      <c r="L14" s="943" t="s">
        <v>1813</v>
      </c>
      <c r="M14" s="924" t="s">
        <v>2251</v>
      </c>
      <c r="N14" s="925" t="s">
        <v>2233</v>
      </c>
    </row>
    <row r="15" spans="1:60" x14ac:dyDescent="0.2">
      <c r="A15" s="17"/>
      <c r="B15" s="2073"/>
      <c r="C15" s="138" t="s">
        <v>1630</v>
      </c>
      <c r="D15" s="4" t="s">
        <v>1631</v>
      </c>
      <c r="E15" s="3">
        <v>2</v>
      </c>
      <c r="F15" s="65">
        <f t="shared" si="0"/>
        <v>34.154920799999999</v>
      </c>
      <c r="G15" s="21">
        <f t="shared" si="1"/>
        <v>68.309841599999999</v>
      </c>
      <c r="H15" s="2089"/>
      <c r="L15" s="943" t="s">
        <v>1813</v>
      </c>
      <c r="M15" s="924" t="s">
        <v>2403</v>
      </c>
      <c r="N15" s="925" t="s">
        <v>2234</v>
      </c>
    </row>
    <row r="16" spans="1:60" ht="13.5" thickBot="1" x14ac:dyDescent="0.25">
      <c r="A16" s="17"/>
      <c r="B16" s="2074"/>
      <c r="C16" s="497" t="s">
        <v>1628</v>
      </c>
      <c r="D16" s="455" t="s">
        <v>1629</v>
      </c>
      <c r="E16" s="355">
        <v>2</v>
      </c>
      <c r="F16" s="382">
        <f t="shared" si="0"/>
        <v>34.154920799999999</v>
      </c>
      <c r="G16" s="354">
        <f t="shared" si="1"/>
        <v>68.309841599999999</v>
      </c>
      <c r="H16" s="2090"/>
      <c r="L16" s="943" t="s">
        <v>1813</v>
      </c>
      <c r="M16" s="924" t="s">
        <v>2252</v>
      </c>
      <c r="N16" s="925" t="s">
        <v>2235</v>
      </c>
    </row>
    <row r="17" spans="1:45" s="8" customFormat="1" x14ac:dyDescent="0.2">
      <c r="A17" s="17"/>
      <c r="B17" s="69"/>
      <c r="C17" s="495"/>
      <c r="D17" s="445"/>
      <c r="E17" s="169"/>
      <c r="F17" s="75"/>
      <c r="G17" s="358"/>
      <c r="H17" s="19"/>
      <c r="L17" s="943" t="s">
        <v>1813</v>
      </c>
      <c r="M17" s="924" t="s">
        <v>2265</v>
      </c>
      <c r="N17" s="925" t="s">
        <v>2240</v>
      </c>
      <c r="V17" s="771"/>
      <c r="W17" s="771"/>
      <c r="X17" s="771"/>
      <c r="Y17" s="771"/>
      <c r="Z17" s="771"/>
      <c r="AA17" s="771"/>
      <c r="AB17" s="771"/>
      <c r="AC17" s="771"/>
      <c r="AD17" s="771"/>
      <c r="AE17" s="771"/>
      <c r="AF17" s="771"/>
      <c r="AG17" s="771"/>
      <c r="AH17" s="771"/>
      <c r="AI17" s="771"/>
      <c r="AJ17" s="771"/>
      <c r="AK17" s="771"/>
      <c r="AL17" s="771"/>
      <c r="AM17" s="771"/>
      <c r="AN17" s="771"/>
      <c r="AO17" s="771"/>
      <c r="AP17" s="771"/>
      <c r="AQ17" s="771"/>
      <c r="AR17" s="771"/>
      <c r="AS17" s="771"/>
    </row>
    <row r="18" spans="1:45" ht="8.1" customHeight="1" thickBot="1" x14ac:dyDescent="0.25">
      <c r="B18" s="32"/>
      <c r="C18" s="39"/>
      <c r="D18" s="33"/>
      <c r="E18" s="32"/>
      <c r="F18" s="28"/>
      <c r="G18" s="58"/>
      <c r="H18" s="19"/>
      <c r="N18" s="106" t="s">
        <v>2822</v>
      </c>
    </row>
    <row r="19" spans="1:45" ht="20.100000000000001" customHeight="1" x14ac:dyDescent="0.2">
      <c r="B19" s="2015" t="s">
        <v>1350</v>
      </c>
      <c r="C19" s="2016"/>
      <c r="D19" s="2016"/>
      <c r="E19" s="2016"/>
      <c r="F19" s="2016"/>
      <c r="G19" s="2016"/>
      <c r="H19" s="372"/>
    </row>
    <row r="20" spans="1:45" ht="20.100000000000001" customHeight="1" x14ac:dyDescent="0.25">
      <c r="A20" s="17"/>
      <c r="B20" s="2018"/>
      <c r="C20" s="2019"/>
      <c r="D20" s="2019"/>
      <c r="E20" s="2019"/>
      <c r="F20" s="2019"/>
      <c r="G20" s="2019"/>
      <c r="H20" s="374"/>
      <c r="L20" s="946" t="s">
        <v>1815</v>
      </c>
      <c r="M20" s="932" t="s">
        <v>2813</v>
      </c>
      <c r="N20" s="933"/>
    </row>
    <row r="21" spans="1:45" x14ac:dyDescent="0.2">
      <c r="A21" s="17"/>
      <c r="B21" s="2041" t="s">
        <v>1947</v>
      </c>
      <c r="C21" s="2042"/>
      <c r="D21" s="2042"/>
      <c r="E21" s="2042"/>
      <c r="F21" s="2042"/>
      <c r="G21" s="2042"/>
      <c r="H21" s="426"/>
    </row>
    <row r="22" spans="1:45" ht="15.75" thickBot="1" x14ac:dyDescent="0.25">
      <c r="A22" s="17"/>
      <c r="B22" s="410" t="s">
        <v>1639</v>
      </c>
      <c r="C22" s="98">
        <v>450</v>
      </c>
      <c r="D22" s="97" t="s">
        <v>1689</v>
      </c>
      <c r="E22" s="97"/>
      <c r="F22" s="97"/>
      <c r="G22" s="97"/>
      <c r="H22" s="375"/>
    </row>
    <row r="23" spans="1:45" x14ac:dyDescent="0.2">
      <c r="A23" s="17"/>
      <c r="B23" s="2111"/>
      <c r="C23" s="138" t="str">
        <f>VLOOKUP($C$22,tbxM,2,FALSE)</f>
        <v>3310076/</v>
      </c>
      <c r="D23" s="138" t="str">
        <f t="shared" ref="D23:D28" si="2">VLOOKUP(C23,всецены,2,FALSE)</f>
        <v xml:space="preserve">TBX, Царга 83/450 мм, сер, лев. NEW     </v>
      </c>
      <c r="E23" s="3">
        <v>1</v>
      </c>
      <c r="F23" s="65">
        <f t="shared" ref="F23:F34" si="3">VLOOKUP(C23,всецены,4,FALSE)</f>
        <v>430.18935960000005</v>
      </c>
      <c r="G23" s="64">
        <f>F23*E23</f>
        <v>430.18935960000005</v>
      </c>
      <c r="H23" s="2089">
        <f>SUM(G23:G34)</f>
        <v>4241.7158784000003</v>
      </c>
    </row>
    <row r="24" spans="1:45" x14ac:dyDescent="0.2">
      <c r="A24" s="17"/>
      <c r="B24" s="2111"/>
      <c r="C24" s="138" t="str">
        <f>VLOOKUP($C$22,tbxM,3,FALSE)</f>
        <v>3304791/</v>
      </c>
      <c r="D24" s="138" t="str">
        <f t="shared" si="2"/>
        <v xml:space="preserve">TBX, Царга 83/450 мм, сер, пр. NEW      </v>
      </c>
      <c r="E24" s="3">
        <v>1</v>
      </c>
      <c r="F24" s="65">
        <f t="shared" si="3"/>
        <v>430.18935960000005</v>
      </c>
      <c r="G24" s="64">
        <f t="shared" ref="G24:G34" si="4">F24*E24</f>
        <v>430.18935960000005</v>
      </c>
      <c r="H24" s="2089"/>
    </row>
    <row r="25" spans="1:45" x14ac:dyDescent="0.2">
      <c r="A25" s="17"/>
      <c r="B25" s="2111"/>
      <c r="C25" s="138" t="str">
        <f>VLOOKUP($C$22,tbxM,4,FALSE)</f>
        <v>8698727/</v>
      </c>
      <c r="D25" s="138" t="str">
        <f t="shared" si="2"/>
        <v>TBX, Напр. с BM, 30 кг, 450 мм, лев. NEW</v>
      </c>
      <c r="E25" s="3">
        <v>1</v>
      </c>
      <c r="F25" s="65">
        <f t="shared" si="3"/>
        <v>421.24402319999996</v>
      </c>
      <c r="G25" s="64">
        <f t="shared" si="4"/>
        <v>421.24402319999996</v>
      </c>
      <c r="H25" s="2089"/>
    </row>
    <row r="26" spans="1:45" x14ac:dyDescent="0.2">
      <c r="A26" s="17"/>
      <c r="B26" s="2111"/>
      <c r="C26" s="138" t="str">
        <f>VLOOKUP($C$22,tbxM,5,FALSE)</f>
        <v>8690466/</v>
      </c>
      <c r="D26" s="138" t="str">
        <f t="shared" si="2"/>
        <v xml:space="preserve">TBX, Напр. с BM, 30 кг, 450 мм, пр. NEW </v>
      </c>
      <c r="E26" s="3">
        <v>1</v>
      </c>
      <c r="F26" s="65">
        <f t="shared" si="3"/>
        <v>421.24402319999996</v>
      </c>
      <c r="G26" s="64">
        <f t="shared" si="4"/>
        <v>421.24402319999996</v>
      </c>
      <c r="H26" s="2089"/>
    </row>
    <row r="27" spans="1:45" x14ac:dyDescent="0.2">
      <c r="A27" s="17"/>
      <c r="B27" s="2111"/>
      <c r="C27" s="138" t="str">
        <f>VLOOKUP($C$22,tbxM,6,FALSE)</f>
        <v>2246270/</v>
      </c>
      <c r="D27" s="138" t="str">
        <f t="shared" si="2"/>
        <v xml:space="preserve">TBX, Релинг продольн, 450 мм, сер.      </v>
      </c>
      <c r="E27" s="3">
        <v>4</v>
      </c>
      <c r="F27" s="65">
        <f t="shared" si="3"/>
        <v>103.27797480000001</v>
      </c>
      <c r="G27" s="64">
        <f t="shared" si="4"/>
        <v>413.11189920000004</v>
      </c>
      <c r="H27" s="2089"/>
    </row>
    <row r="28" spans="1:45" x14ac:dyDescent="0.2">
      <c r="A28" s="17"/>
      <c r="B28" s="2111"/>
      <c r="C28" s="138" t="str">
        <f>VLOOKUP($C$22,J10:K11,2,FALSE)</f>
        <v>6639060/</v>
      </c>
      <c r="D28" s="138" t="str">
        <f t="shared" si="2"/>
        <v xml:space="preserve">TBX, Царги под мойку, 450 мм, сер, кмп  </v>
      </c>
      <c r="E28" s="3">
        <v>1</v>
      </c>
      <c r="F28" s="65">
        <f t="shared" si="3"/>
        <v>1559.7413832</v>
      </c>
      <c r="G28" s="64">
        <f t="shared" si="4"/>
        <v>1559.7413832</v>
      </c>
      <c r="H28" s="2089"/>
    </row>
    <row r="29" spans="1:45" x14ac:dyDescent="0.2">
      <c r="A29" s="17"/>
      <c r="B29" s="2111"/>
      <c r="C29" s="2" t="s">
        <v>1951</v>
      </c>
      <c r="D29" s="4" t="s">
        <v>97</v>
      </c>
      <c r="E29" s="3">
        <v>1</v>
      </c>
      <c r="F29" s="65">
        <f t="shared" si="3"/>
        <v>157.76320559999999</v>
      </c>
      <c r="G29" s="64">
        <f t="shared" si="4"/>
        <v>157.76320559999999</v>
      </c>
      <c r="H29" s="2089"/>
    </row>
    <row r="30" spans="1:45" s="1835" customFormat="1" ht="12.75" customHeight="1" x14ac:dyDescent="0.2">
      <c r="A30" s="17"/>
      <c r="B30" s="2112"/>
      <c r="C30" s="138" t="s">
        <v>299</v>
      </c>
      <c r="D30" s="4" t="s">
        <v>1638</v>
      </c>
      <c r="E30" s="3">
        <v>4</v>
      </c>
      <c r="F30" s="65">
        <f t="shared" si="3"/>
        <v>8.9453364000000004</v>
      </c>
      <c r="G30" s="64">
        <f t="shared" si="4"/>
        <v>35.781345600000002</v>
      </c>
      <c r="H30" s="2109"/>
      <c r="I30" s="8"/>
      <c r="J30" s="8"/>
      <c r="K30" s="8"/>
      <c r="L30" s="8"/>
      <c r="M30" s="8"/>
      <c r="N30" s="8"/>
      <c r="O30" s="8"/>
      <c r="P30" s="8"/>
      <c r="Q30" s="8"/>
      <c r="R30" s="8"/>
      <c r="S30" s="8"/>
      <c r="T30" s="8"/>
      <c r="U30" s="8"/>
      <c r="V30" s="771"/>
      <c r="W30" s="771"/>
      <c r="X30" s="771"/>
      <c r="Y30" s="771"/>
      <c r="Z30" s="771"/>
      <c r="AA30" s="771"/>
      <c r="AB30" s="771"/>
      <c r="AC30" s="771"/>
      <c r="AD30" s="771"/>
      <c r="AE30" s="771"/>
      <c r="AF30" s="771"/>
      <c r="AG30" s="771"/>
      <c r="AH30" s="771"/>
      <c r="AI30" s="771"/>
      <c r="AJ30" s="771"/>
      <c r="AK30" s="771"/>
      <c r="AL30" s="771"/>
      <c r="AM30" s="771"/>
      <c r="AN30" s="771"/>
      <c r="AO30" s="771"/>
      <c r="AP30" s="771"/>
      <c r="AQ30" s="771"/>
      <c r="AR30" s="771"/>
      <c r="AS30" s="771"/>
    </row>
    <row r="31" spans="1:45" x14ac:dyDescent="0.2">
      <c r="A31" s="17"/>
      <c r="B31" s="2111"/>
      <c r="C31" s="2" t="s">
        <v>532</v>
      </c>
      <c r="D31" s="4" t="s">
        <v>533</v>
      </c>
      <c r="E31" s="3">
        <v>1</v>
      </c>
      <c r="F31" s="65">
        <f t="shared" si="3"/>
        <v>46.353106799999999</v>
      </c>
      <c r="G31" s="64">
        <f t="shared" si="4"/>
        <v>46.353106799999999</v>
      </c>
      <c r="H31" s="2089"/>
    </row>
    <row r="32" spans="1:45" x14ac:dyDescent="0.2">
      <c r="A32" s="17"/>
      <c r="B32" s="2111"/>
      <c r="C32" s="2" t="s">
        <v>534</v>
      </c>
      <c r="D32" s="4" t="s">
        <v>535</v>
      </c>
      <c r="E32" s="3">
        <v>1</v>
      </c>
      <c r="F32" s="65">
        <f t="shared" si="3"/>
        <v>46.353106799999999</v>
      </c>
      <c r="G32" s="64">
        <f t="shared" si="4"/>
        <v>46.353106799999999</v>
      </c>
      <c r="H32" s="2089"/>
    </row>
    <row r="33" spans="1:45" x14ac:dyDescent="0.2">
      <c r="A33" s="17"/>
      <c r="B33" s="2111"/>
      <c r="C33" s="2" t="s">
        <v>1636</v>
      </c>
      <c r="D33" s="2" t="s">
        <v>1637</v>
      </c>
      <c r="E33" s="3">
        <v>2</v>
      </c>
      <c r="F33" s="65">
        <f t="shared" si="3"/>
        <v>69.936266400000008</v>
      </c>
      <c r="G33" s="64">
        <f t="shared" si="4"/>
        <v>139.87253280000002</v>
      </c>
      <c r="H33" s="2089"/>
    </row>
    <row r="34" spans="1:45" ht="13.5" thickBot="1" x14ac:dyDescent="0.25">
      <c r="A34" s="17"/>
      <c r="B34" s="2113"/>
      <c r="C34" s="353" t="s">
        <v>1634</v>
      </c>
      <c r="D34" s="353" t="s">
        <v>1635</v>
      </c>
      <c r="E34" s="355">
        <v>2</v>
      </c>
      <c r="F34" s="382">
        <f t="shared" si="3"/>
        <v>69.936266400000008</v>
      </c>
      <c r="G34" s="436">
        <f t="shared" si="4"/>
        <v>139.87253280000002</v>
      </c>
      <c r="H34" s="2090"/>
    </row>
    <row r="35" spans="1:45" x14ac:dyDescent="0.2">
      <c r="A35" s="17"/>
      <c r="B35" s="17"/>
      <c r="C35" s="17"/>
      <c r="D35" s="17"/>
      <c r="E35" s="344"/>
      <c r="F35" s="17"/>
      <c r="G35" s="17"/>
      <c r="H35" s="35"/>
    </row>
    <row r="36" spans="1:45" ht="8.1" customHeight="1" thickBot="1" x14ac:dyDescent="0.25">
      <c r="B36" s="8"/>
      <c r="C36" s="8"/>
      <c r="D36" s="8"/>
      <c r="E36" s="53"/>
      <c r="F36" s="8"/>
      <c r="G36" s="8"/>
      <c r="H36" s="35"/>
    </row>
    <row r="37" spans="1:45" ht="20.100000000000001" customHeight="1" x14ac:dyDescent="0.2">
      <c r="B37" s="2015" t="s">
        <v>1350</v>
      </c>
      <c r="C37" s="2016"/>
      <c r="D37" s="2016"/>
      <c r="E37" s="2016"/>
      <c r="F37" s="2016"/>
      <c r="G37" s="2016"/>
      <c r="H37" s="372"/>
    </row>
    <row r="38" spans="1:45" ht="20.100000000000001" customHeight="1" x14ac:dyDescent="0.2">
      <c r="A38" s="17"/>
      <c r="B38" s="2018"/>
      <c r="C38" s="2019"/>
      <c r="D38" s="2019"/>
      <c r="E38" s="2019"/>
      <c r="F38" s="2019"/>
      <c r="G38" s="2019"/>
      <c r="H38" s="374"/>
    </row>
    <row r="39" spans="1:45" x14ac:dyDescent="0.2">
      <c r="A39" s="17"/>
      <c r="B39" s="2041" t="s">
        <v>557</v>
      </c>
      <c r="C39" s="2042"/>
      <c r="D39" s="2042"/>
      <c r="E39" s="2042"/>
      <c r="F39" s="2042"/>
      <c r="G39" s="2042"/>
      <c r="H39" s="426"/>
    </row>
    <row r="40" spans="1:45" ht="15.75" thickBot="1" x14ac:dyDescent="0.25">
      <c r="A40" s="17"/>
      <c r="B40" s="410" t="s">
        <v>1639</v>
      </c>
      <c r="C40" s="98">
        <v>500</v>
      </c>
      <c r="D40" s="97" t="s">
        <v>1689</v>
      </c>
      <c r="E40" s="97"/>
      <c r="F40" s="97"/>
      <c r="G40" s="97"/>
      <c r="H40" s="375"/>
    </row>
    <row r="41" spans="1:45" x14ac:dyDescent="0.2">
      <c r="A41" s="17"/>
      <c r="B41" s="2085"/>
      <c r="C41" s="138" t="str">
        <f>VLOOKUP($C$40,tbxM,2,FALSE)</f>
        <v>3863588/</v>
      </c>
      <c r="D41" s="138" t="str">
        <f t="shared" ref="D41:D48" si="5">VLOOKUP(C41,всецены,2,FALSE)</f>
        <v xml:space="preserve">TBX, Царга 83/500 мм, сер, лев. NEW     </v>
      </c>
      <c r="E41" s="3">
        <v>1</v>
      </c>
      <c r="F41" s="65">
        <f t="shared" ref="F41:F54" si="6">VLOOKUP(C41,всецены,4,FALSE)</f>
        <v>417.17796120000003</v>
      </c>
      <c r="G41" s="64">
        <f>F41*E41</f>
        <v>417.17796120000003</v>
      </c>
      <c r="H41" s="2089">
        <f>SUM(G41:G54)</f>
        <v>6613.0432368000011</v>
      </c>
    </row>
    <row r="42" spans="1:45" x14ac:dyDescent="0.2">
      <c r="A42" s="17"/>
      <c r="B42" s="2085"/>
      <c r="C42" s="138" t="str">
        <f>VLOOKUP($C$40,tbxM,3,FALSE)</f>
        <v>3852259/</v>
      </c>
      <c r="D42" s="138" t="str">
        <f t="shared" si="5"/>
        <v xml:space="preserve">TBX, Царга 83/500 мм, сер, пр. NEW      </v>
      </c>
      <c r="E42" s="3">
        <v>1</v>
      </c>
      <c r="F42" s="65">
        <f t="shared" si="6"/>
        <v>417.17796120000003</v>
      </c>
      <c r="G42" s="64">
        <f t="shared" ref="G42:G54" si="7">F42*E42</f>
        <v>417.17796120000003</v>
      </c>
      <c r="H42" s="2089"/>
    </row>
    <row r="43" spans="1:45" x14ac:dyDescent="0.2">
      <c r="A43" s="17"/>
      <c r="B43" s="2085"/>
      <c r="C43" s="138" t="str">
        <f>VLOOKUP($C$40,tbxM,4,FALSE)</f>
        <v>8716527/</v>
      </c>
      <c r="D43" s="138" t="str">
        <f t="shared" si="5"/>
        <v>TBX, Напр. с BM, 30 кг, 500 мм, лев. NEW</v>
      </c>
      <c r="E43" s="3">
        <v>1</v>
      </c>
      <c r="F43" s="65">
        <f t="shared" si="6"/>
        <v>424.49687280000001</v>
      </c>
      <c r="G43" s="64">
        <f t="shared" si="7"/>
        <v>424.49687280000001</v>
      </c>
      <c r="H43" s="2089"/>
    </row>
    <row r="44" spans="1:45" x14ac:dyDescent="0.2">
      <c r="A44" s="17"/>
      <c r="B44" s="2085"/>
      <c r="C44" s="138" t="str">
        <f>VLOOKUP($C$40,tbxM,5,FALSE)</f>
        <v>8709485/</v>
      </c>
      <c r="D44" s="138" t="str">
        <f t="shared" si="5"/>
        <v xml:space="preserve">TBX, Напр. с BM, 30 кг, 500 мм, пр. NEW </v>
      </c>
      <c r="E44" s="3">
        <v>1</v>
      </c>
      <c r="F44" s="65">
        <f t="shared" si="6"/>
        <v>424.49687280000001</v>
      </c>
      <c r="G44" s="64">
        <f t="shared" si="7"/>
        <v>424.49687280000001</v>
      </c>
      <c r="H44" s="2089"/>
    </row>
    <row r="45" spans="1:45" s="1543" customFormat="1" x14ac:dyDescent="0.2">
      <c r="A45" s="17"/>
      <c r="B45" s="2108"/>
      <c r="C45" s="1560" t="s">
        <v>4511</v>
      </c>
      <c r="D45" s="138" t="str">
        <f>VLOOKUP(C45,всецены,2,FALSE)</f>
        <v xml:space="preserve">TBX, Крепл фасада INSERTA, NEW ZSF.39A2 </v>
      </c>
      <c r="E45" s="3">
        <v>1</v>
      </c>
      <c r="F45" s="65">
        <f>VLOOKUP(C45,всецены,4,FALSE)</f>
        <v>43.913469600000006</v>
      </c>
      <c r="G45" s="64">
        <f>F45*E45</f>
        <v>43.913469600000006</v>
      </c>
      <c r="H45" s="2110"/>
      <c r="I45" s="8"/>
      <c r="J45" s="8"/>
      <c r="K45" s="8"/>
      <c r="L45" s="8"/>
      <c r="M45" s="8"/>
      <c r="N45" s="8"/>
      <c r="O45" s="8"/>
      <c r="P45" s="8"/>
      <c r="Q45" s="8"/>
      <c r="R45" s="8"/>
      <c r="S45" s="8"/>
      <c r="T45" s="8"/>
      <c r="U45" s="8"/>
      <c r="V45" s="771"/>
      <c r="W45" s="771"/>
      <c r="X45" s="771"/>
      <c r="Y45" s="771"/>
      <c r="Z45" s="771"/>
      <c r="AA45" s="771"/>
      <c r="AB45" s="771"/>
      <c r="AC45" s="771"/>
      <c r="AD45" s="771"/>
      <c r="AE45" s="771"/>
      <c r="AF45" s="771"/>
      <c r="AG45" s="771"/>
      <c r="AH45" s="771"/>
      <c r="AI45" s="771"/>
      <c r="AJ45" s="771"/>
      <c r="AK45" s="771"/>
      <c r="AL45" s="771"/>
      <c r="AM45" s="771"/>
      <c r="AN45" s="771"/>
      <c r="AO45" s="771"/>
      <c r="AP45" s="771"/>
      <c r="AQ45" s="771"/>
      <c r="AR45" s="771"/>
      <c r="AS45" s="771"/>
    </row>
    <row r="46" spans="1:45" x14ac:dyDescent="0.2">
      <c r="A46" s="17"/>
      <c r="B46" s="2085"/>
      <c r="C46" s="138" t="str">
        <f>VLOOKUP($C$40,tbxM,6,FALSE)</f>
        <v>1862960/</v>
      </c>
      <c r="D46" s="138" t="str">
        <f t="shared" si="5"/>
        <v xml:space="preserve">TBX, Релинг продольн, 500 мм, сер.      </v>
      </c>
      <c r="E46" s="3">
        <v>4</v>
      </c>
      <c r="F46" s="65">
        <f t="shared" si="6"/>
        <v>103.27797480000001</v>
      </c>
      <c r="G46" s="64">
        <f t="shared" si="7"/>
        <v>413.11189920000004</v>
      </c>
      <c r="H46" s="2089"/>
    </row>
    <row r="47" spans="1:45" x14ac:dyDescent="0.2">
      <c r="A47" s="17"/>
      <c r="B47" s="2085"/>
      <c r="C47" s="138" t="str">
        <f>VLOOKUP($C$40,tbxM,7,FALSE)</f>
        <v>4170770/</v>
      </c>
      <c r="D47" s="138" t="str">
        <f t="shared" si="5"/>
        <v xml:space="preserve">TBX, Двухст. Boxside, 500 мм, сер, кмп. </v>
      </c>
      <c r="E47" s="3">
        <v>2</v>
      </c>
      <c r="F47" s="65">
        <f t="shared" si="6"/>
        <v>1167.7730064</v>
      </c>
      <c r="G47" s="64">
        <f t="shared" si="7"/>
        <v>2335.5460128</v>
      </c>
      <c r="H47" s="2089"/>
    </row>
    <row r="48" spans="1:45" x14ac:dyDescent="0.2">
      <c r="A48" s="17"/>
      <c r="B48" s="2085"/>
      <c r="C48" s="138" t="str">
        <f>VLOOKUP($C$40,J10:K11,2,FALSE)</f>
        <v>6639730/</v>
      </c>
      <c r="D48" s="138" t="str">
        <f t="shared" si="5"/>
        <v xml:space="preserve">TBX, Царги под мойку, 500 мм, сер, кмп  </v>
      </c>
      <c r="E48" s="3">
        <v>1</v>
      </c>
      <c r="F48" s="65">
        <f t="shared" si="6"/>
        <v>1571.1263568000002</v>
      </c>
      <c r="G48" s="64">
        <f t="shared" si="7"/>
        <v>1571.1263568000002</v>
      </c>
      <c r="H48" s="2089"/>
    </row>
    <row r="49" spans="1:45" x14ac:dyDescent="0.2">
      <c r="A49" s="17"/>
      <c r="B49" s="2085"/>
      <c r="C49" s="2" t="s">
        <v>1951</v>
      </c>
      <c r="D49" s="4" t="s">
        <v>97</v>
      </c>
      <c r="E49" s="3">
        <v>1</v>
      </c>
      <c r="F49" s="65">
        <f t="shared" si="6"/>
        <v>157.76320559999999</v>
      </c>
      <c r="G49" s="64">
        <f t="shared" si="7"/>
        <v>157.76320559999999</v>
      </c>
      <c r="H49" s="2089"/>
    </row>
    <row r="50" spans="1:45" s="1835" customFormat="1" ht="12.75" customHeight="1" x14ac:dyDescent="0.2">
      <c r="A50" s="17"/>
      <c r="B50" s="2108"/>
      <c r="C50" s="138" t="s">
        <v>299</v>
      </c>
      <c r="D50" s="4" t="s">
        <v>1638</v>
      </c>
      <c r="E50" s="3">
        <v>4</v>
      </c>
      <c r="F50" s="65">
        <f t="shared" si="6"/>
        <v>8.9453364000000004</v>
      </c>
      <c r="G50" s="64">
        <f t="shared" si="7"/>
        <v>35.781345600000002</v>
      </c>
      <c r="H50" s="2109"/>
      <c r="I50" s="8"/>
      <c r="J50" s="8"/>
      <c r="K50" s="8"/>
      <c r="L50" s="8"/>
      <c r="M50" s="8"/>
      <c r="N50" s="8"/>
      <c r="O50" s="8"/>
      <c r="P50" s="8"/>
      <c r="Q50" s="8"/>
      <c r="R50" s="8"/>
      <c r="S50" s="8"/>
      <c r="T50" s="8"/>
      <c r="U50" s="8"/>
      <c r="V50" s="771"/>
      <c r="W50" s="771"/>
      <c r="X50" s="771"/>
      <c r="Y50" s="771"/>
      <c r="Z50" s="771"/>
      <c r="AA50" s="771"/>
      <c r="AB50" s="771"/>
      <c r="AC50" s="771"/>
      <c r="AD50" s="771"/>
      <c r="AE50" s="771"/>
      <c r="AF50" s="771"/>
      <c r="AG50" s="771"/>
      <c r="AH50" s="771"/>
      <c r="AI50" s="771"/>
      <c r="AJ50" s="771"/>
      <c r="AK50" s="771"/>
      <c r="AL50" s="771"/>
      <c r="AM50" s="771"/>
      <c r="AN50" s="771"/>
      <c r="AO50" s="771"/>
      <c r="AP50" s="771"/>
      <c r="AQ50" s="771"/>
      <c r="AR50" s="771"/>
      <c r="AS50" s="771"/>
    </row>
    <row r="51" spans="1:45" x14ac:dyDescent="0.2">
      <c r="A51" s="17"/>
      <c r="B51" s="2085"/>
      <c r="C51" s="2" t="s">
        <v>532</v>
      </c>
      <c r="D51" s="4" t="s">
        <v>533</v>
      </c>
      <c r="E51" s="3">
        <v>1</v>
      </c>
      <c r="F51" s="65">
        <f t="shared" si="6"/>
        <v>46.353106799999999</v>
      </c>
      <c r="G51" s="64">
        <f t="shared" si="7"/>
        <v>46.353106799999999</v>
      </c>
      <c r="H51" s="2089"/>
    </row>
    <row r="52" spans="1:45" x14ac:dyDescent="0.2">
      <c r="A52" s="17"/>
      <c r="B52" s="2085"/>
      <c r="C52" s="2" t="s">
        <v>534</v>
      </c>
      <c r="D52" s="4" t="s">
        <v>535</v>
      </c>
      <c r="E52" s="3">
        <v>1</v>
      </c>
      <c r="F52" s="65">
        <f t="shared" si="6"/>
        <v>46.353106799999999</v>
      </c>
      <c r="G52" s="64">
        <f t="shared" si="7"/>
        <v>46.353106799999999</v>
      </c>
      <c r="H52" s="2089"/>
    </row>
    <row r="53" spans="1:45" x14ac:dyDescent="0.2">
      <c r="A53" s="17"/>
      <c r="B53" s="2085"/>
      <c r="C53" s="2" t="s">
        <v>1636</v>
      </c>
      <c r="D53" s="2" t="s">
        <v>1637</v>
      </c>
      <c r="E53" s="3">
        <v>2</v>
      </c>
      <c r="F53" s="65">
        <f t="shared" si="6"/>
        <v>69.936266400000008</v>
      </c>
      <c r="G53" s="64">
        <f t="shared" si="7"/>
        <v>139.87253280000002</v>
      </c>
      <c r="H53" s="2089"/>
    </row>
    <row r="54" spans="1:45" ht="13.5" thickBot="1" x14ac:dyDescent="0.25">
      <c r="A54" s="17"/>
      <c r="B54" s="2086"/>
      <c r="C54" s="353" t="s">
        <v>1634</v>
      </c>
      <c r="D54" s="353" t="s">
        <v>1635</v>
      </c>
      <c r="E54" s="355">
        <v>2</v>
      </c>
      <c r="F54" s="382">
        <f t="shared" si="6"/>
        <v>69.936266400000008</v>
      </c>
      <c r="G54" s="436">
        <f t="shared" si="7"/>
        <v>139.87253280000002</v>
      </c>
      <c r="H54" s="2090"/>
    </row>
    <row r="55" spans="1:45" x14ac:dyDescent="0.2">
      <c r="A55" s="17"/>
      <c r="B55" s="17"/>
      <c r="C55" s="17"/>
      <c r="D55" s="17"/>
      <c r="E55" s="344"/>
      <c r="F55" s="17"/>
      <c r="G55" s="17"/>
      <c r="H55" s="35"/>
    </row>
    <row r="56" spans="1:45" ht="8.1" customHeight="1" thickBot="1" x14ac:dyDescent="0.25">
      <c r="B56" s="8"/>
      <c r="C56" s="8"/>
      <c r="D56" s="8"/>
      <c r="E56" s="53"/>
      <c r="F56" s="8"/>
      <c r="G56" s="8"/>
      <c r="H56" s="35"/>
    </row>
    <row r="57" spans="1:45" ht="20.25" x14ac:dyDescent="0.2">
      <c r="B57" s="2015" t="s">
        <v>1350</v>
      </c>
      <c r="C57" s="2016"/>
      <c r="D57" s="2016"/>
      <c r="E57" s="2016"/>
      <c r="F57" s="2016"/>
      <c r="G57" s="2016"/>
      <c r="H57" s="372"/>
    </row>
    <row r="58" spans="1:45" ht="20.25" x14ac:dyDescent="0.2">
      <c r="A58" s="17"/>
      <c r="B58" s="2018"/>
      <c r="C58" s="2019"/>
      <c r="D58" s="2019"/>
      <c r="E58" s="2019"/>
      <c r="F58" s="2019"/>
      <c r="G58" s="2019"/>
      <c r="H58" s="374"/>
    </row>
    <row r="59" spans="1:45" x14ac:dyDescent="0.2">
      <c r="A59" s="17"/>
      <c r="B59" s="2041" t="s">
        <v>557</v>
      </c>
      <c r="C59" s="2042"/>
      <c r="D59" s="2042"/>
      <c r="E59" s="2042"/>
      <c r="F59" s="2042"/>
      <c r="G59" s="2042"/>
      <c r="H59" s="426"/>
    </row>
    <row r="60" spans="1:45" ht="15.75" thickBot="1" x14ac:dyDescent="0.25">
      <c r="A60" s="17"/>
      <c r="B60" s="410" t="s">
        <v>1639</v>
      </c>
      <c r="C60" s="98">
        <v>500</v>
      </c>
      <c r="D60" s="97" t="s">
        <v>1689</v>
      </c>
      <c r="E60" s="97"/>
      <c r="F60" s="97"/>
      <c r="G60" s="97"/>
      <c r="H60" s="375"/>
    </row>
    <row r="61" spans="1:45" x14ac:dyDescent="0.2">
      <c r="A61" s="17"/>
      <c r="B61" s="2085"/>
      <c r="C61" s="138" t="str">
        <f>VLOOKUP($C$60,tbxM,2,FALSE)</f>
        <v>3863588/</v>
      </c>
      <c r="D61" s="138" t="str">
        <f t="shared" ref="D61:D68" si="8">VLOOKUP(C61,всецены,2,FALSE)</f>
        <v xml:space="preserve">TBX, Царга 83/500 мм, сер, лев. NEW     </v>
      </c>
      <c r="E61" s="3">
        <v>1</v>
      </c>
      <c r="F61" s="65">
        <f t="shared" ref="F61:F70" si="9">VLOOKUP(C61,всецены,4,FALSE)</f>
        <v>417.17796120000003</v>
      </c>
      <c r="G61" s="64">
        <f>F61*E61</f>
        <v>417.17796120000003</v>
      </c>
      <c r="H61" s="2089">
        <f>SUM(G61:G70)</f>
        <v>4001.0050080000001</v>
      </c>
    </row>
    <row r="62" spans="1:45" x14ac:dyDescent="0.2">
      <c r="A62" s="17"/>
      <c r="B62" s="2085"/>
      <c r="C62" s="138" t="str">
        <f>VLOOKUP($C$60,tbxM,3,FALSE)</f>
        <v>3852259/</v>
      </c>
      <c r="D62" s="138" t="str">
        <f t="shared" si="8"/>
        <v xml:space="preserve">TBX, Царга 83/500 мм, сер, пр. NEW      </v>
      </c>
      <c r="E62" s="3">
        <v>1</v>
      </c>
      <c r="F62" s="65">
        <f t="shared" si="9"/>
        <v>417.17796120000003</v>
      </c>
      <c r="G62" s="64">
        <f t="shared" ref="G62:G70" si="10">F62*E62</f>
        <v>417.17796120000003</v>
      </c>
      <c r="H62" s="2089"/>
    </row>
    <row r="63" spans="1:45" x14ac:dyDescent="0.2">
      <c r="A63" s="17"/>
      <c r="B63" s="2085"/>
      <c r="C63" s="138" t="str">
        <f>VLOOKUP($C$60,tbxM,4,FALSE)</f>
        <v>8716527/</v>
      </c>
      <c r="D63" s="138" t="str">
        <f t="shared" si="8"/>
        <v>TBX, Напр. с BM, 30 кг, 500 мм, лев. NEW</v>
      </c>
      <c r="E63" s="3">
        <v>1</v>
      </c>
      <c r="F63" s="65">
        <f t="shared" si="9"/>
        <v>424.49687280000001</v>
      </c>
      <c r="G63" s="64">
        <f t="shared" si="10"/>
        <v>424.49687280000001</v>
      </c>
      <c r="H63" s="2089"/>
    </row>
    <row r="64" spans="1:45" x14ac:dyDescent="0.2">
      <c r="A64" s="17"/>
      <c r="B64" s="2085"/>
      <c r="C64" s="138" t="str">
        <f>VLOOKUP($C$60,tbxM,5,FALSE)</f>
        <v>8709485/</v>
      </c>
      <c r="D64" s="138" t="str">
        <f t="shared" si="8"/>
        <v xml:space="preserve">TBX, Напр. с BM, 30 кг, 500 мм, пр. NEW </v>
      </c>
      <c r="E64" s="3">
        <v>1</v>
      </c>
      <c r="F64" s="65">
        <f t="shared" si="9"/>
        <v>424.49687280000001</v>
      </c>
      <c r="G64" s="64">
        <f t="shared" si="10"/>
        <v>424.49687280000001</v>
      </c>
      <c r="H64" s="2089"/>
    </row>
    <row r="65" spans="1:45" x14ac:dyDescent="0.2">
      <c r="A65" s="17"/>
      <c r="B65" s="2085"/>
      <c r="C65" s="138" t="str">
        <f>VLOOKUP($C$60,tbxM,6,FALSE)</f>
        <v>1862960/</v>
      </c>
      <c r="D65" s="138" t="str">
        <f t="shared" si="8"/>
        <v xml:space="preserve">TBX, Релинг продольн, 500 мм, сер.      </v>
      </c>
      <c r="E65" s="3">
        <v>4</v>
      </c>
      <c r="F65" s="65">
        <f t="shared" si="9"/>
        <v>103.27797480000001</v>
      </c>
      <c r="G65" s="64">
        <f t="shared" si="10"/>
        <v>413.11189920000004</v>
      </c>
      <c r="H65" s="2089"/>
    </row>
    <row r="66" spans="1:45" x14ac:dyDescent="0.2">
      <c r="A66" s="17"/>
      <c r="B66" s="2085"/>
      <c r="C66" s="138" t="s">
        <v>573</v>
      </c>
      <c r="D66" s="138" t="str">
        <f t="shared" si="8"/>
        <v xml:space="preserve">TBX, Держат. углов.тройн, сер, ZTU.00D0 </v>
      </c>
      <c r="E66" s="3">
        <v>4</v>
      </c>
      <c r="F66" s="65">
        <f t="shared" si="9"/>
        <v>87.013726800000015</v>
      </c>
      <c r="G66" s="64">
        <f t="shared" si="10"/>
        <v>348.05490720000006</v>
      </c>
      <c r="H66" s="2089"/>
    </row>
    <row r="67" spans="1:45" s="1835" customFormat="1" ht="12.75" customHeight="1" x14ac:dyDescent="0.2">
      <c r="A67" s="17"/>
      <c r="B67" s="2108"/>
      <c r="C67" s="138" t="s">
        <v>299</v>
      </c>
      <c r="D67" s="4" t="s">
        <v>1638</v>
      </c>
      <c r="E67" s="3">
        <v>4</v>
      </c>
      <c r="F67" s="65">
        <f t="shared" si="9"/>
        <v>8.9453364000000004</v>
      </c>
      <c r="G67" s="64">
        <f t="shared" si="10"/>
        <v>35.781345600000002</v>
      </c>
      <c r="H67" s="2109"/>
      <c r="I67" s="8"/>
      <c r="J67" s="8"/>
      <c r="K67" s="8"/>
      <c r="L67" s="8"/>
      <c r="M67" s="8"/>
      <c r="N67" s="8"/>
      <c r="O67" s="8"/>
      <c r="P67" s="8"/>
      <c r="Q67" s="8"/>
      <c r="R67" s="8"/>
      <c r="S67" s="8"/>
      <c r="T67" s="8"/>
      <c r="U67" s="8"/>
      <c r="V67" s="771"/>
      <c r="W67" s="771"/>
      <c r="X67" s="771"/>
      <c r="Y67" s="771"/>
      <c r="Z67" s="771"/>
      <c r="AA67" s="771"/>
      <c r="AB67" s="771"/>
      <c r="AC67" s="771"/>
      <c r="AD67" s="771"/>
      <c r="AE67" s="771"/>
      <c r="AF67" s="771"/>
      <c r="AG67" s="771"/>
      <c r="AH67" s="771"/>
      <c r="AI67" s="771"/>
      <c r="AJ67" s="771"/>
      <c r="AK67" s="771"/>
      <c r="AL67" s="771"/>
      <c r="AM67" s="771"/>
      <c r="AN67" s="771"/>
      <c r="AO67" s="771"/>
      <c r="AP67" s="771"/>
      <c r="AQ67" s="771"/>
      <c r="AR67" s="771"/>
      <c r="AS67" s="771"/>
    </row>
    <row r="68" spans="1:45" x14ac:dyDescent="0.2">
      <c r="A68" s="17"/>
      <c r="B68" s="2085"/>
      <c r="C68" s="138" t="s">
        <v>1214</v>
      </c>
      <c r="D68" s="138" t="str">
        <f t="shared" si="8"/>
        <v>TBX, Релинг д/пер. панели, 1094 мм, сер.</v>
      </c>
      <c r="E68" s="3">
        <v>6</v>
      </c>
      <c r="F68" s="65">
        <f t="shared" si="9"/>
        <v>230.13910920000001</v>
      </c>
      <c r="G68" s="64">
        <f t="shared" si="10"/>
        <v>1380.8346552</v>
      </c>
      <c r="H68" s="2089"/>
    </row>
    <row r="69" spans="1:45" x14ac:dyDescent="0.2">
      <c r="A69" s="17"/>
      <c r="B69" s="2085"/>
      <c r="C69" s="2" t="s">
        <v>1636</v>
      </c>
      <c r="D69" s="2" t="s">
        <v>1637</v>
      </c>
      <c r="E69" s="3">
        <v>1</v>
      </c>
      <c r="F69" s="65">
        <f t="shared" si="9"/>
        <v>69.936266400000008</v>
      </c>
      <c r="G69" s="64">
        <f t="shared" si="10"/>
        <v>69.936266400000008</v>
      </c>
      <c r="H69" s="2089"/>
    </row>
    <row r="70" spans="1:45" ht="13.5" thickBot="1" x14ac:dyDescent="0.25">
      <c r="A70" s="17"/>
      <c r="B70" s="2086"/>
      <c r="C70" s="353" t="s">
        <v>1634</v>
      </c>
      <c r="D70" s="353" t="s">
        <v>1635</v>
      </c>
      <c r="E70" s="355">
        <v>1</v>
      </c>
      <c r="F70" s="382">
        <f t="shared" si="9"/>
        <v>69.936266400000008</v>
      </c>
      <c r="G70" s="436">
        <f t="shared" si="10"/>
        <v>69.936266400000008</v>
      </c>
      <c r="H70" s="2090"/>
    </row>
    <row r="71" spans="1:45" x14ac:dyDescent="0.2">
      <c r="A71" s="17"/>
      <c r="B71" s="17"/>
      <c r="C71" s="17"/>
      <c r="D71" s="17"/>
      <c r="E71" s="344"/>
      <c r="F71" s="17"/>
      <c r="G71" s="17"/>
      <c r="H71" s="35"/>
    </row>
    <row r="72" spans="1:45" x14ac:dyDescent="0.2">
      <c r="B72" s="8"/>
      <c r="C72" s="8"/>
      <c r="D72" s="8"/>
      <c r="E72" s="53"/>
      <c r="F72" s="8"/>
      <c r="G72" s="8"/>
      <c r="H72" s="35"/>
    </row>
    <row r="73" spans="1:45" x14ac:dyDescent="0.2">
      <c r="B73" s="8"/>
      <c r="C73" s="8"/>
      <c r="D73" s="8"/>
      <c r="E73" s="53"/>
      <c r="F73" s="8"/>
      <c r="G73" s="8"/>
      <c r="H73" s="35"/>
    </row>
    <row r="74" spans="1:45" x14ac:dyDescent="0.2">
      <c r="B74" s="8"/>
      <c r="C74" s="8"/>
      <c r="D74" s="8"/>
      <c r="E74" s="53"/>
      <c r="F74" s="8"/>
      <c r="G74" s="8"/>
      <c r="H74" s="35"/>
    </row>
    <row r="75" spans="1:45" x14ac:dyDescent="0.2">
      <c r="B75" s="8"/>
      <c r="C75" s="8"/>
      <c r="D75" s="8"/>
      <c r="E75" s="53"/>
      <c r="F75" s="8"/>
      <c r="G75" s="8"/>
      <c r="H75" s="35"/>
    </row>
    <row r="76" spans="1:45" x14ac:dyDescent="0.2">
      <c r="B76" s="8"/>
      <c r="C76" s="8"/>
      <c r="D76" s="8"/>
      <c r="E76" s="53"/>
      <c r="F76" s="8"/>
      <c r="G76" s="8"/>
      <c r="H76" s="35"/>
    </row>
    <row r="77" spans="1:45" x14ac:dyDescent="0.2">
      <c r="B77" s="8"/>
      <c r="C77" s="8"/>
      <c r="D77" s="8"/>
      <c r="E77" s="53"/>
      <c r="F77" s="8"/>
      <c r="G77" s="8"/>
      <c r="H77" s="35"/>
    </row>
    <row r="78" spans="1:45" x14ac:dyDescent="0.2">
      <c r="B78" s="8"/>
      <c r="C78" s="8"/>
      <c r="D78" s="8"/>
      <c r="E78" s="53"/>
      <c r="F78" s="8"/>
      <c r="G78" s="8"/>
      <c r="H78" s="35"/>
    </row>
    <row r="79" spans="1:45" x14ac:dyDescent="0.2">
      <c r="B79" s="8"/>
      <c r="C79" s="8"/>
      <c r="D79" s="8"/>
      <c r="E79" s="53"/>
      <c r="F79" s="8"/>
      <c r="G79" s="8"/>
      <c r="H79" s="35"/>
    </row>
    <row r="80" spans="1:45" x14ac:dyDescent="0.2">
      <c r="B80" s="8"/>
      <c r="C80" s="8"/>
      <c r="D80" s="8"/>
      <c r="E80" s="53"/>
      <c r="F80" s="8"/>
      <c r="G80" s="8"/>
      <c r="H80" s="35"/>
    </row>
    <row r="81" spans="2:8" x14ac:dyDescent="0.2">
      <c r="B81" s="8"/>
      <c r="C81" s="8"/>
      <c r="D81" s="8"/>
      <c r="E81" s="53"/>
      <c r="F81" s="8"/>
      <c r="G81" s="8"/>
      <c r="H81" s="35"/>
    </row>
    <row r="82" spans="2:8" x14ac:dyDescent="0.2">
      <c r="B82" s="8"/>
      <c r="C82" s="8"/>
      <c r="D82" s="8"/>
      <c r="E82" s="53"/>
      <c r="F82" s="8"/>
      <c r="G82" s="8"/>
      <c r="H82" s="35"/>
    </row>
    <row r="83" spans="2:8" x14ac:dyDescent="0.2">
      <c r="B83" s="8"/>
      <c r="C83" s="8"/>
      <c r="D83" s="8"/>
      <c r="E83" s="53"/>
      <c r="F83" s="8"/>
      <c r="G83" s="8"/>
      <c r="H83" s="35"/>
    </row>
    <row r="84" spans="2:8" x14ac:dyDescent="0.2">
      <c r="B84" s="8"/>
      <c r="C84" s="8"/>
      <c r="D84" s="8"/>
      <c r="E84" s="53"/>
      <c r="F84" s="8"/>
      <c r="G84" s="8"/>
      <c r="H84" s="35"/>
    </row>
    <row r="85" spans="2:8" x14ac:dyDescent="0.2">
      <c r="B85" s="8"/>
      <c r="C85" s="8"/>
      <c r="D85" s="8"/>
      <c r="E85" s="53"/>
      <c r="F85" s="8"/>
      <c r="G85" s="8"/>
      <c r="H85" s="35"/>
    </row>
    <row r="86" spans="2:8" x14ac:dyDescent="0.2">
      <c r="B86" s="8"/>
      <c r="C86" s="8"/>
      <c r="D86" s="8"/>
      <c r="E86" s="53"/>
      <c r="F86" s="8"/>
      <c r="G86" s="8"/>
      <c r="H86" s="35"/>
    </row>
    <row r="87" spans="2:8" x14ac:dyDescent="0.2">
      <c r="B87" s="8"/>
      <c r="C87" s="8"/>
      <c r="D87" s="8"/>
      <c r="E87" s="53"/>
      <c r="F87" s="8"/>
      <c r="G87" s="8"/>
      <c r="H87" s="35"/>
    </row>
    <row r="88" spans="2:8" x14ac:dyDescent="0.2">
      <c r="B88" s="8"/>
      <c r="C88" s="8"/>
      <c r="D88" s="8"/>
      <c r="E88" s="53"/>
      <c r="F88" s="8"/>
      <c r="G88" s="8"/>
      <c r="H88" s="35"/>
    </row>
    <row r="89" spans="2:8" x14ac:dyDescent="0.2">
      <c r="B89" s="8"/>
      <c r="C89" s="8"/>
      <c r="D89" s="8"/>
      <c r="E89" s="53"/>
      <c r="F89" s="8"/>
      <c r="G89" s="8"/>
      <c r="H89" s="35"/>
    </row>
    <row r="90" spans="2:8" x14ac:dyDescent="0.2">
      <c r="B90" s="8"/>
      <c r="C90" s="8"/>
      <c r="D90" s="8"/>
      <c r="E90" s="53"/>
      <c r="F90" s="8"/>
      <c r="G90" s="8"/>
      <c r="H90" s="35"/>
    </row>
    <row r="91" spans="2:8" x14ac:dyDescent="0.2">
      <c r="B91" s="8"/>
      <c r="C91" s="8"/>
      <c r="D91" s="8"/>
      <c r="E91" s="53"/>
      <c r="F91" s="8"/>
      <c r="G91" s="8"/>
      <c r="H91" s="35"/>
    </row>
    <row r="92" spans="2:8" x14ac:dyDescent="0.2">
      <c r="B92" s="8"/>
      <c r="C92" s="8"/>
      <c r="D92" s="8"/>
      <c r="E92" s="53"/>
      <c r="F92" s="8"/>
      <c r="G92" s="8"/>
      <c r="H92" s="35"/>
    </row>
    <row r="93" spans="2:8" x14ac:dyDescent="0.2">
      <c r="B93" s="8"/>
      <c r="C93" s="8"/>
      <c r="D93" s="8"/>
      <c r="E93" s="53"/>
      <c r="F93" s="8"/>
      <c r="G93" s="8"/>
      <c r="H93" s="35"/>
    </row>
    <row r="94" spans="2:8" x14ac:dyDescent="0.2">
      <c r="B94" s="8"/>
      <c r="C94" s="8"/>
      <c r="D94" s="8"/>
      <c r="E94" s="53"/>
      <c r="F94" s="8"/>
      <c r="G94" s="8"/>
      <c r="H94" s="35"/>
    </row>
    <row r="95" spans="2:8" x14ac:dyDescent="0.2">
      <c r="B95" s="8"/>
      <c r="C95" s="8"/>
      <c r="D95" s="8"/>
      <c r="E95" s="53"/>
      <c r="F95" s="8"/>
      <c r="G95" s="8"/>
      <c r="H95" s="35"/>
    </row>
    <row r="96" spans="2:8" x14ac:dyDescent="0.2">
      <c r="B96" s="8"/>
      <c r="C96" s="8"/>
      <c r="D96" s="8"/>
      <c r="E96" s="53"/>
      <c r="F96" s="8"/>
      <c r="G96" s="8"/>
      <c r="H96" s="35"/>
    </row>
    <row r="97" spans="2:8" x14ac:dyDescent="0.2">
      <c r="B97" s="8"/>
      <c r="C97" s="8"/>
      <c r="D97" s="8"/>
      <c r="E97" s="53"/>
      <c r="F97" s="8"/>
      <c r="G97" s="8"/>
      <c r="H97" s="35"/>
    </row>
    <row r="98" spans="2:8" x14ac:dyDescent="0.2">
      <c r="B98" s="8"/>
      <c r="C98" s="8"/>
      <c r="D98" s="8"/>
      <c r="E98" s="53"/>
      <c r="F98" s="8"/>
      <c r="G98" s="8"/>
      <c r="H98" s="35"/>
    </row>
    <row r="99" spans="2:8" x14ac:dyDescent="0.2">
      <c r="B99" s="8"/>
      <c r="C99" s="8"/>
      <c r="D99" s="8"/>
      <c r="E99" s="53"/>
      <c r="F99" s="8"/>
      <c r="G99" s="8"/>
      <c r="H99" s="35"/>
    </row>
    <row r="100" spans="2:8" x14ac:dyDescent="0.2">
      <c r="B100" s="8"/>
      <c r="C100" s="8"/>
      <c r="D100" s="8"/>
      <c r="E100" s="53"/>
      <c r="F100" s="8"/>
      <c r="G100" s="8"/>
      <c r="H100" s="35"/>
    </row>
    <row r="101" spans="2:8" x14ac:dyDescent="0.2">
      <c r="B101" s="8"/>
      <c r="C101" s="8"/>
      <c r="D101" s="8"/>
      <c r="E101" s="53"/>
      <c r="F101" s="8"/>
      <c r="G101" s="8"/>
      <c r="H101" s="35"/>
    </row>
    <row r="102" spans="2:8" x14ac:dyDescent="0.2">
      <c r="B102" s="8"/>
      <c r="C102" s="8"/>
      <c r="D102" s="8"/>
      <c r="E102" s="53"/>
      <c r="F102" s="8"/>
      <c r="G102" s="8"/>
      <c r="H102" s="35"/>
    </row>
    <row r="103" spans="2:8" x14ac:dyDescent="0.2">
      <c r="B103" s="8"/>
      <c r="C103" s="8"/>
      <c r="D103" s="8"/>
      <c r="E103" s="53"/>
      <c r="F103" s="8"/>
      <c r="G103" s="8"/>
      <c r="H103" s="35"/>
    </row>
    <row r="104" spans="2:8" x14ac:dyDescent="0.2">
      <c r="B104" s="8"/>
      <c r="C104" s="8"/>
      <c r="D104" s="8"/>
      <c r="E104" s="53"/>
      <c r="F104" s="8"/>
      <c r="G104" s="8"/>
      <c r="H104" s="35"/>
    </row>
    <row r="105" spans="2:8" x14ac:dyDescent="0.2">
      <c r="B105" s="8"/>
      <c r="C105" s="8"/>
      <c r="D105" s="8"/>
      <c r="E105" s="53"/>
      <c r="F105" s="8"/>
      <c r="G105" s="8"/>
      <c r="H105" s="35"/>
    </row>
    <row r="106" spans="2:8" x14ac:dyDescent="0.2">
      <c r="B106" s="8"/>
      <c r="C106" s="8"/>
      <c r="D106" s="8"/>
      <c r="E106" s="53"/>
      <c r="F106" s="8"/>
      <c r="G106" s="8"/>
      <c r="H106" s="35"/>
    </row>
    <row r="107" spans="2:8" x14ac:dyDescent="0.2">
      <c r="B107" s="8"/>
      <c r="C107" s="8"/>
      <c r="D107" s="8"/>
      <c r="E107" s="53"/>
      <c r="F107" s="8"/>
      <c r="G107" s="8"/>
      <c r="H107" s="35"/>
    </row>
    <row r="108" spans="2:8" x14ac:dyDescent="0.2">
      <c r="B108" s="8"/>
      <c r="C108" s="8"/>
      <c r="D108" s="8"/>
      <c r="E108" s="53"/>
      <c r="F108" s="8"/>
      <c r="G108" s="8"/>
      <c r="H108" s="35"/>
    </row>
    <row r="109" spans="2:8" x14ac:dyDescent="0.2">
      <c r="B109" s="8"/>
      <c r="C109" s="8"/>
      <c r="D109" s="8"/>
      <c r="E109" s="53"/>
      <c r="F109" s="8"/>
      <c r="G109" s="8"/>
      <c r="H109" s="35"/>
    </row>
    <row r="110" spans="2:8" x14ac:dyDescent="0.2">
      <c r="B110" s="8"/>
      <c r="C110" s="8"/>
      <c r="D110" s="8"/>
      <c r="E110" s="53"/>
      <c r="F110" s="8"/>
      <c r="G110" s="8"/>
      <c r="H110" s="35"/>
    </row>
    <row r="111" spans="2:8" x14ac:dyDescent="0.2">
      <c r="B111" s="8"/>
      <c r="C111" s="8"/>
      <c r="D111" s="8"/>
      <c r="E111" s="53"/>
      <c r="F111" s="8"/>
      <c r="G111" s="8"/>
      <c r="H111" s="35"/>
    </row>
    <row r="112" spans="2:8" x14ac:dyDescent="0.2">
      <c r="B112" s="8"/>
      <c r="C112" s="8"/>
      <c r="D112" s="8"/>
      <c r="E112" s="53"/>
      <c r="F112" s="8"/>
      <c r="G112" s="8"/>
      <c r="H112" s="35"/>
    </row>
    <row r="113" spans="2:8" x14ac:dyDescent="0.2">
      <c r="B113" s="8"/>
      <c r="C113" s="8"/>
      <c r="D113" s="8"/>
      <c r="E113" s="53"/>
      <c r="F113" s="8"/>
      <c r="G113" s="8"/>
      <c r="H113" s="35"/>
    </row>
    <row r="114" spans="2:8" x14ac:dyDescent="0.2">
      <c r="B114" s="8"/>
      <c r="C114" s="8"/>
      <c r="D114" s="8"/>
      <c r="E114" s="53"/>
      <c r="F114" s="8"/>
      <c r="G114" s="8"/>
      <c r="H114" s="35"/>
    </row>
    <row r="115" spans="2:8" x14ac:dyDescent="0.2">
      <c r="B115" s="8"/>
      <c r="C115" s="8"/>
      <c r="D115" s="8"/>
      <c r="E115" s="53"/>
      <c r="F115" s="8"/>
      <c r="G115" s="8"/>
      <c r="H115" s="35"/>
    </row>
    <row r="116" spans="2:8" x14ac:dyDescent="0.2">
      <c r="B116" s="8"/>
      <c r="C116" s="8"/>
      <c r="D116" s="8"/>
      <c r="E116" s="53"/>
      <c r="F116" s="8"/>
      <c r="G116" s="8"/>
      <c r="H116" s="35"/>
    </row>
    <row r="117" spans="2:8" x14ac:dyDescent="0.2">
      <c r="B117" s="8"/>
      <c r="C117" s="8"/>
      <c r="D117" s="8"/>
      <c r="E117" s="53"/>
      <c r="F117" s="8"/>
      <c r="G117" s="8"/>
      <c r="H117" s="35"/>
    </row>
    <row r="118" spans="2:8" x14ac:dyDescent="0.2">
      <c r="B118" s="8"/>
      <c r="C118" s="8"/>
      <c r="D118" s="8"/>
      <c r="E118" s="53"/>
      <c r="F118" s="8"/>
      <c r="G118" s="8"/>
      <c r="H118" s="35"/>
    </row>
    <row r="119" spans="2:8" x14ac:dyDescent="0.2">
      <c r="B119" s="8"/>
      <c r="C119" s="8"/>
      <c r="D119" s="8"/>
      <c r="E119" s="53"/>
      <c r="F119" s="8"/>
      <c r="G119" s="8"/>
      <c r="H119" s="35"/>
    </row>
    <row r="120" spans="2:8" x14ac:dyDescent="0.2">
      <c r="B120" s="8"/>
      <c r="C120" s="8"/>
      <c r="D120" s="8"/>
      <c r="E120" s="53"/>
      <c r="F120" s="8"/>
      <c r="G120" s="8"/>
      <c r="H120" s="35"/>
    </row>
    <row r="121" spans="2:8" x14ac:dyDescent="0.2">
      <c r="B121" s="8"/>
      <c r="C121" s="8"/>
      <c r="D121" s="8"/>
      <c r="E121" s="53"/>
      <c r="F121" s="8"/>
      <c r="G121" s="8"/>
      <c r="H121" s="35"/>
    </row>
    <row r="122" spans="2:8" x14ac:dyDescent="0.2">
      <c r="B122" s="8"/>
      <c r="C122" s="8"/>
      <c r="D122" s="8"/>
      <c r="E122" s="53"/>
      <c r="F122" s="8"/>
      <c r="G122" s="8"/>
      <c r="H122" s="35"/>
    </row>
    <row r="123" spans="2:8" x14ac:dyDescent="0.2">
      <c r="B123" s="8"/>
      <c r="C123" s="8"/>
      <c r="D123" s="8"/>
      <c r="E123" s="53"/>
      <c r="F123" s="8"/>
      <c r="G123" s="8"/>
      <c r="H123" s="35"/>
    </row>
    <row r="124" spans="2:8" x14ac:dyDescent="0.2">
      <c r="B124" s="8"/>
      <c r="C124" s="8"/>
      <c r="D124" s="8"/>
      <c r="E124" s="53"/>
      <c r="F124" s="8"/>
      <c r="G124" s="8"/>
      <c r="H124" s="35"/>
    </row>
    <row r="125" spans="2:8" x14ac:dyDescent="0.2">
      <c r="B125" s="8"/>
      <c r="C125" s="8"/>
      <c r="D125" s="8"/>
      <c r="E125" s="53"/>
      <c r="F125" s="8"/>
      <c r="G125" s="8"/>
      <c r="H125" s="35"/>
    </row>
    <row r="126" spans="2:8" x14ac:dyDescent="0.2">
      <c r="B126" s="8"/>
      <c r="C126" s="8"/>
      <c r="D126" s="8"/>
      <c r="E126" s="53"/>
      <c r="F126" s="8"/>
      <c r="G126" s="8"/>
      <c r="H126" s="35"/>
    </row>
    <row r="127" spans="2:8" x14ac:dyDescent="0.2">
      <c r="B127" s="8"/>
      <c r="C127" s="8"/>
      <c r="D127" s="8"/>
      <c r="E127" s="53"/>
      <c r="F127" s="8"/>
      <c r="G127" s="8"/>
      <c r="H127" s="35"/>
    </row>
    <row r="128" spans="2:8" x14ac:dyDescent="0.2">
      <c r="B128" s="8"/>
      <c r="C128" s="8"/>
      <c r="D128" s="8"/>
      <c r="E128" s="53"/>
      <c r="F128" s="8"/>
      <c r="G128" s="8"/>
      <c r="H128" s="35"/>
    </row>
    <row r="129" spans="2:8" x14ac:dyDescent="0.2">
      <c r="B129" s="8"/>
      <c r="C129" s="8"/>
      <c r="D129" s="8"/>
      <c r="E129" s="53"/>
      <c r="F129" s="8"/>
      <c r="G129" s="8"/>
      <c r="H129" s="35"/>
    </row>
    <row r="130" spans="2:8" x14ac:dyDescent="0.2">
      <c r="B130" s="8"/>
      <c r="C130" s="8"/>
      <c r="D130" s="8"/>
      <c r="E130" s="53"/>
      <c r="F130" s="8"/>
      <c r="G130" s="8"/>
      <c r="H130" s="35"/>
    </row>
    <row r="131" spans="2:8" x14ac:dyDescent="0.2">
      <c r="B131" s="8"/>
      <c r="C131" s="8"/>
      <c r="D131" s="8"/>
      <c r="E131" s="53"/>
      <c r="F131" s="8"/>
      <c r="G131" s="8"/>
      <c r="H131" s="35"/>
    </row>
    <row r="132" spans="2:8" x14ac:dyDescent="0.2">
      <c r="B132" s="8"/>
      <c r="C132" s="8"/>
      <c r="D132" s="8"/>
      <c r="E132" s="53"/>
      <c r="F132" s="8"/>
      <c r="G132" s="8"/>
      <c r="H132" s="35"/>
    </row>
    <row r="133" spans="2:8" x14ac:dyDescent="0.2">
      <c r="B133" s="8"/>
      <c r="C133" s="8"/>
      <c r="D133" s="8"/>
      <c r="E133" s="53"/>
      <c r="F133" s="8"/>
      <c r="G133" s="8"/>
      <c r="H133" s="35"/>
    </row>
    <row r="134" spans="2:8" x14ac:dyDescent="0.2">
      <c r="B134" s="8"/>
      <c r="C134" s="8"/>
      <c r="D134" s="8"/>
      <c r="E134" s="53"/>
      <c r="F134" s="8"/>
      <c r="G134" s="8"/>
      <c r="H134" s="35"/>
    </row>
    <row r="135" spans="2:8" x14ac:dyDescent="0.2">
      <c r="B135" s="8"/>
      <c r="C135" s="8"/>
      <c r="D135" s="8"/>
      <c r="E135" s="53"/>
      <c r="F135" s="8"/>
      <c r="G135" s="8"/>
      <c r="H135" s="35"/>
    </row>
    <row r="136" spans="2:8" x14ac:dyDescent="0.2">
      <c r="B136" s="8"/>
      <c r="C136" s="8"/>
      <c r="D136" s="8"/>
      <c r="E136" s="53"/>
      <c r="F136" s="8"/>
      <c r="G136" s="8"/>
      <c r="H136" s="35"/>
    </row>
    <row r="137" spans="2:8" x14ac:dyDescent="0.2">
      <c r="B137" s="8"/>
      <c r="C137" s="8"/>
      <c r="D137" s="8"/>
      <c r="E137" s="53"/>
      <c r="F137" s="8"/>
      <c r="G137" s="8"/>
      <c r="H137" s="35"/>
    </row>
    <row r="138" spans="2:8" x14ac:dyDescent="0.2">
      <c r="B138" s="8"/>
      <c r="C138" s="8"/>
      <c r="D138" s="8"/>
      <c r="E138" s="53"/>
      <c r="F138" s="8"/>
      <c r="G138" s="8"/>
      <c r="H138" s="35"/>
    </row>
    <row r="139" spans="2:8" x14ac:dyDescent="0.2">
      <c r="B139" s="8"/>
      <c r="C139" s="8"/>
      <c r="D139" s="8"/>
      <c r="E139" s="53"/>
      <c r="F139" s="8"/>
      <c r="G139" s="8"/>
      <c r="H139" s="35"/>
    </row>
    <row r="140" spans="2:8" x14ac:dyDescent="0.2">
      <c r="B140" s="8"/>
      <c r="C140" s="8"/>
      <c r="D140" s="8"/>
      <c r="E140" s="53"/>
      <c r="F140" s="8"/>
      <c r="G140" s="8"/>
      <c r="H140" s="35"/>
    </row>
    <row r="141" spans="2:8" x14ac:dyDescent="0.2">
      <c r="B141" s="8"/>
      <c r="C141" s="8"/>
      <c r="D141" s="8"/>
      <c r="E141" s="53"/>
      <c r="F141" s="8"/>
      <c r="G141" s="8"/>
      <c r="H141" s="35"/>
    </row>
    <row r="142" spans="2:8" x14ac:dyDescent="0.2">
      <c r="B142" s="8"/>
      <c r="C142" s="8"/>
      <c r="D142" s="8"/>
      <c r="E142" s="53"/>
      <c r="F142" s="8"/>
      <c r="G142" s="8"/>
      <c r="H142" s="35"/>
    </row>
    <row r="143" spans="2:8" x14ac:dyDescent="0.2">
      <c r="B143" s="8"/>
      <c r="C143" s="8"/>
      <c r="D143" s="8"/>
      <c r="E143" s="53"/>
      <c r="F143" s="8"/>
      <c r="G143" s="8"/>
      <c r="H143" s="35"/>
    </row>
    <row r="144" spans="2:8" x14ac:dyDescent="0.2">
      <c r="B144" s="8"/>
      <c r="C144" s="8"/>
      <c r="D144" s="8"/>
      <c r="E144" s="53"/>
      <c r="F144" s="8"/>
      <c r="G144" s="8"/>
      <c r="H144" s="35"/>
    </row>
    <row r="145" spans="2:8" x14ac:dyDescent="0.2">
      <c r="B145" s="8"/>
      <c r="C145" s="8"/>
      <c r="D145" s="8"/>
      <c r="E145" s="53"/>
      <c r="F145" s="8"/>
      <c r="G145" s="8"/>
      <c r="H145" s="35"/>
    </row>
    <row r="146" spans="2:8" x14ac:dyDescent="0.2">
      <c r="B146" s="8"/>
      <c r="C146" s="8"/>
      <c r="D146" s="8"/>
      <c r="E146" s="53"/>
      <c r="F146" s="8"/>
      <c r="G146" s="8"/>
      <c r="H146" s="35"/>
    </row>
    <row r="147" spans="2:8" x14ac:dyDescent="0.2">
      <c r="B147" s="8"/>
      <c r="C147" s="8"/>
      <c r="D147" s="8"/>
      <c r="E147" s="53"/>
      <c r="F147" s="8"/>
      <c r="G147" s="8"/>
      <c r="H147" s="35"/>
    </row>
    <row r="148" spans="2:8" x14ac:dyDescent="0.2">
      <c r="B148" s="8"/>
      <c r="C148" s="8"/>
      <c r="D148" s="8"/>
      <c r="E148" s="53"/>
      <c r="F148" s="8"/>
      <c r="G148" s="8"/>
      <c r="H148" s="35"/>
    </row>
    <row r="149" spans="2:8" x14ac:dyDescent="0.2">
      <c r="B149" s="8"/>
      <c r="C149" s="8"/>
      <c r="D149" s="8"/>
      <c r="E149" s="53"/>
      <c r="F149" s="8"/>
      <c r="G149" s="8"/>
      <c r="H149" s="35"/>
    </row>
    <row r="150" spans="2:8" x14ac:dyDescent="0.2">
      <c r="B150" s="8"/>
      <c r="C150" s="8"/>
      <c r="D150" s="8"/>
      <c r="E150" s="53"/>
      <c r="F150" s="8"/>
      <c r="G150" s="8"/>
      <c r="H150" s="35"/>
    </row>
    <row r="151" spans="2:8" x14ac:dyDescent="0.2">
      <c r="B151" s="8"/>
      <c r="C151" s="8"/>
      <c r="D151" s="8"/>
      <c r="E151" s="53"/>
      <c r="F151" s="8"/>
      <c r="G151" s="8"/>
      <c r="H151" s="35"/>
    </row>
    <row r="152" spans="2:8" x14ac:dyDescent="0.2">
      <c r="B152" s="8"/>
      <c r="C152" s="8"/>
      <c r="D152" s="8"/>
      <c r="E152" s="53"/>
      <c r="F152" s="8"/>
      <c r="G152" s="8"/>
      <c r="H152" s="35"/>
    </row>
    <row r="153" spans="2:8" x14ac:dyDescent="0.2">
      <c r="B153" s="8"/>
      <c r="C153" s="8"/>
      <c r="D153" s="8"/>
      <c r="E153" s="53"/>
      <c r="F153" s="8"/>
      <c r="G153" s="8"/>
      <c r="H153" s="35"/>
    </row>
    <row r="154" spans="2:8" x14ac:dyDescent="0.2">
      <c r="B154" s="8"/>
      <c r="C154" s="8"/>
      <c r="D154" s="8"/>
      <c r="E154" s="53"/>
      <c r="F154" s="8"/>
      <c r="G154" s="8"/>
      <c r="H154" s="35"/>
    </row>
    <row r="155" spans="2:8" x14ac:dyDescent="0.2">
      <c r="B155" s="8"/>
      <c r="C155" s="8"/>
      <c r="D155" s="8"/>
      <c r="E155" s="53"/>
      <c r="F155" s="8"/>
      <c r="G155" s="8"/>
      <c r="H155" s="35"/>
    </row>
    <row r="156" spans="2:8" x14ac:dyDescent="0.2">
      <c r="B156" s="8"/>
      <c r="C156" s="8"/>
      <c r="D156" s="8"/>
      <c r="E156" s="53"/>
      <c r="F156" s="8"/>
      <c r="G156" s="8"/>
      <c r="H156" s="35"/>
    </row>
    <row r="157" spans="2:8" x14ac:dyDescent="0.2">
      <c r="B157" s="8"/>
      <c r="C157" s="8"/>
      <c r="D157" s="8"/>
      <c r="E157" s="53"/>
      <c r="F157" s="8"/>
      <c r="G157" s="8"/>
      <c r="H157" s="35"/>
    </row>
    <row r="158" spans="2:8" x14ac:dyDescent="0.2">
      <c r="B158" s="8"/>
      <c r="C158" s="8"/>
      <c r="D158" s="8"/>
      <c r="E158" s="53"/>
      <c r="F158" s="8"/>
      <c r="G158" s="8"/>
      <c r="H158" s="35"/>
    </row>
    <row r="159" spans="2:8" x14ac:dyDescent="0.2">
      <c r="B159" s="8"/>
      <c r="C159" s="8"/>
      <c r="D159" s="8"/>
      <c r="E159" s="53"/>
      <c r="F159" s="8"/>
      <c r="G159" s="8"/>
      <c r="H159" s="35"/>
    </row>
    <row r="160" spans="2:8" x14ac:dyDescent="0.2">
      <c r="B160" s="8"/>
      <c r="C160" s="8"/>
      <c r="D160" s="8"/>
      <c r="E160" s="53"/>
      <c r="F160" s="8"/>
      <c r="G160" s="8"/>
      <c r="H160" s="35"/>
    </row>
    <row r="161" spans="2:8" x14ac:dyDescent="0.2">
      <c r="B161" s="8"/>
      <c r="C161" s="8"/>
      <c r="D161" s="8"/>
      <c r="E161" s="53"/>
      <c r="F161" s="8"/>
      <c r="G161" s="8"/>
      <c r="H161" s="35"/>
    </row>
  </sheetData>
  <sheetProtection formatCells="0" formatColumns="0" formatRows="0" insertColumns="0" insertRows="0" insertHyperlinks="0" deleteColumns="0" deleteRows="0"/>
  <protectedRanges>
    <protectedRange sqref="C7 C22 C40 C60" name="Диапазон1"/>
  </protectedRanges>
  <customSheetViews>
    <customSheetView guid="{788B8383-784A-4263-9D04-45657AC129FF}" hiddenColumns="1">
      <pageMargins left="0.75" right="0.75" top="1" bottom="1" header="0.5" footer="0.5"/>
      <pageSetup paperSize="9" scale="94" orientation="portrait" r:id="rId1"/>
      <headerFooter alignWithMargins="0"/>
    </customSheetView>
  </customSheetViews>
  <mergeCells count="17">
    <mergeCell ref="B61:B70"/>
    <mergeCell ref="H61:H70"/>
    <mergeCell ref="H9:H16"/>
    <mergeCell ref="H41:H54"/>
    <mergeCell ref="B8:B16"/>
    <mergeCell ref="B23:B34"/>
    <mergeCell ref="H23:H34"/>
    <mergeCell ref="B57:G58"/>
    <mergeCell ref="B59:G59"/>
    <mergeCell ref="M7:N8"/>
    <mergeCell ref="B4:G5"/>
    <mergeCell ref="B39:G39"/>
    <mergeCell ref="B41:B54"/>
    <mergeCell ref="B37:G38"/>
    <mergeCell ref="C6:G6"/>
    <mergeCell ref="B19:G20"/>
    <mergeCell ref="B21:G21"/>
  </mergeCells>
  <phoneticPr fontId="2" type="noConversion"/>
  <dataValidations count="1">
    <dataValidation type="list" allowBlank="1" showInputMessage="1" showErrorMessage="1" sqref="C40 C60 C22 C7" xr:uid="{00000000-0002-0000-0800-000000000000}">
      <formula1>$J$10:$J$11</formula1>
    </dataValidation>
  </dataValidations>
  <hyperlinks>
    <hyperlink ref="L13:N13" location="'3.4'!A1" display="→" xr:uid="{00000000-0004-0000-0800-000000000000}"/>
    <hyperlink ref="L14:N14" location="'3.5'!A1" display="→" xr:uid="{00000000-0004-0000-0800-000001000000}"/>
    <hyperlink ref="L15:N15" location="'3.6'!A1" display="→" xr:uid="{00000000-0004-0000-0800-000002000000}"/>
    <hyperlink ref="L16:N16" location="'3.7'!A1" display="→" xr:uid="{00000000-0004-0000-0800-000003000000}"/>
    <hyperlink ref="L17:N17" location="'3.8'!A1" display="→" xr:uid="{00000000-0004-0000-0800-000004000000}"/>
    <hyperlink ref="L9" location="'3.3'!A1" display="→" xr:uid="{00000000-0004-0000-0800-000005000000}"/>
    <hyperlink ref="L9:N9" location="'3.1'!A1" display="→" xr:uid="{00000000-0004-0000-0800-000006000000}"/>
    <hyperlink ref="L20:N20" location="СОДЕРЖАНИЕ!A1" display="←" xr:uid="{00000000-0004-0000-0800-000007000000}"/>
    <hyperlink ref="L10:N10" location="'3.2'!A1" display="→" xr:uid="{00000000-0004-0000-0800-000008000000}"/>
    <hyperlink ref="L11" location="'3.2'!A1" display="→" xr:uid="{00000000-0004-0000-0800-000009000000}"/>
    <hyperlink ref="M11:N11" location="'3.11'!A1" display="plus Tip-On Blumotion" xr:uid="{00000000-0004-0000-0800-00000A000000}"/>
  </hyperlinks>
  <pageMargins left="0.75" right="0.75" top="1" bottom="1" header="0.5" footer="0.5"/>
  <pageSetup paperSize="9" scale="94" orientation="portrait" r:id="rId2"/>
  <headerFooter alignWithMargins="0"/>
  <drawing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9"/>
  <dimension ref="A1:BH111"/>
  <sheetViews>
    <sheetView workbookViewId="0">
      <selection activeCell="C1" sqref="C1"/>
    </sheetView>
  </sheetViews>
  <sheetFormatPr defaultRowHeight="12.75" x14ac:dyDescent="0.2"/>
  <cols>
    <col min="1" max="1" width="3.7109375" style="8" customWidth="1"/>
    <col min="2" max="2" width="37.85546875" customWidth="1"/>
    <col min="3" max="3" width="8.7109375" style="68" bestFit="1" customWidth="1"/>
    <col min="4" max="4" width="38.42578125" bestFit="1" customWidth="1"/>
    <col min="5" max="5" width="3.42578125" style="10" customWidth="1"/>
    <col min="6" max="6" width="7" style="7" hidden="1" customWidth="1"/>
    <col min="7" max="7" width="7.5703125" style="15" bestFit="1" customWidth="1"/>
    <col min="8" max="8" width="8.140625" style="28" customWidth="1"/>
    <col min="9" max="9" width="9.140625" style="8"/>
    <col min="10" max="14" width="9.140625" style="8" hidden="1" customWidth="1"/>
    <col min="15" max="15" width="12.7109375" style="8" bestFit="1" customWidth="1"/>
    <col min="16" max="16" width="21.5703125" style="8" customWidth="1"/>
    <col min="17" max="17" width="5" style="8" customWidth="1"/>
    <col min="18" max="24" width="9.140625" style="8"/>
    <col min="25" max="44" width="9.140625" style="771"/>
  </cols>
  <sheetData>
    <row r="1" spans="1:60" s="771" customFormat="1" ht="19.5" thickBot="1" x14ac:dyDescent="0.35">
      <c r="A1" s="1143"/>
      <c r="B1" s="1302" t="s">
        <v>3450</v>
      </c>
      <c r="C1" s="1303"/>
      <c r="D1" s="1311"/>
      <c r="E1" s="1304"/>
      <c r="F1" s="1305"/>
      <c r="G1" s="1306"/>
      <c r="H1" s="1307"/>
      <c r="BG1" s="782"/>
      <c r="BH1" s="782"/>
    </row>
    <row r="2" spans="1:60" s="771" customFormat="1" ht="6" customHeight="1" x14ac:dyDescent="0.2">
      <c r="A2" s="1143"/>
      <c r="B2" s="916"/>
      <c r="C2" s="916"/>
      <c r="D2" s="916"/>
      <c r="E2" s="1144"/>
      <c r="F2" s="916"/>
      <c r="G2" s="1145"/>
      <c r="H2" s="887"/>
      <c r="BG2" s="782"/>
      <c r="BH2" s="782"/>
    </row>
    <row r="3" spans="1:60" s="1140" customFormat="1" ht="8.1" customHeight="1" thickBot="1" x14ac:dyDescent="0.25">
      <c r="A3" s="771"/>
      <c r="B3" s="782"/>
      <c r="C3" s="782"/>
      <c r="D3" s="782"/>
      <c r="E3" s="781"/>
      <c r="F3" s="782"/>
      <c r="G3" s="799"/>
      <c r="H3" s="1122"/>
      <c r="I3" s="771"/>
      <c r="J3" s="8"/>
      <c r="K3" s="8"/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771"/>
      <c r="Z3" s="771"/>
      <c r="AA3" s="771"/>
      <c r="AB3" s="771"/>
      <c r="AC3" s="771"/>
      <c r="AD3" s="771"/>
      <c r="AE3" s="771"/>
      <c r="AF3" s="771"/>
      <c r="AG3" s="771"/>
      <c r="AH3" s="771"/>
      <c r="AI3" s="771"/>
      <c r="AJ3" s="771"/>
      <c r="AK3" s="771"/>
      <c r="AL3" s="771"/>
      <c r="AM3" s="771"/>
      <c r="AN3" s="771"/>
      <c r="AO3" s="771"/>
      <c r="AP3" s="771"/>
      <c r="AQ3" s="771"/>
      <c r="AR3" s="771"/>
    </row>
    <row r="4" spans="1:60" ht="20.100000000000001" customHeight="1" x14ac:dyDescent="0.2">
      <c r="B4" s="2101" t="s">
        <v>2247</v>
      </c>
      <c r="C4" s="2102"/>
      <c r="D4" s="2102"/>
      <c r="E4" s="2102"/>
      <c r="F4" s="2102"/>
      <c r="G4" s="2102"/>
      <c r="H4" s="2115"/>
    </row>
    <row r="5" spans="1:60" ht="20.100000000000001" customHeight="1" x14ac:dyDescent="0.2">
      <c r="A5" s="17"/>
      <c r="B5" s="2103"/>
      <c r="C5" s="2104"/>
      <c r="D5" s="2104"/>
      <c r="E5" s="2104"/>
      <c r="F5" s="2104"/>
      <c r="G5" s="2104"/>
      <c r="H5" s="2116"/>
    </row>
    <row r="6" spans="1:60" ht="18" customHeight="1" x14ac:dyDescent="0.2">
      <c r="A6" s="17"/>
      <c r="B6" s="433"/>
      <c r="C6" s="2080" t="s">
        <v>2068</v>
      </c>
      <c r="D6" s="2080"/>
      <c r="E6" s="2080"/>
      <c r="F6" s="2080"/>
      <c r="G6" s="2080"/>
      <c r="H6" s="459"/>
      <c r="K6" s="36"/>
      <c r="L6" s="28"/>
    </row>
    <row r="7" spans="1:60" ht="15.75" thickBot="1" x14ac:dyDescent="0.25">
      <c r="A7" s="17"/>
      <c r="B7" s="410" t="s">
        <v>1336</v>
      </c>
      <c r="C7" s="98">
        <v>850</v>
      </c>
      <c r="D7" s="95" t="s">
        <v>1689</v>
      </c>
      <c r="E7" s="95"/>
      <c r="F7" s="460"/>
      <c r="G7" s="75"/>
      <c r="H7" s="459"/>
    </row>
    <row r="8" spans="1:60" ht="15.75" thickBot="1" x14ac:dyDescent="0.25">
      <c r="A8" s="17"/>
      <c r="B8" s="462" t="s">
        <v>1639</v>
      </c>
      <c r="C8" s="98">
        <v>500</v>
      </c>
      <c r="D8" s="97" t="s">
        <v>1689</v>
      </c>
      <c r="E8" s="97"/>
      <c r="F8" s="97"/>
      <c r="G8" s="97"/>
      <c r="H8" s="1437" t="str">
        <f>IF(СОДЕРЖАНИЕ!P2=1,"EUR","RUB")</f>
        <v>RUB</v>
      </c>
    </row>
    <row r="9" spans="1:60" x14ac:dyDescent="0.2">
      <c r="A9" s="17"/>
      <c r="B9" s="2024"/>
      <c r="C9" s="66" t="str">
        <f>VLOOKUP($C$8,J11:N16,4,FALSE)</f>
        <v>3863588/</v>
      </c>
      <c r="D9" s="43" t="str">
        <f t="shared" ref="D9:D20" si="0">VLOOKUP(C9,всецены,2,FALSE)</f>
        <v xml:space="preserve">TBX, Царга 83/500 мм, сер, лев. NEW     </v>
      </c>
      <c r="E9" s="107">
        <v>1</v>
      </c>
      <c r="F9" s="72">
        <f t="shared" ref="F9:F16" si="1">VLOOKUP(C9,всецены,4,FALSE)</f>
        <v>417.17796120000003</v>
      </c>
      <c r="G9" s="14">
        <f>F9*E9</f>
        <v>417.17796120000003</v>
      </c>
      <c r="H9" s="2089">
        <f>SUM(G9:G20)</f>
        <v>3534.2210904000003</v>
      </c>
      <c r="P9" s="2087" t="s">
        <v>1181</v>
      </c>
      <c r="Q9" s="2087"/>
    </row>
    <row r="10" spans="1:60" x14ac:dyDescent="0.2">
      <c r="A10" s="17"/>
      <c r="B10" s="2024"/>
      <c r="C10" s="66" t="str">
        <f>VLOOKUP($C$8,J11:N16,5,FALSE)</f>
        <v>3852259/</v>
      </c>
      <c r="D10" s="43" t="str">
        <f t="shared" si="0"/>
        <v xml:space="preserve">TBX, Царга 83/500 мм, сер, пр. NEW      </v>
      </c>
      <c r="E10" s="3">
        <v>1</v>
      </c>
      <c r="F10" s="72">
        <f>VLOOKUP(C10,всецены,4,FALSE)</f>
        <v>417.17796120000003</v>
      </c>
      <c r="G10" s="14">
        <f t="shared" ref="G10:G16" si="2">F10*E10</f>
        <v>417.17796120000003</v>
      </c>
      <c r="H10" s="2089"/>
      <c r="K10" s="8" t="s">
        <v>1337</v>
      </c>
      <c r="L10" s="8" t="s">
        <v>1338</v>
      </c>
      <c r="M10" s="8" t="s">
        <v>1340</v>
      </c>
      <c r="N10" s="8" t="s">
        <v>1341</v>
      </c>
      <c r="P10" s="2088"/>
      <c r="Q10" s="2088"/>
    </row>
    <row r="11" spans="1:60" x14ac:dyDescent="0.2">
      <c r="A11" s="17"/>
      <c r="B11" s="2024"/>
      <c r="C11" s="66" t="s">
        <v>299</v>
      </c>
      <c r="D11" s="43" t="str">
        <f t="shared" si="0"/>
        <v>TBX, Загл. с лого, сер, симм ZAA.330C.BL</v>
      </c>
      <c r="E11" s="3">
        <v>2</v>
      </c>
      <c r="F11" s="72">
        <f t="shared" si="1"/>
        <v>8.9453364000000004</v>
      </c>
      <c r="G11" s="14">
        <f t="shared" si="2"/>
        <v>17.890672800000001</v>
      </c>
      <c r="H11" s="2089"/>
      <c r="J11" s="8">
        <v>270</v>
      </c>
      <c r="K11" s="66" t="s">
        <v>330</v>
      </c>
      <c r="L11" s="66" t="s">
        <v>331</v>
      </c>
      <c r="M11" s="1371" t="s">
        <v>3526</v>
      </c>
      <c r="N11" s="1371" t="s">
        <v>3525</v>
      </c>
      <c r="O11" s="943" t="s">
        <v>1813</v>
      </c>
      <c r="P11" s="929" t="s">
        <v>2253</v>
      </c>
      <c r="Q11" s="930" t="s">
        <v>2229</v>
      </c>
    </row>
    <row r="12" spans="1:60" x14ac:dyDescent="0.2">
      <c r="A12" s="17"/>
      <c r="B12" s="2024"/>
      <c r="C12" s="66" t="s">
        <v>298</v>
      </c>
      <c r="D12" s="43" t="str">
        <f t="shared" si="0"/>
        <v xml:space="preserve">TBX, Крепл фасада INSERTA, ZSF.3902     </v>
      </c>
      <c r="E12" s="3">
        <v>2</v>
      </c>
      <c r="F12" s="72">
        <f>VLOOKUP(C12,всецены,4,FALSE)</f>
        <v>43.913469600000006</v>
      </c>
      <c r="G12" s="14">
        <f>F12*E12</f>
        <v>87.826939200000012</v>
      </c>
      <c r="H12" s="2089"/>
      <c r="J12" s="8">
        <v>300</v>
      </c>
      <c r="K12" s="66" t="s">
        <v>332</v>
      </c>
      <c r="L12" s="66" t="s">
        <v>333</v>
      </c>
      <c r="M12" s="1373" t="s">
        <v>3524</v>
      </c>
      <c r="N12" s="1373" t="s">
        <v>3523</v>
      </c>
      <c r="O12" s="943" t="s">
        <v>1813</v>
      </c>
      <c r="P12" s="924" t="s">
        <v>2262</v>
      </c>
      <c r="Q12" s="925" t="s">
        <v>2230</v>
      </c>
    </row>
    <row r="13" spans="1:60" x14ac:dyDescent="0.2">
      <c r="A13" s="17"/>
      <c r="B13" s="2024"/>
      <c r="C13" s="66" t="s">
        <v>1628</v>
      </c>
      <c r="D13" s="43" t="str">
        <f t="shared" si="0"/>
        <v xml:space="preserve">TBX, Держат. задн. ст, 96 мм, сер, пр.  </v>
      </c>
      <c r="E13" s="3">
        <v>1</v>
      </c>
      <c r="F13" s="72">
        <f t="shared" si="1"/>
        <v>34.154920799999999</v>
      </c>
      <c r="G13" s="14">
        <f t="shared" si="2"/>
        <v>34.154920799999999</v>
      </c>
      <c r="H13" s="2089"/>
      <c r="J13" s="8">
        <v>350</v>
      </c>
      <c r="K13" s="66" t="s">
        <v>2165</v>
      </c>
      <c r="L13" s="66" t="s">
        <v>2166</v>
      </c>
      <c r="M13" s="1371" t="s">
        <v>3528</v>
      </c>
      <c r="N13" s="1371" t="s">
        <v>3527</v>
      </c>
      <c r="O13" s="943" t="s">
        <v>1813</v>
      </c>
      <c r="P13" s="921" t="s">
        <v>2263</v>
      </c>
      <c r="Q13" s="923" t="s">
        <v>2231</v>
      </c>
    </row>
    <row r="14" spans="1:60" x14ac:dyDescent="0.2">
      <c r="A14" s="17"/>
      <c r="B14" s="2024"/>
      <c r="C14" s="66" t="s">
        <v>1630</v>
      </c>
      <c r="D14" s="43" t="str">
        <f t="shared" si="0"/>
        <v xml:space="preserve">TBX, Держат. задн. ст, 96 мм, сер, лев. </v>
      </c>
      <c r="E14" s="3">
        <v>1</v>
      </c>
      <c r="F14" s="72">
        <f t="shared" si="1"/>
        <v>34.154920799999999</v>
      </c>
      <c r="G14" s="14">
        <f t="shared" si="2"/>
        <v>34.154920799999999</v>
      </c>
      <c r="H14" s="2089"/>
      <c r="J14" s="8">
        <v>400</v>
      </c>
      <c r="K14" s="66" t="s">
        <v>2167</v>
      </c>
      <c r="L14" s="66" t="s">
        <v>2168</v>
      </c>
      <c r="M14" s="1371" t="s">
        <v>3530</v>
      </c>
      <c r="N14" s="1371" t="s">
        <v>3529</v>
      </c>
      <c r="O14" s="943" t="s">
        <v>1813</v>
      </c>
      <c r="P14" s="929" t="s">
        <v>5207</v>
      </c>
      <c r="Q14" s="925" t="s">
        <v>5192</v>
      </c>
    </row>
    <row r="15" spans="1:60" ht="13.5" customHeight="1" x14ac:dyDescent="0.2">
      <c r="A15" s="17"/>
      <c r="B15" s="2024"/>
      <c r="C15" s="66" t="str">
        <f>VLOOKUP($C$8,J11:N16,2,FALSE)</f>
        <v>8550372/</v>
      </c>
      <c r="D15" s="43" t="str">
        <f t="shared" si="0"/>
        <v xml:space="preserve">TBX, Tip-on, Напр, 50 кг, 500 мм, лев   </v>
      </c>
      <c r="E15" s="3">
        <v>1</v>
      </c>
      <c r="F15" s="72">
        <f t="shared" si="1"/>
        <v>467.59712999999999</v>
      </c>
      <c r="G15" s="14">
        <f t="shared" si="2"/>
        <v>467.59712999999999</v>
      </c>
      <c r="H15" s="2089"/>
      <c r="J15" s="8">
        <v>450</v>
      </c>
      <c r="K15" s="66" t="s">
        <v>2169</v>
      </c>
      <c r="L15" s="66" t="s">
        <v>2170</v>
      </c>
      <c r="M15" s="1371" t="s">
        <v>3532</v>
      </c>
      <c r="N15" s="1371" t="s">
        <v>3531</v>
      </c>
      <c r="O15" s="938" t="s">
        <v>2812</v>
      </c>
      <c r="P15" s="939" t="s">
        <v>2264</v>
      </c>
      <c r="Q15" s="940"/>
    </row>
    <row r="16" spans="1:60" x14ac:dyDescent="0.2">
      <c r="A16" s="17"/>
      <c r="B16" s="2024"/>
      <c r="C16" s="66" t="str">
        <f>VLOOKUP($C$8,J11:N16,3,FALSE)</f>
        <v>8550202/</v>
      </c>
      <c r="D16" s="43" t="str">
        <f t="shared" si="0"/>
        <v xml:space="preserve">TBX, Tip-on, Напр, 50 кг, 500 мм, прав  </v>
      </c>
      <c r="E16" s="3">
        <v>1</v>
      </c>
      <c r="F16" s="72">
        <f t="shared" si="1"/>
        <v>467.59712999999999</v>
      </c>
      <c r="G16" s="14">
        <f t="shared" si="2"/>
        <v>467.59712999999999</v>
      </c>
      <c r="H16" s="2089"/>
      <c r="J16" s="8">
        <v>500</v>
      </c>
      <c r="K16" s="66" t="s">
        <v>2171</v>
      </c>
      <c r="L16" s="66" t="s">
        <v>2172</v>
      </c>
      <c r="M16" s="1371" t="s">
        <v>3534</v>
      </c>
      <c r="N16" s="1371" t="s">
        <v>3533</v>
      </c>
      <c r="O16" s="943" t="s">
        <v>1813</v>
      </c>
      <c r="P16" s="922" t="s">
        <v>2251</v>
      </c>
      <c r="Q16" s="925" t="s">
        <v>2233</v>
      </c>
    </row>
    <row r="17" spans="1:44" x14ac:dyDescent="0.2">
      <c r="A17" s="17"/>
      <c r="B17" s="2024"/>
      <c r="C17" s="66" t="s">
        <v>2173</v>
      </c>
      <c r="D17" s="43" t="str">
        <f t="shared" si="0"/>
        <v xml:space="preserve">TBX, Tip-on, Синхрон-р, п/шуруп         </v>
      </c>
      <c r="E17" s="3">
        <v>1</v>
      </c>
      <c r="F17" s="72">
        <f>VLOOKUP(C17,всецены,4,FALSE)</f>
        <v>243.96372</v>
      </c>
      <c r="G17" s="14">
        <f>F17*E17</f>
        <v>243.96372</v>
      </c>
      <c r="H17" s="2089"/>
      <c r="O17" s="943" t="s">
        <v>1813</v>
      </c>
      <c r="P17" s="924" t="s">
        <v>2403</v>
      </c>
      <c r="Q17" s="925" t="s">
        <v>2234</v>
      </c>
    </row>
    <row r="18" spans="1:44" x14ac:dyDescent="0.2">
      <c r="A18" s="17"/>
      <c r="B18" s="2024"/>
      <c r="C18" s="66" t="s">
        <v>218</v>
      </c>
      <c r="D18" s="43" t="str">
        <f t="shared" si="0"/>
        <v xml:space="preserve">TBX, Tip-on, Фиксатор, п/шуруп, лев     </v>
      </c>
      <c r="E18" s="3">
        <v>1</v>
      </c>
      <c r="F18" s="72">
        <f>VLOOKUP(C18,всецены,4,FALSE)</f>
        <v>565.99583040000005</v>
      </c>
      <c r="G18" s="14">
        <f>F18*E18</f>
        <v>565.99583040000005</v>
      </c>
      <c r="H18" s="2089"/>
      <c r="O18" s="943" t="s">
        <v>1813</v>
      </c>
      <c r="P18" s="924" t="s">
        <v>2252</v>
      </c>
      <c r="Q18" s="925" t="s">
        <v>2235</v>
      </c>
    </row>
    <row r="19" spans="1:44" x14ac:dyDescent="0.2">
      <c r="A19" s="17"/>
      <c r="B19" s="2024"/>
      <c r="C19" s="66" t="s">
        <v>219</v>
      </c>
      <c r="D19" s="43" t="str">
        <f t="shared" si="0"/>
        <v xml:space="preserve">TBX, Tip-on, Фиксатор, п/шуруп, прав    </v>
      </c>
      <c r="E19" s="3">
        <v>1</v>
      </c>
      <c r="F19" s="72">
        <f>VLOOKUP(C19,всецены,4,FALSE)</f>
        <v>565.99583040000005</v>
      </c>
      <c r="G19" s="14">
        <f>F19*E19</f>
        <v>565.99583040000005</v>
      </c>
      <c r="H19" s="2089"/>
      <c r="O19" s="943" t="s">
        <v>1813</v>
      </c>
      <c r="P19" s="924" t="s">
        <v>2265</v>
      </c>
      <c r="Q19" s="925" t="s">
        <v>2240</v>
      </c>
    </row>
    <row r="20" spans="1:44" ht="13.5" thickBot="1" x14ac:dyDescent="0.25">
      <c r="A20" s="17"/>
      <c r="B20" s="2025"/>
      <c r="C20" s="461" t="str">
        <f>VLOOKUP(C7,J50:K59,2,FALSE)</f>
        <v>8554402/</v>
      </c>
      <c r="D20" s="404" t="str">
        <f t="shared" si="0"/>
        <v xml:space="preserve">TBX, Tip-on, Штанги д/синх, д/850 мм    </v>
      </c>
      <c r="E20" s="355">
        <v>2</v>
      </c>
      <c r="F20" s="430">
        <f>VLOOKUP(C20,всецены,4,FALSE)</f>
        <v>107.34403680000001</v>
      </c>
      <c r="G20" s="409">
        <f>F20*E20</f>
        <v>214.68807360000002</v>
      </c>
      <c r="H20" s="2090"/>
      <c r="O20" s="945"/>
      <c r="Q20" s="106" t="s">
        <v>2822</v>
      </c>
    </row>
    <row r="21" spans="1:44" x14ac:dyDescent="0.2">
      <c r="A21" s="17"/>
      <c r="B21" s="169"/>
      <c r="C21" s="175"/>
      <c r="D21" s="75"/>
      <c r="E21" s="169"/>
      <c r="F21" s="439"/>
      <c r="G21" s="358"/>
      <c r="H21" s="19"/>
      <c r="O21" s="944" t="s">
        <v>1815</v>
      </c>
      <c r="P21" s="934" t="s">
        <v>2813</v>
      </c>
      <c r="Q21" s="935"/>
    </row>
    <row r="22" spans="1:44" s="771" customFormat="1" ht="7.5" customHeight="1" thickBot="1" x14ac:dyDescent="0.25">
      <c r="B22" s="781"/>
      <c r="C22" s="785"/>
      <c r="D22" s="782"/>
      <c r="E22" s="781"/>
      <c r="F22" s="786"/>
      <c r="G22" s="783"/>
      <c r="H22" s="787"/>
      <c r="O22" s="8"/>
      <c r="P22" s="8"/>
      <c r="Q22" s="8"/>
    </row>
    <row r="23" spans="1:44" s="767" customFormat="1" ht="20.100000000000001" customHeight="1" x14ac:dyDescent="0.2">
      <c r="A23" s="8"/>
      <c r="B23" s="2101" t="s">
        <v>2245</v>
      </c>
      <c r="C23" s="2102"/>
      <c r="D23" s="2102"/>
      <c r="E23" s="2102"/>
      <c r="F23" s="2102"/>
      <c r="G23" s="2102"/>
      <c r="H23" s="2115"/>
      <c r="I23" s="8"/>
      <c r="J23" s="8"/>
      <c r="K23" s="8"/>
      <c r="L23" s="8"/>
      <c r="M23" s="8"/>
      <c r="N23" s="8"/>
      <c r="O23" s="771"/>
      <c r="P23" s="771"/>
      <c r="Q23" s="771"/>
      <c r="R23" s="8"/>
      <c r="S23" s="8"/>
      <c r="T23" s="8"/>
      <c r="U23" s="8"/>
      <c r="V23" s="8"/>
      <c r="W23" s="8"/>
      <c r="X23" s="8"/>
      <c r="Y23" s="771"/>
      <c r="Z23" s="771"/>
      <c r="AA23" s="771"/>
      <c r="AB23" s="771"/>
      <c r="AC23" s="771"/>
      <c r="AD23" s="771"/>
      <c r="AE23" s="771"/>
      <c r="AF23" s="771"/>
      <c r="AG23" s="771"/>
      <c r="AH23" s="771"/>
      <c r="AI23" s="771"/>
      <c r="AJ23" s="771"/>
      <c r="AK23" s="771"/>
      <c r="AL23" s="771"/>
      <c r="AM23" s="771"/>
      <c r="AN23" s="771"/>
      <c r="AO23" s="771"/>
      <c r="AP23" s="771"/>
      <c r="AQ23" s="771"/>
      <c r="AR23" s="771"/>
    </row>
    <row r="24" spans="1:44" s="767" customFormat="1" ht="20.100000000000001" customHeight="1" x14ac:dyDescent="0.2">
      <c r="A24" s="17"/>
      <c r="B24" s="2103"/>
      <c r="C24" s="2104"/>
      <c r="D24" s="2104"/>
      <c r="E24" s="2104"/>
      <c r="F24" s="2104"/>
      <c r="G24" s="2104"/>
      <c r="H24" s="2116"/>
      <c r="I24" s="8"/>
      <c r="J24" s="8"/>
      <c r="K24" s="8"/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771"/>
      <c r="Z24" s="771"/>
      <c r="AA24" s="771"/>
      <c r="AB24" s="771"/>
      <c r="AC24" s="771"/>
      <c r="AD24" s="771"/>
      <c r="AE24" s="771"/>
      <c r="AF24" s="771"/>
      <c r="AG24" s="771"/>
      <c r="AH24" s="771"/>
      <c r="AI24" s="771"/>
      <c r="AJ24" s="771"/>
      <c r="AK24" s="771"/>
      <c r="AL24" s="771"/>
      <c r="AM24" s="771"/>
      <c r="AN24" s="771"/>
      <c r="AO24" s="771"/>
      <c r="AP24" s="771"/>
      <c r="AQ24" s="771"/>
      <c r="AR24" s="771"/>
    </row>
    <row r="25" spans="1:44" s="767" customFormat="1" ht="18.75" customHeight="1" x14ac:dyDescent="0.2">
      <c r="A25" s="17"/>
      <c r="B25" s="433"/>
      <c r="C25" s="2080" t="s">
        <v>2068</v>
      </c>
      <c r="D25" s="2080"/>
      <c r="E25" s="2080"/>
      <c r="F25" s="2080"/>
      <c r="G25" s="2080"/>
      <c r="H25" s="459"/>
      <c r="I25" s="8"/>
      <c r="J25" s="8"/>
      <c r="K25" s="8"/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771"/>
      <c r="Z25" s="771"/>
      <c r="AA25" s="771"/>
      <c r="AB25" s="771"/>
      <c r="AC25" s="771"/>
      <c r="AD25" s="771"/>
      <c r="AE25" s="771"/>
      <c r="AF25" s="771"/>
      <c r="AG25" s="771"/>
      <c r="AH25" s="771"/>
      <c r="AI25" s="771"/>
      <c r="AJ25" s="771"/>
      <c r="AK25" s="771"/>
      <c r="AL25" s="771"/>
      <c r="AM25" s="771"/>
      <c r="AN25" s="771"/>
      <c r="AO25" s="771"/>
      <c r="AP25" s="771"/>
      <c r="AQ25" s="771"/>
      <c r="AR25" s="771"/>
    </row>
    <row r="26" spans="1:44" s="767" customFormat="1" ht="18.75" customHeight="1" thickBot="1" x14ac:dyDescent="0.25">
      <c r="A26" s="17"/>
      <c r="B26" s="769" t="s">
        <v>1336</v>
      </c>
      <c r="C26" s="98">
        <v>600</v>
      </c>
      <c r="D26" s="95" t="s">
        <v>1689</v>
      </c>
      <c r="E26" s="95"/>
      <c r="F26" s="460"/>
      <c r="G26" s="75"/>
      <c r="H26" s="459"/>
      <c r="I26" s="8"/>
      <c r="J26" s="8"/>
      <c r="K26" s="8"/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771"/>
      <c r="Z26" s="771"/>
      <c r="AA26" s="771"/>
      <c r="AB26" s="771"/>
      <c r="AC26" s="771"/>
      <c r="AD26" s="771"/>
      <c r="AE26" s="771"/>
      <c r="AF26" s="771"/>
      <c r="AG26" s="771"/>
      <c r="AH26" s="771"/>
      <c r="AI26" s="771"/>
      <c r="AJ26" s="771"/>
      <c r="AK26" s="771"/>
      <c r="AL26" s="771"/>
      <c r="AM26" s="771"/>
      <c r="AN26" s="771"/>
      <c r="AO26" s="771"/>
      <c r="AP26" s="771"/>
      <c r="AQ26" s="771"/>
      <c r="AR26" s="771"/>
    </row>
    <row r="27" spans="1:44" s="767" customFormat="1" ht="15.75" thickBot="1" x14ac:dyDescent="0.25">
      <c r="A27" s="17"/>
      <c r="B27" s="462" t="s">
        <v>1639</v>
      </c>
      <c r="C27" s="98">
        <v>500</v>
      </c>
      <c r="D27" s="97" t="s">
        <v>1689</v>
      </c>
      <c r="E27" s="97"/>
      <c r="F27" s="97"/>
      <c r="G27" s="97"/>
      <c r="H27" s="1437" t="str">
        <f>IF(СОДЕРЖАНИЕ!P2=1,"EUR","RUB")</f>
        <v>RUB</v>
      </c>
      <c r="I27" s="8"/>
      <c r="J27" s="8"/>
      <c r="K27" s="8"/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771"/>
      <c r="Z27" s="771"/>
      <c r="AA27" s="771"/>
      <c r="AB27" s="771"/>
      <c r="AC27" s="771"/>
      <c r="AD27" s="771"/>
      <c r="AE27" s="771"/>
      <c r="AF27" s="771"/>
      <c r="AG27" s="771"/>
      <c r="AH27" s="771"/>
      <c r="AI27" s="771"/>
      <c r="AJ27" s="771"/>
      <c r="AK27" s="771"/>
      <c r="AL27" s="771"/>
      <c r="AM27" s="771"/>
      <c r="AN27" s="771"/>
      <c r="AO27" s="771"/>
      <c r="AP27" s="771"/>
      <c r="AQ27" s="771"/>
      <c r="AR27" s="771"/>
    </row>
    <row r="28" spans="1:44" s="767" customFormat="1" x14ac:dyDescent="0.2">
      <c r="A28" s="17"/>
      <c r="B28" s="2028"/>
      <c r="C28" s="2" t="str">
        <f>VLOOKUP(C27,J11:N16,4,FALSE)</f>
        <v>3863588/</v>
      </c>
      <c r="D28" s="43" t="str">
        <f t="shared" ref="D28:D40" si="3">VLOOKUP(C28,всецены,2,FALSE)</f>
        <v xml:space="preserve">TBX, Царга 83/500 мм, сер, лев. NEW     </v>
      </c>
      <c r="E28" s="3">
        <v>1</v>
      </c>
      <c r="F28" s="63">
        <f t="shared" ref="F28:F40" si="4">VLOOKUP(C28,всецены,4,FALSE)</f>
        <v>417.17796120000003</v>
      </c>
      <c r="G28" s="14">
        <f t="shared" ref="G28:G40" si="5">F28*E28</f>
        <v>417.17796120000003</v>
      </c>
      <c r="H28" s="2089">
        <f>SUM(G28:G40)</f>
        <v>3770.0526864000008</v>
      </c>
      <c r="I28" s="8"/>
      <c r="J28" s="8"/>
      <c r="K28" s="8"/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771"/>
      <c r="Z28" s="771"/>
      <c r="AA28" s="771"/>
      <c r="AB28" s="771"/>
      <c r="AC28" s="771"/>
      <c r="AD28" s="771"/>
      <c r="AE28" s="771"/>
      <c r="AF28" s="771"/>
      <c r="AG28" s="771"/>
      <c r="AH28" s="771"/>
      <c r="AI28" s="771"/>
      <c r="AJ28" s="771"/>
      <c r="AK28" s="771"/>
      <c r="AL28" s="771"/>
      <c r="AM28" s="771"/>
      <c r="AN28" s="771"/>
      <c r="AO28" s="771"/>
      <c r="AP28" s="771"/>
      <c r="AQ28" s="771"/>
      <c r="AR28" s="771"/>
    </row>
    <row r="29" spans="1:44" s="767" customFormat="1" x14ac:dyDescent="0.2">
      <c r="A29" s="17"/>
      <c r="B29" s="2024"/>
      <c r="C29" s="2" t="str">
        <f>VLOOKUP(C27,J11:N16,5,FALSE)</f>
        <v>3852259/</v>
      </c>
      <c r="D29" s="43" t="str">
        <f t="shared" si="3"/>
        <v xml:space="preserve">TBX, Царга 83/500 мм, сер, пр. NEW      </v>
      </c>
      <c r="E29" s="3">
        <v>1</v>
      </c>
      <c r="F29" s="63">
        <f t="shared" si="4"/>
        <v>417.17796120000003</v>
      </c>
      <c r="G29" s="14">
        <f t="shared" si="5"/>
        <v>417.17796120000003</v>
      </c>
      <c r="H29" s="2089"/>
      <c r="I29" s="8"/>
      <c r="J29" s="8"/>
      <c r="K29" s="8" t="s">
        <v>1336</v>
      </c>
      <c r="L29" s="8"/>
      <c r="M29" s="8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771"/>
      <c r="Z29" s="771"/>
      <c r="AA29" s="771"/>
      <c r="AB29" s="771"/>
      <c r="AC29" s="771"/>
      <c r="AD29" s="771"/>
      <c r="AE29" s="771"/>
      <c r="AF29" s="771"/>
      <c r="AG29" s="771"/>
      <c r="AH29" s="771"/>
      <c r="AI29" s="771"/>
      <c r="AJ29" s="771"/>
      <c r="AK29" s="771"/>
      <c r="AL29" s="771"/>
      <c r="AM29" s="771"/>
      <c r="AN29" s="771"/>
      <c r="AO29" s="771"/>
      <c r="AP29" s="771"/>
      <c r="AQ29" s="771"/>
      <c r="AR29" s="771"/>
    </row>
    <row r="30" spans="1:44" s="767" customFormat="1" x14ac:dyDescent="0.2">
      <c r="A30" s="17"/>
      <c r="B30" s="2024"/>
      <c r="C30" s="5" t="s">
        <v>299</v>
      </c>
      <c r="D30" s="43" t="str">
        <f t="shared" si="3"/>
        <v>TBX, Загл. с лого, сер, симм ZAA.330C.BL</v>
      </c>
      <c r="E30" s="3">
        <v>2</v>
      </c>
      <c r="F30" s="63">
        <f t="shared" si="4"/>
        <v>8.9453364000000004</v>
      </c>
      <c r="G30" s="14">
        <f t="shared" si="5"/>
        <v>17.890672800000001</v>
      </c>
      <c r="H30" s="2089"/>
      <c r="I30" s="8"/>
      <c r="J30" s="8">
        <v>600</v>
      </c>
      <c r="K30" s="8" t="s">
        <v>949</v>
      </c>
      <c r="L30" s="8"/>
      <c r="M30" s="8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771"/>
      <c r="Z30" s="771"/>
      <c r="AA30" s="771"/>
      <c r="AB30" s="771"/>
      <c r="AC30" s="771"/>
      <c r="AD30" s="771"/>
      <c r="AE30" s="771"/>
      <c r="AF30" s="771"/>
      <c r="AG30" s="771"/>
      <c r="AH30" s="771"/>
      <c r="AI30" s="771"/>
      <c r="AJ30" s="771"/>
      <c r="AK30" s="771"/>
      <c r="AL30" s="771"/>
      <c r="AM30" s="771"/>
      <c r="AN30" s="771"/>
      <c r="AO30" s="771"/>
      <c r="AP30" s="771"/>
      <c r="AQ30" s="771"/>
      <c r="AR30" s="771"/>
    </row>
    <row r="31" spans="1:44" s="767" customFormat="1" x14ac:dyDescent="0.2">
      <c r="A31" s="17"/>
      <c r="B31" s="2024"/>
      <c r="C31" s="5" t="s">
        <v>298</v>
      </c>
      <c r="D31" s="43" t="str">
        <f t="shared" si="3"/>
        <v xml:space="preserve">TBX, Крепл фасада INSERTA, ZSF.3902     </v>
      </c>
      <c r="E31" s="3">
        <v>2</v>
      </c>
      <c r="F31" s="63">
        <f t="shared" si="4"/>
        <v>43.913469600000006</v>
      </c>
      <c r="G31" s="14">
        <f t="shared" si="5"/>
        <v>87.826939200000012</v>
      </c>
      <c r="H31" s="2089"/>
      <c r="I31" s="8"/>
      <c r="J31" s="8">
        <v>650</v>
      </c>
      <c r="K31" s="8" t="s">
        <v>2089</v>
      </c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771"/>
      <c r="Z31" s="771"/>
      <c r="AA31" s="771"/>
      <c r="AB31" s="771"/>
      <c r="AC31" s="771"/>
      <c r="AD31" s="771"/>
      <c r="AE31" s="771"/>
      <c r="AF31" s="771"/>
      <c r="AG31" s="771"/>
      <c r="AH31" s="771"/>
      <c r="AI31" s="771"/>
      <c r="AJ31" s="771"/>
      <c r="AK31" s="771"/>
      <c r="AL31" s="771"/>
      <c r="AM31" s="771"/>
      <c r="AN31" s="771"/>
      <c r="AO31" s="771"/>
      <c r="AP31" s="771"/>
      <c r="AQ31" s="771"/>
      <c r="AR31" s="771"/>
    </row>
    <row r="32" spans="1:44" s="767" customFormat="1" x14ac:dyDescent="0.2">
      <c r="A32" s="17"/>
      <c r="B32" s="2024"/>
      <c r="C32" s="66" t="str">
        <f>VLOOKUP(C27,tbxM,6,FALSE)</f>
        <v>1862960/</v>
      </c>
      <c r="D32" s="43" t="str">
        <f t="shared" si="3"/>
        <v xml:space="preserve">TBX, Релинг продольн, 500 мм, сер.      </v>
      </c>
      <c r="E32" s="3">
        <v>2</v>
      </c>
      <c r="F32" s="63">
        <f t="shared" si="4"/>
        <v>103.27797480000001</v>
      </c>
      <c r="G32" s="14">
        <f t="shared" si="5"/>
        <v>206.55594960000002</v>
      </c>
      <c r="H32" s="2089"/>
      <c r="I32" s="8"/>
      <c r="J32" s="8">
        <v>700</v>
      </c>
      <c r="K32" s="8" t="s">
        <v>1615</v>
      </c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771"/>
      <c r="Z32" s="771"/>
      <c r="AA32" s="771"/>
      <c r="AB32" s="771"/>
      <c r="AC32" s="771"/>
      <c r="AD32" s="771"/>
      <c r="AE32" s="771"/>
      <c r="AF32" s="771"/>
      <c r="AG32" s="771"/>
      <c r="AH32" s="771"/>
      <c r="AI32" s="771"/>
      <c r="AJ32" s="771"/>
      <c r="AK32" s="771"/>
      <c r="AL32" s="771"/>
      <c r="AM32" s="771"/>
      <c r="AN32" s="771"/>
      <c r="AO32" s="771"/>
      <c r="AP32" s="771"/>
      <c r="AQ32" s="771"/>
      <c r="AR32" s="771"/>
    </row>
    <row r="33" spans="1:44" s="767" customFormat="1" x14ac:dyDescent="0.2">
      <c r="A33" s="17"/>
      <c r="B33" s="2024"/>
      <c r="C33" s="156" t="s">
        <v>1633</v>
      </c>
      <c r="D33" s="43" t="str">
        <f t="shared" si="3"/>
        <v>TBX, Держат. задн. ст, 160 мм, сер, лев.</v>
      </c>
      <c r="E33" s="3">
        <v>1</v>
      </c>
      <c r="F33" s="63">
        <f t="shared" si="4"/>
        <v>56.924868000000004</v>
      </c>
      <c r="G33" s="14">
        <f t="shared" si="5"/>
        <v>56.924868000000004</v>
      </c>
      <c r="H33" s="2089"/>
      <c r="I33" s="8"/>
      <c r="J33" s="8">
        <v>750</v>
      </c>
      <c r="K33" s="8" t="s">
        <v>1614</v>
      </c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771"/>
      <c r="Z33" s="771"/>
      <c r="AA33" s="771"/>
      <c r="AB33" s="771"/>
      <c r="AC33" s="771"/>
      <c r="AD33" s="771"/>
      <c r="AE33" s="771"/>
      <c r="AF33" s="771"/>
      <c r="AG33" s="771"/>
      <c r="AH33" s="771"/>
      <c r="AI33" s="771"/>
      <c r="AJ33" s="771"/>
      <c r="AK33" s="771"/>
      <c r="AL33" s="771"/>
      <c r="AM33" s="771"/>
      <c r="AN33" s="771"/>
      <c r="AO33" s="771"/>
      <c r="AP33" s="771"/>
      <c r="AQ33" s="771"/>
      <c r="AR33" s="771"/>
    </row>
    <row r="34" spans="1:44" s="767" customFormat="1" ht="13.5" customHeight="1" x14ac:dyDescent="0.2">
      <c r="A34" s="17"/>
      <c r="B34" s="2024"/>
      <c r="C34" s="138" t="s">
        <v>1632</v>
      </c>
      <c r="D34" s="43" t="str">
        <f t="shared" si="3"/>
        <v xml:space="preserve">TBX, Держат. задн. ст, 160 мм, сер, пр. </v>
      </c>
      <c r="E34" s="3">
        <v>1</v>
      </c>
      <c r="F34" s="63">
        <f t="shared" si="4"/>
        <v>56.924868000000004</v>
      </c>
      <c r="G34" s="14">
        <f t="shared" si="5"/>
        <v>56.924868000000004</v>
      </c>
      <c r="H34" s="2089"/>
      <c r="I34" s="8"/>
      <c r="J34" s="8">
        <v>800</v>
      </c>
      <c r="K34" s="8" t="s">
        <v>950</v>
      </c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771"/>
      <c r="Z34" s="771"/>
      <c r="AA34" s="771"/>
      <c r="AB34" s="771"/>
      <c r="AC34" s="771"/>
      <c r="AD34" s="771"/>
      <c r="AE34" s="771"/>
      <c r="AF34" s="771"/>
      <c r="AG34" s="771"/>
      <c r="AH34" s="771"/>
      <c r="AI34" s="771"/>
      <c r="AJ34" s="771"/>
      <c r="AK34" s="771"/>
      <c r="AL34" s="771"/>
      <c r="AM34" s="771"/>
      <c r="AN34" s="771"/>
      <c r="AO34" s="771"/>
      <c r="AP34" s="771"/>
      <c r="AQ34" s="771"/>
      <c r="AR34" s="771"/>
    </row>
    <row r="35" spans="1:44" s="767" customFormat="1" x14ac:dyDescent="0.2">
      <c r="A35" s="17"/>
      <c r="B35" s="2024"/>
      <c r="C35" s="66" t="str">
        <f>VLOOKUP(C27,J11:N16,2,FALSE)</f>
        <v>8550372/</v>
      </c>
      <c r="D35" s="43" t="str">
        <f t="shared" si="3"/>
        <v xml:space="preserve">TBX, Tip-on, Напр, 50 кг, 500 мм, лев   </v>
      </c>
      <c r="E35" s="3">
        <v>1</v>
      </c>
      <c r="F35" s="63">
        <f t="shared" si="4"/>
        <v>467.59712999999999</v>
      </c>
      <c r="G35" s="14">
        <f t="shared" si="5"/>
        <v>467.59712999999999</v>
      </c>
      <c r="H35" s="2089"/>
      <c r="I35" s="8"/>
      <c r="J35" s="8">
        <v>850</v>
      </c>
      <c r="K35" s="8" t="s">
        <v>1616</v>
      </c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771"/>
      <c r="Z35" s="771"/>
      <c r="AA35" s="771"/>
      <c r="AB35" s="771"/>
      <c r="AC35" s="771"/>
      <c r="AD35" s="771"/>
      <c r="AE35" s="771"/>
      <c r="AF35" s="771"/>
      <c r="AG35" s="771"/>
      <c r="AH35" s="771"/>
      <c r="AI35" s="771"/>
      <c r="AJ35" s="771"/>
      <c r="AK35" s="771"/>
      <c r="AL35" s="771"/>
      <c r="AM35" s="771"/>
      <c r="AN35" s="771"/>
      <c r="AO35" s="771"/>
      <c r="AP35" s="771"/>
      <c r="AQ35" s="771"/>
      <c r="AR35" s="771"/>
    </row>
    <row r="36" spans="1:44" s="767" customFormat="1" x14ac:dyDescent="0.2">
      <c r="A36" s="17"/>
      <c r="B36" s="2024"/>
      <c r="C36" s="66" t="str">
        <f>VLOOKUP(C27,J11:N16,3,FALSE)</f>
        <v>8550202/</v>
      </c>
      <c r="D36" s="43" t="str">
        <f t="shared" si="3"/>
        <v xml:space="preserve">TBX, Tip-on, Напр, 50 кг, 500 мм, прав  </v>
      </c>
      <c r="E36" s="3">
        <v>1</v>
      </c>
      <c r="F36" s="63">
        <f t="shared" si="4"/>
        <v>467.59712999999999</v>
      </c>
      <c r="G36" s="14">
        <f t="shared" si="5"/>
        <v>467.59712999999999</v>
      </c>
      <c r="H36" s="2089"/>
      <c r="I36" s="8"/>
      <c r="J36" s="8">
        <v>900</v>
      </c>
      <c r="K36" s="8" t="s">
        <v>1228</v>
      </c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771"/>
      <c r="Z36" s="771"/>
      <c r="AA36" s="771"/>
      <c r="AB36" s="771"/>
      <c r="AC36" s="771"/>
      <c r="AD36" s="771"/>
      <c r="AE36" s="771"/>
      <c r="AF36" s="771"/>
      <c r="AG36" s="771"/>
      <c r="AH36" s="771"/>
      <c r="AI36" s="771"/>
      <c r="AJ36" s="771"/>
      <c r="AK36" s="771"/>
      <c r="AL36" s="771"/>
      <c r="AM36" s="771"/>
      <c r="AN36" s="771"/>
      <c r="AO36" s="771"/>
      <c r="AP36" s="771"/>
      <c r="AQ36" s="771"/>
      <c r="AR36" s="771"/>
    </row>
    <row r="37" spans="1:44" s="767" customFormat="1" x14ac:dyDescent="0.2">
      <c r="A37" s="17"/>
      <c r="B37" s="2024"/>
      <c r="C37" s="66" t="s">
        <v>2173</v>
      </c>
      <c r="D37" s="43" t="str">
        <f t="shared" si="3"/>
        <v xml:space="preserve">TBX, Tip-on, Синхрон-р, п/шуруп         </v>
      </c>
      <c r="E37" s="3">
        <v>1</v>
      </c>
      <c r="F37" s="63">
        <f t="shared" si="4"/>
        <v>243.96372</v>
      </c>
      <c r="G37" s="14">
        <f t="shared" si="5"/>
        <v>243.96372</v>
      </c>
      <c r="H37" s="2089"/>
      <c r="I37" s="8"/>
      <c r="J37" s="8">
        <v>950</v>
      </c>
      <c r="K37" s="8" t="s">
        <v>1617</v>
      </c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771"/>
      <c r="Z37" s="771"/>
      <c r="AA37" s="771"/>
      <c r="AB37" s="771"/>
      <c r="AC37" s="771"/>
      <c r="AD37" s="771"/>
      <c r="AE37" s="771"/>
      <c r="AF37" s="771"/>
      <c r="AG37" s="771"/>
      <c r="AH37" s="771"/>
      <c r="AI37" s="771"/>
      <c r="AJ37" s="771"/>
      <c r="AK37" s="771"/>
      <c r="AL37" s="771"/>
      <c r="AM37" s="771"/>
      <c r="AN37" s="771"/>
      <c r="AO37" s="771"/>
      <c r="AP37" s="771"/>
      <c r="AQ37" s="771"/>
      <c r="AR37" s="771"/>
    </row>
    <row r="38" spans="1:44" s="767" customFormat="1" x14ac:dyDescent="0.2">
      <c r="A38" s="17"/>
      <c r="B38" s="2024"/>
      <c r="C38" s="66" t="s">
        <v>218</v>
      </c>
      <c r="D38" s="43" t="str">
        <f t="shared" si="3"/>
        <v xml:space="preserve">TBX, Tip-on, Фиксатор, п/шуруп, лев     </v>
      </c>
      <c r="E38" s="3">
        <v>1</v>
      </c>
      <c r="F38" s="63">
        <f t="shared" si="4"/>
        <v>565.99583040000005</v>
      </c>
      <c r="G38" s="14">
        <f t="shared" si="5"/>
        <v>565.99583040000005</v>
      </c>
      <c r="H38" s="2089"/>
      <c r="I38" s="8"/>
      <c r="J38" s="8">
        <v>1000</v>
      </c>
      <c r="K38" s="8" t="s">
        <v>1192</v>
      </c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771"/>
      <c r="Z38" s="771"/>
      <c r="AA38" s="771"/>
      <c r="AB38" s="771"/>
      <c r="AC38" s="771"/>
      <c r="AD38" s="771"/>
      <c r="AE38" s="771"/>
      <c r="AF38" s="771"/>
      <c r="AG38" s="771"/>
      <c r="AH38" s="771"/>
      <c r="AI38" s="771"/>
      <c r="AJ38" s="771"/>
      <c r="AK38" s="771"/>
      <c r="AL38" s="771"/>
      <c r="AM38" s="771"/>
      <c r="AN38" s="771"/>
      <c r="AO38" s="771"/>
      <c r="AP38" s="771"/>
      <c r="AQ38" s="771"/>
      <c r="AR38" s="771"/>
    </row>
    <row r="39" spans="1:44" s="767" customFormat="1" x14ac:dyDescent="0.2">
      <c r="A39" s="17"/>
      <c r="B39" s="2024"/>
      <c r="C39" s="66" t="s">
        <v>219</v>
      </c>
      <c r="D39" s="43" t="str">
        <f t="shared" si="3"/>
        <v xml:space="preserve">TBX, Tip-on, Фиксатор, п/шуруп, прав    </v>
      </c>
      <c r="E39" s="3">
        <v>1</v>
      </c>
      <c r="F39" s="63">
        <f t="shared" si="4"/>
        <v>565.99583040000005</v>
      </c>
      <c r="G39" s="14">
        <f t="shared" si="5"/>
        <v>565.99583040000005</v>
      </c>
      <c r="H39" s="2089"/>
      <c r="I39" s="8"/>
      <c r="J39" s="8">
        <v>1200</v>
      </c>
      <c r="K39" s="8" t="s">
        <v>948</v>
      </c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771"/>
      <c r="Z39" s="771"/>
      <c r="AA39" s="771"/>
      <c r="AB39" s="771"/>
      <c r="AC39" s="771"/>
      <c r="AD39" s="771"/>
      <c r="AE39" s="771"/>
      <c r="AF39" s="771"/>
      <c r="AG39" s="771"/>
      <c r="AH39" s="771"/>
      <c r="AI39" s="771"/>
      <c r="AJ39" s="771"/>
      <c r="AK39" s="771"/>
      <c r="AL39" s="771"/>
      <c r="AM39" s="771"/>
      <c r="AN39" s="771"/>
      <c r="AO39" s="771"/>
      <c r="AP39" s="771"/>
      <c r="AQ39" s="771"/>
      <c r="AR39" s="771"/>
    </row>
    <row r="40" spans="1:44" s="767" customFormat="1" ht="13.5" thickBot="1" x14ac:dyDescent="0.25">
      <c r="A40" s="17"/>
      <c r="B40" s="2025"/>
      <c r="C40" s="461" t="str">
        <f>VLOOKUP(C26,$J$50:$K$59,2,FALSE)</f>
        <v>8386032/</v>
      </c>
      <c r="D40" s="404" t="str">
        <f t="shared" si="3"/>
        <v xml:space="preserve">TBX, Tip-on, Штанги д/синх, д/600 мм    </v>
      </c>
      <c r="E40" s="355">
        <v>2</v>
      </c>
      <c r="F40" s="435">
        <f t="shared" si="4"/>
        <v>99.211912800000007</v>
      </c>
      <c r="G40" s="409">
        <f t="shared" si="5"/>
        <v>198.42382560000001</v>
      </c>
      <c r="H40" s="2090"/>
      <c r="I40" s="8"/>
      <c r="J40" s="8"/>
      <c r="K40" s="8"/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771"/>
      <c r="Z40" s="771"/>
      <c r="AA40" s="771"/>
      <c r="AB40" s="771"/>
      <c r="AC40" s="771"/>
      <c r="AD40" s="771"/>
      <c r="AE40" s="771"/>
      <c r="AF40" s="771"/>
      <c r="AG40" s="771"/>
      <c r="AH40" s="771"/>
      <c r="AI40" s="771"/>
      <c r="AJ40" s="771"/>
      <c r="AK40" s="771"/>
      <c r="AL40" s="771"/>
      <c r="AM40" s="771"/>
      <c r="AN40" s="771"/>
      <c r="AO40" s="771"/>
      <c r="AP40" s="771"/>
      <c r="AQ40" s="771"/>
      <c r="AR40" s="771"/>
    </row>
    <row r="41" spans="1:44" s="8" customFormat="1" x14ac:dyDescent="0.2">
      <c r="A41" s="17"/>
      <c r="B41" s="17"/>
      <c r="C41" s="463"/>
      <c r="D41" s="17"/>
      <c r="E41" s="768"/>
      <c r="F41" s="420"/>
      <c r="G41" s="17"/>
      <c r="H41" s="28"/>
      <c r="Y41" s="771"/>
      <c r="Z41" s="771"/>
      <c r="AA41" s="771"/>
      <c r="AB41" s="771"/>
      <c r="AC41" s="771"/>
      <c r="AD41" s="771"/>
      <c r="AE41" s="771"/>
      <c r="AF41" s="771"/>
      <c r="AG41" s="771"/>
      <c r="AH41" s="771"/>
      <c r="AI41" s="771"/>
      <c r="AJ41" s="771"/>
      <c r="AK41" s="771"/>
      <c r="AL41" s="771"/>
      <c r="AM41" s="771"/>
      <c r="AN41" s="771"/>
      <c r="AO41" s="771"/>
      <c r="AP41" s="771"/>
      <c r="AQ41" s="771"/>
      <c r="AR41" s="771"/>
    </row>
    <row r="42" spans="1:44" ht="8.1" customHeight="1" thickBot="1" x14ac:dyDescent="0.25">
      <c r="B42" s="8"/>
      <c r="C42" s="67"/>
      <c r="D42" s="8"/>
      <c r="E42" s="53"/>
      <c r="F42" s="30"/>
      <c r="G42" s="8"/>
      <c r="H42" s="35"/>
    </row>
    <row r="43" spans="1:44" ht="20.100000000000001" customHeight="1" x14ac:dyDescent="0.2">
      <c r="B43" s="2101" t="s">
        <v>2246</v>
      </c>
      <c r="C43" s="2102"/>
      <c r="D43" s="2102"/>
      <c r="E43" s="2102"/>
      <c r="F43" s="2102"/>
      <c r="G43" s="2102"/>
      <c r="H43" s="2115"/>
    </row>
    <row r="44" spans="1:44" ht="20.100000000000001" customHeight="1" x14ac:dyDescent="0.2">
      <c r="A44" s="17"/>
      <c r="B44" s="2103"/>
      <c r="C44" s="2104"/>
      <c r="D44" s="2104"/>
      <c r="E44" s="2104"/>
      <c r="F44" s="2104"/>
      <c r="G44" s="2104"/>
      <c r="H44" s="2116"/>
    </row>
    <row r="45" spans="1:44" ht="18.75" customHeight="1" x14ac:dyDescent="0.2">
      <c r="A45" s="17"/>
      <c r="B45" s="433"/>
      <c r="C45" s="2080" t="s">
        <v>2068</v>
      </c>
      <c r="D45" s="2080"/>
      <c r="E45" s="2080"/>
      <c r="F45" s="2080"/>
      <c r="G45" s="2080"/>
      <c r="H45" s="459"/>
    </row>
    <row r="46" spans="1:44" ht="18.75" customHeight="1" thickBot="1" x14ac:dyDescent="0.25">
      <c r="A46" s="17"/>
      <c r="B46" s="410" t="s">
        <v>1336</v>
      </c>
      <c r="C46" s="98">
        <v>600</v>
      </c>
      <c r="D46" s="95" t="s">
        <v>1689</v>
      </c>
      <c r="E46" s="95"/>
      <c r="F46" s="460"/>
      <c r="G46" s="75"/>
      <c r="H46" s="459"/>
    </row>
    <row r="47" spans="1:44" ht="15.75" thickBot="1" x14ac:dyDescent="0.25">
      <c r="A47" s="17"/>
      <c r="B47" s="462" t="s">
        <v>1639</v>
      </c>
      <c r="C47" s="98">
        <v>500</v>
      </c>
      <c r="D47" s="97" t="s">
        <v>1689</v>
      </c>
      <c r="E47" s="97"/>
      <c r="F47" s="97"/>
      <c r="G47" s="97"/>
      <c r="H47" s="1437" t="str">
        <f>IF(СОДЕРЖАНИЕ!P2=1,"EUR","RUB")</f>
        <v>RUB</v>
      </c>
    </row>
    <row r="48" spans="1:44" x14ac:dyDescent="0.2">
      <c r="A48" s="17"/>
      <c r="B48" s="2028"/>
      <c r="C48" s="2" t="str">
        <f>VLOOKUP(C47,J11:N16,4,FALSE)</f>
        <v>3863588/</v>
      </c>
      <c r="D48" s="43" t="str">
        <f t="shared" ref="D48:D60" si="6">VLOOKUP(C48,всецены,2,FALSE)</f>
        <v xml:space="preserve">TBX, Царга 83/500 мм, сер, лев. NEW     </v>
      </c>
      <c r="E48" s="3">
        <v>1</v>
      </c>
      <c r="F48" s="63">
        <f t="shared" ref="F48:F55" si="7">VLOOKUP(C48,всецены,4,FALSE)</f>
        <v>417.17796120000003</v>
      </c>
      <c r="G48" s="14">
        <f>F48*E48</f>
        <v>417.17796120000003</v>
      </c>
      <c r="H48" s="2089">
        <f>SUM(G48:G60)</f>
        <v>3796.0754832000007</v>
      </c>
    </row>
    <row r="49" spans="1:44" x14ac:dyDescent="0.2">
      <c r="A49" s="17"/>
      <c r="B49" s="2024"/>
      <c r="C49" s="2" t="str">
        <f>VLOOKUP(C47,J11:N16,5,FALSE)</f>
        <v>3852259/</v>
      </c>
      <c r="D49" s="43" t="str">
        <f t="shared" si="6"/>
        <v xml:space="preserve">TBX, Царга 83/500 мм, сер, пр. NEW      </v>
      </c>
      <c r="E49" s="3">
        <v>1</v>
      </c>
      <c r="F49" s="63">
        <f t="shared" si="7"/>
        <v>417.17796120000003</v>
      </c>
      <c r="G49" s="14">
        <f t="shared" ref="G49:G55" si="8">F49*E49</f>
        <v>417.17796120000003</v>
      </c>
      <c r="H49" s="2089"/>
      <c r="K49" s="8" t="s">
        <v>1336</v>
      </c>
    </row>
    <row r="50" spans="1:44" x14ac:dyDescent="0.2">
      <c r="A50" s="17"/>
      <c r="B50" s="2024"/>
      <c r="C50" s="5" t="s">
        <v>299</v>
      </c>
      <c r="D50" s="43" t="str">
        <f t="shared" si="6"/>
        <v>TBX, Загл. с лого, сер, симм ZAA.330C.BL</v>
      </c>
      <c r="E50" s="3">
        <v>2</v>
      </c>
      <c r="F50" s="63">
        <f t="shared" si="7"/>
        <v>8.9453364000000004</v>
      </c>
      <c r="G50" s="14">
        <f t="shared" si="8"/>
        <v>17.890672800000001</v>
      </c>
      <c r="H50" s="2089"/>
      <c r="J50" s="8">
        <v>600</v>
      </c>
      <c r="K50" s="8" t="s">
        <v>949</v>
      </c>
    </row>
    <row r="51" spans="1:44" x14ac:dyDescent="0.2">
      <c r="A51" s="17"/>
      <c r="B51" s="2024"/>
      <c r="C51" s="5" t="s">
        <v>298</v>
      </c>
      <c r="D51" s="43" t="str">
        <f t="shared" si="6"/>
        <v xml:space="preserve">TBX, Крепл фасада INSERTA, ZSF.3902     </v>
      </c>
      <c r="E51" s="3">
        <v>2</v>
      </c>
      <c r="F51" s="63">
        <f t="shared" si="7"/>
        <v>43.913469600000006</v>
      </c>
      <c r="G51" s="14">
        <f t="shared" si="8"/>
        <v>87.826939200000012</v>
      </c>
      <c r="H51" s="2089"/>
      <c r="J51" s="8">
        <v>650</v>
      </c>
      <c r="K51" s="8" t="s">
        <v>2089</v>
      </c>
    </row>
    <row r="52" spans="1:44" x14ac:dyDescent="0.2">
      <c r="A52" s="17"/>
      <c r="B52" s="2024"/>
      <c r="C52" s="66" t="str">
        <f>VLOOKUP(C47,tbxM,6,FALSE)</f>
        <v>1862960/</v>
      </c>
      <c r="D52" s="43" t="str">
        <f t="shared" si="6"/>
        <v xml:space="preserve">TBX, Релинг продольн, 500 мм, сер.      </v>
      </c>
      <c r="E52" s="3">
        <v>2</v>
      </c>
      <c r="F52" s="63">
        <f>VLOOKUP(C52,всецены,4,FALSE)</f>
        <v>103.27797480000001</v>
      </c>
      <c r="G52" s="14">
        <f>F52*E52</f>
        <v>206.55594960000002</v>
      </c>
      <c r="H52" s="2089"/>
      <c r="J52" s="8">
        <v>700</v>
      </c>
      <c r="K52" s="8" t="s">
        <v>1615</v>
      </c>
    </row>
    <row r="53" spans="1:44" x14ac:dyDescent="0.2">
      <c r="A53" s="17"/>
      <c r="B53" s="2024"/>
      <c r="C53" s="2" t="s">
        <v>1634</v>
      </c>
      <c r="D53" s="43" t="str">
        <f t="shared" si="6"/>
        <v xml:space="preserve">TBX, Держ. задн. ст, D 224 мм, сер, пр. </v>
      </c>
      <c r="E53" s="3">
        <v>1</v>
      </c>
      <c r="F53" s="63">
        <f t="shared" si="7"/>
        <v>69.936266400000008</v>
      </c>
      <c r="G53" s="14">
        <f t="shared" si="8"/>
        <v>69.936266400000008</v>
      </c>
      <c r="H53" s="2089"/>
      <c r="J53" s="8">
        <v>750</v>
      </c>
      <c r="K53" s="8" t="s">
        <v>1614</v>
      </c>
    </row>
    <row r="54" spans="1:44" ht="13.5" customHeight="1" x14ac:dyDescent="0.2">
      <c r="A54" s="17"/>
      <c r="B54" s="2024"/>
      <c r="C54" s="5" t="s">
        <v>1636</v>
      </c>
      <c r="D54" s="43" t="str">
        <f t="shared" si="6"/>
        <v>TBX, Держ. задн. ст, D 224 мм, сер, лев.</v>
      </c>
      <c r="E54" s="3">
        <v>1</v>
      </c>
      <c r="F54" s="63">
        <f t="shared" si="7"/>
        <v>69.936266400000008</v>
      </c>
      <c r="G54" s="14">
        <f t="shared" si="8"/>
        <v>69.936266400000008</v>
      </c>
      <c r="H54" s="2089"/>
      <c r="J54" s="8">
        <v>800</v>
      </c>
      <c r="K54" s="8" t="s">
        <v>950</v>
      </c>
    </row>
    <row r="55" spans="1:44" x14ac:dyDescent="0.2">
      <c r="A55" s="17"/>
      <c r="B55" s="2024"/>
      <c r="C55" s="66" t="str">
        <f>VLOOKUP(C47,J11:N16,2,FALSE)</f>
        <v>8550372/</v>
      </c>
      <c r="D55" s="43" t="str">
        <f t="shared" si="6"/>
        <v xml:space="preserve">TBX, Tip-on, Напр, 50 кг, 500 мм, лев   </v>
      </c>
      <c r="E55" s="3">
        <v>1</v>
      </c>
      <c r="F55" s="63">
        <f t="shared" si="7"/>
        <v>467.59712999999999</v>
      </c>
      <c r="G55" s="14">
        <f t="shared" si="8"/>
        <v>467.59712999999999</v>
      </c>
      <c r="H55" s="2089"/>
      <c r="J55" s="8">
        <v>850</v>
      </c>
      <c r="K55" s="8" t="s">
        <v>1616</v>
      </c>
    </row>
    <row r="56" spans="1:44" x14ac:dyDescent="0.2">
      <c r="A56" s="17"/>
      <c r="B56" s="2024"/>
      <c r="C56" s="66" t="str">
        <f>VLOOKUP(C47,J11:N16,3,FALSE)</f>
        <v>8550202/</v>
      </c>
      <c r="D56" s="43" t="str">
        <f t="shared" si="6"/>
        <v xml:space="preserve">TBX, Tip-on, Напр, 50 кг, 500 мм, прав  </v>
      </c>
      <c r="E56" s="3">
        <v>1</v>
      </c>
      <c r="F56" s="63">
        <f>VLOOKUP(C56,всецены,4,FALSE)</f>
        <v>467.59712999999999</v>
      </c>
      <c r="G56" s="14">
        <f>F56*E56</f>
        <v>467.59712999999999</v>
      </c>
      <c r="H56" s="2089"/>
      <c r="J56" s="8">
        <v>900</v>
      </c>
      <c r="K56" s="8" t="s">
        <v>1228</v>
      </c>
    </row>
    <row r="57" spans="1:44" x14ac:dyDescent="0.2">
      <c r="A57" s="17"/>
      <c r="B57" s="2024"/>
      <c r="C57" s="66" t="s">
        <v>2173</v>
      </c>
      <c r="D57" s="43" t="str">
        <f t="shared" si="6"/>
        <v xml:space="preserve">TBX, Tip-on, Синхрон-р, п/шуруп         </v>
      </c>
      <c r="E57" s="3">
        <v>1</v>
      </c>
      <c r="F57" s="63">
        <f>VLOOKUP(C57,всецены,4,FALSE)</f>
        <v>243.96372</v>
      </c>
      <c r="G57" s="14">
        <f>F57*E57</f>
        <v>243.96372</v>
      </c>
      <c r="H57" s="2089"/>
      <c r="J57" s="8">
        <v>950</v>
      </c>
      <c r="K57" s="8" t="s">
        <v>1617</v>
      </c>
    </row>
    <row r="58" spans="1:44" x14ac:dyDescent="0.2">
      <c r="A58" s="17"/>
      <c r="B58" s="2024"/>
      <c r="C58" s="66" t="s">
        <v>218</v>
      </c>
      <c r="D58" s="43" t="str">
        <f t="shared" si="6"/>
        <v xml:space="preserve">TBX, Tip-on, Фиксатор, п/шуруп, лев     </v>
      </c>
      <c r="E58" s="3">
        <v>1</v>
      </c>
      <c r="F58" s="63">
        <f>VLOOKUP(C58,всецены,4,FALSE)</f>
        <v>565.99583040000005</v>
      </c>
      <c r="G58" s="14">
        <f>F58*E58</f>
        <v>565.99583040000005</v>
      </c>
      <c r="H58" s="2089"/>
      <c r="J58" s="8">
        <v>1000</v>
      </c>
      <c r="K58" s="8" t="s">
        <v>1192</v>
      </c>
    </row>
    <row r="59" spans="1:44" x14ac:dyDescent="0.2">
      <c r="A59" s="17"/>
      <c r="B59" s="2024"/>
      <c r="C59" s="66" t="s">
        <v>219</v>
      </c>
      <c r="D59" s="43" t="str">
        <f t="shared" si="6"/>
        <v xml:space="preserve">TBX, Tip-on, Фиксатор, п/шуруп, прав    </v>
      </c>
      <c r="E59" s="3">
        <v>1</v>
      </c>
      <c r="F59" s="63">
        <f>VLOOKUP(C59,всецены,4,FALSE)</f>
        <v>565.99583040000005</v>
      </c>
      <c r="G59" s="14">
        <f>F59*E59</f>
        <v>565.99583040000005</v>
      </c>
      <c r="H59" s="2089"/>
      <c r="J59" s="8">
        <v>1200</v>
      </c>
      <c r="K59" s="8" t="s">
        <v>948</v>
      </c>
    </row>
    <row r="60" spans="1:44" ht="13.5" thickBot="1" x14ac:dyDescent="0.25">
      <c r="A60" s="17"/>
      <c r="B60" s="2025"/>
      <c r="C60" s="461" t="str">
        <f>VLOOKUP(C46,$J$50:$K$59,2,FALSE)</f>
        <v>8386032/</v>
      </c>
      <c r="D60" s="404" t="str">
        <f t="shared" si="6"/>
        <v xml:space="preserve">TBX, Tip-on, Штанги д/синх, д/600 мм    </v>
      </c>
      <c r="E60" s="355">
        <v>2</v>
      </c>
      <c r="F60" s="435">
        <f>VLOOKUP(C60,всецены,4,FALSE)</f>
        <v>99.211912800000007</v>
      </c>
      <c r="G60" s="409">
        <f>F60*E60</f>
        <v>198.42382560000001</v>
      </c>
      <c r="H60" s="2090"/>
    </row>
    <row r="61" spans="1:44" s="8" customFormat="1" x14ac:dyDescent="0.2">
      <c r="A61" s="17"/>
      <c r="B61" s="17"/>
      <c r="C61" s="463"/>
      <c r="D61" s="17"/>
      <c r="E61" s="344"/>
      <c r="F61" s="420"/>
      <c r="G61" s="17"/>
      <c r="H61" s="28"/>
      <c r="Y61" s="771"/>
      <c r="Z61" s="771"/>
      <c r="AA61" s="771"/>
      <c r="AB61" s="771"/>
      <c r="AC61" s="771"/>
      <c r="AD61" s="771"/>
      <c r="AE61" s="771"/>
      <c r="AF61" s="771"/>
      <c r="AG61" s="771"/>
      <c r="AH61" s="771"/>
      <c r="AI61" s="771"/>
      <c r="AJ61" s="771"/>
      <c r="AK61" s="771"/>
      <c r="AL61" s="771"/>
      <c r="AM61" s="771"/>
      <c r="AN61" s="771"/>
      <c r="AO61" s="771"/>
      <c r="AP61" s="771"/>
      <c r="AQ61" s="771"/>
      <c r="AR61" s="771"/>
    </row>
    <row r="62" spans="1:44" s="8" customFormat="1" ht="8.25" customHeight="1" x14ac:dyDescent="0.2">
      <c r="C62" s="67"/>
      <c r="E62" s="53"/>
      <c r="F62" s="30"/>
      <c r="H62" s="28"/>
      <c r="Y62" s="771"/>
      <c r="Z62" s="771"/>
      <c r="AA62" s="771"/>
      <c r="AB62" s="771"/>
      <c r="AC62" s="771"/>
      <c r="AD62" s="771"/>
      <c r="AE62" s="771"/>
      <c r="AF62" s="771"/>
      <c r="AG62" s="771"/>
      <c r="AH62" s="771"/>
      <c r="AI62" s="771"/>
      <c r="AJ62" s="771"/>
      <c r="AK62" s="771"/>
      <c r="AL62" s="771"/>
      <c r="AM62" s="771"/>
      <c r="AN62" s="771"/>
      <c r="AO62" s="771"/>
      <c r="AP62" s="771"/>
      <c r="AQ62" s="771"/>
      <c r="AR62" s="771"/>
    </row>
    <row r="63" spans="1:44" x14ac:dyDescent="0.2">
      <c r="B63" s="8"/>
      <c r="C63" s="67"/>
      <c r="D63" s="8"/>
      <c r="E63" s="53"/>
      <c r="F63" s="30"/>
      <c r="G63" s="8"/>
      <c r="H63" s="59" t="s">
        <v>921</v>
      </c>
    </row>
    <row r="64" spans="1:44" x14ac:dyDescent="0.2">
      <c r="B64" s="8"/>
      <c r="C64" s="67"/>
      <c r="D64" s="8"/>
      <c r="E64" s="53"/>
      <c r="F64" s="30"/>
      <c r="G64" s="8"/>
      <c r="H64" s="143" t="s">
        <v>922</v>
      </c>
    </row>
    <row r="65" spans="2:44" x14ac:dyDescent="0.2">
      <c r="B65" s="2114" t="s">
        <v>5229</v>
      </c>
      <c r="C65" s="2114"/>
      <c r="D65" s="2114"/>
      <c r="E65" s="2114"/>
      <c r="F65" s="2114"/>
      <c r="G65" s="2114"/>
      <c r="H65" s="2114"/>
      <c r="I65" s="1851" t="s">
        <v>5191</v>
      </c>
    </row>
    <row r="66" spans="2:44" x14ac:dyDescent="0.2">
      <c r="B66" s="8"/>
      <c r="C66" s="67"/>
      <c r="D66" s="8"/>
      <c r="E66" s="53"/>
      <c r="F66" s="30"/>
      <c r="G66" s="8"/>
    </row>
    <row r="67" spans="2:44" x14ac:dyDescent="0.2">
      <c r="B67" s="8"/>
      <c r="C67" s="67"/>
      <c r="D67" s="8"/>
      <c r="E67" s="53"/>
      <c r="F67" s="30"/>
      <c r="G67" s="8"/>
    </row>
    <row r="68" spans="2:44" x14ac:dyDescent="0.2">
      <c r="B68" s="8"/>
      <c r="C68" s="67"/>
      <c r="D68" s="8"/>
      <c r="E68" s="53"/>
      <c r="F68" s="30"/>
      <c r="G68" s="8"/>
    </row>
    <row r="69" spans="2:44" x14ac:dyDescent="0.2">
      <c r="B69" s="8"/>
      <c r="C69" s="67"/>
      <c r="D69" s="8"/>
      <c r="E69" s="53"/>
      <c r="F69" s="30"/>
      <c r="G69" s="8"/>
    </row>
    <row r="70" spans="2:44" x14ac:dyDescent="0.2">
      <c r="B70" s="8"/>
      <c r="C70" s="67"/>
      <c r="D70" s="8"/>
      <c r="E70" s="53"/>
      <c r="F70" s="30"/>
      <c r="G70" s="8"/>
    </row>
    <row r="71" spans="2:44" x14ac:dyDescent="0.2">
      <c r="B71" s="8"/>
      <c r="C71" s="67"/>
      <c r="D71" s="8"/>
      <c r="E71" s="53"/>
      <c r="F71" s="30"/>
      <c r="G71" s="8"/>
    </row>
    <row r="72" spans="2:44" x14ac:dyDescent="0.2">
      <c r="B72" s="8"/>
      <c r="C72" s="67"/>
      <c r="D72" s="8"/>
      <c r="E72" s="53"/>
      <c r="F72" s="30"/>
      <c r="G72" s="8"/>
    </row>
    <row r="73" spans="2:44" s="8" customFormat="1" x14ac:dyDescent="0.2">
      <c r="C73" s="67"/>
      <c r="E73" s="53"/>
      <c r="F73" s="30"/>
      <c r="H73" s="28"/>
      <c r="Y73" s="771"/>
      <c r="Z73" s="771"/>
      <c r="AA73" s="771"/>
      <c r="AB73" s="771"/>
      <c r="AC73" s="771"/>
      <c r="AD73" s="771"/>
      <c r="AE73" s="771"/>
      <c r="AF73" s="771"/>
      <c r="AG73" s="771"/>
      <c r="AH73" s="771"/>
      <c r="AI73" s="771"/>
      <c r="AJ73" s="771"/>
      <c r="AK73" s="771"/>
      <c r="AL73" s="771"/>
      <c r="AM73" s="771"/>
      <c r="AN73" s="771"/>
      <c r="AO73" s="771"/>
      <c r="AP73" s="771"/>
      <c r="AQ73" s="771"/>
      <c r="AR73" s="771"/>
    </row>
    <row r="74" spans="2:44" x14ac:dyDescent="0.2">
      <c r="B74" s="8"/>
      <c r="C74" s="67"/>
      <c r="D74" s="8"/>
      <c r="E74" s="53"/>
      <c r="F74" s="30"/>
      <c r="G74" s="8"/>
    </row>
    <row r="75" spans="2:44" x14ac:dyDescent="0.2">
      <c r="B75" s="8"/>
      <c r="C75" s="67"/>
      <c r="D75" s="8"/>
      <c r="E75" s="53"/>
      <c r="F75" s="30"/>
      <c r="G75" s="8"/>
    </row>
    <row r="76" spans="2:44" x14ac:dyDescent="0.2">
      <c r="B76" s="8"/>
      <c r="C76" s="67"/>
      <c r="D76" s="8"/>
      <c r="E76" s="53"/>
      <c r="F76" s="30"/>
      <c r="G76" s="8"/>
    </row>
    <row r="77" spans="2:44" x14ac:dyDescent="0.2">
      <c r="B77" s="8"/>
      <c r="C77" s="67"/>
      <c r="D77" s="8"/>
      <c r="E77" s="53"/>
      <c r="F77" s="30"/>
      <c r="G77" s="8"/>
    </row>
    <row r="78" spans="2:44" x14ac:dyDescent="0.2">
      <c r="B78" s="8"/>
      <c r="C78" s="67"/>
      <c r="D78" s="8"/>
      <c r="E78" s="53"/>
      <c r="F78" s="30"/>
      <c r="G78" s="8"/>
    </row>
    <row r="79" spans="2:44" x14ac:dyDescent="0.2">
      <c r="B79" s="8"/>
      <c r="C79" s="67"/>
      <c r="D79" s="8"/>
      <c r="E79" s="53"/>
      <c r="F79" s="30"/>
      <c r="G79" s="8"/>
    </row>
    <row r="80" spans="2:44" x14ac:dyDescent="0.2">
      <c r="B80" s="8"/>
      <c r="C80" s="67"/>
      <c r="D80" s="8"/>
      <c r="E80" s="53"/>
      <c r="F80" s="30"/>
      <c r="G80" s="8"/>
    </row>
    <row r="81" spans="2:7" x14ac:dyDescent="0.2">
      <c r="B81" s="8"/>
      <c r="C81" s="67"/>
      <c r="D81" s="8"/>
      <c r="E81" s="53"/>
      <c r="F81" s="30"/>
      <c r="G81" s="8"/>
    </row>
    <row r="82" spans="2:7" x14ac:dyDescent="0.2">
      <c r="B82" s="8"/>
      <c r="C82" s="67"/>
      <c r="D82" s="8"/>
      <c r="E82" s="53"/>
      <c r="F82" s="30"/>
      <c r="G82" s="8"/>
    </row>
    <row r="83" spans="2:7" x14ac:dyDescent="0.2">
      <c r="B83" s="8"/>
      <c r="C83" s="67"/>
      <c r="D83" s="8"/>
      <c r="E83" s="53"/>
      <c r="F83" s="30"/>
      <c r="G83" s="8"/>
    </row>
    <row r="84" spans="2:7" x14ac:dyDescent="0.2">
      <c r="B84" s="8"/>
      <c r="C84" s="67"/>
      <c r="D84" s="8"/>
      <c r="E84" s="53"/>
      <c r="F84" s="30"/>
      <c r="G84" s="8"/>
    </row>
    <row r="85" spans="2:7" x14ac:dyDescent="0.2">
      <c r="B85" s="8"/>
      <c r="C85" s="67"/>
      <c r="D85" s="8"/>
      <c r="E85" s="53"/>
      <c r="F85" s="30"/>
      <c r="G85" s="8"/>
    </row>
    <row r="86" spans="2:7" x14ac:dyDescent="0.2">
      <c r="B86" s="8"/>
      <c r="C86" s="67"/>
      <c r="D86" s="8"/>
      <c r="E86" s="53"/>
      <c r="F86" s="30"/>
      <c r="G86" s="8"/>
    </row>
    <row r="87" spans="2:7" x14ac:dyDescent="0.2">
      <c r="B87" s="8"/>
      <c r="C87" s="67"/>
      <c r="D87" s="8"/>
      <c r="E87" s="53"/>
      <c r="F87" s="30"/>
      <c r="G87" s="8"/>
    </row>
    <row r="88" spans="2:7" x14ac:dyDescent="0.2">
      <c r="B88" s="8"/>
      <c r="C88" s="67"/>
      <c r="D88" s="8"/>
      <c r="E88" s="53"/>
      <c r="F88" s="30"/>
      <c r="G88" s="8"/>
    </row>
    <row r="89" spans="2:7" x14ac:dyDescent="0.2">
      <c r="B89" s="8"/>
      <c r="C89" s="67"/>
      <c r="D89" s="8"/>
      <c r="E89" s="53"/>
      <c r="F89" s="30"/>
      <c r="G89" s="8"/>
    </row>
    <row r="90" spans="2:7" x14ac:dyDescent="0.2">
      <c r="B90" s="8"/>
      <c r="C90" s="67"/>
      <c r="D90" s="8"/>
      <c r="E90" s="53"/>
      <c r="F90" s="30"/>
      <c r="G90" s="8"/>
    </row>
    <row r="91" spans="2:7" x14ac:dyDescent="0.2">
      <c r="B91" s="8"/>
      <c r="C91" s="67"/>
      <c r="D91" s="8"/>
      <c r="E91" s="53"/>
      <c r="F91" s="30"/>
      <c r="G91" s="8"/>
    </row>
    <row r="92" spans="2:7" x14ac:dyDescent="0.2">
      <c r="B92" s="8"/>
      <c r="C92" s="67"/>
      <c r="D92" s="8"/>
      <c r="E92" s="53"/>
      <c r="F92" s="30"/>
      <c r="G92" s="8"/>
    </row>
    <row r="93" spans="2:7" x14ac:dyDescent="0.2">
      <c r="B93" s="8"/>
      <c r="C93" s="67"/>
      <c r="D93" s="8"/>
      <c r="E93" s="53"/>
      <c r="F93" s="30"/>
      <c r="G93" s="8"/>
    </row>
    <row r="94" spans="2:7" x14ac:dyDescent="0.2">
      <c r="B94" s="8"/>
      <c r="C94" s="67"/>
      <c r="D94" s="8"/>
      <c r="E94" s="53"/>
      <c r="F94" s="30"/>
      <c r="G94" s="8"/>
    </row>
    <row r="95" spans="2:7" x14ac:dyDescent="0.2">
      <c r="B95" s="8"/>
      <c r="C95" s="67"/>
      <c r="D95" s="8"/>
      <c r="E95" s="53"/>
      <c r="F95" s="30"/>
      <c r="G95" s="8"/>
    </row>
    <row r="96" spans="2:7" x14ac:dyDescent="0.2">
      <c r="B96" s="8"/>
      <c r="C96" s="67"/>
      <c r="D96" s="8"/>
      <c r="E96" s="53"/>
      <c r="F96" s="30"/>
      <c r="G96" s="8"/>
    </row>
    <row r="97" spans="2:7" x14ac:dyDescent="0.2">
      <c r="B97" s="8"/>
      <c r="C97" s="67"/>
      <c r="D97" s="8"/>
      <c r="E97" s="53"/>
      <c r="F97" s="30"/>
      <c r="G97" s="8"/>
    </row>
    <row r="98" spans="2:7" x14ac:dyDescent="0.2">
      <c r="B98" s="8"/>
      <c r="C98" s="67"/>
      <c r="D98" s="8"/>
      <c r="E98" s="53"/>
      <c r="F98" s="30"/>
      <c r="G98" s="8"/>
    </row>
    <row r="99" spans="2:7" x14ac:dyDescent="0.2">
      <c r="B99" s="8"/>
      <c r="C99" s="67"/>
      <c r="D99" s="8"/>
      <c r="E99" s="53"/>
      <c r="F99" s="30"/>
      <c r="G99" s="8"/>
    </row>
    <row r="100" spans="2:7" x14ac:dyDescent="0.2">
      <c r="B100" s="8"/>
      <c r="C100" s="67"/>
      <c r="D100" s="8"/>
      <c r="E100" s="53"/>
      <c r="F100" s="30"/>
      <c r="G100" s="8"/>
    </row>
    <row r="101" spans="2:7" x14ac:dyDescent="0.2">
      <c r="B101" s="8"/>
      <c r="C101" s="67"/>
      <c r="D101" s="8"/>
      <c r="E101" s="53"/>
      <c r="F101" s="30"/>
      <c r="G101" s="8"/>
    </row>
    <row r="102" spans="2:7" x14ac:dyDescent="0.2">
      <c r="B102" s="8"/>
      <c r="C102" s="67"/>
      <c r="D102" s="8"/>
      <c r="E102" s="53"/>
      <c r="F102" s="30"/>
      <c r="G102" s="8"/>
    </row>
    <row r="103" spans="2:7" x14ac:dyDescent="0.2">
      <c r="B103" s="8"/>
      <c r="C103" s="67"/>
      <c r="D103" s="8"/>
      <c r="E103" s="53"/>
      <c r="F103" s="30"/>
      <c r="G103" s="8"/>
    </row>
    <row r="104" spans="2:7" x14ac:dyDescent="0.2">
      <c r="B104" s="8"/>
      <c r="C104" s="67"/>
      <c r="D104" s="8"/>
      <c r="E104" s="53"/>
      <c r="F104" s="30"/>
      <c r="G104" s="8"/>
    </row>
    <row r="105" spans="2:7" x14ac:dyDescent="0.2">
      <c r="B105" s="8"/>
      <c r="C105" s="67"/>
      <c r="D105" s="8"/>
      <c r="E105" s="53"/>
      <c r="F105" s="30"/>
      <c r="G105" s="8"/>
    </row>
    <row r="106" spans="2:7" x14ac:dyDescent="0.2">
      <c r="B106" s="8"/>
      <c r="C106" s="67"/>
      <c r="D106" s="8"/>
      <c r="E106" s="53"/>
      <c r="F106" s="30"/>
      <c r="G106" s="8"/>
    </row>
    <row r="107" spans="2:7" x14ac:dyDescent="0.2">
      <c r="C107" s="67"/>
      <c r="D107" s="8"/>
      <c r="E107" s="53"/>
      <c r="F107" s="30"/>
      <c r="G107" s="8"/>
    </row>
    <row r="108" spans="2:7" x14ac:dyDescent="0.2">
      <c r="C108" s="67"/>
      <c r="D108" s="8"/>
      <c r="E108" s="53"/>
      <c r="F108" s="30"/>
      <c r="G108" s="8"/>
    </row>
    <row r="109" spans="2:7" x14ac:dyDescent="0.2">
      <c r="C109" s="67"/>
      <c r="D109" s="8"/>
      <c r="E109" s="53"/>
      <c r="F109" s="30"/>
      <c r="G109" s="8"/>
    </row>
    <row r="110" spans="2:7" x14ac:dyDescent="0.2">
      <c r="C110" s="67"/>
      <c r="D110" s="8"/>
      <c r="E110" s="53"/>
      <c r="F110" s="30"/>
      <c r="G110" s="8"/>
    </row>
    <row r="111" spans="2:7" x14ac:dyDescent="0.2">
      <c r="C111" s="67"/>
      <c r="D111" s="8"/>
      <c r="E111" s="53"/>
      <c r="F111" s="30"/>
      <c r="G111" s="8"/>
    </row>
  </sheetData>
  <protectedRanges>
    <protectedRange sqref="C7:C8 C46:C47 C26:C27" name="Диапазон1"/>
  </protectedRanges>
  <customSheetViews>
    <customSheetView guid="{788B8383-784A-4263-9D04-45657AC129FF}" hiddenColumns="1">
      <selection activeCell="Q23" sqref="Q23"/>
      <pageMargins left="0.75" right="0.75" top="1" bottom="1" header="0.5" footer="0.5"/>
      <pageSetup paperSize="9" orientation="portrait" r:id="rId1"/>
      <headerFooter alignWithMargins="0"/>
    </customSheetView>
  </customSheetViews>
  <mergeCells count="14">
    <mergeCell ref="B65:H65"/>
    <mergeCell ref="P9:Q10"/>
    <mergeCell ref="B4:H5"/>
    <mergeCell ref="B9:B20"/>
    <mergeCell ref="H48:H60"/>
    <mergeCell ref="C45:G45"/>
    <mergeCell ref="B48:B60"/>
    <mergeCell ref="B43:H44"/>
    <mergeCell ref="C6:G6"/>
    <mergeCell ref="H9:H20"/>
    <mergeCell ref="B23:H24"/>
    <mergeCell ref="C25:G25"/>
    <mergeCell ref="B28:B40"/>
    <mergeCell ref="H28:H40"/>
  </mergeCells>
  <phoneticPr fontId="2" type="noConversion"/>
  <dataValidations count="2">
    <dataValidation type="list" allowBlank="1" showInputMessage="1" showErrorMessage="1" sqref="C46 C7 C26" xr:uid="{00000000-0002-0000-0900-000000000000}">
      <formula1>$J$50:$J$59</formula1>
    </dataValidation>
    <dataValidation type="list" allowBlank="1" showInputMessage="1" showErrorMessage="1" sqref="C47 C8 C27" xr:uid="{00000000-0002-0000-0900-000001000000}">
      <formula1>$J$11:$J$16</formula1>
    </dataValidation>
  </dataValidations>
  <hyperlinks>
    <hyperlink ref="O13:Q13" location="'3.3'!A1" display="→" xr:uid="{00000000-0004-0000-0900-000000000000}"/>
    <hyperlink ref="O16:Q16" location="'3.5'!A1" display="→" xr:uid="{00000000-0004-0000-0900-000001000000}"/>
    <hyperlink ref="O17:Q17" location="'3.6'!A1" display="→" xr:uid="{00000000-0004-0000-0900-000002000000}"/>
    <hyperlink ref="O18:Q18" location="'3.7'!A1" display="→" xr:uid="{00000000-0004-0000-0900-000003000000}"/>
    <hyperlink ref="O19:Q19" location="'3.8'!A1" display="→" xr:uid="{00000000-0004-0000-0900-000004000000}"/>
    <hyperlink ref="O11" location="'3.3'!A1" display="→" xr:uid="{00000000-0004-0000-0900-000005000000}"/>
    <hyperlink ref="O11:Q11" location="'3.1'!A1" display="→" xr:uid="{00000000-0004-0000-0900-000006000000}"/>
    <hyperlink ref="O21:Q21" location="СОДЕРЖАНИЕ!A1" display="←" xr:uid="{00000000-0004-0000-0900-000007000000}"/>
    <hyperlink ref="O12:Q12" location="'3.2'!A1" display="→" xr:uid="{00000000-0004-0000-0900-000008000000}"/>
    <hyperlink ref="O14" location="'3.2'!A1" display="→" xr:uid="{00000000-0004-0000-0900-000009000000}"/>
    <hyperlink ref="P14:Q14" location="'3.11'!A1" display="plus Tip-On Blumotion" xr:uid="{00000000-0004-0000-0900-00000A000000}"/>
    <hyperlink ref="I65" location="'3.10'!A1" display="Tip-On Blumotion" xr:uid="{00000000-0004-0000-0900-00000B000000}"/>
  </hyperlinks>
  <pageMargins left="0.75" right="0.75" top="1" bottom="1" header="0.5" footer="0.5"/>
  <pageSetup paperSize="9" orientation="portrait" r:id="rId2"/>
  <headerFooter alignWithMargins="0"/>
  <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0"/>
  <dimension ref="A1:CW166"/>
  <sheetViews>
    <sheetView showGridLines="0" zoomScaleNormal="100" workbookViewId="0">
      <pane ySplit="3" topLeftCell="A34" activePane="bottomLeft" state="frozen"/>
      <selection pane="bottomLeft" activeCell="BM71" sqref="BM71"/>
    </sheetView>
  </sheetViews>
  <sheetFormatPr defaultRowHeight="15" x14ac:dyDescent="0.2"/>
  <cols>
    <col min="1" max="1" width="2.85546875" style="314" customWidth="1"/>
    <col min="2" max="2" width="29.5703125" customWidth="1"/>
    <col min="3" max="3" width="8.85546875" bestFit="1" customWidth="1"/>
    <col min="4" max="4" width="38.5703125" bestFit="1" customWidth="1"/>
    <col min="5" max="5" width="3.42578125" style="10" bestFit="1" customWidth="1"/>
    <col min="6" max="6" width="9.140625" hidden="1" customWidth="1"/>
    <col min="7" max="7" width="8" style="6" bestFit="1" customWidth="1"/>
    <col min="8" max="8" width="9.140625" style="20"/>
    <col min="9" max="9" width="3.140625" style="771" customWidth="1"/>
    <col min="10" max="10" width="4" style="771" hidden="1" customWidth="1"/>
    <col min="11" max="21" width="8.5703125" style="771" hidden="1" customWidth="1"/>
    <col min="22" max="24" width="9.140625" style="8" hidden="1" customWidth="1"/>
    <col min="25" max="31" width="8.5703125" style="771" hidden="1" customWidth="1"/>
    <col min="32" max="33" width="9.140625" style="8" hidden="1" customWidth="1"/>
    <col min="34" max="34" width="5.140625" style="8" hidden="1" customWidth="1"/>
    <col min="35" max="36" width="9.140625" style="8" hidden="1" customWidth="1"/>
    <col min="37" max="43" width="8.5703125" style="771" hidden="1" customWidth="1"/>
    <col min="44" max="45" width="9.140625" style="8" hidden="1" customWidth="1"/>
    <col min="46" max="46" width="5.140625" style="8" hidden="1" customWidth="1"/>
    <col min="47" max="48" width="9.140625" style="8" hidden="1" customWidth="1"/>
    <col min="49" max="55" width="8.5703125" style="771" hidden="1" customWidth="1"/>
    <col min="56" max="58" width="9.140625" style="8" hidden="1" customWidth="1"/>
    <col min="59" max="59" width="7.28515625" style="782" hidden="1" customWidth="1"/>
    <col min="60" max="60" width="9.7109375" style="782" hidden="1" customWidth="1"/>
    <col min="61" max="62" width="15.28515625" style="782" hidden="1" customWidth="1"/>
    <col min="63" max="63" width="17.28515625" style="782" hidden="1" customWidth="1"/>
    <col min="64" max="64" width="12.7109375" style="782" bestFit="1" customWidth="1"/>
    <col min="65" max="65" width="24.85546875" style="771" customWidth="1"/>
    <col min="66" max="66" width="5.42578125" style="771" customWidth="1"/>
    <col min="67" max="67" width="9.140625" style="771"/>
    <col min="68" max="68" width="6.140625" style="771" customWidth="1"/>
    <col min="69" max="101" width="9.140625" style="771"/>
  </cols>
  <sheetData>
    <row r="1" spans="1:101" s="771" customFormat="1" ht="6" customHeight="1" thickBot="1" x14ac:dyDescent="0.25">
      <c r="A1" s="1143"/>
      <c r="B1" s="916"/>
      <c r="C1" s="916"/>
      <c r="D1" s="916"/>
      <c r="E1" s="1144"/>
      <c r="F1" s="916"/>
      <c r="G1" s="1145"/>
      <c r="H1" s="887"/>
      <c r="BG1" s="782"/>
      <c r="BH1" s="782"/>
      <c r="BI1" s="782"/>
      <c r="BJ1" s="782"/>
      <c r="BK1" s="782"/>
      <c r="BL1" s="782"/>
    </row>
    <row r="2" spans="1:101" s="771" customFormat="1" ht="20.25" x14ac:dyDescent="0.3">
      <c r="A2" s="1143"/>
      <c r="B2" s="1163" t="s">
        <v>3446</v>
      </c>
      <c r="C2" s="1164"/>
      <c r="D2" s="1164"/>
      <c r="E2" s="1147"/>
      <c r="F2" s="1146"/>
      <c r="G2" s="1148"/>
      <c r="H2" s="1149"/>
      <c r="BG2" s="782"/>
      <c r="BH2" s="782"/>
      <c r="BI2" s="782"/>
      <c r="BJ2" s="782"/>
      <c r="BK2" s="782"/>
      <c r="BL2" s="782"/>
    </row>
    <row r="3" spans="1:101" s="1128" customFormat="1" ht="20.25" customHeight="1" thickBot="1" x14ac:dyDescent="0.35">
      <c r="B3" s="1308" t="s">
        <v>2402</v>
      </c>
      <c r="C3" s="1273" t="s">
        <v>3173</v>
      </c>
      <c r="D3" s="1165" t="s">
        <v>2357</v>
      </c>
      <c r="E3" s="1365" t="str">
        <f>$D$3</f>
        <v>Серый</v>
      </c>
      <c r="F3" s="1150"/>
      <c r="G3" s="1166" t="str">
        <f>$D$3</f>
        <v>Серый</v>
      </c>
      <c r="H3" s="1167" t="str">
        <f>$D$3</f>
        <v>Серый</v>
      </c>
      <c r="BG3" s="1129"/>
      <c r="BH3" s="1129"/>
      <c r="BI3" s="1129"/>
      <c r="BJ3" s="1129"/>
      <c r="BK3" s="1129"/>
      <c r="BL3" s="1129"/>
    </row>
    <row r="4" spans="1:101" s="771" customFormat="1" ht="8.1" customHeight="1" x14ac:dyDescent="0.2">
      <c r="A4" s="889"/>
      <c r="B4" s="782"/>
      <c r="C4" s="782"/>
      <c r="D4" s="782"/>
      <c r="E4" s="781"/>
      <c r="F4" s="782"/>
      <c r="G4" s="799"/>
      <c r="H4" s="1122"/>
      <c r="I4" s="782"/>
      <c r="J4" s="782"/>
      <c r="K4" s="782"/>
      <c r="L4" s="782"/>
      <c r="M4" s="782"/>
      <c r="N4" s="782"/>
      <c r="O4" s="782"/>
      <c r="P4" s="782"/>
      <c r="Q4" s="782"/>
      <c r="R4" s="782"/>
      <c r="S4" s="782"/>
      <c r="T4" s="782"/>
      <c r="U4" s="782"/>
      <c r="Y4" s="782"/>
      <c r="Z4" s="782"/>
      <c r="AA4" s="782"/>
      <c r="AB4" s="782"/>
      <c r="AC4" s="782"/>
      <c r="AD4" s="782"/>
      <c r="AE4" s="782"/>
      <c r="AK4" s="782"/>
      <c r="AL4" s="782"/>
      <c r="AM4" s="782"/>
      <c r="AN4" s="782"/>
      <c r="AO4" s="782"/>
      <c r="AP4" s="782"/>
      <c r="AQ4" s="782"/>
      <c r="AW4" s="782"/>
      <c r="AX4" s="782"/>
      <c r="AY4" s="782"/>
      <c r="AZ4" s="782"/>
      <c r="BA4" s="782"/>
      <c r="BB4" s="782"/>
      <c r="BC4" s="782"/>
      <c r="BG4" s="782"/>
      <c r="BH4" s="782"/>
      <c r="BI4" s="782"/>
      <c r="BJ4" s="782"/>
      <c r="BK4" s="782"/>
      <c r="BL4" s="782"/>
    </row>
    <row r="5" spans="1:101" ht="20.100000000000001" customHeight="1" x14ac:dyDescent="0.2">
      <c r="A5" s="2129"/>
      <c r="B5" s="2130" t="s">
        <v>1446</v>
      </c>
      <c r="C5" s="2130"/>
      <c r="D5" s="2130"/>
      <c r="E5" s="2130"/>
      <c r="F5" s="2130"/>
      <c r="G5" s="2130"/>
      <c r="H5" s="688"/>
      <c r="I5" s="782"/>
      <c r="J5" s="782"/>
      <c r="K5" s="782"/>
      <c r="L5" s="782"/>
      <c r="M5" s="782"/>
      <c r="N5" s="782"/>
      <c r="O5" s="782"/>
      <c r="P5" s="782"/>
      <c r="Q5" s="782"/>
      <c r="R5" s="782"/>
      <c r="S5" s="782"/>
      <c r="T5" s="782"/>
      <c r="U5" s="782"/>
      <c r="Y5" s="782"/>
      <c r="Z5" s="782"/>
      <c r="AA5" s="782"/>
      <c r="AB5" s="782"/>
      <c r="AC5" s="782"/>
      <c r="AD5" s="782"/>
      <c r="AE5" s="782"/>
      <c r="AK5" s="782"/>
      <c r="AL5" s="782"/>
      <c r="AM5" s="782"/>
      <c r="AN5" s="782"/>
      <c r="AO5" s="782"/>
      <c r="AP5" s="782"/>
      <c r="AQ5" s="782"/>
      <c r="AW5" s="782"/>
      <c r="AX5" s="782"/>
      <c r="AY5" s="782"/>
      <c r="AZ5" s="782"/>
      <c r="BA5" s="782"/>
      <c r="BB5" s="782"/>
      <c r="BC5" s="782"/>
      <c r="BM5" s="782"/>
      <c r="BN5" s="782"/>
      <c r="BO5" s="782"/>
      <c r="BP5" s="782"/>
    </row>
    <row r="6" spans="1:101" ht="20.100000000000001" customHeight="1" thickBot="1" x14ac:dyDescent="0.25">
      <c r="A6" s="2129"/>
      <c r="B6" s="2130"/>
      <c r="C6" s="2130"/>
      <c r="D6" s="2130"/>
      <c r="E6" s="2130"/>
      <c r="F6" s="2130"/>
      <c r="G6" s="2130"/>
      <c r="H6" s="688" t="str">
        <f>$D$3</f>
        <v>Серый</v>
      </c>
      <c r="I6" s="782"/>
      <c r="J6" s="782"/>
      <c r="K6" s="782"/>
      <c r="L6" s="782"/>
      <c r="M6" s="782"/>
      <c r="N6" s="782"/>
      <c r="O6" s="782"/>
      <c r="P6" s="782"/>
      <c r="Q6" s="782"/>
      <c r="R6" s="782"/>
      <c r="S6" s="782"/>
      <c r="T6" s="782"/>
      <c r="U6" s="782"/>
      <c r="Y6" s="782"/>
      <c r="Z6" s="782"/>
      <c r="AA6" s="782"/>
      <c r="AB6" s="782"/>
      <c r="AC6" s="782"/>
      <c r="AD6" s="782"/>
      <c r="AE6" s="782"/>
      <c r="AK6" s="782"/>
      <c r="AL6" s="782"/>
      <c r="AM6" s="782"/>
      <c r="AN6" s="782"/>
      <c r="AO6" s="782"/>
      <c r="AP6" s="782"/>
      <c r="AQ6" s="782"/>
      <c r="AW6" s="782"/>
      <c r="AX6" s="782"/>
      <c r="AY6" s="782"/>
      <c r="AZ6" s="782"/>
      <c r="BA6" s="782"/>
      <c r="BB6" s="782"/>
      <c r="BC6" s="782"/>
      <c r="BM6" s="782"/>
      <c r="BN6" s="782"/>
      <c r="BO6" s="782"/>
      <c r="BP6" s="782"/>
    </row>
    <row r="7" spans="1:101" ht="12.75" customHeight="1" x14ac:dyDescent="0.2">
      <c r="A7" s="689"/>
      <c r="B7" s="690" t="s">
        <v>635</v>
      </c>
      <c r="C7" s="691"/>
      <c r="D7" s="2134" t="s">
        <v>1182</v>
      </c>
      <c r="E7" s="2134"/>
      <c r="F7" s="2134"/>
      <c r="G7" s="2134"/>
      <c r="H7" s="2135"/>
      <c r="I7" s="782"/>
      <c r="J7" s="782"/>
      <c r="K7" s="782"/>
      <c r="L7" s="782"/>
      <c r="M7" s="782"/>
      <c r="N7" s="782"/>
      <c r="O7" s="782"/>
      <c r="P7" s="782"/>
      <c r="Q7" s="782"/>
      <c r="R7" s="782"/>
      <c r="S7" s="782"/>
      <c r="T7" s="782"/>
      <c r="U7" s="782"/>
      <c r="Y7" s="782"/>
      <c r="Z7" s="782"/>
      <c r="AA7" s="782"/>
      <c r="AB7" s="782"/>
      <c r="AC7" s="782"/>
      <c r="AD7" s="782"/>
      <c r="AE7" s="782"/>
      <c r="AK7" s="782"/>
      <c r="AL7" s="782"/>
      <c r="AM7" s="782"/>
      <c r="AN7" s="782"/>
      <c r="AO7" s="782"/>
      <c r="AP7" s="782"/>
      <c r="AQ7" s="782"/>
      <c r="AW7" s="782"/>
      <c r="AX7" s="782"/>
      <c r="AY7" s="782"/>
      <c r="AZ7" s="782"/>
      <c r="BA7" s="782"/>
      <c r="BB7" s="782"/>
      <c r="BC7" s="782"/>
      <c r="BM7" s="782"/>
      <c r="BN7" s="782"/>
      <c r="BO7" s="782"/>
      <c r="BP7" s="782"/>
    </row>
    <row r="8" spans="1:101" ht="16.5" thickBot="1" x14ac:dyDescent="0.25">
      <c r="A8" s="689"/>
      <c r="B8" s="410" t="s">
        <v>1639</v>
      </c>
      <c r="C8" s="170">
        <v>500</v>
      </c>
      <c r="D8" s="95" t="s">
        <v>1689</v>
      </c>
      <c r="E8" s="692"/>
      <c r="F8" s="693"/>
      <c r="G8" s="694"/>
      <c r="H8" s="2125" t="str">
        <f>IF(СОДЕРЖАНИЕ!P2=1,"EUR","RUB")</f>
        <v>RUB</v>
      </c>
      <c r="I8" s="782"/>
      <c r="J8" s="782"/>
      <c r="K8" s="782"/>
      <c r="L8" s="782"/>
      <c r="M8" s="782"/>
      <c r="N8" s="782"/>
      <c r="O8" s="782"/>
      <c r="P8" s="782"/>
      <c r="Q8" s="782"/>
      <c r="R8" s="782"/>
      <c r="S8" s="782"/>
      <c r="T8" s="782"/>
      <c r="U8" s="782"/>
      <c r="Y8" s="782"/>
      <c r="Z8" s="782"/>
      <c r="AA8" s="782"/>
      <c r="AB8" s="782"/>
      <c r="AC8" s="782"/>
      <c r="AD8" s="782"/>
      <c r="AE8" s="782"/>
      <c r="AK8" s="782"/>
      <c r="AL8" s="782"/>
      <c r="AM8" s="782"/>
      <c r="AN8" s="782"/>
      <c r="AO8" s="782"/>
      <c r="AP8" s="782"/>
      <c r="AQ8" s="782"/>
      <c r="AW8" s="782"/>
      <c r="AX8" s="782"/>
      <c r="AY8" s="782"/>
      <c r="AZ8" s="782"/>
      <c r="BA8" s="782"/>
      <c r="BB8" s="782"/>
      <c r="BC8" s="782"/>
      <c r="BM8" s="2087" t="s">
        <v>1181</v>
      </c>
      <c r="BN8" s="2087"/>
      <c r="BO8" s="782"/>
      <c r="BP8" s="782"/>
    </row>
    <row r="9" spans="1:101" ht="9.9499999999999993" customHeight="1" x14ac:dyDescent="0.2">
      <c r="A9" s="2131"/>
      <c r="B9" s="2132"/>
      <c r="C9" s="695" t="s">
        <v>1301</v>
      </c>
      <c r="D9" s="139" t="s">
        <v>784</v>
      </c>
      <c r="E9" s="140" t="s">
        <v>2117</v>
      </c>
      <c r="F9" s="139"/>
      <c r="G9" s="159" t="s">
        <v>2116</v>
      </c>
      <c r="H9" s="2126"/>
      <c r="I9" s="786"/>
      <c r="J9" s="786"/>
      <c r="K9" s="786"/>
      <c r="L9" s="786"/>
      <c r="M9" s="786"/>
      <c r="N9" s="786"/>
      <c r="O9" s="786"/>
      <c r="P9" s="786"/>
      <c r="Q9" s="786"/>
      <c r="R9" s="786"/>
      <c r="S9" s="786"/>
      <c r="T9" s="786"/>
      <c r="U9" s="786"/>
      <c r="W9" s="88"/>
      <c r="Y9" s="786"/>
      <c r="Z9" s="786"/>
      <c r="AA9" s="786"/>
      <c r="AB9" s="786"/>
      <c r="AC9" s="786"/>
      <c r="AD9" s="786"/>
      <c r="AE9" s="786"/>
      <c r="AI9" s="88"/>
      <c r="AK9" s="786"/>
      <c r="AL9" s="786"/>
      <c r="AM9" s="786"/>
      <c r="AN9" s="786"/>
      <c r="AO9" s="786"/>
      <c r="AP9" s="786"/>
      <c r="AQ9" s="786"/>
      <c r="AU9" s="88"/>
      <c r="AW9" s="786"/>
      <c r="AX9" s="786"/>
      <c r="AY9" s="786"/>
      <c r="AZ9" s="786"/>
      <c r="BA9" s="786"/>
      <c r="BB9" s="786"/>
      <c r="BC9" s="786"/>
      <c r="BM9" s="2088"/>
      <c r="BN9" s="2088"/>
      <c r="BO9" s="782"/>
      <c r="BP9" s="782"/>
    </row>
    <row r="10" spans="1:101" ht="12.75" customHeight="1" x14ac:dyDescent="0.2">
      <c r="A10" s="2131"/>
      <c r="B10" s="2132"/>
      <c r="C10" s="138" t="str">
        <f>VLOOKUP(C8,NAA,2,FALSE)</f>
        <v>8155360/</v>
      </c>
      <c r="D10" s="43" t="str">
        <f t="shared" ref="D10:D17" si="0">VLOOKUP(C10,всецены,2,FALSE)</f>
        <v xml:space="preserve">TBX-A, Царга 68/500, сер, лев           </v>
      </c>
      <c r="E10" s="3">
        <v>1</v>
      </c>
      <c r="F10" s="12">
        <f t="shared" ref="F10:F17" si="1">VLOOKUP(C10,всецены,4,FALSE)</f>
        <v>548.10515759999998</v>
      </c>
      <c r="G10" s="160">
        <f t="shared" ref="G10:G17" si="2">F10*E10</f>
        <v>548.10515759999998</v>
      </c>
      <c r="H10" s="2091">
        <f>SUM(G10:G17)</f>
        <v>2143.6278864000001</v>
      </c>
      <c r="I10" s="786"/>
      <c r="J10" s="215" t="s">
        <v>1640</v>
      </c>
      <c r="L10" s="28" t="s">
        <v>3172</v>
      </c>
      <c r="M10" s="28"/>
      <c r="N10" s="28"/>
      <c r="O10" s="28"/>
      <c r="P10" s="28"/>
      <c r="Q10" s="28"/>
      <c r="R10" s="28"/>
      <c r="S10" s="28"/>
      <c r="T10" s="8"/>
      <c r="U10" s="8"/>
      <c r="V10" s="96" t="s">
        <v>1640</v>
      </c>
      <c r="W10" s="28"/>
      <c r="X10" s="28"/>
      <c r="Y10" s="28"/>
      <c r="Z10" s="28"/>
      <c r="AA10" s="28"/>
      <c r="AB10" s="28"/>
      <c r="AC10" s="28"/>
      <c r="AD10" s="28"/>
      <c r="AE10" s="28"/>
      <c r="AH10" s="96" t="s">
        <v>1640</v>
      </c>
      <c r="AI10" s="28"/>
      <c r="AJ10" s="28"/>
      <c r="AK10" s="28"/>
      <c r="AL10" s="28"/>
      <c r="AM10" s="28"/>
      <c r="AN10" s="28"/>
      <c r="AO10" s="28"/>
      <c r="AP10" s="28"/>
      <c r="AQ10" s="28"/>
      <c r="AT10" s="96" t="s">
        <v>1640</v>
      </c>
      <c r="AU10" s="28"/>
      <c r="AV10" s="28"/>
      <c r="AW10" s="28"/>
      <c r="AX10" s="28"/>
      <c r="AY10" s="28"/>
      <c r="AZ10" s="28"/>
      <c r="BA10" s="28"/>
      <c r="BB10" s="28"/>
      <c r="BC10" s="28"/>
      <c r="BL10" s="943" t="s">
        <v>1813</v>
      </c>
      <c r="BM10" s="929" t="s">
        <v>2253</v>
      </c>
      <c r="BN10" s="930" t="s">
        <v>2229</v>
      </c>
      <c r="BO10" s="782"/>
      <c r="BP10" s="782"/>
    </row>
    <row r="11" spans="1:101" s="919" customFormat="1" ht="12.75" customHeight="1" x14ac:dyDescent="0.2">
      <c r="A11" s="2131"/>
      <c r="B11" s="2132"/>
      <c r="C11" s="138" t="str">
        <f>VLOOKUP(C8,NAA,3,FALSE)</f>
        <v>8155290/</v>
      </c>
      <c r="D11" s="43" t="str">
        <f>IF(C11=" "," ",VLOOKUP(C11,всецены,2,FALSE))</f>
        <v xml:space="preserve">TBX-A, Царга 68/500, сер, прав          </v>
      </c>
      <c r="E11" s="3">
        <v>1</v>
      </c>
      <c r="F11" s="12">
        <f>VLOOKUP(C11,всецены,4,FALSE)</f>
        <v>548.10515759999998</v>
      </c>
      <c r="G11" s="160">
        <f>IF(C11=" "," ",F11*E11)</f>
        <v>548.10515759999998</v>
      </c>
      <c r="H11" s="2092"/>
      <c r="I11" s="786"/>
      <c r="J11" s="2121" t="str">
        <f>D3</f>
        <v>Серый</v>
      </c>
      <c r="K11" s="2121"/>
      <c r="L11" s="2121"/>
      <c r="M11" s="2121"/>
      <c r="N11" s="2121"/>
      <c r="O11" s="2121"/>
      <c r="P11" s="2121"/>
      <c r="Q11" s="2121"/>
      <c r="R11" s="2121"/>
      <c r="S11" s="2121"/>
      <c r="T11" s="2121"/>
      <c r="U11" s="2121"/>
      <c r="V11" s="2123" t="s">
        <v>2390</v>
      </c>
      <c r="W11" s="2123"/>
      <c r="X11" s="2123"/>
      <c r="Y11" s="2123"/>
      <c r="Z11" s="2123"/>
      <c r="AA11" s="2123"/>
      <c r="AB11" s="2123"/>
      <c r="AC11" s="2123"/>
      <c r="AD11" s="2123"/>
      <c r="AE11" s="2123"/>
      <c r="AF11" s="2123"/>
      <c r="AG11" s="2123"/>
      <c r="AH11" s="2124" t="s">
        <v>2357</v>
      </c>
      <c r="AI11" s="2124"/>
      <c r="AJ11" s="2124"/>
      <c r="AK11" s="2124"/>
      <c r="AL11" s="2124"/>
      <c r="AM11" s="2124"/>
      <c r="AN11" s="2124"/>
      <c r="AO11" s="2124"/>
      <c r="AP11" s="2124"/>
      <c r="AQ11" s="2124"/>
      <c r="AR11" s="2124"/>
      <c r="AS11" s="2124"/>
      <c r="AT11" s="2122" t="s">
        <v>2389</v>
      </c>
      <c r="AU11" s="2122"/>
      <c r="AV11" s="2122"/>
      <c r="AW11" s="2122"/>
      <c r="AX11" s="2122"/>
      <c r="AY11" s="2122"/>
      <c r="AZ11" s="2122"/>
      <c r="BA11" s="2122"/>
      <c r="BB11" s="2122"/>
      <c r="BC11" s="2122"/>
      <c r="BD11" s="2122"/>
      <c r="BE11" s="2122"/>
      <c r="BF11" s="8"/>
      <c r="BG11" s="782"/>
      <c r="BH11" s="782"/>
      <c r="BI11" s="782"/>
      <c r="BJ11" s="782"/>
      <c r="BK11" s="782"/>
      <c r="BL11" s="943" t="s">
        <v>1813</v>
      </c>
      <c r="BM11" s="924" t="s">
        <v>2262</v>
      </c>
      <c r="BN11" s="925" t="s">
        <v>2230</v>
      </c>
      <c r="BO11" s="782"/>
      <c r="BP11" s="782"/>
      <c r="BQ11" s="771"/>
      <c r="BR11" s="771"/>
      <c r="BS11" s="771"/>
      <c r="BT11" s="771"/>
      <c r="BU11" s="771"/>
      <c r="BV11" s="771"/>
      <c r="BW11" s="771"/>
      <c r="BX11" s="771"/>
      <c r="BY11" s="771"/>
      <c r="BZ11" s="771"/>
      <c r="CA11" s="771"/>
      <c r="CB11" s="771"/>
      <c r="CC11" s="771"/>
      <c r="CD11" s="771"/>
      <c r="CE11" s="771"/>
      <c r="CF11" s="771"/>
      <c r="CG11" s="771"/>
      <c r="CH11" s="771"/>
      <c r="CI11" s="771"/>
      <c r="CJ11" s="771"/>
      <c r="CK11" s="771"/>
      <c r="CL11" s="771"/>
      <c r="CM11" s="771"/>
      <c r="CN11" s="771"/>
      <c r="CO11" s="771"/>
      <c r="CP11" s="771"/>
      <c r="CQ11" s="771"/>
      <c r="CR11" s="771"/>
      <c r="CS11" s="771"/>
      <c r="CT11" s="771"/>
      <c r="CU11" s="771"/>
      <c r="CV11" s="771"/>
      <c r="CW11" s="771"/>
    </row>
    <row r="12" spans="1:101" ht="12.75" customHeight="1" x14ac:dyDescent="0.2">
      <c r="A12" s="2131"/>
      <c r="B12" s="2132"/>
      <c r="C12" s="138" t="str">
        <f>VLOOKUP(C8,NAA,11,FALSE)</f>
        <v>8716527/</v>
      </c>
      <c r="D12" s="43" t="str">
        <f t="shared" si="0"/>
        <v>TBX, Напр. с BM, 30 кг, 500 мм, лев. NEW</v>
      </c>
      <c r="E12" s="3">
        <v>1</v>
      </c>
      <c r="F12" s="12">
        <f t="shared" si="1"/>
        <v>424.49687280000001</v>
      </c>
      <c r="G12" s="160">
        <f t="shared" si="2"/>
        <v>424.49687280000001</v>
      </c>
      <c r="H12" s="2092"/>
      <c r="I12" s="782"/>
      <c r="J12" s="8"/>
      <c r="K12" s="1124" t="s">
        <v>1645</v>
      </c>
      <c r="L12" s="1124" t="s">
        <v>1644</v>
      </c>
      <c r="M12" s="1124" t="s">
        <v>3179</v>
      </c>
      <c r="N12" s="1124" t="s">
        <v>3175</v>
      </c>
      <c r="O12" s="1124" t="s">
        <v>3177</v>
      </c>
      <c r="P12" s="1124" t="s">
        <v>3178</v>
      </c>
      <c r="Q12" s="1136"/>
      <c r="R12" s="1136"/>
      <c r="S12" s="1124" t="s">
        <v>3176</v>
      </c>
      <c r="T12" s="8" t="s">
        <v>1641</v>
      </c>
      <c r="U12" s="8" t="s">
        <v>1642</v>
      </c>
      <c r="W12" s="1124" t="s">
        <v>1645</v>
      </c>
      <c r="X12" s="1124" t="s">
        <v>1644</v>
      </c>
      <c r="Y12" s="1124" t="s">
        <v>3179</v>
      </c>
      <c r="Z12" s="1124" t="s">
        <v>3175</v>
      </c>
      <c r="AA12" s="1124" t="s">
        <v>3177</v>
      </c>
      <c r="AB12" s="1124" t="s">
        <v>3178</v>
      </c>
      <c r="AC12" s="1136"/>
      <c r="AD12" s="1136"/>
      <c r="AE12" s="1124" t="s">
        <v>3176</v>
      </c>
      <c r="AF12" s="8" t="s">
        <v>1641</v>
      </c>
      <c r="AG12" s="8" t="s">
        <v>1642</v>
      </c>
      <c r="AI12" s="1124" t="s">
        <v>1645</v>
      </c>
      <c r="AJ12" s="1124" t="s">
        <v>1644</v>
      </c>
      <c r="AK12" s="1124" t="s">
        <v>3179</v>
      </c>
      <c r="AL12" s="1124" t="s">
        <v>3175</v>
      </c>
      <c r="AM12" s="1124" t="s">
        <v>3177</v>
      </c>
      <c r="AN12" s="1124" t="s">
        <v>3178</v>
      </c>
      <c r="AO12" s="1136"/>
      <c r="AP12" s="1136"/>
      <c r="AQ12" s="1124" t="s">
        <v>3176</v>
      </c>
      <c r="AR12" s="8" t="s">
        <v>1641</v>
      </c>
      <c r="AS12" s="8" t="s">
        <v>1642</v>
      </c>
      <c r="AU12" s="53" t="s">
        <v>1645</v>
      </c>
      <c r="AV12" s="53" t="s">
        <v>1644</v>
      </c>
      <c r="AW12" s="1124" t="s">
        <v>3179</v>
      </c>
      <c r="AX12" s="1124" t="s">
        <v>3175</v>
      </c>
      <c r="AY12" s="1124" t="s">
        <v>3177</v>
      </c>
      <c r="AZ12" s="1124" t="s">
        <v>3178</v>
      </c>
      <c r="BA12" s="1136"/>
      <c r="BB12" s="1136"/>
      <c r="BC12" s="1124" t="s">
        <v>3176</v>
      </c>
      <c r="BD12" s="8" t="s">
        <v>1641</v>
      </c>
      <c r="BE12" s="8" t="s">
        <v>1642</v>
      </c>
      <c r="BL12" s="943" t="s">
        <v>1813</v>
      </c>
      <c r="BM12" s="922" t="s">
        <v>2263</v>
      </c>
      <c r="BN12" s="923" t="s">
        <v>2231</v>
      </c>
      <c r="BO12" s="782"/>
      <c r="BP12" s="782"/>
    </row>
    <row r="13" spans="1:101" ht="12.75" customHeight="1" x14ac:dyDescent="0.2">
      <c r="A13" s="2131"/>
      <c r="B13" s="2132"/>
      <c r="C13" s="138" t="str">
        <f>VLOOKUP(C8,NAA,12,FALSE)</f>
        <v>8709485/</v>
      </c>
      <c r="D13" s="43" t="str">
        <f t="shared" si="0"/>
        <v xml:space="preserve">TBX, Напр. с BM, 30 кг, 500 мм, пр. NEW </v>
      </c>
      <c r="E13" s="3">
        <v>1</v>
      </c>
      <c r="F13" s="12">
        <f t="shared" si="1"/>
        <v>424.49687280000001</v>
      </c>
      <c r="G13" s="160">
        <f t="shared" si="2"/>
        <v>424.49687280000001</v>
      </c>
      <c r="H13" s="2092"/>
      <c r="I13" s="782"/>
      <c r="J13" s="8">
        <v>450</v>
      </c>
      <c r="K13" s="2" t="str">
        <f t="shared" ref="K13:P14" si="3">IF($D$3=$V$11,W13,IF($D$3=$AH$11,AI13,AU13))</f>
        <v>8155120/</v>
      </c>
      <c r="L13" s="2" t="str">
        <f t="shared" si="3"/>
        <v>8155050/</v>
      </c>
      <c r="M13" s="2" t="str">
        <f t="shared" si="3"/>
        <v>2118600/</v>
      </c>
      <c r="N13" s="2" t="str">
        <f t="shared" si="3"/>
        <v>2118780/</v>
      </c>
      <c r="O13" s="2">
        <f t="shared" si="3"/>
        <v>0</v>
      </c>
      <c r="P13" s="2">
        <f t="shared" si="3"/>
        <v>0</v>
      </c>
      <c r="Q13" s="1126"/>
      <c r="R13" s="1126"/>
      <c r="S13" s="2" t="str">
        <f>IF($D$3=$V$11,AE13,IF($D$3=$AH$11,AQ13,BC13))</f>
        <v>8890185/</v>
      </c>
      <c r="T13" s="1371" t="s">
        <v>4519</v>
      </c>
      <c r="U13" s="1371" t="s">
        <v>4518</v>
      </c>
      <c r="V13" s="8">
        <v>450</v>
      </c>
      <c r="W13" s="2" t="s">
        <v>340</v>
      </c>
      <c r="X13" s="2" t="s">
        <v>2257</v>
      </c>
      <c r="Y13" s="1130" t="s">
        <v>2415</v>
      </c>
      <c r="Z13" s="1130" t="s">
        <v>2416</v>
      </c>
      <c r="AA13" s="1130" t="s">
        <v>765</v>
      </c>
      <c r="AB13" s="1130" t="s">
        <v>1897</v>
      </c>
      <c r="AC13" s="1134"/>
      <c r="AD13" s="1134"/>
      <c r="AE13" s="1126" t="s">
        <v>1022</v>
      </c>
      <c r="AF13" s="1371" t="s">
        <v>4519</v>
      </c>
      <c r="AG13" s="1371" t="s">
        <v>4518</v>
      </c>
      <c r="AH13" s="8">
        <v>450</v>
      </c>
      <c r="AI13" s="1131" t="s">
        <v>1868</v>
      </c>
      <c r="AJ13" s="1131" t="s">
        <v>1867</v>
      </c>
      <c r="AK13" s="1133" t="s">
        <v>532</v>
      </c>
      <c r="AL13" s="1133" t="s">
        <v>534</v>
      </c>
      <c r="AM13" s="1126"/>
      <c r="AN13" s="1126"/>
      <c r="AO13" s="1126"/>
      <c r="AP13" s="1126"/>
      <c r="AQ13" s="2" t="s">
        <v>1516</v>
      </c>
      <c r="AR13" s="1371" t="s">
        <v>4519</v>
      </c>
      <c r="AS13" s="1371" t="s">
        <v>4518</v>
      </c>
      <c r="AT13" s="8">
        <v>450</v>
      </c>
      <c r="AU13" s="2" t="s">
        <v>5195</v>
      </c>
      <c r="AV13" s="2" t="s">
        <v>5196</v>
      </c>
      <c r="AW13" s="1134" t="s">
        <v>2032</v>
      </c>
      <c r="AX13" s="1134" t="s">
        <v>2033</v>
      </c>
      <c r="AY13" s="1126"/>
      <c r="AZ13" s="1126"/>
      <c r="BA13" s="88"/>
      <c r="BB13" s="88"/>
      <c r="BC13" s="782" t="s">
        <v>1021</v>
      </c>
      <c r="BD13" s="1371" t="s">
        <v>4519</v>
      </c>
      <c r="BE13" s="1371" t="s">
        <v>4518</v>
      </c>
      <c r="BL13" s="943" t="s">
        <v>1813</v>
      </c>
      <c r="BM13" s="929" t="s">
        <v>2264</v>
      </c>
      <c r="BN13" s="925" t="s">
        <v>2232</v>
      </c>
      <c r="BO13" s="782"/>
      <c r="BP13" s="782"/>
    </row>
    <row r="14" spans="1:101" ht="12.75" customHeight="1" x14ac:dyDescent="0.2">
      <c r="A14" s="2131"/>
      <c r="B14" s="2132"/>
      <c r="C14" s="138" t="str">
        <f>VLOOKUP(C8,NAA,10,FALSE)</f>
        <v>8890185/</v>
      </c>
      <c r="D14" s="43" t="str">
        <f t="shared" si="0"/>
        <v>TBX-AA, Загл с лого, сер,сим,ZAA.532C.BL</v>
      </c>
      <c r="E14" s="3">
        <v>2</v>
      </c>
      <c r="F14" s="12">
        <f t="shared" si="1"/>
        <v>8.9453364000000004</v>
      </c>
      <c r="G14" s="160">
        <f t="shared" si="2"/>
        <v>17.890672800000001</v>
      </c>
      <c r="H14" s="2092"/>
      <c r="I14" s="782"/>
      <c r="J14" s="8">
        <v>500</v>
      </c>
      <c r="K14" s="2" t="str">
        <f t="shared" si="3"/>
        <v>8155360/</v>
      </c>
      <c r="L14" s="2" t="str">
        <f t="shared" si="3"/>
        <v>8155290/</v>
      </c>
      <c r="M14" s="2" t="str">
        <f t="shared" si="3"/>
        <v>2118600/</v>
      </c>
      <c r="N14" s="2" t="str">
        <f t="shared" si="3"/>
        <v>2118780/</v>
      </c>
      <c r="O14" s="2">
        <f t="shared" si="3"/>
        <v>0</v>
      </c>
      <c r="P14" s="2">
        <f t="shared" si="3"/>
        <v>0</v>
      </c>
      <c r="Q14" s="1126"/>
      <c r="R14" s="1126"/>
      <c r="S14" s="2" t="str">
        <f>IF($D$3=$V$11,AE14,IF($D$3=$AH$11,AQ14,BC14))</f>
        <v>8890185/</v>
      </c>
      <c r="T14" s="1371" t="s">
        <v>4522</v>
      </c>
      <c r="U14" s="1371" t="s">
        <v>4521</v>
      </c>
      <c r="V14" s="8">
        <v>500</v>
      </c>
      <c r="W14" s="1130" t="s">
        <v>2534</v>
      </c>
      <c r="X14" s="1130" t="s">
        <v>2533</v>
      </c>
      <c r="Y14" s="1130" t="s">
        <v>2415</v>
      </c>
      <c r="Z14" s="1130" t="s">
        <v>2416</v>
      </c>
      <c r="AA14" s="1130" t="s">
        <v>28</v>
      </c>
      <c r="AB14" s="1130" t="s">
        <v>1548</v>
      </c>
      <c r="AC14" s="1134"/>
      <c r="AD14" s="1134"/>
      <c r="AE14" s="1126" t="s">
        <v>1022</v>
      </c>
      <c r="AF14" s="1371" t="s">
        <v>4522</v>
      </c>
      <c r="AG14" s="1371" t="s">
        <v>4521</v>
      </c>
      <c r="AH14" s="8">
        <v>500</v>
      </c>
      <c r="AI14" s="1131" t="s">
        <v>1871</v>
      </c>
      <c r="AJ14" s="1131" t="s">
        <v>1869</v>
      </c>
      <c r="AK14" s="1133" t="s">
        <v>532</v>
      </c>
      <c r="AL14" s="1133" t="s">
        <v>534</v>
      </c>
      <c r="AM14" s="1126"/>
      <c r="AN14" s="1126"/>
      <c r="AO14" s="1126"/>
      <c r="AP14" s="1126"/>
      <c r="AQ14" s="2" t="s">
        <v>1516</v>
      </c>
      <c r="AR14" s="1371" t="s">
        <v>4522</v>
      </c>
      <c r="AS14" s="1371" t="s">
        <v>4521</v>
      </c>
      <c r="AT14" s="8">
        <v>500</v>
      </c>
      <c r="AU14" s="1369" t="s">
        <v>3505</v>
      </c>
      <c r="AV14" s="1369" t="s">
        <v>3506</v>
      </c>
      <c r="AW14" s="1134" t="s">
        <v>2032</v>
      </c>
      <c r="AX14" s="1134" t="s">
        <v>2033</v>
      </c>
      <c r="AY14" s="1126"/>
      <c r="AZ14" s="1126"/>
      <c r="BA14" s="88"/>
      <c r="BB14" s="88"/>
      <c r="BC14" s="782" t="s">
        <v>1021</v>
      </c>
      <c r="BD14" s="1371" t="s">
        <v>4522</v>
      </c>
      <c r="BE14" s="1371" t="s">
        <v>4521</v>
      </c>
      <c r="BL14" s="938" t="s">
        <v>2812</v>
      </c>
      <c r="BM14" s="939" t="s">
        <v>2251</v>
      </c>
      <c r="BN14" s="936"/>
      <c r="BO14" s="782"/>
      <c r="BP14" s="782"/>
    </row>
    <row r="15" spans="1:101" ht="12.75" customHeight="1" x14ac:dyDescent="0.2">
      <c r="A15" s="274"/>
      <c r="B15" s="2132"/>
      <c r="C15" s="138" t="s">
        <v>4511</v>
      </c>
      <c r="D15" s="43" t="str">
        <f t="shared" si="0"/>
        <v xml:space="preserve">TBX, Крепл фасада INSERTA, NEW ZSF.39A2 </v>
      </c>
      <c r="E15" s="3">
        <v>2</v>
      </c>
      <c r="F15" s="12">
        <f t="shared" si="1"/>
        <v>43.913469600000006</v>
      </c>
      <c r="G15" s="160">
        <f t="shared" si="2"/>
        <v>87.826939200000012</v>
      </c>
      <c r="H15" s="2092"/>
      <c r="I15" s="782"/>
      <c r="J15" s="782"/>
      <c r="K15" s="782">
        <v>2</v>
      </c>
      <c r="L15" s="782">
        <v>3</v>
      </c>
      <c r="M15" s="782">
        <v>4</v>
      </c>
      <c r="N15" s="782">
        <v>5</v>
      </c>
      <c r="O15" s="782">
        <v>6</v>
      </c>
      <c r="P15" s="782">
        <v>7</v>
      </c>
      <c r="Q15" s="782"/>
      <c r="R15" s="782"/>
      <c r="S15" s="782">
        <v>8</v>
      </c>
      <c r="T15" s="782">
        <v>9</v>
      </c>
      <c r="U15" s="782">
        <v>10</v>
      </c>
      <c r="Y15" s="782"/>
      <c r="Z15" s="782"/>
      <c r="AA15" s="782"/>
      <c r="AB15" s="782"/>
      <c r="AC15" s="782"/>
      <c r="AD15" s="782"/>
      <c r="AE15" s="782"/>
      <c r="AK15" s="782"/>
      <c r="AL15" s="782"/>
      <c r="AM15" s="782"/>
      <c r="AN15" s="782"/>
      <c r="AO15" s="782"/>
      <c r="AP15" s="782"/>
      <c r="AQ15" s="782"/>
      <c r="AW15" s="782"/>
      <c r="AX15" s="782"/>
      <c r="AY15" s="782"/>
      <c r="AZ15" s="782"/>
      <c r="BA15" s="782"/>
      <c r="BB15" s="782"/>
      <c r="BC15" s="782"/>
      <c r="BL15" s="943" t="s">
        <v>1813</v>
      </c>
      <c r="BM15" s="922" t="s">
        <v>5208</v>
      </c>
      <c r="BN15" s="925" t="s">
        <v>5209</v>
      </c>
      <c r="BO15" s="782"/>
      <c r="BP15" s="782"/>
    </row>
    <row r="16" spans="1:101" s="827" customFormat="1" ht="12.75" customHeight="1" x14ac:dyDescent="0.2">
      <c r="A16" s="274"/>
      <c r="B16" s="2072"/>
      <c r="C16" s="138" t="str">
        <f>VLOOKUP(C8,NAA,4,FALSE)</f>
        <v>2118600/</v>
      </c>
      <c r="D16" s="43" t="str">
        <f>VLOOKUP(C16,всецены,2,FALSE)</f>
        <v xml:space="preserve">TBX, Держат. задн. ст, 81 мм, сер, лев. </v>
      </c>
      <c r="E16" s="3">
        <v>1</v>
      </c>
      <c r="F16" s="12">
        <f>VLOOKUP(C16,всецены,4,FALSE)</f>
        <v>46.353106799999999</v>
      </c>
      <c r="G16" s="160">
        <f>F16*E16</f>
        <v>46.353106799999999</v>
      </c>
      <c r="H16" s="2092"/>
      <c r="I16" s="782"/>
      <c r="J16" s="782"/>
      <c r="K16" s="782"/>
      <c r="L16" s="782"/>
      <c r="M16" s="782"/>
      <c r="N16" s="782"/>
      <c r="O16" s="782"/>
      <c r="P16" s="782"/>
      <c r="Q16" s="782"/>
      <c r="R16" s="782"/>
      <c r="S16" s="782"/>
      <c r="T16" s="782"/>
      <c r="U16" s="782"/>
      <c r="V16" s="8"/>
      <c r="W16" s="8"/>
      <c r="X16" s="8"/>
      <c r="Y16" s="782"/>
      <c r="Z16" s="782"/>
      <c r="AA16" s="782"/>
      <c r="AB16" s="782"/>
      <c r="AC16" s="782"/>
      <c r="AD16" s="782"/>
      <c r="AE16" s="782"/>
      <c r="AF16" s="8"/>
      <c r="AG16" s="8"/>
      <c r="AH16" s="8"/>
      <c r="AI16" s="8"/>
      <c r="AJ16" s="8"/>
      <c r="AK16" s="782"/>
      <c r="AL16" s="782"/>
      <c r="AM16" s="782"/>
      <c r="AN16" s="782"/>
      <c r="AO16" s="782"/>
      <c r="AP16" s="782"/>
      <c r="AQ16" s="782"/>
      <c r="AR16" s="8"/>
      <c r="AS16" s="8"/>
      <c r="AT16" s="8"/>
      <c r="AU16" s="8"/>
      <c r="AV16" s="8"/>
      <c r="AW16" s="782"/>
      <c r="AX16" s="782"/>
      <c r="AY16" s="782"/>
      <c r="AZ16" s="782"/>
      <c r="BA16" s="782"/>
      <c r="BB16" s="782"/>
      <c r="BC16" s="782"/>
      <c r="BD16" s="8"/>
      <c r="BE16" s="8"/>
      <c r="BF16" s="8"/>
      <c r="BG16" s="782"/>
      <c r="BH16" s="782"/>
      <c r="BI16" s="782"/>
      <c r="BJ16" s="782"/>
      <c r="BK16" s="782"/>
      <c r="BL16" s="943" t="s">
        <v>1813</v>
      </c>
      <c r="BM16" s="922" t="s">
        <v>2403</v>
      </c>
      <c r="BN16" s="925" t="s">
        <v>2234</v>
      </c>
      <c r="BO16" s="782"/>
      <c r="BP16" s="782"/>
      <c r="BQ16" s="771"/>
      <c r="BR16" s="771"/>
      <c r="BS16" s="771"/>
      <c r="BT16" s="771"/>
      <c r="BU16" s="771"/>
      <c r="BV16" s="771"/>
      <c r="BW16" s="771"/>
      <c r="BX16" s="771"/>
      <c r="BY16" s="771"/>
      <c r="BZ16" s="771"/>
      <c r="CA16" s="771"/>
      <c r="CB16" s="771"/>
      <c r="CC16" s="771"/>
      <c r="CD16" s="771"/>
      <c r="CE16" s="771"/>
      <c r="CF16" s="771"/>
      <c r="CG16" s="771"/>
      <c r="CH16" s="771"/>
      <c r="CI16" s="771"/>
      <c r="CJ16" s="771"/>
      <c r="CK16" s="771"/>
      <c r="CL16" s="771"/>
      <c r="CM16" s="771"/>
      <c r="CN16" s="771"/>
      <c r="CO16" s="771"/>
      <c r="CP16" s="771"/>
      <c r="CQ16" s="771"/>
      <c r="CR16" s="771"/>
      <c r="CS16" s="771"/>
      <c r="CT16" s="771"/>
      <c r="CU16" s="771"/>
      <c r="CV16" s="771"/>
      <c r="CW16" s="771"/>
    </row>
    <row r="17" spans="1:68" ht="12.75" customHeight="1" thickBot="1" x14ac:dyDescent="0.25">
      <c r="B17" s="2133"/>
      <c r="C17" s="1116" t="str">
        <f>VLOOKUP(C8,NAA,5,FALSE)</f>
        <v>2118780/</v>
      </c>
      <c r="D17" s="404" t="str">
        <f t="shared" si="0"/>
        <v xml:space="preserve">TBX, Держат. задн. ст, 81 мм, сер, пр.  </v>
      </c>
      <c r="E17" s="355">
        <v>1</v>
      </c>
      <c r="F17" s="356">
        <f t="shared" si="1"/>
        <v>46.353106799999999</v>
      </c>
      <c r="G17" s="697">
        <f t="shared" si="2"/>
        <v>46.353106799999999</v>
      </c>
      <c r="H17" s="2093"/>
      <c r="BL17" s="943" t="s">
        <v>1813</v>
      </c>
      <c r="BM17" s="924" t="s">
        <v>2252</v>
      </c>
      <c r="BN17" s="925" t="s">
        <v>2235</v>
      </c>
      <c r="BO17" s="782"/>
      <c r="BP17" s="782"/>
    </row>
    <row r="18" spans="1:68" ht="8.1" customHeight="1" x14ac:dyDescent="0.2">
      <c r="B18" s="28"/>
      <c r="C18" s="8"/>
      <c r="D18" s="8"/>
      <c r="E18" s="53"/>
      <c r="F18" s="8"/>
      <c r="G18" s="37"/>
      <c r="H18" s="35"/>
      <c r="I18" s="782"/>
      <c r="J18" s="782"/>
      <c r="K18" s="782"/>
      <c r="L18" s="782"/>
      <c r="M18" s="782"/>
      <c r="N18" s="782"/>
      <c r="O18" s="782"/>
      <c r="P18" s="782"/>
      <c r="Q18" s="782"/>
      <c r="R18" s="782"/>
      <c r="S18" s="782"/>
      <c r="T18" s="782"/>
      <c r="U18" s="782"/>
      <c r="V18" s="165"/>
      <c r="W18" s="165"/>
      <c r="X18" s="165"/>
      <c r="Y18" s="782"/>
      <c r="Z18" s="782"/>
      <c r="AA18" s="782"/>
      <c r="AB18" s="782"/>
      <c r="AC18" s="782"/>
      <c r="AD18" s="782"/>
      <c r="AE18" s="782"/>
      <c r="AF18" s="165"/>
      <c r="AG18" s="165"/>
      <c r="AH18" s="165"/>
      <c r="AI18" s="165"/>
      <c r="AJ18" s="165"/>
      <c r="AK18" s="782"/>
      <c r="AL18" s="782"/>
      <c r="AM18" s="782"/>
      <c r="AN18" s="782"/>
      <c r="AO18" s="782"/>
      <c r="AP18" s="782"/>
      <c r="AQ18" s="782"/>
      <c r="AR18" s="165"/>
      <c r="AS18" s="165"/>
      <c r="AT18" s="165"/>
      <c r="AU18" s="165"/>
      <c r="AV18" s="165"/>
      <c r="AW18" s="782"/>
      <c r="AX18" s="782"/>
      <c r="AY18" s="782"/>
      <c r="AZ18" s="782"/>
      <c r="BA18" s="782"/>
      <c r="BB18" s="782"/>
      <c r="BC18" s="782"/>
      <c r="BD18" s="165"/>
      <c r="BE18" s="165"/>
      <c r="BF18" s="165"/>
      <c r="BO18" s="782"/>
      <c r="BP18" s="782"/>
    </row>
    <row r="19" spans="1:68" ht="20.100000000000001" customHeight="1" x14ac:dyDescent="0.2">
      <c r="A19" s="319"/>
      <c r="B19" s="2127" t="s">
        <v>3437</v>
      </c>
      <c r="C19" s="2127"/>
      <c r="D19" s="2127"/>
      <c r="E19" s="2127"/>
      <c r="F19" s="2127"/>
      <c r="G19" s="2127"/>
      <c r="H19" s="611"/>
      <c r="I19" s="782"/>
      <c r="J19" s="782"/>
      <c r="K19" s="782"/>
      <c r="L19" s="782"/>
      <c r="M19" s="782"/>
      <c r="N19" s="782"/>
      <c r="O19" s="782"/>
      <c r="P19" s="782"/>
      <c r="Q19" s="782"/>
      <c r="R19" s="782"/>
      <c r="S19" s="782"/>
      <c r="T19" s="782"/>
      <c r="U19" s="782"/>
      <c r="Y19" s="782"/>
      <c r="Z19" s="782"/>
      <c r="AA19" s="782"/>
      <c r="AB19" s="782"/>
      <c r="AC19" s="782"/>
      <c r="AD19" s="782"/>
      <c r="AE19" s="782"/>
      <c r="AK19" s="782"/>
      <c r="AL19" s="782"/>
      <c r="AM19" s="782"/>
      <c r="AN19" s="782"/>
      <c r="AO19" s="782"/>
      <c r="AP19" s="782"/>
      <c r="AQ19" s="782"/>
      <c r="AW19" s="782"/>
      <c r="AX19" s="782"/>
      <c r="AY19" s="782"/>
      <c r="AZ19" s="782"/>
      <c r="BA19" s="782"/>
      <c r="BB19" s="782"/>
      <c r="BC19" s="782"/>
      <c r="BL19" s="943" t="s">
        <v>1813</v>
      </c>
      <c r="BM19" s="924" t="s">
        <v>2265</v>
      </c>
      <c r="BN19" s="925" t="s">
        <v>2240</v>
      </c>
      <c r="BO19" s="782"/>
      <c r="BP19" s="782"/>
    </row>
    <row r="20" spans="1:68" ht="20.100000000000001" customHeight="1" thickBot="1" x14ac:dyDescent="0.25">
      <c r="A20" s="319"/>
      <c r="B20" s="2127"/>
      <c r="C20" s="2127"/>
      <c r="D20" s="2127"/>
      <c r="E20" s="2127"/>
      <c r="F20" s="2127"/>
      <c r="G20" s="2127"/>
      <c r="H20" s="611" t="str">
        <f>D3</f>
        <v>Серый</v>
      </c>
      <c r="I20" s="782"/>
      <c r="J20" s="782"/>
      <c r="K20" s="782"/>
      <c r="L20" s="782"/>
      <c r="M20" s="782"/>
      <c r="N20" s="782"/>
      <c r="O20" s="782"/>
      <c r="P20" s="782"/>
      <c r="Q20" s="782"/>
      <c r="R20" s="782"/>
      <c r="S20" s="782"/>
      <c r="T20" s="782"/>
      <c r="U20" s="782"/>
      <c r="Y20" s="782"/>
      <c r="Z20" s="782"/>
      <c r="AA20" s="782"/>
      <c r="AB20" s="782"/>
      <c r="AC20" s="782"/>
      <c r="AD20" s="782"/>
      <c r="AE20" s="782"/>
      <c r="AK20" s="782"/>
      <c r="AL20" s="782"/>
      <c r="AM20" s="782"/>
      <c r="AN20" s="782"/>
      <c r="AO20" s="782"/>
      <c r="AP20" s="782"/>
      <c r="AQ20" s="782"/>
      <c r="AW20" s="782"/>
      <c r="AX20" s="782"/>
      <c r="AY20" s="782"/>
      <c r="AZ20" s="782"/>
      <c r="BA20" s="782"/>
      <c r="BB20" s="782"/>
      <c r="BC20" s="782"/>
      <c r="BL20" s="944" t="s">
        <v>1815</v>
      </c>
      <c r="BM20" s="934" t="s">
        <v>2813</v>
      </c>
      <c r="BN20" s="935"/>
      <c r="BO20" s="782"/>
      <c r="BP20" s="782"/>
    </row>
    <row r="21" spans="1:68" ht="12.75" customHeight="1" x14ac:dyDescent="0.2">
      <c r="A21" s="274"/>
      <c r="B21" s="690" t="s">
        <v>875</v>
      </c>
      <c r="C21" s="698"/>
      <c r="D21" s="2128"/>
      <c r="E21" s="2128"/>
      <c r="F21" s="2128"/>
      <c r="G21" s="2128"/>
      <c r="H21" s="699"/>
      <c r="I21" s="782"/>
      <c r="J21" s="782"/>
      <c r="K21" s="782"/>
      <c r="L21" s="782"/>
      <c r="M21" s="782"/>
      <c r="N21" s="782"/>
      <c r="O21" s="782"/>
      <c r="P21" s="782"/>
      <c r="Q21" s="782"/>
      <c r="R21" s="782"/>
      <c r="S21" s="782"/>
      <c r="T21" s="782"/>
      <c r="U21" s="782"/>
      <c r="Y21" s="782"/>
      <c r="Z21" s="782"/>
      <c r="AA21" s="782"/>
      <c r="AB21" s="782"/>
      <c r="AC21" s="782"/>
      <c r="AD21" s="782"/>
      <c r="AE21" s="782"/>
      <c r="AK21" s="782"/>
      <c r="AL21" s="782"/>
      <c r="AM21" s="782"/>
      <c r="AN21" s="782"/>
      <c r="AO21" s="782"/>
      <c r="AP21" s="782"/>
      <c r="AQ21" s="782"/>
      <c r="AW21" s="782"/>
      <c r="AX21" s="782"/>
      <c r="AY21" s="782"/>
      <c r="AZ21" s="782"/>
      <c r="BA21" s="782"/>
      <c r="BB21" s="782"/>
      <c r="BC21" s="782"/>
      <c r="BM21" s="782"/>
      <c r="BN21" s="835"/>
      <c r="BO21" s="782"/>
      <c r="BP21" s="782"/>
    </row>
    <row r="22" spans="1:68" ht="15.75" thickBot="1" x14ac:dyDescent="0.25">
      <c r="A22" s="274"/>
      <c r="B22" s="410" t="s">
        <v>1639</v>
      </c>
      <c r="C22" s="170">
        <v>500</v>
      </c>
      <c r="D22" s="73" t="s">
        <v>1689</v>
      </c>
      <c r="E22" s="73"/>
      <c r="F22" s="73"/>
      <c r="G22" s="93"/>
      <c r="H22" s="2125" t="str">
        <f>IF(СОДЕРЖАНИЕ!P2=1,"EUR","RUB")</f>
        <v>RUB</v>
      </c>
      <c r="I22" s="782"/>
      <c r="J22" s="782"/>
      <c r="K22" s="782"/>
      <c r="L22" s="782"/>
      <c r="M22" s="782"/>
      <c r="N22" s="782"/>
      <c r="O22" s="782"/>
      <c r="P22" s="782"/>
      <c r="Q22" s="782"/>
      <c r="R22" s="782"/>
      <c r="S22" s="782"/>
      <c r="T22" s="782"/>
      <c r="U22" s="782"/>
      <c r="V22" s="2123" t="s">
        <v>2390</v>
      </c>
      <c r="W22" s="2123"/>
      <c r="X22" s="2123"/>
      <c r="Y22" s="2123"/>
      <c r="Z22" s="2123"/>
      <c r="AA22" s="2123"/>
      <c r="AB22" s="2123"/>
      <c r="AC22" s="2123"/>
      <c r="AD22" s="2123"/>
      <c r="AE22" s="2123"/>
      <c r="AF22" s="2123"/>
      <c r="AG22" s="2123"/>
      <c r="AH22" s="2124" t="s">
        <v>2357</v>
      </c>
      <c r="AI22" s="2124"/>
      <c r="AJ22" s="2124"/>
      <c r="AK22" s="2124"/>
      <c r="AL22" s="2124"/>
      <c r="AM22" s="2124"/>
      <c r="AN22" s="2124"/>
      <c r="AO22" s="2124"/>
      <c r="AP22" s="2124"/>
      <c r="AQ22" s="2124"/>
      <c r="AR22" s="2124"/>
      <c r="AS22" s="2124"/>
      <c r="AT22" s="2122" t="s">
        <v>2389</v>
      </c>
      <c r="AU22" s="2122"/>
      <c r="AV22" s="2122"/>
      <c r="AW22" s="2122"/>
      <c r="AX22" s="2122"/>
      <c r="AY22" s="2122"/>
      <c r="AZ22" s="2122"/>
      <c r="BA22" s="2122"/>
      <c r="BB22" s="2122"/>
      <c r="BC22" s="2122"/>
      <c r="BD22" s="2122"/>
      <c r="BE22" s="2122"/>
      <c r="BM22" s="782"/>
      <c r="BN22" s="835"/>
      <c r="BO22" s="782"/>
      <c r="BP22" s="782"/>
    </row>
    <row r="23" spans="1:68" ht="9.9499999999999993" customHeight="1" x14ac:dyDescent="0.2">
      <c r="A23" s="2136"/>
      <c r="B23" s="2072"/>
      <c r="C23" s="172" t="s">
        <v>1301</v>
      </c>
      <c r="D23" s="173" t="s">
        <v>784</v>
      </c>
      <c r="E23" s="140" t="s">
        <v>2117</v>
      </c>
      <c r="F23" s="139"/>
      <c r="G23" s="174" t="s">
        <v>2116</v>
      </c>
      <c r="H23" s="2126"/>
      <c r="I23" s="786"/>
      <c r="J23" s="786"/>
      <c r="K23" s="786"/>
      <c r="L23" s="786"/>
      <c r="M23" s="786"/>
      <c r="N23" s="786"/>
      <c r="O23" s="786"/>
      <c r="P23" s="786"/>
      <c r="Q23" s="786"/>
      <c r="R23" s="786"/>
      <c r="S23" s="786"/>
      <c r="T23" s="786"/>
      <c r="U23" s="786"/>
      <c r="W23" s="782"/>
      <c r="Y23" s="786"/>
      <c r="Z23" s="786"/>
      <c r="AA23" s="786"/>
      <c r="AB23" s="786"/>
      <c r="AC23" s="786"/>
      <c r="AD23" s="786"/>
      <c r="AE23" s="786"/>
      <c r="AI23" s="782"/>
      <c r="AK23" s="786"/>
      <c r="AL23" s="786"/>
      <c r="AM23" s="786"/>
      <c r="AN23" s="786"/>
      <c r="AO23" s="786"/>
      <c r="AP23" s="786"/>
      <c r="AQ23" s="786"/>
      <c r="AU23" s="88"/>
      <c r="AW23" s="786"/>
      <c r="AX23" s="786"/>
      <c r="AY23" s="786"/>
      <c r="AZ23" s="786"/>
      <c r="BA23" s="786"/>
      <c r="BB23" s="786"/>
      <c r="BC23" s="786"/>
      <c r="BM23" s="782"/>
      <c r="BN23" s="835"/>
      <c r="BO23" s="782"/>
      <c r="BP23" s="782"/>
    </row>
    <row r="24" spans="1:68" ht="12.75" customHeight="1" x14ac:dyDescent="0.2">
      <c r="A24" s="2136"/>
      <c r="B24" s="2073"/>
      <c r="C24" s="701" t="str">
        <f>VLOOKUP($C$22,maa,2,FALSE)</f>
        <v>6723863/</v>
      </c>
      <c r="D24" s="701" t="str">
        <f t="shared" ref="D24:D31" si="4">VLOOKUP(C24,всецены,2,FALSE)</f>
        <v xml:space="preserve">TBX-A, Царга 83/500 мм, сер, прав. NEW  </v>
      </c>
      <c r="E24" s="702">
        <v>1</v>
      </c>
      <c r="F24" s="735">
        <f t="shared" ref="F24:F31" si="5">VLOOKUP(C24,всецены,4,FALSE)</f>
        <v>395.22122640000003</v>
      </c>
      <c r="G24" s="163">
        <f t="shared" ref="G24:G31" si="6">F24*E24</f>
        <v>395.22122640000003</v>
      </c>
      <c r="H24" s="2089">
        <f>SUM(G24:G31)</f>
        <v>1813.4636519999999</v>
      </c>
      <c r="I24" s="782"/>
      <c r="J24" s="1159" t="s">
        <v>1333</v>
      </c>
      <c r="L24" s="782"/>
      <c r="M24" s="782"/>
      <c r="N24" s="782"/>
      <c r="O24" s="782"/>
      <c r="P24" s="782"/>
      <c r="Q24" s="782"/>
      <c r="R24" s="782"/>
      <c r="S24" s="782"/>
      <c r="T24" s="782"/>
      <c r="U24" s="782"/>
      <c r="V24" s="96" t="s">
        <v>1646</v>
      </c>
      <c r="W24" s="28"/>
      <c r="X24" s="28"/>
      <c r="Y24" s="782"/>
      <c r="Z24" s="782"/>
      <c r="AA24" s="782"/>
      <c r="AB24" s="782"/>
      <c r="AC24" s="782"/>
      <c r="AD24" s="782"/>
      <c r="AE24" s="782"/>
      <c r="AH24" s="96" t="s">
        <v>1646</v>
      </c>
      <c r="AI24" s="28"/>
      <c r="AJ24" s="28"/>
      <c r="AK24" s="782"/>
      <c r="AL24" s="782"/>
      <c r="AM24" s="782"/>
      <c r="AN24" s="782"/>
      <c r="AO24" s="782"/>
      <c r="AP24" s="782"/>
      <c r="AQ24" s="782"/>
      <c r="AT24" s="96" t="s">
        <v>1646</v>
      </c>
      <c r="AU24" s="28"/>
      <c r="AV24" s="28"/>
      <c r="AW24" s="782"/>
      <c r="AX24" s="782"/>
      <c r="AY24" s="782"/>
      <c r="AZ24" s="782"/>
      <c r="BA24" s="782"/>
      <c r="BB24" s="782"/>
      <c r="BC24" s="782"/>
      <c r="BM24" s="782"/>
      <c r="BN24" s="782"/>
      <c r="BO24" s="782"/>
      <c r="BP24" s="782"/>
    </row>
    <row r="25" spans="1:68" ht="12.75" customHeight="1" x14ac:dyDescent="0.2">
      <c r="A25" s="2136"/>
      <c r="B25" s="2073"/>
      <c r="C25" s="701" t="str">
        <f>VLOOKUP($C$22,maa,3,FALSE)</f>
        <v>6754103/</v>
      </c>
      <c r="D25" s="701" t="str">
        <f t="shared" si="4"/>
        <v xml:space="preserve">TBX-A, Царга 83/500 мм, сер, лев. NEW   </v>
      </c>
      <c r="E25" s="702">
        <v>1</v>
      </c>
      <c r="F25" s="735">
        <f>VLOOKUP(C25,всецены,4,FALSE)</f>
        <v>395.22122640000003</v>
      </c>
      <c r="G25" s="163">
        <f>F25*E25</f>
        <v>395.22122640000003</v>
      </c>
      <c r="H25" s="2089"/>
      <c r="I25" s="782"/>
      <c r="J25" s="782"/>
      <c r="K25" s="1124" t="s">
        <v>1645</v>
      </c>
      <c r="L25" s="1124" t="s">
        <v>1644</v>
      </c>
      <c r="M25" s="1124" t="s">
        <v>3179</v>
      </c>
      <c r="N25" s="1124" t="s">
        <v>3175</v>
      </c>
      <c r="O25" s="1124" t="s">
        <v>3177</v>
      </c>
      <c r="P25" s="1124" t="s">
        <v>3178</v>
      </c>
      <c r="Q25" s="1136" t="s">
        <v>3435</v>
      </c>
      <c r="R25" s="1136" t="s">
        <v>3436</v>
      </c>
      <c r="S25" s="1124" t="s">
        <v>3176</v>
      </c>
      <c r="T25" s="8" t="s">
        <v>1641</v>
      </c>
      <c r="U25" s="8" t="s">
        <v>1642</v>
      </c>
      <c r="W25" s="1124" t="s">
        <v>1645</v>
      </c>
      <c r="X25" s="1124" t="s">
        <v>1644</v>
      </c>
      <c r="Y25" s="1124" t="s">
        <v>3179</v>
      </c>
      <c r="Z25" s="1124" t="s">
        <v>3175</v>
      </c>
      <c r="AA25" s="1124" t="s">
        <v>3177</v>
      </c>
      <c r="AB25" s="1124" t="s">
        <v>3178</v>
      </c>
      <c r="AC25" s="1136" t="s">
        <v>3435</v>
      </c>
      <c r="AD25" s="1136" t="s">
        <v>3436</v>
      </c>
      <c r="AE25" s="1124" t="s">
        <v>3176</v>
      </c>
      <c r="AF25" s="8" t="s">
        <v>1641</v>
      </c>
      <c r="AG25" s="8" t="s">
        <v>1642</v>
      </c>
      <c r="AI25" s="1124" t="s">
        <v>1645</v>
      </c>
      <c r="AJ25" s="1124" t="s">
        <v>1644</v>
      </c>
      <c r="AK25" s="1124" t="s">
        <v>3179</v>
      </c>
      <c r="AL25" s="1124" t="s">
        <v>3175</v>
      </c>
      <c r="AM25" s="1124" t="s">
        <v>3177</v>
      </c>
      <c r="AN25" s="1124" t="s">
        <v>3178</v>
      </c>
      <c r="AO25" s="1136" t="s">
        <v>3435</v>
      </c>
      <c r="AP25" s="1136" t="s">
        <v>3436</v>
      </c>
      <c r="AQ25" s="1124" t="s">
        <v>3176</v>
      </c>
      <c r="AR25" s="8" t="s">
        <v>1641</v>
      </c>
      <c r="AS25" s="8" t="s">
        <v>1642</v>
      </c>
      <c r="AU25" s="1132" t="s">
        <v>1645</v>
      </c>
      <c r="AV25" s="1132" t="s">
        <v>1644</v>
      </c>
      <c r="AW25" s="1132" t="s">
        <v>3179</v>
      </c>
      <c r="AX25" s="1132" t="s">
        <v>3175</v>
      </c>
      <c r="AY25" s="1132" t="s">
        <v>3177</v>
      </c>
      <c r="AZ25" s="1132" t="s">
        <v>3178</v>
      </c>
      <c r="BA25" s="1136" t="s">
        <v>3435</v>
      </c>
      <c r="BB25" s="1136" t="s">
        <v>3436</v>
      </c>
      <c r="BC25" s="1132" t="s">
        <v>3176</v>
      </c>
      <c r="BD25" s="8" t="s">
        <v>1641</v>
      </c>
      <c r="BE25" s="8" t="s">
        <v>1642</v>
      </c>
      <c r="BM25" s="782"/>
      <c r="BN25" s="835"/>
      <c r="BO25" s="782"/>
      <c r="BP25" s="782"/>
    </row>
    <row r="26" spans="1:68" ht="12.75" customHeight="1" x14ac:dyDescent="0.2">
      <c r="A26" s="2136"/>
      <c r="B26" s="2073"/>
      <c r="C26" s="164" t="str">
        <f>VLOOKUP(C22,maa,4,FALSE)</f>
        <v>2119830/</v>
      </c>
      <c r="D26" s="701" t="str">
        <f t="shared" si="4"/>
        <v xml:space="preserve">TBX, Держат. задн. ст, 96 мм, сер, лев. </v>
      </c>
      <c r="E26" s="702">
        <v>1</v>
      </c>
      <c r="F26" s="735">
        <f t="shared" si="5"/>
        <v>34.154920799999999</v>
      </c>
      <c r="G26" s="163">
        <f t="shared" si="6"/>
        <v>34.154920799999999</v>
      </c>
      <c r="H26" s="2089"/>
      <c r="I26" s="782"/>
      <c r="J26" s="8">
        <v>270</v>
      </c>
      <c r="K26" s="2" t="str">
        <f t="shared" ref="K26:P30" si="7">IF($D$3=$V$11,W26,IF($D$3=$AH$11,AI26,AU26))</f>
        <v>6951713/</v>
      </c>
      <c r="L26" s="2" t="str">
        <f t="shared" si="7"/>
        <v>6841479/</v>
      </c>
      <c r="M26" s="2" t="str">
        <f t="shared" si="7"/>
        <v>2119830/</v>
      </c>
      <c r="N26" s="2" t="str">
        <f t="shared" si="7"/>
        <v>2120170/</v>
      </c>
      <c r="O26" s="2" t="str">
        <f t="shared" si="7"/>
        <v>3425990/</v>
      </c>
      <c r="P26" s="2" t="str">
        <f t="shared" si="7"/>
        <v>7764690/</v>
      </c>
      <c r="Q26" s="2">
        <f t="shared" ref="Q26:R30" si="8">IF($D$3=$V$11,AC26,IF($D$3=$AH$11,AO26,BA26))</f>
        <v>0</v>
      </c>
      <c r="R26" s="2">
        <f t="shared" si="8"/>
        <v>0</v>
      </c>
      <c r="S26" s="2" t="str">
        <f>IF($D$3=$V$11,AE26,IF($D$3=$AH$11,AQ26,BC26))</f>
        <v>8890185/</v>
      </c>
      <c r="T26" s="1371" t="s">
        <v>4506</v>
      </c>
      <c r="U26" s="1371" t="s">
        <v>4505</v>
      </c>
      <c r="V26" s="8">
        <v>270</v>
      </c>
      <c r="W26" s="1131" t="s">
        <v>63</v>
      </c>
      <c r="X26" s="1131" t="s">
        <v>61</v>
      </c>
      <c r="Y26" s="1130" t="s">
        <v>235</v>
      </c>
      <c r="Z26" s="1130" t="s">
        <v>236</v>
      </c>
      <c r="AA26" s="1130" t="s">
        <v>2024</v>
      </c>
      <c r="AB26" s="1130" t="s">
        <v>741</v>
      </c>
      <c r="AC26" s="1134"/>
      <c r="AD26" s="1134"/>
      <c r="AE26" s="1130" t="s">
        <v>1022</v>
      </c>
      <c r="AF26" s="1371" t="s">
        <v>4506</v>
      </c>
      <c r="AG26" s="1371" t="s">
        <v>4505</v>
      </c>
      <c r="AH26" s="8">
        <v>270</v>
      </c>
      <c r="AI26" s="1133" t="s">
        <v>49</v>
      </c>
      <c r="AJ26" s="1133" t="s">
        <v>46</v>
      </c>
      <c r="AK26" s="1133" t="s">
        <v>1630</v>
      </c>
      <c r="AL26" s="1133" t="s">
        <v>1628</v>
      </c>
      <c r="AM26" s="1134" t="s">
        <v>739</v>
      </c>
      <c r="AN26" s="1134" t="s">
        <v>64</v>
      </c>
      <c r="AO26" s="1134"/>
      <c r="AP26" s="1134"/>
      <c r="AQ26" s="1134" t="s">
        <v>1516</v>
      </c>
      <c r="AR26" s="1371" t="s">
        <v>4506</v>
      </c>
      <c r="AS26" s="1371" t="s">
        <v>4505</v>
      </c>
      <c r="AT26" s="8">
        <v>270</v>
      </c>
      <c r="AU26" s="1367" t="s">
        <v>3501</v>
      </c>
      <c r="AV26" s="1367" t="s">
        <v>3502</v>
      </c>
      <c r="AW26" s="1134" t="s">
        <v>795</v>
      </c>
      <c r="AX26" s="1134" t="s">
        <v>797</v>
      </c>
      <c r="AY26" s="1134" t="s">
        <v>763</v>
      </c>
      <c r="AZ26" s="1134" t="s">
        <v>26</v>
      </c>
      <c r="BA26" s="1134"/>
      <c r="BB26" s="1134"/>
      <c r="BC26" s="1134" t="s">
        <v>1021</v>
      </c>
      <c r="BD26" s="1371" t="s">
        <v>4506</v>
      </c>
      <c r="BE26" s="1371" t="s">
        <v>4505</v>
      </c>
      <c r="BM26" s="782"/>
      <c r="BN26" s="782"/>
      <c r="BO26" s="782"/>
      <c r="BP26" s="782"/>
    </row>
    <row r="27" spans="1:68" ht="12.75" customHeight="1" x14ac:dyDescent="0.2">
      <c r="A27" s="2136"/>
      <c r="B27" s="2073"/>
      <c r="C27" s="164" t="str">
        <f>VLOOKUP(C22,maa,5,FALSE)</f>
        <v>2120170/</v>
      </c>
      <c r="D27" s="701" t="str">
        <f t="shared" si="4"/>
        <v xml:space="preserve">TBX, Держат. задн. ст, 96 мм, сер, пр.  </v>
      </c>
      <c r="E27" s="702">
        <v>1</v>
      </c>
      <c r="F27" s="735">
        <f>VLOOKUP(C27,всецены,4,FALSE)</f>
        <v>34.154920799999999</v>
      </c>
      <c r="G27" s="163">
        <f>F27*E27</f>
        <v>34.154920799999999</v>
      </c>
      <c r="H27" s="2089"/>
      <c r="I27" s="782"/>
      <c r="J27" s="8">
        <v>350</v>
      </c>
      <c r="K27" s="2" t="str">
        <f t="shared" si="7"/>
        <v>1243013/</v>
      </c>
      <c r="L27" s="2" t="str">
        <f t="shared" si="7"/>
        <v>1153569/</v>
      </c>
      <c r="M27" s="2" t="str">
        <f t="shared" si="7"/>
        <v>2119830/</v>
      </c>
      <c r="N27" s="2" t="str">
        <f t="shared" si="7"/>
        <v>2120170/</v>
      </c>
      <c r="O27" s="2" t="str">
        <f t="shared" si="7"/>
        <v>3459484/</v>
      </c>
      <c r="P27" s="2" t="str">
        <f t="shared" si="7"/>
        <v>8325554/</v>
      </c>
      <c r="Q27" s="2" t="str">
        <f t="shared" si="8"/>
        <v>4200006/</v>
      </c>
      <c r="R27" s="2" t="str">
        <f t="shared" si="8"/>
        <v>6933736/</v>
      </c>
      <c r="S27" s="2" t="str">
        <f>IF($D$3=$V$11,AE27,IF($D$3=$AH$11,AQ27,BC27))</f>
        <v>8890185/</v>
      </c>
      <c r="T27" s="1371" t="s">
        <v>4513</v>
      </c>
      <c r="U27" s="1371" t="s">
        <v>4512</v>
      </c>
      <c r="V27" s="8">
        <v>350</v>
      </c>
      <c r="W27" s="1131" t="s">
        <v>2025</v>
      </c>
      <c r="X27" s="1131" t="s">
        <v>2022</v>
      </c>
      <c r="Y27" s="1130" t="s">
        <v>235</v>
      </c>
      <c r="Z27" s="1130" t="s">
        <v>236</v>
      </c>
      <c r="AA27" s="1130" t="s">
        <v>743</v>
      </c>
      <c r="AB27" s="1130" t="s">
        <v>1472</v>
      </c>
      <c r="AC27" s="1134" t="s">
        <v>1856</v>
      </c>
      <c r="AD27" s="1134" t="s">
        <v>1860</v>
      </c>
      <c r="AE27" s="1130" t="s">
        <v>1022</v>
      </c>
      <c r="AF27" s="1371" t="s">
        <v>4513</v>
      </c>
      <c r="AG27" s="1371" t="s">
        <v>4512</v>
      </c>
      <c r="AH27" s="8">
        <v>350</v>
      </c>
      <c r="AI27" s="1133" t="s">
        <v>2019</v>
      </c>
      <c r="AJ27" s="1133" t="s">
        <v>2017</v>
      </c>
      <c r="AK27" s="1133" t="s">
        <v>1630</v>
      </c>
      <c r="AL27" s="1133" t="s">
        <v>1628</v>
      </c>
      <c r="AM27" s="1134" t="s">
        <v>740</v>
      </c>
      <c r="AN27" s="1134" t="s">
        <v>1881</v>
      </c>
      <c r="AO27" s="1134" t="s">
        <v>752</v>
      </c>
      <c r="AP27" s="1134" t="s">
        <v>47</v>
      </c>
      <c r="AQ27" s="1134" t="s">
        <v>1516</v>
      </c>
      <c r="AR27" s="1371" t="s">
        <v>4513</v>
      </c>
      <c r="AS27" s="1371" t="s">
        <v>4512</v>
      </c>
      <c r="AT27" s="8">
        <v>350</v>
      </c>
      <c r="AU27" s="1367" t="s">
        <v>3497</v>
      </c>
      <c r="AV27" s="1367" t="s">
        <v>3498</v>
      </c>
      <c r="AW27" s="1134" t="s">
        <v>795</v>
      </c>
      <c r="AX27" s="1134" t="s">
        <v>797</v>
      </c>
      <c r="AY27" s="1134" t="s">
        <v>1</v>
      </c>
      <c r="AZ27" s="1134" t="s">
        <v>32</v>
      </c>
      <c r="BA27" s="1134" t="s">
        <v>2027</v>
      </c>
      <c r="BB27" s="1134" t="s">
        <v>36</v>
      </c>
      <c r="BC27" s="1134" t="s">
        <v>1021</v>
      </c>
      <c r="BD27" s="1371" t="s">
        <v>4513</v>
      </c>
      <c r="BE27" s="1371" t="s">
        <v>4512</v>
      </c>
      <c r="BM27" s="782"/>
      <c r="BN27" s="835"/>
      <c r="BO27" s="782"/>
      <c r="BP27" s="782"/>
    </row>
    <row r="28" spans="1:68" ht="12.75" customHeight="1" x14ac:dyDescent="0.2">
      <c r="A28" s="2136"/>
      <c r="B28" s="2073"/>
      <c r="C28" s="138" t="s">
        <v>4511</v>
      </c>
      <c r="D28" s="701" t="str">
        <f t="shared" si="4"/>
        <v xml:space="preserve">TBX, Крепл фасада INSERTA, NEW ZSF.39A2 </v>
      </c>
      <c r="E28" s="702">
        <v>2</v>
      </c>
      <c r="F28" s="735">
        <f t="shared" si="5"/>
        <v>43.913469600000006</v>
      </c>
      <c r="G28" s="163">
        <f t="shared" si="6"/>
        <v>87.826939200000012</v>
      </c>
      <c r="H28" s="2089"/>
      <c r="I28" s="782"/>
      <c r="J28" s="8">
        <v>400</v>
      </c>
      <c r="K28" s="2" t="str">
        <f t="shared" si="7"/>
        <v>2824318/</v>
      </c>
      <c r="L28" s="2" t="str">
        <f t="shared" si="7"/>
        <v>2742340/</v>
      </c>
      <c r="M28" s="2" t="str">
        <f t="shared" si="7"/>
        <v>2119830/</v>
      </c>
      <c r="N28" s="2" t="str">
        <f t="shared" si="7"/>
        <v>2120170/</v>
      </c>
      <c r="O28" s="2" t="str">
        <f t="shared" si="7"/>
        <v>4405731/</v>
      </c>
      <c r="P28" s="2" t="str">
        <f t="shared" si="7"/>
        <v>6149921/</v>
      </c>
      <c r="Q28" s="2" t="str">
        <f t="shared" si="8"/>
        <v>6108902/</v>
      </c>
      <c r="R28" s="2" t="str">
        <f t="shared" si="8"/>
        <v>8192172/</v>
      </c>
      <c r="S28" s="2" t="str">
        <f>IF($D$3=$V$11,AE28,IF($D$3=$AH$11,AQ28,BC28))</f>
        <v>8890185/</v>
      </c>
      <c r="T28" s="1371" t="s">
        <v>4516</v>
      </c>
      <c r="U28" s="1371" t="s">
        <v>4515</v>
      </c>
      <c r="V28" s="8">
        <v>400</v>
      </c>
      <c r="W28" s="1131" t="s">
        <v>732</v>
      </c>
      <c r="X28" s="1131" t="s">
        <v>728</v>
      </c>
      <c r="Y28" s="1130" t="s">
        <v>235</v>
      </c>
      <c r="Z28" s="1130" t="s">
        <v>236</v>
      </c>
      <c r="AA28" s="1130" t="s">
        <v>775</v>
      </c>
      <c r="AB28" s="1130" t="s">
        <v>778</v>
      </c>
      <c r="AC28" s="1134" t="s">
        <v>722</v>
      </c>
      <c r="AD28" s="1134" t="s">
        <v>30</v>
      </c>
      <c r="AE28" s="1130" t="s">
        <v>1022</v>
      </c>
      <c r="AF28" s="1371" t="s">
        <v>4516</v>
      </c>
      <c r="AG28" s="1371" t="s">
        <v>4515</v>
      </c>
      <c r="AH28" s="8">
        <v>400</v>
      </c>
      <c r="AI28" s="1133" t="s">
        <v>724</v>
      </c>
      <c r="AJ28" s="1133" t="s">
        <v>723</v>
      </c>
      <c r="AK28" s="1133" t="s">
        <v>1630</v>
      </c>
      <c r="AL28" s="1133" t="s">
        <v>1628</v>
      </c>
      <c r="AM28" s="1134" t="s">
        <v>759</v>
      </c>
      <c r="AN28" s="1134" t="s">
        <v>24</v>
      </c>
      <c r="AO28" s="1134" t="s">
        <v>22</v>
      </c>
      <c r="AP28" s="1134" t="s">
        <v>1874</v>
      </c>
      <c r="AQ28" s="1134" t="s">
        <v>1516</v>
      </c>
      <c r="AR28" s="1371" t="s">
        <v>4516</v>
      </c>
      <c r="AS28" s="1371" t="s">
        <v>4515</v>
      </c>
      <c r="AT28" s="8">
        <v>400</v>
      </c>
      <c r="AU28" s="1367" t="s">
        <v>3495</v>
      </c>
      <c r="AV28" s="1367" t="s">
        <v>3496</v>
      </c>
      <c r="AW28" s="1134" t="s">
        <v>795</v>
      </c>
      <c r="AX28" s="1134" t="s">
        <v>797</v>
      </c>
      <c r="AY28" s="1134" t="s">
        <v>1858</v>
      </c>
      <c r="AZ28" s="1134" t="s">
        <v>1547</v>
      </c>
      <c r="BA28" s="1134" t="s">
        <v>2037</v>
      </c>
      <c r="BB28" s="1134" t="s">
        <v>738</v>
      </c>
      <c r="BC28" s="1134" t="s">
        <v>1021</v>
      </c>
      <c r="BD28" s="1371" t="s">
        <v>4516</v>
      </c>
      <c r="BE28" s="1371" t="s">
        <v>4515</v>
      </c>
      <c r="BM28" s="782"/>
      <c r="BN28" s="835"/>
      <c r="BO28" s="782"/>
      <c r="BP28" s="782"/>
    </row>
    <row r="29" spans="1:68" ht="12.75" customHeight="1" x14ac:dyDescent="0.2">
      <c r="A29" s="2136"/>
      <c r="B29" s="2073"/>
      <c r="C29" s="164" t="str">
        <f>VLOOKUP(C22,maa,10,FALSE)</f>
        <v>8890185/</v>
      </c>
      <c r="D29" s="701" t="str">
        <f t="shared" si="4"/>
        <v>TBX-AA, Загл с лого, сер,сим,ZAA.532C.BL</v>
      </c>
      <c r="E29" s="702">
        <v>2</v>
      </c>
      <c r="F29" s="735">
        <f t="shared" si="5"/>
        <v>8.9453364000000004</v>
      </c>
      <c r="G29" s="163">
        <f t="shared" si="6"/>
        <v>17.890672800000001</v>
      </c>
      <c r="H29" s="2089"/>
      <c r="I29" s="782"/>
      <c r="J29" s="8">
        <v>450</v>
      </c>
      <c r="K29" s="2" t="str">
        <f t="shared" si="7"/>
        <v>6521971/</v>
      </c>
      <c r="L29" s="2" t="str">
        <f t="shared" si="7"/>
        <v>6522234/</v>
      </c>
      <c r="M29" s="2" t="str">
        <f t="shared" si="7"/>
        <v>2119830/</v>
      </c>
      <c r="N29" s="2" t="str">
        <f t="shared" si="7"/>
        <v>2120170/</v>
      </c>
      <c r="O29" s="2" t="str">
        <f t="shared" si="7"/>
        <v>1224358/</v>
      </c>
      <c r="P29" s="2" t="str">
        <f t="shared" si="7"/>
        <v>6175638/</v>
      </c>
      <c r="Q29" s="2" t="str">
        <f t="shared" si="8"/>
        <v>4265611/</v>
      </c>
      <c r="R29" s="2" t="str">
        <f t="shared" si="8"/>
        <v>9925851/</v>
      </c>
      <c r="S29" s="2" t="str">
        <f>IF($D$3=$V$11,AE29,IF($D$3=$AH$11,AQ29,BC29))</f>
        <v>8890185/</v>
      </c>
      <c r="T29" s="1371" t="s">
        <v>4519</v>
      </c>
      <c r="U29" s="1371" t="s">
        <v>4518</v>
      </c>
      <c r="V29" s="8">
        <v>450</v>
      </c>
      <c r="W29" s="1370" t="s">
        <v>3515</v>
      </c>
      <c r="X29" s="1370" t="s">
        <v>3516</v>
      </c>
      <c r="Y29" s="1130" t="s">
        <v>235</v>
      </c>
      <c r="Z29" s="1130" t="s">
        <v>236</v>
      </c>
      <c r="AA29" s="1130" t="s">
        <v>765</v>
      </c>
      <c r="AB29" s="1130" t="s">
        <v>1897</v>
      </c>
      <c r="AC29" s="1134" t="s">
        <v>2039</v>
      </c>
      <c r="AD29" s="1134" t="s">
        <v>751</v>
      </c>
      <c r="AE29" s="1130" t="s">
        <v>1022</v>
      </c>
      <c r="AF29" s="1371" t="s">
        <v>4519</v>
      </c>
      <c r="AG29" s="1371" t="s">
        <v>4518</v>
      </c>
      <c r="AH29" s="8">
        <v>450</v>
      </c>
      <c r="AI29" s="1367" t="s">
        <v>3519</v>
      </c>
      <c r="AJ29" s="1367" t="s">
        <v>3520</v>
      </c>
      <c r="AK29" s="1133" t="s">
        <v>1630</v>
      </c>
      <c r="AL29" s="1133" t="s">
        <v>1628</v>
      </c>
      <c r="AM29" s="1134" t="s">
        <v>2018</v>
      </c>
      <c r="AN29" s="1134" t="s">
        <v>25</v>
      </c>
      <c r="AO29" s="1134" t="s">
        <v>755</v>
      </c>
      <c r="AP29" s="1134" t="s">
        <v>1550</v>
      </c>
      <c r="AQ29" s="1134" t="s">
        <v>1516</v>
      </c>
      <c r="AR29" s="1371" t="s">
        <v>4519</v>
      </c>
      <c r="AS29" s="1371" t="s">
        <v>4518</v>
      </c>
      <c r="AT29" s="8">
        <v>450</v>
      </c>
      <c r="AU29" s="1367" t="s">
        <v>3503</v>
      </c>
      <c r="AV29" s="1367" t="s">
        <v>3504</v>
      </c>
      <c r="AW29" s="1134" t="s">
        <v>795</v>
      </c>
      <c r="AX29" s="1134" t="s">
        <v>797</v>
      </c>
      <c r="AY29" s="1134" t="s">
        <v>729</v>
      </c>
      <c r="AZ29" s="1134" t="s">
        <v>31</v>
      </c>
      <c r="BA29" s="1134" t="s">
        <v>8</v>
      </c>
      <c r="BB29" s="1134" t="s">
        <v>1539</v>
      </c>
      <c r="BC29" s="1134" t="s">
        <v>1021</v>
      </c>
      <c r="BD29" s="1371" t="s">
        <v>4519</v>
      </c>
      <c r="BE29" s="1371" t="s">
        <v>4518</v>
      </c>
      <c r="BM29" s="782"/>
      <c r="BN29" s="836"/>
      <c r="BO29" s="782"/>
      <c r="BP29" s="782"/>
    </row>
    <row r="30" spans="1:68" ht="12.75" customHeight="1" x14ac:dyDescent="0.2">
      <c r="A30" s="2136"/>
      <c r="B30" s="2073"/>
      <c r="C30" s="164" t="str">
        <f>VLOOKUP(C22,maa,11,FALSE)</f>
        <v>8716527/</v>
      </c>
      <c r="D30" s="701" t="str">
        <f t="shared" si="4"/>
        <v>TBX, Напр. с BM, 30 кг, 500 мм, лев. NEW</v>
      </c>
      <c r="E30" s="702">
        <v>1</v>
      </c>
      <c r="F30" s="735">
        <f t="shared" si="5"/>
        <v>424.49687280000001</v>
      </c>
      <c r="G30" s="163">
        <f t="shared" si="6"/>
        <v>424.49687280000001</v>
      </c>
      <c r="H30" s="2089"/>
      <c r="I30" s="782"/>
      <c r="J30" s="8">
        <v>500</v>
      </c>
      <c r="K30" s="2" t="str">
        <f t="shared" si="7"/>
        <v>6723863/</v>
      </c>
      <c r="L30" s="2" t="str">
        <f t="shared" si="7"/>
        <v>6754103/</v>
      </c>
      <c r="M30" s="2" t="str">
        <f t="shared" si="7"/>
        <v>2119830/</v>
      </c>
      <c r="N30" s="2" t="str">
        <f t="shared" si="7"/>
        <v>2120170/</v>
      </c>
      <c r="O30" s="2" t="str">
        <f t="shared" si="7"/>
        <v>5062109/</v>
      </c>
      <c r="P30" s="2" t="str">
        <f t="shared" si="7"/>
        <v>5306499/</v>
      </c>
      <c r="Q30" s="2" t="str">
        <f t="shared" si="8"/>
        <v>4131800/</v>
      </c>
      <c r="R30" s="2" t="str">
        <f t="shared" si="8"/>
        <v>4768140/</v>
      </c>
      <c r="S30" s="2" t="str">
        <f>IF($D$3=$V$11,AE30,IF($D$3=$AH$11,AQ30,BC30))</f>
        <v>8890185/</v>
      </c>
      <c r="T30" s="1371" t="s">
        <v>4522</v>
      </c>
      <c r="U30" s="1371" t="s">
        <v>4521</v>
      </c>
      <c r="V30" s="8">
        <v>500</v>
      </c>
      <c r="W30" s="1370" t="s">
        <v>3518</v>
      </c>
      <c r="X30" s="1370" t="s">
        <v>3517</v>
      </c>
      <c r="Y30" s="1130" t="s">
        <v>235</v>
      </c>
      <c r="Z30" s="1130" t="s">
        <v>236</v>
      </c>
      <c r="AA30" s="1130" t="s">
        <v>28</v>
      </c>
      <c r="AB30" s="1130" t="s">
        <v>1548</v>
      </c>
      <c r="AC30" s="1134" t="s">
        <v>757</v>
      </c>
      <c r="AD30" s="1134" t="s">
        <v>29</v>
      </c>
      <c r="AE30" s="1130" t="s">
        <v>1022</v>
      </c>
      <c r="AF30" s="1371" t="s">
        <v>4522</v>
      </c>
      <c r="AG30" s="1371" t="s">
        <v>4521</v>
      </c>
      <c r="AH30" s="8">
        <v>500</v>
      </c>
      <c r="AI30" s="1367" t="s">
        <v>3521</v>
      </c>
      <c r="AJ30" s="1367" t="s">
        <v>3522</v>
      </c>
      <c r="AK30" s="1133" t="s">
        <v>1630</v>
      </c>
      <c r="AL30" s="1133" t="s">
        <v>1628</v>
      </c>
      <c r="AM30" s="1134" t="s">
        <v>780</v>
      </c>
      <c r="AN30" s="1134" t="s">
        <v>0</v>
      </c>
      <c r="AO30" s="1134" t="s">
        <v>747</v>
      </c>
      <c r="AP30" s="1134" t="s">
        <v>767</v>
      </c>
      <c r="AQ30" s="1134" t="s">
        <v>1516</v>
      </c>
      <c r="AR30" s="1371" t="s">
        <v>4522</v>
      </c>
      <c r="AS30" s="1371" t="s">
        <v>4521</v>
      </c>
      <c r="AT30" s="8">
        <v>500</v>
      </c>
      <c r="AU30" s="1368" t="s">
        <v>3493</v>
      </c>
      <c r="AV30" s="1368" t="s">
        <v>3494</v>
      </c>
      <c r="AW30" s="1134" t="s">
        <v>795</v>
      </c>
      <c r="AX30" s="1134" t="s">
        <v>797</v>
      </c>
      <c r="AY30" s="1134" t="s">
        <v>2028</v>
      </c>
      <c r="AZ30" s="1134" t="s">
        <v>62</v>
      </c>
      <c r="BA30" s="1134" t="s">
        <v>2023</v>
      </c>
      <c r="BB30" s="1134" t="s">
        <v>59</v>
      </c>
      <c r="BC30" s="1134" t="s">
        <v>1021</v>
      </c>
      <c r="BD30" s="1371" t="s">
        <v>4522</v>
      </c>
      <c r="BE30" s="1371" t="s">
        <v>4521</v>
      </c>
      <c r="BM30" s="782"/>
      <c r="BN30" s="782"/>
    </row>
    <row r="31" spans="1:68" ht="12.75" customHeight="1" thickBot="1" x14ac:dyDescent="0.25">
      <c r="A31" s="2136"/>
      <c r="B31" s="2074"/>
      <c r="C31" s="1139" t="str">
        <f>VLOOKUP(C22,maa,12,FALSE)</f>
        <v>8709485/</v>
      </c>
      <c r="D31" s="705" t="str">
        <f t="shared" si="4"/>
        <v xml:space="preserve">TBX, Напр. с BM, 30 кг, 500 мм, пр. NEW </v>
      </c>
      <c r="E31" s="706">
        <v>1</v>
      </c>
      <c r="F31" s="736">
        <f t="shared" si="5"/>
        <v>424.49687280000001</v>
      </c>
      <c r="G31" s="707">
        <f t="shared" si="6"/>
        <v>424.49687280000001</v>
      </c>
      <c r="H31" s="2090"/>
      <c r="I31" s="782"/>
      <c r="J31" s="782"/>
      <c r="K31" s="782">
        <v>2</v>
      </c>
      <c r="L31" s="782">
        <v>3</v>
      </c>
      <c r="M31" s="782">
        <v>4</v>
      </c>
      <c r="N31" s="782">
        <v>5</v>
      </c>
      <c r="O31" s="782">
        <v>6</v>
      </c>
      <c r="P31" s="782">
        <v>7</v>
      </c>
      <c r="Q31" s="782">
        <v>8</v>
      </c>
      <c r="R31" s="782">
        <v>9</v>
      </c>
      <c r="S31" s="782">
        <v>10</v>
      </c>
      <c r="T31" s="782">
        <v>11</v>
      </c>
      <c r="U31" s="782">
        <v>12</v>
      </c>
      <c r="Y31" s="782"/>
      <c r="Z31" s="782"/>
      <c r="AA31" s="782"/>
      <c r="AB31" s="782"/>
      <c r="AC31" s="782"/>
      <c r="AD31" s="782"/>
      <c r="AE31" s="782"/>
      <c r="AK31" s="8"/>
      <c r="AL31" s="8"/>
      <c r="AM31" s="782"/>
      <c r="AN31" s="782"/>
      <c r="AO31" s="782"/>
      <c r="AP31" s="782"/>
      <c r="AQ31" s="782"/>
      <c r="AW31" s="782"/>
      <c r="AX31" s="782"/>
      <c r="AY31" s="782"/>
      <c r="AZ31" s="782"/>
      <c r="BA31" s="782"/>
      <c r="BB31" s="782"/>
      <c r="BC31" s="782"/>
    </row>
    <row r="32" spans="1:68" ht="9" customHeight="1" thickBot="1" x14ac:dyDescent="0.25">
      <c r="A32" s="274"/>
      <c r="B32" s="69"/>
      <c r="C32" s="708"/>
      <c r="D32" s="709"/>
      <c r="E32" s="710"/>
      <c r="F32" s="711"/>
      <c r="G32" s="179"/>
      <c r="H32" s="737"/>
      <c r="I32" s="782"/>
      <c r="J32" s="782"/>
      <c r="K32" s="782"/>
      <c r="L32" s="782"/>
      <c r="M32" s="782"/>
      <c r="N32" s="782"/>
      <c r="O32" s="782"/>
      <c r="P32" s="782"/>
      <c r="Q32" s="782"/>
      <c r="R32" s="782"/>
      <c r="S32" s="782"/>
      <c r="T32" s="782"/>
      <c r="U32" s="782"/>
      <c r="Y32" s="782"/>
      <c r="Z32" s="782"/>
      <c r="AA32" s="782"/>
      <c r="AB32" s="782"/>
      <c r="AC32" s="782"/>
      <c r="AD32" s="782"/>
      <c r="AE32" s="782"/>
      <c r="AK32" s="782"/>
      <c r="AL32" s="782"/>
      <c r="AM32" s="782"/>
      <c r="AN32" s="782"/>
      <c r="AO32" s="782"/>
      <c r="AP32" s="782"/>
      <c r="AQ32" s="782"/>
      <c r="AW32" s="782"/>
      <c r="AX32" s="782"/>
      <c r="AY32" s="782"/>
      <c r="AZ32" s="782"/>
      <c r="BA32" s="782"/>
      <c r="BB32" s="782"/>
      <c r="BC32" s="782"/>
    </row>
    <row r="33" spans="1:101" ht="12.75" customHeight="1" x14ac:dyDescent="0.2">
      <c r="A33" s="274"/>
      <c r="B33" s="690" t="s">
        <v>875</v>
      </c>
      <c r="C33" s="698"/>
      <c r="D33" s="2128" t="s">
        <v>1183</v>
      </c>
      <c r="E33" s="2128"/>
      <c r="F33" s="2128"/>
      <c r="G33" s="2128"/>
      <c r="H33" s="2139"/>
      <c r="I33" s="782"/>
      <c r="J33" s="782"/>
      <c r="K33" s="782"/>
      <c r="L33" s="782"/>
      <c r="M33" s="782"/>
      <c r="N33" s="782"/>
      <c r="O33" s="782"/>
      <c r="P33" s="782"/>
      <c r="Q33" s="782"/>
      <c r="R33" s="782"/>
      <c r="S33" s="782"/>
      <c r="T33" s="782"/>
      <c r="U33" s="782"/>
      <c r="Y33" s="782"/>
      <c r="Z33" s="782"/>
      <c r="AA33" s="782"/>
      <c r="AB33" s="782"/>
      <c r="AC33" s="782"/>
      <c r="AD33" s="782"/>
      <c r="AE33" s="782"/>
      <c r="AK33" s="782"/>
      <c r="AL33" s="782"/>
      <c r="AM33" s="782"/>
      <c r="AN33" s="782"/>
      <c r="AO33" s="782"/>
      <c r="AP33" s="782"/>
      <c r="AQ33" s="782"/>
      <c r="AW33" s="782"/>
      <c r="AX33" s="782"/>
      <c r="AY33" s="782"/>
      <c r="AZ33" s="782"/>
      <c r="BA33" s="782"/>
      <c r="BB33" s="782"/>
      <c r="BC33" s="782"/>
    </row>
    <row r="34" spans="1:101" ht="15.75" thickBot="1" x14ac:dyDescent="0.25">
      <c r="A34" s="274"/>
      <c r="B34" s="1137" t="s">
        <v>1639</v>
      </c>
      <c r="C34" s="170">
        <v>500</v>
      </c>
      <c r="D34" s="73" t="s">
        <v>1689</v>
      </c>
      <c r="E34" s="73"/>
      <c r="F34" s="73"/>
      <c r="G34" s="93"/>
      <c r="H34" s="2125" t="str">
        <f>IF(СОДЕРЖАНИЕ!P2=1,"EUR","RUB")</f>
        <v>RUB</v>
      </c>
      <c r="I34" s="782"/>
      <c r="J34" s="782"/>
      <c r="K34" s="782"/>
      <c r="L34" s="782"/>
      <c r="M34" s="782"/>
      <c r="N34" s="782"/>
      <c r="O34" s="782"/>
      <c r="P34" s="782"/>
      <c r="Q34" s="782"/>
      <c r="R34" s="782"/>
      <c r="S34" s="782"/>
      <c r="T34" s="782"/>
      <c r="U34" s="782"/>
      <c r="Y34" s="782"/>
      <c r="Z34" s="782"/>
      <c r="AA34" s="782"/>
      <c r="AB34" s="782"/>
      <c r="AC34" s="782"/>
      <c r="AD34" s="782"/>
      <c r="AE34" s="782"/>
      <c r="AK34" s="782"/>
      <c r="AL34" s="782"/>
      <c r="AM34" s="782"/>
      <c r="AN34" s="782"/>
      <c r="AO34" s="782"/>
      <c r="AP34" s="782"/>
      <c r="AQ34" s="782"/>
      <c r="AW34" s="782"/>
      <c r="AX34" s="782"/>
      <c r="AY34" s="782"/>
      <c r="AZ34" s="782"/>
      <c r="BA34" s="782"/>
      <c r="BB34" s="782"/>
      <c r="BC34" s="782"/>
      <c r="BG34" s="837"/>
      <c r="BH34" s="837"/>
      <c r="BI34" s="837"/>
      <c r="BJ34" s="837"/>
      <c r="BK34" s="837"/>
    </row>
    <row r="35" spans="1:101" ht="9.9499999999999993" customHeight="1" x14ac:dyDescent="0.2">
      <c r="A35" s="2136"/>
      <c r="B35" s="2137"/>
      <c r="C35" s="695" t="s">
        <v>1301</v>
      </c>
      <c r="D35" s="1093" t="s">
        <v>784</v>
      </c>
      <c r="E35" s="1092" t="s">
        <v>2117</v>
      </c>
      <c r="F35" s="1093"/>
      <c r="G35" s="1153" t="s">
        <v>2116</v>
      </c>
      <c r="H35" s="2126"/>
      <c r="I35" s="782"/>
      <c r="J35" s="782"/>
      <c r="K35" s="782"/>
      <c r="L35" s="1152" t="s">
        <v>3422</v>
      </c>
      <c r="M35" s="782"/>
      <c r="N35" s="782"/>
      <c r="O35" s="1152" t="s">
        <v>2355</v>
      </c>
      <c r="P35" s="1152" t="s">
        <v>2355</v>
      </c>
      <c r="Q35" s="1152"/>
      <c r="R35" s="1152"/>
      <c r="S35" s="1152" t="s">
        <v>1335</v>
      </c>
      <c r="T35" s="1152" t="s">
        <v>1335</v>
      </c>
      <c r="U35" s="782"/>
      <c r="Y35" s="782"/>
      <c r="Z35" s="782"/>
      <c r="AA35" s="782"/>
      <c r="AB35" s="782"/>
      <c r="AC35" s="782"/>
      <c r="AD35" s="782"/>
      <c r="AE35" s="782"/>
      <c r="AK35" s="782"/>
      <c r="AL35" s="782"/>
      <c r="AM35" s="782"/>
      <c r="AN35" s="782"/>
      <c r="AO35" s="782"/>
      <c r="AP35" s="782"/>
      <c r="AQ35" s="782"/>
      <c r="AX35" s="782"/>
      <c r="AY35" s="782"/>
      <c r="AZ35" s="782"/>
      <c r="BA35" s="782"/>
      <c r="BB35" s="782"/>
      <c r="BC35" s="782"/>
      <c r="BG35" s="838"/>
      <c r="BH35" s="838"/>
      <c r="BI35" s="838"/>
      <c r="BJ35" s="838"/>
      <c r="BK35" s="838"/>
    </row>
    <row r="36" spans="1:101" ht="12.75" x14ac:dyDescent="0.2">
      <c r="A36" s="2136"/>
      <c r="B36" s="2073"/>
      <c r="C36" s="1154" t="str">
        <f>VLOOKUP($C$34,maa,2,FALSE)</f>
        <v>6723863/</v>
      </c>
      <c r="D36" s="738" t="str">
        <f t="shared" ref="D36:D45" si="9">VLOOKUP(C36,всецены,2,FALSE)</f>
        <v xml:space="preserve">TBX-A, Царга 83/500 мм, сер, прав. NEW  </v>
      </c>
      <c r="E36" s="739">
        <v>1</v>
      </c>
      <c r="F36" s="1433">
        <f t="shared" ref="F36:F45" si="10">VLOOKUP(C36,всецены,4,FALSE)</f>
        <v>395.22122640000003</v>
      </c>
      <c r="G36" s="741">
        <f t="shared" ref="G36:G45" si="11">F36*E36</f>
        <v>395.22122640000003</v>
      </c>
      <c r="H36" s="2097">
        <f>SUM(G36:G45)</f>
        <v>3038.1615264000002</v>
      </c>
      <c r="I36" s="782"/>
      <c r="J36" s="782"/>
      <c r="K36" s="1134"/>
      <c r="L36" s="1151" t="s">
        <v>3423</v>
      </c>
      <c r="M36" s="1151" t="s">
        <v>3424</v>
      </c>
      <c r="N36" s="1151" t="s">
        <v>3425</v>
      </c>
      <c r="O36" s="1151" t="s">
        <v>3426</v>
      </c>
      <c r="P36" s="1151" t="s">
        <v>3427</v>
      </c>
      <c r="Q36" s="1151"/>
      <c r="R36" s="1151"/>
      <c r="S36" s="1151" t="s">
        <v>3428</v>
      </c>
      <c r="T36" s="1151" t="s">
        <v>3429</v>
      </c>
      <c r="U36" s="1151" t="s">
        <v>3430</v>
      </c>
      <c r="V36" s="1133" t="s">
        <v>3431</v>
      </c>
      <c r="W36" s="1133" t="s">
        <v>3432</v>
      </c>
      <c r="X36" s="1133" t="s">
        <v>3433</v>
      </c>
      <c r="Y36" s="1133" t="s">
        <v>3434</v>
      </c>
      <c r="Z36" s="782"/>
      <c r="AA36" s="782"/>
      <c r="AB36" s="782"/>
      <c r="AC36" s="782"/>
      <c r="AD36" s="782"/>
      <c r="AE36" s="782"/>
      <c r="AK36" s="782"/>
      <c r="AL36" s="782"/>
      <c r="AM36" s="782"/>
      <c r="AN36" s="782"/>
      <c r="AO36" s="782"/>
      <c r="AP36" s="782"/>
      <c r="AQ36" s="782"/>
      <c r="AX36" s="782"/>
      <c r="AY36" s="782"/>
      <c r="AZ36" s="782"/>
      <c r="BA36" s="782"/>
      <c r="BB36" s="782"/>
      <c r="BC36" s="782"/>
      <c r="BG36" s="837"/>
      <c r="BH36" s="837"/>
      <c r="BI36" s="837" t="s">
        <v>1470</v>
      </c>
      <c r="BJ36" s="837" t="s">
        <v>3174</v>
      </c>
      <c r="BK36" s="837" t="s">
        <v>5076</v>
      </c>
    </row>
    <row r="37" spans="1:101" ht="12.75" customHeight="1" x14ac:dyDescent="0.2">
      <c r="A37" s="2136"/>
      <c r="B37" s="2073"/>
      <c r="C37" s="1154" t="str">
        <f>VLOOKUP($C$34,maa,3,FALSE)</f>
        <v>6754103/</v>
      </c>
      <c r="D37" s="1154" t="str">
        <f t="shared" si="9"/>
        <v xml:space="preserve">TBX-A, Царга 83/500 мм, сер, лев. NEW   </v>
      </c>
      <c r="E37" s="1155">
        <v>1</v>
      </c>
      <c r="F37" s="1434">
        <f t="shared" si="10"/>
        <v>395.22122640000003</v>
      </c>
      <c r="G37" s="1156">
        <f t="shared" si="11"/>
        <v>395.22122640000003</v>
      </c>
      <c r="H37" s="2097"/>
      <c r="I37" s="782"/>
      <c r="J37" s="782"/>
      <c r="K37" s="1134" t="s">
        <v>3174</v>
      </c>
      <c r="L37" s="1134" t="s">
        <v>2570</v>
      </c>
      <c r="M37" s="1134" t="s">
        <v>2572</v>
      </c>
      <c r="N37" s="1134" t="s">
        <v>1610</v>
      </c>
      <c r="O37" s="1134" t="s">
        <v>1006</v>
      </c>
      <c r="P37" s="1134" t="s">
        <v>1007</v>
      </c>
      <c r="Q37" s="1134"/>
      <c r="R37" s="1134"/>
      <c r="S37" s="1134" t="s">
        <v>1008</v>
      </c>
      <c r="T37" s="1134" t="s">
        <v>1003</v>
      </c>
      <c r="U37" s="1134" t="s">
        <v>931</v>
      </c>
      <c r="V37" s="1134" t="s">
        <v>2176</v>
      </c>
      <c r="W37" s="1134" t="s">
        <v>2175</v>
      </c>
      <c r="X37" s="1134" t="s">
        <v>1554</v>
      </c>
      <c r="Y37" s="1134" t="s">
        <v>1774</v>
      </c>
      <c r="Z37" s="782"/>
      <c r="AA37" s="782"/>
      <c r="AB37" s="782"/>
      <c r="AC37" s="782"/>
      <c r="AD37" s="782"/>
      <c r="AE37" s="782"/>
      <c r="AK37" s="782"/>
      <c r="AL37" s="782"/>
      <c r="AM37" s="782"/>
      <c r="AN37" s="782"/>
      <c r="AO37" s="782"/>
      <c r="AP37" s="782"/>
      <c r="AQ37" s="782"/>
      <c r="AX37" s="782"/>
      <c r="AY37" s="782"/>
      <c r="AZ37" s="782"/>
      <c r="BA37" s="782"/>
      <c r="BB37" s="782"/>
      <c r="BC37" s="782"/>
      <c r="BI37" s="782" t="s">
        <v>1234</v>
      </c>
      <c r="BK37" s="782" t="s">
        <v>5077</v>
      </c>
    </row>
    <row r="38" spans="1:101" ht="12.75" customHeight="1" x14ac:dyDescent="0.2">
      <c r="A38" s="2136"/>
      <c r="B38" s="2073"/>
      <c r="C38" s="1154" t="str">
        <f>VLOOKUP($C$34,maa,4,FALSE)</f>
        <v>2119830/</v>
      </c>
      <c r="D38" s="1154" t="str">
        <f t="shared" si="9"/>
        <v xml:space="preserve">TBX, Держат. задн. ст, 96 мм, сер, лев. </v>
      </c>
      <c r="E38" s="1155">
        <v>1</v>
      </c>
      <c r="F38" s="1434">
        <f t="shared" si="10"/>
        <v>34.154920799999999</v>
      </c>
      <c r="G38" s="1156">
        <f t="shared" si="11"/>
        <v>34.154920799999999</v>
      </c>
      <c r="H38" s="2097"/>
      <c r="I38" s="782"/>
      <c r="J38" s="782"/>
      <c r="K38" s="1134" t="s">
        <v>2357</v>
      </c>
      <c r="L38" s="1134" t="s">
        <v>1477</v>
      </c>
      <c r="M38" s="1134" t="s">
        <v>1478</v>
      </c>
      <c r="N38" s="1134" t="s">
        <v>1891</v>
      </c>
      <c r="O38" s="1134" t="s">
        <v>1474</v>
      </c>
      <c r="P38" s="1134" t="s">
        <v>1476</v>
      </c>
      <c r="Q38" s="1134"/>
      <c r="R38" s="1134"/>
      <c r="S38" s="1134" t="s">
        <v>1510</v>
      </c>
      <c r="T38" s="1134" t="s">
        <v>1511</v>
      </c>
      <c r="U38" s="1134" t="s">
        <v>1887</v>
      </c>
      <c r="V38" s="1134" t="s">
        <v>1415</v>
      </c>
      <c r="W38" s="1134" t="s">
        <v>1414</v>
      </c>
      <c r="X38" s="1161" t="s">
        <v>1636</v>
      </c>
      <c r="Y38" s="1134" t="s">
        <v>1634</v>
      </c>
      <c r="Z38" s="782"/>
      <c r="AA38" s="782"/>
      <c r="AB38" s="782"/>
      <c r="AC38" s="782"/>
      <c r="AD38" s="782"/>
      <c r="AE38" s="782"/>
      <c r="AK38" s="782"/>
      <c r="AL38" s="782"/>
      <c r="AM38" s="782"/>
      <c r="AN38" s="782"/>
      <c r="AO38" s="782"/>
      <c r="AP38" s="782"/>
      <c r="AQ38" s="782"/>
      <c r="AX38" s="782"/>
      <c r="AY38" s="782"/>
      <c r="AZ38" s="782"/>
      <c r="BA38" s="782"/>
      <c r="BB38" s="782"/>
      <c r="BC38" s="782"/>
      <c r="BI38" s="782" t="s">
        <v>756</v>
      </c>
      <c r="BJ38" s="782" t="s">
        <v>2357</v>
      </c>
      <c r="BK38" s="782" t="s">
        <v>5079</v>
      </c>
    </row>
    <row r="39" spans="1:101" ht="12.75" customHeight="1" x14ac:dyDescent="0.2">
      <c r="A39" s="2136"/>
      <c r="B39" s="2073"/>
      <c r="C39" s="1154" t="str">
        <f>VLOOKUP($C$34,maa,5,FALSE)</f>
        <v>2120170/</v>
      </c>
      <c r="D39" s="1154" t="str">
        <f t="shared" si="9"/>
        <v xml:space="preserve">TBX, Держат. задн. ст, 96 мм, сер, пр.  </v>
      </c>
      <c r="E39" s="1155">
        <v>1</v>
      </c>
      <c r="F39" s="1434">
        <f t="shared" si="10"/>
        <v>34.154920799999999</v>
      </c>
      <c r="G39" s="1156">
        <f t="shared" si="11"/>
        <v>34.154920799999999</v>
      </c>
      <c r="H39" s="2097"/>
      <c r="I39" s="782"/>
      <c r="J39" s="782"/>
      <c r="K39" s="1134" t="s">
        <v>2390</v>
      </c>
      <c r="L39" s="1134" t="s">
        <v>2571</v>
      </c>
      <c r="M39" s="1134" t="s">
        <v>2573</v>
      </c>
      <c r="N39" s="1134" t="s">
        <v>1289</v>
      </c>
      <c r="O39" s="1134" t="s">
        <v>1005</v>
      </c>
      <c r="P39" s="1134" t="s">
        <v>1004</v>
      </c>
      <c r="Q39" s="1134"/>
      <c r="R39" s="1134"/>
      <c r="S39" s="1134" t="s">
        <v>1001</v>
      </c>
      <c r="T39" s="1134" t="s">
        <v>1000</v>
      </c>
      <c r="U39" s="1134" t="s">
        <v>933</v>
      </c>
      <c r="V39" s="1134" t="s">
        <v>2174</v>
      </c>
      <c r="W39" s="1134" t="s">
        <v>1009</v>
      </c>
      <c r="X39" s="1134" t="s">
        <v>2104</v>
      </c>
      <c r="Y39" s="1134" t="s">
        <v>642</v>
      </c>
      <c r="Z39" s="782"/>
      <c r="AA39" s="782"/>
      <c r="AB39" s="782"/>
      <c r="AC39" s="782"/>
      <c r="AD39" s="782"/>
      <c r="AE39" s="782"/>
      <c r="AK39" s="782"/>
      <c r="AL39" s="782"/>
      <c r="AM39" s="782"/>
      <c r="AN39" s="782"/>
      <c r="AO39" s="782"/>
      <c r="AP39" s="782"/>
      <c r="AQ39" s="782"/>
      <c r="AX39" s="782"/>
      <c r="AY39" s="782"/>
      <c r="AZ39" s="782"/>
      <c r="BA39" s="782"/>
      <c r="BB39" s="782"/>
      <c r="BC39" s="782"/>
      <c r="BI39" s="782" t="s">
        <v>737</v>
      </c>
      <c r="BK39" s="782" t="s">
        <v>5078</v>
      </c>
    </row>
    <row r="40" spans="1:101" ht="12.75" customHeight="1" x14ac:dyDescent="0.2">
      <c r="A40" s="2136"/>
      <c r="B40" s="2073"/>
      <c r="C40" s="1154" t="str">
        <f>VLOOKUP($C$34,maa,11,FALSE)</f>
        <v>8716527/</v>
      </c>
      <c r="D40" s="1154" t="str">
        <f t="shared" si="9"/>
        <v>TBX, Напр. с BM, 30 кг, 500 мм, лев. NEW</v>
      </c>
      <c r="E40" s="1155">
        <v>1</v>
      </c>
      <c r="F40" s="1434">
        <f>VLOOKUP(C40,всецены,4,FALSE)</f>
        <v>424.49687280000001</v>
      </c>
      <c r="G40" s="1156">
        <f>F40*E40</f>
        <v>424.49687280000001</v>
      </c>
      <c r="H40" s="2097"/>
      <c r="I40" s="782"/>
      <c r="J40" s="782"/>
      <c r="K40" s="782"/>
      <c r="L40" s="781">
        <v>2</v>
      </c>
      <c r="M40" s="781">
        <v>3</v>
      </c>
      <c r="N40" s="781">
        <v>4</v>
      </c>
      <c r="O40" s="774">
        <v>5</v>
      </c>
      <c r="P40" s="774">
        <v>6</v>
      </c>
      <c r="Q40" s="774">
        <v>7</v>
      </c>
      <c r="R40" s="774">
        <v>8</v>
      </c>
      <c r="S40" s="774">
        <v>9</v>
      </c>
      <c r="T40" s="774">
        <v>10</v>
      </c>
      <c r="U40" s="781">
        <v>11</v>
      </c>
      <c r="V40" s="1136">
        <v>12</v>
      </c>
      <c r="W40" s="1136">
        <v>13</v>
      </c>
      <c r="X40" s="1136">
        <v>14</v>
      </c>
      <c r="Y40" s="781">
        <v>15</v>
      </c>
      <c r="Z40" s="782"/>
      <c r="AA40" s="782"/>
      <c r="AB40" s="782"/>
      <c r="AC40" s="782"/>
      <c r="AD40" s="782"/>
      <c r="AE40" s="782"/>
      <c r="AK40" s="782"/>
      <c r="AL40" s="782"/>
      <c r="AM40" s="782"/>
      <c r="AN40" s="782"/>
      <c r="AO40" s="782"/>
      <c r="AP40" s="782"/>
      <c r="AQ40" s="782"/>
      <c r="AX40" s="782"/>
      <c r="AY40" s="782"/>
      <c r="AZ40" s="782"/>
      <c r="BA40" s="782"/>
      <c r="BB40" s="782"/>
      <c r="BC40" s="782"/>
      <c r="BI40" s="782" t="s">
        <v>2568</v>
      </c>
      <c r="BJ40" s="782" t="s">
        <v>2390</v>
      </c>
      <c r="BK40" s="782" t="s">
        <v>5080</v>
      </c>
    </row>
    <row r="41" spans="1:101" ht="12.75" customHeight="1" x14ac:dyDescent="0.2">
      <c r="A41" s="2136"/>
      <c r="B41" s="2073"/>
      <c r="C41" s="1154" t="str">
        <f>VLOOKUP($C$34,maa,12,FALSE)</f>
        <v>8709485/</v>
      </c>
      <c r="D41" s="1154" t="str">
        <f t="shared" si="9"/>
        <v xml:space="preserve">TBX, Напр. с BM, 30 кг, 500 мм, пр. NEW </v>
      </c>
      <c r="E41" s="1155">
        <v>1</v>
      </c>
      <c r="F41" s="1434">
        <f>VLOOKUP(C41,всецены,4,FALSE)</f>
        <v>424.49687280000001</v>
      </c>
      <c r="G41" s="1156">
        <f>F41*E41</f>
        <v>424.49687280000001</v>
      </c>
      <c r="H41" s="2097"/>
      <c r="I41" s="782"/>
      <c r="J41" s="782"/>
      <c r="K41" s="782"/>
      <c r="L41" s="782"/>
      <c r="M41" s="782"/>
      <c r="N41" s="782"/>
      <c r="U41" s="782"/>
      <c r="Y41" s="782"/>
      <c r="Z41" s="782"/>
      <c r="AA41" s="782"/>
      <c r="AB41" s="782"/>
      <c r="AC41" s="782"/>
      <c r="AD41" s="782"/>
      <c r="AE41" s="782"/>
      <c r="AK41" s="782"/>
      <c r="AL41" s="782"/>
      <c r="AM41" s="782"/>
      <c r="AN41" s="782"/>
      <c r="AO41" s="782"/>
      <c r="AP41" s="782"/>
      <c r="AQ41" s="782"/>
      <c r="AX41" s="782"/>
      <c r="AY41" s="782"/>
      <c r="AZ41" s="782"/>
      <c r="BA41" s="782"/>
      <c r="BB41" s="782"/>
      <c r="BC41" s="782"/>
      <c r="BI41" s="782" t="s">
        <v>2094</v>
      </c>
      <c r="BK41" s="782" t="s">
        <v>5081</v>
      </c>
    </row>
    <row r="42" spans="1:101" ht="12.75" customHeight="1" x14ac:dyDescent="0.2">
      <c r="A42" s="2136"/>
      <c r="B42" s="2073"/>
      <c r="C42" s="1154" t="str">
        <f>VLOOKUP($C$34,maa,10,FALSE)</f>
        <v>8890185/</v>
      </c>
      <c r="D42" s="1154" t="str">
        <f t="shared" si="9"/>
        <v>TBX-AA, Загл с лого, сер,сим,ZAA.532C.BL</v>
      </c>
      <c r="E42" s="1155">
        <v>2</v>
      </c>
      <c r="F42" s="1434">
        <f>VLOOKUP(C42,всецены,4,FALSE)</f>
        <v>8.9453364000000004</v>
      </c>
      <c r="G42" s="1156">
        <f>F42*E42</f>
        <v>17.890672800000001</v>
      </c>
      <c r="H42" s="2097"/>
      <c r="I42" s="782"/>
      <c r="J42" s="782"/>
      <c r="K42" s="782"/>
      <c r="L42" s="782"/>
      <c r="M42" s="782"/>
      <c r="N42" s="782"/>
      <c r="O42" s="782"/>
      <c r="P42" s="782"/>
      <c r="Q42" s="782"/>
      <c r="R42" s="782"/>
      <c r="S42" s="782"/>
      <c r="T42" s="782"/>
      <c r="U42" s="782"/>
      <c r="Y42" s="782"/>
      <c r="Z42" s="782"/>
      <c r="AA42" s="782"/>
      <c r="AB42" s="782"/>
      <c r="AC42" s="782"/>
      <c r="AD42" s="782"/>
      <c r="AE42" s="782"/>
      <c r="AK42" s="782"/>
      <c r="AL42" s="782"/>
      <c r="AM42" s="782"/>
      <c r="AN42" s="782"/>
      <c r="AO42" s="782"/>
      <c r="AP42" s="782"/>
      <c r="AQ42" s="782"/>
      <c r="AX42" s="782"/>
      <c r="AY42" s="782"/>
      <c r="AZ42" s="782"/>
      <c r="BA42" s="782"/>
      <c r="BB42" s="782"/>
      <c r="BC42" s="782"/>
    </row>
    <row r="43" spans="1:101" ht="12.75" customHeight="1" x14ac:dyDescent="0.2">
      <c r="A43" s="2136"/>
      <c r="B43" s="2073"/>
      <c r="C43" s="1157" t="str">
        <f>VLOOKUP($D$3,AAвнутр.,2,FALSE)</f>
        <v>8680066/</v>
      </c>
      <c r="D43" s="1154" t="str">
        <f t="shared" si="9"/>
        <v xml:space="preserve">TBX-AA, Крепл п/п вн сер, лев ZIF.71M0  </v>
      </c>
      <c r="E43" s="1155">
        <v>1</v>
      </c>
      <c r="F43" s="1434">
        <f t="shared" si="10"/>
        <v>62.617354800000001</v>
      </c>
      <c r="G43" s="1156">
        <f t="shared" si="11"/>
        <v>62.617354800000001</v>
      </c>
      <c r="H43" s="2097"/>
      <c r="I43" s="782"/>
      <c r="J43" s="782"/>
      <c r="K43" s="782"/>
      <c r="L43" s="782"/>
      <c r="M43" s="782"/>
      <c r="N43" s="782"/>
      <c r="P43" s="782"/>
      <c r="Q43" s="782"/>
      <c r="R43" s="782"/>
      <c r="S43" s="782"/>
      <c r="T43" s="782"/>
      <c r="Y43" s="782"/>
      <c r="Z43" s="782"/>
      <c r="AA43" s="782"/>
      <c r="AB43" s="782"/>
      <c r="AC43" s="782"/>
      <c r="AD43" s="782"/>
      <c r="AE43" s="782"/>
      <c r="AK43" s="782"/>
      <c r="AL43" s="782"/>
      <c r="AM43" s="782"/>
      <c r="AN43" s="782"/>
      <c r="AO43" s="782"/>
      <c r="AP43" s="782"/>
      <c r="AQ43" s="782"/>
      <c r="AX43" s="782"/>
      <c r="AY43" s="782"/>
      <c r="AZ43" s="782"/>
      <c r="BA43" s="782"/>
      <c r="BB43" s="782"/>
      <c r="BC43" s="782"/>
    </row>
    <row r="44" spans="1:101" ht="12.75" customHeight="1" x14ac:dyDescent="0.2">
      <c r="A44" s="274"/>
      <c r="B44" s="2073"/>
      <c r="C44" s="1157" t="str">
        <f>VLOOKUP($D$3,AAвнутр.,3,FALSE)</f>
        <v>8680136/</v>
      </c>
      <c r="D44" s="1154" t="str">
        <f t="shared" si="9"/>
        <v xml:space="preserve">TBX-AA, Крепл п/п вн сер, прав ZIF.71M0 </v>
      </c>
      <c r="E44" s="1155">
        <v>1</v>
      </c>
      <c r="F44" s="1434">
        <f t="shared" si="10"/>
        <v>62.617354800000001</v>
      </c>
      <c r="G44" s="1156">
        <f t="shared" si="11"/>
        <v>62.617354800000001</v>
      </c>
      <c r="H44" s="2097"/>
      <c r="I44" s="782"/>
      <c r="J44" s="782"/>
      <c r="K44" s="782"/>
      <c r="L44" s="782"/>
      <c r="M44" s="782"/>
      <c r="N44" s="782"/>
      <c r="O44" s="782"/>
      <c r="P44" s="782"/>
      <c r="Q44" s="782"/>
      <c r="R44" s="782"/>
      <c r="S44" s="782"/>
      <c r="T44" s="782"/>
      <c r="U44" s="782"/>
      <c r="Y44" s="782"/>
      <c r="Z44" s="782"/>
      <c r="AA44" s="782"/>
      <c r="AB44" s="782"/>
      <c r="AC44" s="782"/>
      <c r="AD44" s="782"/>
      <c r="AE44" s="782"/>
      <c r="AK44" s="782"/>
      <c r="AL44" s="782"/>
      <c r="AM44" s="782"/>
      <c r="AN44" s="782"/>
      <c r="AO44" s="782"/>
      <c r="AP44" s="782"/>
      <c r="AQ44" s="782"/>
      <c r="AV44" s="8" t="s">
        <v>7160</v>
      </c>
      <c r="AX44" s="782"/>
      <c r="AY44" s="782"/>
      <c r="AZ44" s="782"/>
      <c r="BA44" s="782"/>
      <c r="BB44" s="782"/>
      <c r="BC44" s="782"/>
    </row>
    <row r="45" spans="1:101" ht="12.75" customHeight="1" thickBot="1" x14ac:dyDescent="0.25">
      <c r="A45" s="274"/>
      <c r="B45" s="2074"/>
      <c r="C45" s="1158" t="str">
        <f>VLOOKUP($D$3,AAвнутр.,4,FALSE)</f>
        <v>8479020/</v>
      </c>
      <c r="D45" s="998" t="str">
        <f t="shared" si="9"/>
        <v>TBX-AA, Передн пан п/релинг сер, 1036 мм</v>
      </c>
      <c r="E45" s="1061">
        <v>1</v>
      </c>
      <c r="F45" s="1435">
        <f t="shared" si="10"/>
        <v>1187.2901040000002</v>
      </c>
      <c r="G45" s="742">
        <f t="shared" si="11"/>
        <v>1187.2901040000002</v>
      </c>
      <c r="H45" s="2138"/>
      <c r="I45" s="782"/>
      <c r="J45" s="782"/>
      <c r="K45" s="782"/>
      <c r="L45" s="782"/>
      <c r="M45" s="782"/>
      <c r="N45" s="782"/>
      <c r="P45" s="782"/>
      <c r="Q45" s="782"/>
      <c r="R45" s="782"/>
      <c r="U45" s="782"/>
      <c r="Y45" s="782"/>
      <c r="Z45" s="782"/>
      <c r="AA45" s="782"/>
      <c r="AB45" s="782"/>
      <c r="AC45" s="782"/>
      <c r="AD45" s="782"/>
      <c r="AE45" s="782"/>
      <c r="AK45" s="782"/>
      <c r="AL45" s="782"/>
      <c r="AM45" s="782"/>
      <c r="AN45" s="782"/>
      <c r="AO45" s="782"/>
      <c r="AP45" s="782"/>
      <c r="AQ45" s="782"/>
      <c r="AW45" s="782"/>
      <c r="AX45" s="782"/>
      <c r="AY45" s="782"/>
      <c r="AZ45" s="782"/>
      <c r="BA45" s="782"/>
      <c r="BB45" s="782"/>
      <c r="BC45" s="782"/>
    </row>
    <row r="46" spans="1:101" s="1581" customFormat="1" ht="9" customHeight="1" thickBot="1" x14ac:dyDescent="0.25">
      <c r="A46" s="274"/>
      <c r="B46" s="69"/>
      <c r="C46" s="708"/>
      <c r="D46" s="709"/>
      <c r="E46" s="710"/>
      <c r="F46" s="711"/>
      <c r="G46" s="179"/>
      <c r="H46" s="737"/>
      <c r="I46" s="782"/>
      <c r="J46" s="782"/>
      <c r="K46" s="782"/>
      <c r="L46" s="782"/>
      <c r="M46" s="782"/>
      <c r="N46" s="782"/>
      <c r="O46" s="782"/>
      <c r="P46" s="782"/>
      <c r="Q46" s="782"/>
      <c r="R46" s="782"/>
      <c r="S46" s="782"/>
      <c r="T46" s="782"/>
      <c r="U46" s="782"/>
      <c r="V46" s="8"/>
      <c r="W46" s="8"/>
      <c r="X46" s="8"/>
      <c r="Y46" s="782"/>
      <c r="Z46" s="782"/>
      <c r="AA46" s="782"/>
      <c r="AB46" s="782"/>
      <c r="AC46" s="782"/>
      <c r="AD46" s="782"/>
      <c r="AE46" s="782"/>
      <c r="AF46" s="8"/>
      <c r="AG46" s="8"/>
      <c r="AH46" s="8"/>
      <c r="AI46" s="8"/>
      <c r="AJ46" s="8"/>
      <c r="AK46" s="782"/>
      <c r="AL46" s="782"/>
      <c r="AM46" s="782"/>
      <c r="AN46" s="782"/>
      <c r="AO46" s="782"/>
      <c r="AP46" s="782"/>
      <c r="AQ46" s="782"/>
      <c r="AR46" s="8"/>
      <c r="AS46" s="8"/>
      <c r="AT46" s="8"/>
      <c r="AU46" s="8"/>
      <c r="AV46" s="8"/>
      <c r="AW46" s="782"/>
      <c r="AX46" s="782"/>
      <c r="AY46" s="782"/>
      <c r="AZ46" s="782"/>
      <c r="BA46" s="782"/>
      <c r="BB46" s="782"/>
      <c r="BC46" s="782"/>
      <c r="BD46" s="8"/>
      <c r="BE46" s="8"/>
      <c r="BF46" s="8"/>
      <c r="BG46" s="782"/>
      <c r="BH46" s="782"/>
      <c r="BI46" s="782"/>
      <c r="BJ46" s="782"/>
      <c r="BK46" s="782"/>
      <c r="BL46" s="782"/>
      <c r="BM46" s="771"/>
      <c r="BN46" s="771"/>
      <c r="BO46" s="771"/>
      <c r="BP46" s="771"/>
      <c r="BQ46" s="771"/>
      <c r="BR46" s="771"/>
      <c r="BS46" s="771"/>
      <c r="BT46" s="771"/>
      <c r="BU46" s="771"/>
      <c r="BV46" s="771"/>
      <c r="BW46" s="771"/>
      <c r="BX46" s="771"/>
      <c r="BY46" s="771"/>
      <c r="BZ46" s="771"/>
      <c r="CA46" s="771"/>
      <c r="CB46" s="771"/>
      <c r="CC46" s="771"/>
      <c r="CD46" s="771"/>
      <c r="CE46" s="771"/>
      <c r="CF46" s="771"/>
      <c r="CG46" s="771"/>
      <c r="CH46" s="771"/>
      <c r="CI46" s="771"/>
      <c r="CJ46" s="771"/>
      <c r="CK46" s="771"/>
      <c r="CL46" s="771"/>
      <c r="CM46" s="771"/>
      <c r="CN46" s="771"/>
      <c r="CO46" s="771"/>
      <c r="CP46" s="771"/>
      <c r="CQ46" s="771"/>
      <c r="CR46" s="771"/>
      <c r="CS46" s="771"/>
      <c r="CT46" s="771"/>
      <c r="CU46" s="771"/>
      <c r="CV46" s="771"/>
      <c r="CW46" s="771"/>
    </row>
    <row r="47" spans="1:101" s="1581" customFormat="1" ht="12.75" x14ac:dyDescent="0.2">
      <c r="A47" s="17"/>
      <c r="B47" s="2117" t="s">
        <v>1650</v>
      </c>
      <c r="C47" s="2118"/>
      <c r="D47" s="2118"/>
      <c r="E47" s="2118"/>
      <c r="F47" s="2118"/>
      <c r="G47" s="2118"/>
      <c r="H47" s="427"/>
      <c r="I47" s="8"/>
      <c r="J47" s="8"/>
      <c r="K47" s="8"/>
      <c r="L47" s="8"/>
      <c r="M47" s="8"/>
      <c r="N47" s="8"/>
      <c r="O47" s="8"/>
      <c r="P47" s="8"/>
      <c r="Q47" s="8"/>
      <c r="R47" s="8"/>
      <c r="S47" s="8"/>
      <c r="T47" s="8"/>
      <c r="U47" s="771"/>
      <c r="V47" s="771"/>
      <c r="W47" s="771"/>
      <c r="X47" s="771"/>
      <c r="Y47" s="771"/>
      <c r="Z47" s="771"/>
      <c r="AA47" s="771"/>
      <c r="AB47" s="771"/>
      <c r="AC47" s="771"/>
      <c r="AD47" s="771"/>
      <c r="AE47" s="771"/>
      <c r="AF47" s="771"/>
      <c r="AG47" s="771"/>
      <c r="AH47" s="771"/>
      <c r="AI47" s="771"/>
      <c r="AJ47" s="771"/>
      <c r="AK47" s="771"/>
      <c r="AL47" s="771"/>
      <c r="AM47" s="771"/>
      <c r="AN47" s="771"/>
      <c r="AO47" s="771"/>
      <c r="AP47" s="771"/>
      <c r="AQ47" s="771"/>
      <c r="AR47" s="771"/>
      <c r="AS47" s="771"/>
      <c r="AT47" s="771"/>
      <c r="AU47" s="771"/>
      <c r="AV47" s="771"/>
      <c r="AW47" s="771"/>
      <c r="AX47" s="771"/>
      <c r="AY47" s="771"/>
      <c r="BL47" s="782"/>
      <c r="BM47" s="771"/>
      <c r="BN47" s="771"/>
    </row>
    <row r="48" spans="1:101" s="1581" customFormat="1" ht="12.75" x14ac:dyDescent="0.2">
      <c r="A48" s="17"/>
      <c r="B48" s="2106"/>
      <c r="C48" s="2107"/>
      <c r="D48" s="2107"/>
      <c r="E48" s="2107"/>
      <c r="F48" s="2107"/>
      <c r="G48" s="2107"/>
      <c r="H48" s="426"/>
      <c r="I48" s="8"/>
      <c r="J48" s="8"/>
      <c r="K48" s="8"/>
      <c r="L48" s="8"/>
      <c r="M48" s="8"/>
      <c r="N48" s="8"/>
      <c r="O48" s="8"/>
      <c r="P48" s="8"/>
      <c r="Q48" s="8"/>
      <c r="R48" s="8"/>
      <c r="S48" s="8"/>
      <c r="T48" s="8"/>
      <c r="U48" s="771"/>
      <c r="V48" s="771"/>
      <c r="W48" s="771"/>
      <c r="X48" s="771"/>
      <c r="Y48" s="771"/>
      <c r="Z48" s="771"/>
      <c r="AA48" s="771"/>
      <c r="AB48" s="771"/>
      <c r="AC48" s="771"/>
      <c r="AD48" s="771"/>
      <c r="AE48" s="771"/>
      <c r="AF48" s="771"/>
      <c r="AG48" s="771"/>
      <c r="AH48" s="771"/>
      <c r="AI48" s="771"/>
      <c r="AJ48" s="771"/>
      <c r="AK48" s="771"/>
      <c r="AL48" s="771"/>
      <c r="AM48" s="771"/>
      <c r="AN48" s="771"/>
      <c r="AO48" s="771"/>
      <c r="AP48" s="771"/>
      <c r="AQ48" s="771"/>
      <c r="AR48" s="771"/>
      <c r="AS48" s="771"/>
      <c r="AT48" s="771"/>
      <c r="AU48" s="771"/>
      <c r="AV48" s="771"/>
      <c r="AW48" s="771"/>
      <c r="AX48" s="771"/>
      <c r="AY48" s="771"/>
    </row>
    <row r="49" spans="1:101" s="1581" customFormat="1" ht="12.75" customHeight="1" x14ac:dyDescent="0.2">
      <c r="A49" s="17"/>
      <c r="B49" s="2119"/>
      <c r="C49" s="131"/>
      <c r="D49" s="2120" t="s">
        <v>1650</v>
      </c>
      <c r="E49" s="2120"/>
      <c r="F49" s="2120"/>
      <c r="G49" s="2120"/>
      <c r="H49" s="1657" t="s">
        <v>1850</v>
      </c>
      <c r="I49" s="8"/>
      <c r="J49" s="8"/>
      <c r="K49" s="8"/>
      <c r="L49" s="8"/>
      <c r="M49" s="8"/>
      <c r="N49" s="8"/>
      <c r="O49" s="8"/>
      <c r="P49" s="8"/>
      <c r="Q49" s="8"/>
      <c r="R49" s="8"/>
      <c r="S49" s="8"/>
      <c r="T49" s="8"/>
      <c r="U49" s="771"/>
      <c r="V49" s="771"/>
      <c r="W49" s="771"/>
      <c r="X49" s="771"/>
      <c r="Y49" s="771"/>
      <c r="Z49" s="771"/>
      <c r="AA49" s="771"/>
      <c r="AB49" s="771"/>
      <c r="AC49" s="771"/>
      <c r="AD49" s="771"/>
      <c r="AE49" s="771"/>
      <c r="AF49" s="771"/>
      <c r="AG49" s="771"/>
      <c r="AH49" s="771"/>
      <c r="AI49" s="771"/>
      <c r="AJ49" s="771"/>
      <c r="AK49" s="771"/>
      <c r="AL49" s="771"/>
      <c r="AM49" s="771"/>
      <c r="AN49" s="771"/>
      <c r="AO49" s="771"/>
      <c r="AP49" s="771"/>
      <c r="AQ49" s="771"/>
      <c r="AR49" s="771"/>
      <c r="AS49" s="771"/>
      <c r="AT49" s="771"/>
      <c r="AU49" s="771"/>
      <c r="AV49" s="771"/>
      <c r="AW49" s="771"/>
      <c r="AX49" s="771"/>
      <c r="AY49" s="771"/>
    </row>
    <row r="50" spans="1:101" s="1581" customFormat="1" ht="12.75" x14ac:dyDescent="0.2">
      <c r="A50" s="17"/>
      <c r="B50" s="2030"/>
      <c r="C50" s="1613" t="str">
        <f>IF($D$3=$BJ$36,BI36,IF($D$3=$BJ$38,BI38,BI40))</f>
        <v>4276837/</v>
      </c>
      <c r="D50" s="1566" t="str">
        <f>VLOOKUP(C50,всецены,2,FALSE)</f>
        <v>TBX-A, Ручка б/пов д/вн ящ, сер,ZIF.80M5</v>
      </c>
      <c r="E50" s="1614">
        <v>1</v>
      </c>
      <c r="F50" s="1658">
        <f>VLOOKUP(C50,всецены,4,FALSE)</f>
        <v>303.32822520000002</v>
      </c>
      <c r="G50" s="1615">
        <f>F50</f>
        <v>303.32822520000002</v>
      </c>
      <c r="H50" s="1656">
        <f>F50</f>
        <v>303.32822520000002</v>
      </c>
      <c r="I50" s="8"/>
      <c r="J50" s="8"/>
      <c r="K50" s="8"/>
      <c r="L50" s="8"/>
      <c r="M50" s="8"/>
      <c r="N50" s="8"/>
      <c r="O50" s="8"/>
      <c r="P50" s="8"/>
      <c r="Q50" s="8"/>
      <c r="R50" s="8"/>
      <c r="S50" s="8"/>
      <c r="T50" s="8"/>
      <c r="U50" s="771"/>
      <c r="V50" s="771"/>
      <c r="W50" s="771"/>
      <c r="X50" s="771"/>
      <c r="Y50" s="771"/>
      <c r="Z50" s="771"/>
      <c r="AA50" s="771"/>
      <c r="AB50" s="771"/>
      <c r="AC50" s="771"/>
      <c r="AD50" s="771"/>
      <c r="AE50" s="771"/>
      <c r="AF50" s="771"/>
      <c r="AG50" s="771"/>
      <c r="AH50" s="771"/>
      <c r="AI50" s="771"/>
      <c r="AJ50" s="771"/>
      <c r="AK50" s="771"/>
      <c r="AL50" s="771"/>
      <c r="AM50" s="771"/>
      <c r="AN50" s="771"/>
      <c r="AO50" s="771"/>
      <c r="AP50" s="771"/>
      <c r="AQ50" s="771"/>
      <c r="AR50" s="771"/>
      <c r="AS50" s="771"/>
      <c r="AT50" s="771"/>
      <c r="AU50" s="771"/>
      <c r="AV50" s="771"/>
      <c r="AW50" s="771"/>
      <c r="AX50" s="771"/>
      <c r="AY50" s="771"/>
    </row>
    <row r="51" spans="1:101" s="1581" customFormat="1" ht="13.5" thickBot="1" x14ac:dyDescent="0.25">
      <c r="A51" s="15"/>
      <c r="B51" s="2031"/>
      <c r="C51" s="1616" t="str">
        <f>IF($D$3=$BJ$36,BI37,IF($D$3=$BJ$38,BI39,BI41))</f>
        <v>3350802/</v>
      </c>
      <c r="D51" s="1536" t="str">
        <f>VLOOKUP(C51,всецены,2,FALSE)</f>
        <v>TBX-A, Ручка c/пов д/вн ящ, сер,ZIF.80M7</v>
      </c>
      <c r="E51" s="1617">
        <v>1</v>
      </c>
      <c r="F51" s="1618">
        <f>VLOOKUP(C51,всецены,4,FALSE)</f>
        <v>451.33288199999998</v>
      </c>
      <c r="G51" s="1619">
        <f>F51</f>
        <v>451.33288199999998</v>
      </c>
      <c r="H51" s="1620">
        <f>F51</f>
        <v>451.33288199999998</v>
      </c>
      <c r="I51" s="8"/>
      <c r="J51" s="8"/>
      <c r="K51" s="8"/>
      <c r="L51" s="8"/>
      <c r="M51" s="8"/>
      <c r="N51" s="8"/>
      <c r="O51" s="8"/>
      <c r="P51" s="8"/>
      <c r="Q51" s="8"/>
      <c r="R51" s="8"/>
      <c r="S51" s="8"/>
      <c r="T51" s="8"/>
      <c r="U51" s="771"/>
      <c r="V51" s="771"/>
      <c r="W51" s="771"/>
      <c r="X51" s="771"/>
      <c r="Y51" s="771"/>
      <c r="Z51" s="771"/>
      <c r="AA51" s="771"/>
      <c r="AB51" s="771"/>
      <c r="AC51" s="771"/>
      <c r="AD51" s="771"/>
      <c r="AE51" s="771"/>
      <c r="AF51" s="771"/>
      <c r="AG51" s="771"/>
      <c r="AH51" s="771"/>
      <c r="AI51" s="771"/>
      <c r="AJ51" s="771"/>
      <c r="AK51" s="771"/>
      <c r="AL51" s="771"/>
      <c r="AM51" s="771"/>
      <c r="AN51" s="771"/>
      <c r="AO51" s="771"/>
      <c r="AP51" s="771"/>
      <c r="AQ51" s="771"/>
      <c r="AR51" s="771"/>
      <c r="AS51" s="771"/>
      <c r="AT51" s="771"/>
      <c r="AU51" s="771"/>
      <c r="AV51" s="771"/>
      <c r="AW51" s="771"/>
      <c r="AX51" s="771"/>
      <c r="AY51" s="771"/>
    </row>
    <row r="52" spans="1:101" s="1581" customFormat="1" ht="8.1" customHeight="1" x14ac:dyDescent="0.2">
      <c r="A52" s="314"/>
      <c r="B52" s="1580"/>
      <c r="C52" s="712"/>
      <c r="D52" s="713"/>
      <c r="E52" s="1590"/>
      <c r="F52" s="714"/>
      <c r="G52" s="715"/>
      <c r="H52" s="19"/>
      <c r="I52" s="782"/>
      <c r="J52" s="782"/>
      <c r="K52" s="782"/>
      <c r="L52" s="782"/>
      <c r="M52" s="782"/>
      <c r="N52" s="782"/>
      <c r="O52" s="771"/>
      <c r="P52" s="771"/>
      <c r="Q52" s="771"/>
      <c r="R52" s="771"/>
      <c r="S52" s="782"/>
      <c r="T52" s="782"/>
      <c r="U52" s="782"/>
      <c r="V52" s="8"/>
      <c r="W52" s="8"/>
      <c r="X52" s="8"/>
      <c r="Y52" s="782"/>
      <c r="Z52" s="782"/>
      <c r="AA52" s="782"/>
      <c r="AB52" s="782"/>
      <c r="AC52" s="782"/>
      <c r="AD52" s="782"/>
      <c r="AE52" s="782"/>
      <c r="AF52" s="8"/>
      <c r="AG52" s="8"/>
      <c r="AH52" s="8"/>
      <c r="AI52" s="8"/>
      <c r="AJ52" s="8"/>
      <c r="AK52" s="782"/>
      <c r="AL52" s="782"/>
      <c r="AM52" s="782"/>
      <c r="AN52" s="782"/>
      <c r="AO52" s="782"/>
      <c r="AP52" s="782"/>
      <c r="AQ52" s="782"/>
      <c r="AR52" s="8"/>
      <c r="AS52" s="8"/>
      <c r="AT52" s="8"/>
      <c r="AU52" s="8"/>
      <c r="AV52" s="8"/>
      <c r="AW52" s="782"/>
      <c r="AX52" s="782"/>
      <c r="AY52" s="782"/>
      <c r="AZ52" s="782"/>
      <c r="BA52" s="782"/>
      <c r="BB52" s="782"/>
      <c r="BC52" s="782"/>
      <c r="BD52" s="8"/>
      <c r="BE52" s="8"/>
      <c r="BF52" s="8"/>
      <c r="BG52" s="782"/>
      <c r="BH52" s="782"/>
      <c r="BI52" s="782"/>
      <c r="BJ52" s="782"/>
      <c r="BK52" s="782"/>
      <c r="BO52" s="771"/>
      <c r="BP52" s="771"/>
      <c r="BQ52" s="771"/>
      <c r="BR52" s="771"/>
      <c r="BS52" s="771"/>
      <c r="BT52" s="771"/>
      <c r="BU52" s="771"/>
      <c r="BV52" s="771"/>
      <c r="BW52" s="771"/>
      <c r="BX52" s="771"/>
      <c r="BY52" s="771"/>
      <c r="BZ52" s="771"/>
      <c r="CA52" s="771"/>
      <c r="CB52" s="771"/>
      <c r="CC52" s="771"/>
      <c r="CD52" s="771"/>
      <c r="CE52" s="771"/>
      <c r="CF52" s="771"/>
      <c r="CG52" s="771"/>
      <c r="CH52" s="771"/>
      <c r="CI52" s="771"/>
      <c r="CJ52" s="771"/>
      <c r="CK52" s="771"/>
      <c r="CL52" s="771"/>
      <c r="CM52" s="771"/>
      <c r="CN52" s="771"/>
      <c r="CO52" s="771"/>
      <c r="CP52" s="771"/>
      <c r="CQ52" s="771"/>
      <c r="CR52" s="771"/>
      <c r="CS52" s="771"/>
      <c r="CT52" s="771"/>
      <c r="CU52" s="771"/>
      <c r="CV52" s="771"/>
      <c r="CW52" s="771"/>
    </row>
    <row r="53" spans="1:101" ht="20.100000000000001" customHeight="1" x14ac:dyDescent="0.2">
      <c r="A53" s="274"/>
      <c r="B53" s="2127" t="s">
        <v>3448</v>
      </c>
      <c r="C53" s="2127"/>
      <c r="D53" s="2127"/>
      <c r="E53" s="2127"/>
      <c r="F53" s="2127"/>
      <c r="G53" s="2127"/>
      <c r="H53" s="716"/>
      <c r="I53" s="782"/>
      <c r="J53" s="782"/>
      <c r="K53" s="782"/>
      <c r="L53" s="782"/>
      <c r="M53" s="782"/>
      <c r="N53" s="782"/>
      <c r="O53" s="782"/>
      <c r="P53" s="782"/>
      <c r="Q53" s="782"/>
      <c r="R53" s="782"/>
      <c r="S53" s="782"/>
      <c r="T53" s="782"/>
      <c r="U53" s="782"/>
      <c r="Y53" s="782"/>
      <c r="Z53" s="782"/>
      <c r="AA53" s="782"/>
      <c r="AB53" s="782"/>
      <c r="AC53" s="782"/>
      <c r="AD53" s="782"/>
      <c r="AE53" s="782"/>
      <c r="AK53" s="782"/>
      <c r="AL53" s="782"/>
      <c r="AM53" s="782"/>
      <c r="AN53" s="782"/>
      <c r="AO53" s="782"/>
      <c r="AP53" s="782"/>
      <c r="AQ53" s="782"/>
      <c r="AW53" s="782"/>
      <c r="AX53" s="782"/>
      <c r="AY53" s="782"/>
      <c r="AZ53" s="782"/>
      <c r="BA53" s="782"/>
      <c r="BB53" s="782"/>
      <c r="BC53" s="782"/>
    </row>
    <row r="54" spans="1:101" ht="20.100000000000001" customHeight="1" thickBot="1" x14ac:dyDescent="0.25">
      <c r="A54" s="274"/>
      <c r="B54" s="2140"/>
      <c r="C54" s="2140"/>
      <c r="D54" s="2140"/>
      <c r="E54" s="2140"/>
      <c r="F54" s="2140"/>
      <c r="G54" s="2140"/>
      <c r="H54" s="611" t="str">
        <f>D3</f>
        <v>Серый</v>
      </c>
      <c r="I54" s="782"/>
      <c r="J54" s="782"/>
      <c r="K54" s="782"/>
      <c r="L54" s="782"/>
      <c r="U54" s="782"/>
      <c r="W54" s="158"/>
      <c r="Y54" s="782"/>
      <c r="Z54" s="782"/>
      <c r="AA54" s="782"/>
      <c r="AB54" s="782"/>
      <c r="AC54" s="782"/>
      <c r="AD54" s="782"/>
      <c r="AE54" s="782"/>
      <c r="AI54" s="158"/>
      <c r="AK54" s="782"/>
      <c r="AL54" s="782"/>
      <c r="AM54" s="782"/>
      <c r="AN54" s="782"/>
      <c r="AO54" s="782"/>
      <c r="AP54" s="782"/>
      <c r="AQ54" s="782"/>
      <c r="AU54" s="158"/>
      <c r="AW54" s="782"/>
      <c r="AX54" s="782"/>
      <c r="AY54" s="782"/>
      <c r="AZ54" s="782"/>
      <c r="BA54" s="782"/>
      <c r="BB54" s="782"/>
      <c r="BC54" s="782"/>
    </row>
    <row r="55" spans="1:101" ht="12.75" customHeight="1" x14ac:dyDescent="0.2">
      <c r="A55" s="274"/>
      <c r="B55" s="717"/>
      <c r="C55" s="718"/>
      <c r="D55" s="719"/>
      <c r="E55" s="719"/>
      <c r="F55" s="719"/>
      <c r="G55" s="720"/>
      <c r="H55" s="721"/>
      <c r="I55" s="782"/>
      <c r="J55" s="782"/>
      <c r="K55" s="782"/>
      <c r="L55" s="782"/>
      <c r="S55" s="782"/>
      <c r="T55" s="782"/>
      <c r="U55" s="782"/>
      <c r="Y55" s="782"/>
      <c r="Z55" s="782"/>
      <c r="AA55" s="782"/>
      <c r="AB55" s="782"/>
      <c r="AC55" s="782"/>
      <c r="AD55" s="782"/>
      <c r="AE55" s="782"/>
      <c r="AK55" s="782"/>
      <c r="AL55" s="782"/>
      <c r="AM55" s="782"/>
      <c r="AN55" s="782"/>
      <c r="AO55" s="782"/>
      <c r="AP55" s="782"/>
      <c r="AQ55" s="782"/>
      <c r="AW55" s="782"/>
      <c r="AX55" s="782"/>
      <c r="AY55" s="782"/>
      <c r="AZ55" s="782"/>
      <c r="BA55" s="782"/>
      <c r="BB55" s="782"/>
      <c r="BC55" s="782"/>
      <c r="BO55" s="782"/>
    </row>
    <row r="56" spans="1:101" ht="15.75" thickBot="1" x14ac:dyDescent="0.25">
      <c r="A56" s="274"/>
      <c r="B56" s="410" t="s">
        <v>1639</v>
      </c>
      <c r="C56" s="170">
        <v>500</v>
      </c>
      <c r="D56" s="97" t="s">
        <v>1689</v>
      </c>
      <c r="E56" s="97"/>
      <c r="F56" s="97"/>
      <c r="G56" s="722"/>
      <c r="H56" s="2125" t="str">
        <f>IF(СОДЕРЖАНИЕ!P2=1,"EUR","RUB")</f>
        <v>RUB</v>
      </c>
      <c r="I56" s="782"/>
      <c r="J56" s="782"/>
      <c r="K56" s="782"/>
      <c r="L56" s="782"/>
      <c r="M56" s="782"/>
      <c r="N56" s="782"/>
      <c r="O56" s="782"/>
      <c r="P56" s="782"/>
      <c r="Q56" s="782"/>
      <c r="R56" s="782"/>
      <c r="S56" s="782"/>
      <c r="T56" s="782"/>
      <c r="U56" s="782"/>
      <c r="Y56" s="782"/>
      <c r="Z56" s="782"/>
      <c r="AA56" s="782"/>
      <c r="AB56" s="782"/>
      <c r="AC56" s="782"/>
      <c r="AD56" s="782"/>
      <c r="AE56" s="782"/>
      <c r="AK56" s="782"/>
      <c r="AL56" s="782"/>
      <c r="AM56" s="782"/>
      <c r="AN56" s="782"/>
      <c r="AO56" s="782"/>
      <c r="AP56" s="782"/>
      <c r="AQ56" s="782"/>
      <c r="AW56" s="782"/>
      <c r="AX56" s="782"/>
      <c r="AY56" s="782"/>
      <c r="AZ56" s="782"/>
      <c r="BA56" s="782"/>
      <c r="BB56" s="782"/>
      <c r="BC56" s="782"/>
      <c r="BO56" s="782"/>
    </row>
    <row r="57" spans="1:101" ht="9.9499999999999993" customHeight="1" x14ac:dyDescent="0.2">
      <c r="A57" s="2136"/>
      <c r="B57" s="2072"/>
      <c r="C57" s="135" t="s">
        <v>1301</v>
      </c>
      <c r="D57" s="139" t="s">
        <v>784</v>
      </c>
      <c r="E57" s="140" t="s">
        <v>2117</v>
      </c>
      <c r="F57" s="139"/>
      <c r="G57" s="178" t="s">
        <v>2116</v>
      </c>
      <c r="H57" s="2126"/>
      <c r="I57" s="786"/>
      <c r="J57" s="786"/>
      <c r="K57" s="786"/>
      <c r="L57" s="786"/>
      <c r="M57" s="786"/>
      <c r="N57" s="786"/>
      <c r="O57" s="786"/>
      <c r="P57" s="786"/>
      <c r="Q57" s="786"/>
      <c r="R57" s="786"/>
      <c r="S57" s="786"/>
      <c r="T57" s="786"/>
      <c r="U57" s="786"/>
      <c r="W57" s="88"/>
      <c r="Y57" s="786"/>
      <c r="Z57" s="786"/>
      <c r="AA57" s="786"/>
      <c r="AB57" s="786"/>
      <c r="AC57" s="786"/>
      <c r="AD57" s="786"/>
      <c r="AE57" s="786"/>
      <c r="AI57" s="88"/>
      <c r="AK57" s="786"/>
      <c r="AL57" s="786"/>
      <c r="AM57" s="786"/>
      <c r="AN57" s="786"/>
      <c r="AO57" s="786"/>
      <c r="AP57" s="786"/>
      <c r="AQ57" s="786"/>
      <c r="AU57" s="88"/>
      <c r="AW57" s="786"/>
      <c r="AX57" s="786"/>
      <c r="AY57" s="786"/>
      <c r="AZ57" s="786"/>
      <c r="BA57" s="786"/>
      <c r="BB57" s="786"/>
      <c r="BC57" s="786"/>
    </row>
    <row r="58" spans="1:101" ht="12.75" customHeight="1" x14ac:dyDescent="0.2">
      <c r="A58" s="2136"/>
      <c r="B58" s="2073"/>
      <c r="C58" s="1154" t="str">
        <f>VLOOKUP($C$56,maa,2,FALSE)</f>
        <v>6723863/</v>
      </c>
      <c r="D58" s="43" t="str">
        <f t="shared" ref="D58:D67" si="12">VLOOKUP(C58,всецены,2,FALSE)</f>
        <v xml:space="preserve">TBX-A, Царга 83/500 мм, сер, прав. NEW  </v>
      </c>
      <c r="E58" s="80">
        <v>1</v>
      </c>
      <c r="F58" s="63">
        <f t="shared" ref="F58:F67" si="13">VLOOKUP(C58,всецены,4,FALSE)</f>
        <v>395.22122640000003</v>
      </c>
      <c r="G58" s="723">
        <f t="shared" ref="G58:G67" si="14">F58*E58</f>
        <v>395.22122640000003</v>
      </c>
      <c r="H58" s="2091">
        <f>SUM(G58:G67)</f>
        <v>2250.9719232000002</v>
      </c>
      <c r="I58" s="782"/>
      <c r="P58" s="782"/>
      <c r="Q58" s="782"/>
      <c r="R58" s="782"/>
      <c r="S58" s="782"/>
      <c r="T58" s="782"/>
      <c r="U58" s="782"/>
      <c r="V58" s="96"/>
      <c r="W58" s="28"/>
      <c r="X58" s="28"/>
      <c r="Y58" s="782"/>
      <c r="Z58" s="782"/>
      <c r="AA58" s="782"/>
      <c r="AB58" s="782"/>
      <c r="AC58" s="782"/>
      <c r="AD58" s="782"/>
      <c r="AE58" s="782"/>
      <c r="AH58" s="106" t="s">
        <v>1185</v>
      </c>
      <c r="AK58" s="782"/>
      <c r="AL58" s="782"/>
      <c r="AM58" s="782"/>
      <c r="AN58" s="782"/>
      <c r="AO58" s="782"/>
      <c r="AP58" s="782"/>
      <c r="AQ58" s="782"/>
      <c r="AT58" s="106" t="s">
        <v>1185</v>
      </c>
      <c r="AW58" s="782"/>
      <c r="AX58" s="782"/>
      <c r="AY58" s="782"/>
      <c r="AZ58" s="782"/>
      <c r="BA58" s="782"/>
      <c r="BB58" s="782"/>
      <c r="BC58" s="782"/>
    </row>
    <row r="59" spans="1:101" ht="12.75" customHeight="1" x14ac:dyDescent="0.2">
      <c r="A59" s="2136"/>
      <c r="B59" s="2073"/>
      <c r="C59" s="1154" t="str">
        <f>VLOOKUP($C$56,maa,3,FALSE)</f>
        <v>6754103/</v>
      </c>
      <c r="D59" s="43" t="str">
        <f t="shared" si="12"/>
        <v xml:space="preserve">TBX-A, Царга 83/500 мм, сер, лев. NEW   </v>
      </c>
      <c r="E59" s="80">
        <v>1</v>
      </c>
      <c r="F59" s="63">
        <f>VLOOKUP(C59,всецены,4,FALSE)</f>
        <v>395.22122640000003</v>
      </c>
      <c r="G59" s="723">
        <f>F59*E59</f>
        <v>395.22122640000003</v>
      </c>
      <c r="H59" s="2092"/>
      <c r="I59" s="782"/>
      <c r="P59" s="782"/>
      <c r="Q59" s="782"/>
      <c r="R59" s="782"/>
      <c r="S59" s="782"/>
      <c r="T59" s="782"/>
      <c r="U59" s="782"/>
      <c r="V59" s="28"/>
      <c r="W59" s="781"/>
      <c r="X59" s="781"/>
      <c r="Y59" s="782"/>
      <c r="Z59" s="782"/>
      <c r="AA59" s="782"/>
      <c r="AB59" s="782"/>
      <c r="AC59" s="782"/>
      <c r="AD59" s="782"/>
      <c r="AE59" s="782"/>
      <c r="AF59" s="8" t="s">
        <v>1188</v>
      </c>
      <c r="AG59" s="8" t="s">
        <v>1189</v>
      </c>
      <c r="AI59" s="1124" t="s">
        <v>1186</v>
      </c>
      <c r="AJ59" s="1124" t="s">
        <v>1187</v>
      </c>
      <c r="AK59" s="782"/>
      <c r="AL59" s="782"/>
      <c r="AM59" s="782"/>
      <c r="AN59" s="782"/>
      <c r="AO59" s="782"/>
      <c r="AP59" s="782"/>
      <c r="AQ59" s="782"/>
      <c r="AR59" s="8" t="s">
        <v>1188</v>
      </c>
      <c r="AS59" s="8" t="s">
        <v>1189</v>
      </c>
      <c r="AU59" s="53" t="s">
        <v>1186</v>
      </c>
      <c r="AV59" s="53" t="s">
        <v>1187</v>
      </c>
      <c r="AW59" s="782"/>
      <c r="AX59" s="782"/>
      <c r="AY59" s="782"/>
      <c r="AZ59" s="782"/>
      <c r="BA59" s="782"/>
      <c r="BB59" s="782"/>
      <c r="BC59" s="782"/>
      <c r="BD59" s="8" t="s">
        <v>1188</v>
      </c>
      <c r="BE59" s="8" t="s">
        <v>1189</v>
      </c>
      <c r="BF59" s="53"/>
    </row>
    <row r="60" spans="1:101" ht="12.75" customHeight="1" x14ac:dyDescent="0.2">
      <c r="A60" s="2136"/>
      <c r="B60" s="2073"/>
      <c r="C60" s="1154" t="str">
        <f>VLOOKUP($D$3,AAвнутр.,12,FALSE)</f>
        <v>3258060/</v>
      </c>
      <c r="D60" s="43" t="str">
        <f t="shared" si="12"/>
        <v>TBX, Держат. задн. ст, 191 мм, сер, лев.</v>
      </c>
      <c r="E60" s="80">
        <v>1</v>
      </c>
      <c r="F60" s="63">
        <f t="shared" si="13"/>
        <v>89.453364000000008</v>
      </c>
      <c r="G60" s="723">
        <f t="shared" si="14"/>
        <v>89.453364000000008</v>
      </c>
      <c r="H60" s="2092"/>
      <c r="I60" s="782"/>
      <c r="J60" s="782"/>
      <c r="K60" s="782"/>
      <c r="L60" s="782"/>
      <c r="M60" s="782"/>
      <c r="N60" s="782"/>
      <c r="P60" s="782"/>
      <c r="Q60" s="782"/>
      <c r="R60" s="782"/>
      <c r="S60" s="782"/>
      <c r="T60" s="782"/>
      <c r="U60" s="782"/>
      <c r="V60" s="28"/>
      <c r="W60" s="1160"/>
      <c r="X60" s="1160"/>
      <c r="Y60" s="782"/>
      <c r="Z60" s="782"/>
      <c r="AA60" s="782"/>
      <c r="AB60" s="782"/>
      <c r="AC60" s="782"/>
      <c r="AD60" s="782"/>
      <c r="AE60" s="782"/>
      <c r="AF60" s="696"/>
      <c r="AG60" s="696"/>
      <c r="AH60" s="8">
        <v>269</v>
      </c>
      <c r="AI60" s="696" t="s">
        <v>763</v>
      </c>
      <c r="AJ60" s="696" t="s">
        <v>26</v>
      </c>
      <c r="AK60" s="782"/>
      <c r="AL60" s="782"/>
      <c r="AM60" s="782"/>
      <c r="AN60" s="782"/>
      <c r="AO60" s="782"/>
      <c r="AP60" s="782"/>
      <c r="AQ60" s="782"/>
      <c r="AR60" s="696"/>
      <c r="AS60" s="696"/>
      <c r="AT60" s="8">
        <v>270</v>
      </c>
      <c r="AU60" s="696" t="s">
        <v>763</v>
      </c>
      <c r="AV60" s="696" t="s">
        <v>26</v>
      </c>
      <c r="AW60" s="782"/>
      <c r="AX60" s="782"/>
      <c r="AY60" s="782"/>
      <c r="AZ60" s="782"/>
      <c r="BA60" s="782"/>
      <c r="BB60" s="782"/>
      <c r="BC60" s="782"/>
      <c r="BD60" s="696"/>
      <c r="BE60" s="696"/>
      <c r="BF60" s="28"/>
      <c r="BG60" s="771"/>
      <c r="BH60" s="771"/>
      <c r="BI60" s="771"/>
      <c r="BJ60" s="771"/>
      <c r="BK60" s="771"/>
    </row>
    <row r="61" spans="1:101" ht="12.75" customHeight="1" x14ac:dyDescent="0.2">
      <c r="A61" s="2136"/>
      <c r="B61" s="2073"/>
      <c r="C61" s="1154" t="str">
        <f>VLOOKUP($D$3,AAвнутр.,13,FALSE)</f>
        <v>3257900/</v>
      </c>
      <c r="D61" s="43" t="str">
        <f t="shared" si="12"/>
        <v xml:space="preserve">TBX, Держат. задн. ст, 191 мм, сер, пр. </v>
      </c>
      <c r="E61" s="80">
        <v>1</v>
      </c>
      <c r="F61" s="63">
        <f>VLOOKUP(C61,всецены,4,FALSE)</f>
        <v>89.453364000000008</v>
      </c>
      <c r="G61" s="723">
        <f>F61*E61</f>
        <v>89.453364000000008</v>
      </c>
      <c r="H61" s="2092"/>
      <c r="I61" s="782"/>
      <c r="J61" s="28"/>
      <c r="K61" s="782"/>
      <c r="L61" s="782"/>
      <c r="M61" s="782"/>
      <c r="N61" s="782"/>
      <c r="P61" s="782"/>
      <c r="Q61" s="782"/>
      <c r="R61" s="782"/>
      <c r="S61" s="782"/>
      <c r="T61" s="782"/>
      <c r="U61" s="782"/>
      <c r="V61" s="28"/>
      <c r="W61" s="1160"/>
      <c r="X61" s="1160"/>
      <c r="Y61" s="782"/>
      <c r="Z61" s="782"/>
      <c r="AA61" s="782"/>
      <c r="AB61" s="782"/>
      <c r="AC61" s="782"/>
      <c r="AD61" s="782"/>
      <c r="AE61" s="782"/>
      <c r="AF61" s="696" t="s">
        <v>2027</v>
      </c>
      <c r="AG61" s="696" t="s">
        <v>36</v>
      </c>
      <c r="AH61" s="8">
        <v>349</v>
      </c>
      <c r="AI61" s="696" t="s">
        <v>1</v>
      </c>
      <c r="AJ61" s="696" t="s">
        <v>32</v>
      </c>
      <c r="AK61" s="782"/>
      <c r="AL61" s="782"/>
      <c r="AM61" s="782"/>
      <c r="AN61" s="782"/>
      <c r="AO61" s="782"/>
      <c r="AP61" s="782"/>
      <c r="AQ61" s="782"/>
      <c r="AR61" s="696" t="s">
        <v>2027</v>
      </c>
      <c r="AS61" s="696" t="s">
        <v>36</v>
      </c>
      <c r="AT61" s="8">
        <v>350</v>
      </c>
      <c r="AU61" s="696" t="s">
        <v>1</v>
      </c>
      <c r="AV61" s="696" t="s">
        <v>32</v>
      </c>
      <c r="AW61" s="782"/>
      <c r="AX61" s="782"/>
      <c r="AY61" s="782"/>
      <c r="AZ61" s="782"/>
      <c r="BA61" s="782"/>
      <c r="BB61" s="782"/>
      <c r="BC61" s="782"/>
      <c r="BD61" s="696" t="s">
        <v>2027</v>
      </c>
      <c r="BE61" s="696" t="s">
        <v>36</v>
      </c>
      <c r="BF61" s="28"/>
      <c r="BG61" s="771"/>
      <c r="BH61" s="771"/>
      <c r="BI61" s="771"/>
      <c r="BJ61" s="771"/>
      <c r="BK61" s="771"/>
      <c r="BL61" s="771"/>
    </row>
    <row r="62" spans="1:101" ht="12.75" customHeight="1" x14ac:dyDescent="0.2">
      <c r="A62" s="2136"/>
      <c r="B62" s="2073"/>
      <c r="C62" s="1154" t="str">
        <f>VLOOKUP($C$56,maa,11,FALSE)</f>
        <v>8716527/</v>
      </c>
      <c r="D62" s="43" t="str">
        <f t="shared" si="12"/>
        <v>TBX, Напр. с BM, 30 кг, 500 мм, лев. NEW</v>
      </c>
      <c r="E62" s="80">
        <v>1</v>
      </c>
      <c r="F62" s="63">
        <f>VLOOKUP(C62,всецены,4,FALSE)</f>
        <v>424.49687280000001</v>
      </c>
      <c r="G62" s="723">
        <f>F62*E62</f>
        <v>424.49687280000001</v>
      </c>
      <c r="H62" s="2092"/>
      <c r="I62" s="782"/>
      <c r="J62" s="28"/>
      <c r="K62" s="782"/>
      <c r="L62" s="782"/>
      <c r="M62" s="782"/>
      <c r="N62" s="782"/>
      <c r="P62" s="782"/>
      <c r="Q62" s="782"/>
      <c r="R62" s="782"/>
      <c r="S62" s="782"/>
      <c r="T62" s="782"/>
      <c r="U62" s="782"/>
      <c r="V62" s="28"/>
      <c r="W62" s="1160"/>
      <c r="X62" s="1160"/>
      <c r="Y62" s="782"/>
      <c r="Z62" s="782"/>
      <c r="AA62" s="782"/>
      <c r="AB62" s="782"/>
      <c r="AC62" s="782"/>
      <c r="AD62" s="782"/>
      <c r="AE62" s="782"/>
      <c r="AF62" s="696" t="s">
        <v>2037</v>
      </c>
      <c r="AG62" s="696" t="s">
        <v>738</v>
      </c>
      <c r="AH62" s="8">
        <v>399</v>
      </c>
      <c r="AI62" s="696" t="s">
        <v>1858</v>
      </c>
      <c r="AJ62" s="696" t="s">
        <v>1547</v>
      </c>
      <c r="AK62" s="782"/>
      <c r="AL62" s="782"/>
      <c r="AM62" s="782"/>
      <c r="AN62" s="782"/>
      <c r="AO62" s="782"/>
      <c r="AP62" s="782"/>
      <c r="AQ62" s="782"/>
      <c r="AR62" s="696" t="s">
        <v>2037</v>
      </c>
      <c r="AS62" s="696" t="s">
        <v>738</v>
      </c>
      <c r="AT62" s="8">
        <v>400</v>
      </c>
      <c r="AU62" s="696" t="s">
        <v>1858</v>
      </c>
      <c r="AV62" s="696" t="s">
        <v>1547</v>
      </c>
      <c r="AW62" s="782"/>
      <c r="AX62" s="782"/>
      <c r="AY62" s="782"/>
      <c r="AZ62" s="782"/>
      <c r="BA62" s="782"/>
      <c r="BB62" s="782"/>
      <c r="BC62" s="782"/>
      <c r="BD62" s="696" t="s">
        <v>2037</v>
      </c>
      <c r="BE62" s="696" t="s">
        <v>738</v>
      </c>
      <c r="BF62" s="28"/>
      <c r="BG62" s="771"/>
      <c r="BH62" s="771"/>
      <c r="BI62" s="771"/>
      <c r="BJ62" s="771"/>
      <c r="BK62" s="771"/>
      <c r="BL62" s="771"/>
    </row>
    <row r="63" spans="1:101" ht="12.75" customHeight="1" x14ac:dyDescent="0.2">
      <c r="A63" s="2136"/>
      <c r="B63" s="2073"/>
      <c r="C63" s="1154" t="str">
        <f>VLOOKUP($C$56,maa,12,FALSE)</f>
        <v>8709485/</v>
      </c>
      <c r="D63" s="43" t="str">
        <f t="shared" si="12"/>
        <v xml:space="preserve">TBX, Напр. с BM, 30 кг, 500 мм, пр. NEW </v>
      </c>
      <c r="E63" s="80">
        <v>1</v>
      </c>
      <c r="F63" s="63">
        <f>VLOOKUP(C63,всецены,4,FALSE)</f>
        <v>424.49687280000001</v>
      </c>
      <c r="G63" s="723">
        <f>F63*E63</f>
        <v>424.49687280000001</v>
      </c>
      <c r="H63" s="2092"/>
      <c r="I63" s="782"/>
      <c r="J63" s="28"/>
      <c r="K63" s="782"/>
      <c r="L63" s="782"/>
      <c r="M63" s="782"/>
      <c r="N63" s="782"/>
      <c r="O63" s="782"/>
      <c r="P63" s="782"/>
      <c r="Q63" s="782"/>
      <c r="R63" s="782"/>
      <c r="S63" s="782"/>
      <c r="T63" s="782"/>
      <c r="U63" s="782"/>
      <c r="V63" s="28"/>
      <c r="W63" s="1160"/>
      <c r="X63" s="1160"/>
      <c r="Y63" s="782"/>
      <c r="Z63" s="782"/>
      <c r="AA63" s="782"/>
      <c r="AB63" s="782"/>
      <c r="AC63" s="782"/>
      <c r="AD63" s="782"/>
      <c r="AE63" s="782"/>
      <c r="AF63" s="696" t="s">
        <v>8</v>
      </c>
      <c r="AG63" s="696" t="s">
        <v>1539</v>
      </c>
      <c r="AH63" s="8">
        <v>449</v>
      </c>
      <c r="AI63" s="696" t="s">
        <v>729</v>
      </c>
      <c r="AJ63" s="696" t="s">
        <v>31</v>
      </c>
      <c r="AK63" s="782"/>
      <c r="AL63" s="782"/>
      <c r="AM63" s="782"/>
      <c r="AN63" s="782"/>
      <c r="AO63" s="782"/>
      <c r="AP63" s="782"/>
      <c r="AQ63" s="782"/>
      <c r="AR63" s="696" t="s">
        <v>8</v>
      </c>
      <c r="AS63" s="696" t="s">
        <v>1539</v>
      </c>
      <c r="AT63" s="8">
        <v>450</v>
      </c>
      <c r="AU63" s="696" t="s">
        <v>729</v>
      </c>
      <c r="AV63" s="696" t="s">
        <v>31</v>
      </c>
      <c r="AW63" s="782"/>
      <c r="AX63" s="782"/>
      <c r="AY63" s="782"/>
      <c r="AZ63" s="782"/>
      <c r="BA63" s="782"/>
      <c r="BB63" s="782"/>
      <c r="BC63" s="782"/>
      <c r="BD63" s="696" t="s">
        <v>8</v>
      </c>
      <c r="BE63" s="696" t="s">
        <v>1539</v>
      </c>
      <c r="BF63" s="28"/>
      <c r="BG63" s="771"/>
      <c r="BH63" s="771"/>
      <c r="BI63" s="771"/>
      <c r="BJ63" s="771"/>
      <c r="BK63" s="771"/>
      <c r="BL63" s="771"/>
    </row>
    <row r="64" spans="1:101" ht="12.75" customHeight="1" x14ac:dyDescent="0.2">
      <c r="A64" s="2136"/>
      <c r="B64" s="2073"/>
      <c r="C64" s="1154" t="str">
        <f>VLOOKUP($C$56,maa,10,FALSE)</f>
        <v>8890185/</v>
      </c>
      <c r="D64" s="43" t="str">
        <f>VLOOKUP(C64,всецены,2,FALSE)</f>
        <v>TBX-AA, Загл с лого, сер,сим,ZAA.532C.BL</v>
      </c>
      <c r="E64" s="80">
        <v>2</v>
      </c>
      <c r="F64" s="63">
        <f>VLOOKUP(C64,всецены,4,FALSE)</f>
        <v>8.9453364000000004</v>
      </c>
      <c r="G64" s="723">
        <f t="shared" si="14"/>
        <v>17.890672800000001</v>
      </c>
      <c r="H64" s="2092"/>
      <c r="I64" s="782"/>
      <c r="J64" s="28"/>
      <c r="K64" s="782"/>
      <c r="L64" s="782"/>
      <c r="M64" s="782"/>
      <c r="N64" s="782"/>
      <c r="O64" s="782"/>
      <c r="P64" s="782"/>
      <c r="Q64" s="782"/>
      <c r="R64" s="782"/>
      <c r="S64" s="782"/>
      <c r="T64" s="782"/>
      <c r="U64" s="782"/>
      <c r="V64" s="28"/>
      <c r="W64" s="1160"/>
      <c r="X64" s="1160"/>
      <c r="Y64" s="782"/>
      <c r="Z64" s="782"/>
      <c r="AA64" s="782"/>
      <c r="AB64" s="782"/>
      <c r="AC64" s="782"/>
      <c r="AD64" s="782"/>
      <c r="AE64" s="782"/>
      <c r="AF64" s="696" t="s">
        <v>2023</v>
      </c>
      <c r="AG64" s="696" t="s">
        <v>59</v>
      </c>
      <c r="AH64" s="8">
        <v>499</v>
      </c>
      <c r="AI64" s="696" t="s">
        <v>2028</v>
      </c>
      <c r="AJ64" s="696" t="s">
        <v>62</v>
      </c>
      <c r="AK64" s="782"/>
      <c r="AL64" s="782"/>
      <c r="AM64" s="782"/>
      <c r="AN64" s="782"/>
      <c r="AO64" s="782"/>
      <c r="AP64" s="782"/>
      <c r="AQ64" s="782"/>
      <c r="AR64" s="696" t="s">
        <v>2023</v>
      </c>
      <c r="AS64" s="696" t="s">
        <v>59</v>
      </c>
      <c r="AT64" s="8">
        <v>500</v>
      </c>
      <c r="AU64" s="696" t="s">
        <v>2028</v>
      </c>
      <c r="AV64" s="696" t="s">
        <v>62</v>
      </c>
      <c r="AW64" s="782"/>
      <c r="AX64" s="782"/>
      <c r="AY64" s="782"/>
      <c r="AZ64" s="782"/>
      <c r="BA64" s="782"/>
      <c r="BB64" s="782"/>
      <c r="BC64" s="782"/>
      <c r="BD64" s="696" t="s">
        <v>2023</v>
      </c>
      <c r="BE64" s="696" t="s">
        <v>59</v>
      </c>
      <c r="BF64" s="28"/>
      <c r="BG64" s="771"/>
      <c r="BH64" s="771"/>
      <c r="BI64" s="771"/>
      <c r="BJ64" s="771"/>
      <c r="BK64" s="771"/>
      <c r="BL64" s="771"/>
    </row>
    <row r="65" spans="1:64" ht="12.75" customHeight="1" x14ac:dyDescent="0.2">
      <c r="A65" s="2136"/>
      <c r="B65" s="2073"/>
      <c r="C65" s="1157" t="str">
        <f>VLOOKUP($C$56,maa,6,FALSE)</f>
        <v>5062109/</v>
      </c>
      <c r="D65" s="43" t="str">
        <f t="shared" si="12"/>
        <v xml:space="preserve">TBX-AA, Рел прод 500 мм, сер лев        </v>
      </c>
      <c r="E65" s="80">
        <v>1</v>
      </c>
      <c r="F65" s="63">
        <f t="shared" si="13"/>
        <v>163.45569239999998</v>
      </c>
      <c r="G65" s="723">
        <f t="shared" si="14"/>
        <v>163.45569239999998</v>
      </c>
      <c r="H65" s="2092"/>
      <c r="I65" s="782"/>
      <c r="J65" s="28"/>
      <c r="K65" s="782"/>
      <c r="L65" s="782"/>
      <c r="M65" s="782"/>
      <c r="N65" s="782"/>
      <c r="O65" s="782"/>
      <c r="P65" s="782"/>
      <c r="Q65" s="782"/>
      <c r="R65" s="782"/>
      <c r="S65" s="782"/>
      <c r="T65" s="782"/>
      <c r="U65" s="782"/>
      <c r="V65" s="28"/>
      <c r="W65" s="28"/>
      <c r="X65" s="28"/>
      <c r="Y65" s="782"/>
      <c r="Z65" s="782"/>
      <c r="AA65" s="782"/>
      <c r="AB65" s="782"/>
      <c r="AC65" s="782"/>
      <c r="AD65" s="782"/>
      <c r="AE65" s="782"/>
      <c r="AK65" s="782"/>
      <c r="AL65" s="782"/>
      <c r="AM65" s="782"/>
      <c r="AN65" s="782"/>
      <c r="AO65" s="782"/>
      <c r="AP65" s="782"/>
      <c r="AQ65" s="782"/>
      <c r="AW65" s="782"/>
      <c r="AX65" s="782"/>
      <c r="AY65" s="782"/>
      <c r="AZ65" s="782"/>
      <c r="BA65" s="782"/>
      <c r="BB65" s="782"/>
      <c r="BC65" s="782"/>
      <c r="BG65" s="771"/>
      <c r="BH65" s="771"/>
      <c r="BI65" s="771"/>
      <c r="BJ65" s="771"/>
      <c r="BK65" s="771"/>
      <c r="BL65" s="771"/>
    </row>
    <row r="66" spans="1:64" ht="12.75" customHeight="1" x14ac:dyDescent="0.2">
      <c r="A66" s="2136"/>
      <c r="B66" s="2073"/>
      <c r="C66" s="1157" t="str">
        <f>VLOOKUP($C$56,maa,7,FALSE)</f>
        <v>5306499/</v>
      </c>
      <c r="D66" s="43" t="str">
        <f t="shared" si="12"/>
        <v xml:space="preserve">TBX-AA, Рел прод 500 мм, сер прав       </v>
      </c>
      <c r="E66" s="80">
        <v>1</v>
      </c>
      <c r="F66" s="63">
        <f t="shared" si="13"/>
        <v>163.45569239999998</v>
      </c>
      <c r="G66" s="723">
        <f t="shared" si="14"/>
        <v>163.45569239999998</v>
      </c>
      <c r="H66" s="2092"/>
      <c r="I66" s="782"/>
      <c r="J66" s="782"/>
      <c r="K66" s="782"/>
      <c r="L66" s="782"/>
      <c r="M66" s="782"/>
      <c r="N66" s="782"/>
      <c r="O66" s="782"/>
      <c r="P66" s="782"/>
      <c r="Q66" s="782"/>
      <c r="R66" s="782"/>
      <c r="S66" s="782"/>
      <c r="T66" s="782"/>
      <c r="U66" s="782"/>
      <c r="Y66" s="782"/>
      <c r="Z66" s="782"/>
      <c r="AA66" s="782"/>
      <c r="AB66" s="782"/>
      <c r="AC66" s="782"/>
      <c r="AD66" s="782"/>
      <c r="AE66" s="782"/>
      <c r="AK66" s="782"/>
      <c r="AL66" s="782"/>
      <c r="AM66" s="782"/>
      <c r="AN66" s="782"/>
      <c r="AO66" s="782"/>
      <c r="AP66" s="782"/>
      <c r="AQ66" s="782"/>
      <c r="AW66" s="782"/>
      <c r="AX66" s="782"/>
      <c r="AY66" s="782"/>
      <c r="AZ66" s="782"/>
      <c r="BA66" s="782"/>
      <c r="BB66" s="782"/>
      <c r="BC66" s="782"/>
      <c r="BG66" s="771"/>
      <c r="BH66" s="771"/>
      <c r="BI66" s="771"/>
      <c r="BJ66" s="771"/>
      <c r="BK66" s="771"/>
      <c r="BL66" s="771"/>
    </row>
    <row r="67" spans="1:64" ht="12.75" customHeight="1" thickBot="1" x14ac:dyDescent="0.25">
      <c r="A67" s="2136"/>
      <c r="B67" s="2074"/>
      <c r="C67" s="1139" t="s">
        <v>4511</v>
      </c>
      <c r="D67" s="404" t="str">
        <f t="shared" si="12"/>
        <v xml:space="preserve">TBX, Крепл фасада INSERTA, NEW ZSF.39A2 </v>
      </c>
      <c r="E67" s="381">
        <v>2</v>
      </c>
      <c r="F67" s="435">
        <f t="shared" si="13"/>
        <v>43.913469600000006</v>
      </c>
      <c r="G67" s="726">
        <f t="shared" si="14"/>
        <v>87.826939200000012</v>
      </c>
      <c r="H67" s="2093"/>
      <c r="I67" s="782"/>
      <c r="J67" s="782"/>
      <c r="K67" s="782"/>
      <c r="L67" s="782"/>
      <c r="M67" s="782"/>
      <c r="N67" s="782"/>
      <c r="O67" s="782"/>
      <c r="P67" s="782"/>
      <c r="Q67" s="782"/>
      <c r="R67" s="782"/>
      <c r="S67" s="782"/>
      <c r="T67" s="782"/>
      <c r="U67" s="782"/>
      <c r="Y67" s="782"/>
      <c r="Z67" s="782"/>
      <c r="AA67" s="782"/>
      <c r="AB67" s="782"/>
      <c r="AC67" s="782"/>
      <c r="AD67" s="782"/>
      <c r="AE67" s="782"/>
      <c r="AK67" s="782"/>
      <c r="AL67" s="782"/>
      <c r="AM67" s="782"/>
      <c r="AN67" s="782"/>
      <c r="AO67" s="782"/>
      <c r="AP67" s="782"/>
      <c r="AQ67" s="782"/>
      <c r="AW67" s="782"/>
      <c r="AX67" s="782"/>
      <c r="AY67" s="782"/>
      <c r="AZ67" s="782"/>
      <c r="BA67" s="782"/>
      <c r="BB67" s="782"/>
      <c r="BC67" s="782"/>
      <c r="BG67" s="771"/>
      <c r="BH67" s="771"/>
      <c r="BI67" s="771"/>
      <c r="BJ67" s="771"/>
      <c r="BK67" s="771"/>
      <c r="BL67" s="771"/>
    </row>
    <row r="68" spans="1:64" ht="9" customHeight="1" thickBot="1" x14ac:dyDescent="0.25">
      <c r="A68" s="274"/>
      <c r="B68" s="727"/>
      <c r="C68" s="176"/>
      <c r="D68" s="75"/>
      <c r="E68" s="169"/>
      <c r="F68" s="114"/>
      <c r="G68" s="177"/>
      <c r="H68" s="728"/>
      <c r="I68" s="782"/>
      <c r="J68" s="782"/>
      <c r="K68" s="782"/>
      <c r="L68" s="782"/>
      <c r="M68" s="782"/>
      <c r="N68" s="782"/>
      <c r="O68" s="782"/>
      <c r="P68" s="782"/>
      <c r="Q68" s="782"/>
      <c r="R68" s="782"/>
      <c r="S68" s="782"/>
      <c r="T68" s="782"/>
      <c r="U68" s="782"/>
      <c r="Y68" s="782"/>
      <c r="Z68" s="782"/>
      <c r="AA68" s="782"/>
      <c r="AB68" s="782"/>
      <c r="AC68" s="782"/>
      <c r="AD68" s="782"/>
      <c r="AE68" s="782"/>
      <c r="AK68" s="782"/>
      <c r="AL68" s="782"/>
      <c r="AM68" s="782"/>
      <c r="AN68" s="782"/>
      <c r="AO68" s="782"/>
      <c r="AP68" s="782"/>
      <c r="AQ68" s="782"/>
      <c r="AW68" s="782"/>
      <c r="AX68" s="782"/>
      <c r="AY68" s="782"/>
      <c r="AZ68" s="782"/>
      <c r="BA68" s="782"/>
      <c r="BB68" s="782"/>
      <c r="BC68" s="782"/>
      <c r="BG68" s="771"/>
      <c r="BH68" s="771"/>
      <c r="BI68" s="771"/>
      <c r="BJ68" s="771"/>
      <c r="BK68" s="771"/>
      <c r="BL68" s="771"/>
    </row>
    <row r="69" spans="1:64" ht="12.75" customHeight="1" x14ac:dyDescent="0.2">
      <c r="A69" s="274"/>
      <c r="B69" s="729"/>
      <c r="C69" s="719"/>
      <c r="D69" s="2144" t="s">
        <v>1183</v>
      </c>
      <c r="E69" s="2144"/>
      <c r="F69" s="2144"/>
      <c r="G69" s="2144"/>
      <c r="H69" s="2145"/>
      <c r="I69" s="782"/>
      <c r="J69" s="782"/>
      <c r="K69" s="782"/>
      <c r="L69" s="782"/>
      <c r="M69" s="782"/>
      <c r="N69" s="782"/>
      <c r="O69" s="782"/>
      <c r="P69" s="782"/>
      <c r="Q69" s="782"/>
      <c r="R69" s="782"/>
      <c r="S69" s="782"/>
      <c r="T69" s="782"/>
      <c r="U69" s="782"/>
      <c r="Y69" s="782"/>
      <c r="Z69" s="782"/>
      <c r="AA69" s="782"/>
      <c r="AB69" s="782"/>
      <c r="AC69" s="782"/>
      <c r="AD69" s="782"/>
      <c r="AE69" s="782"/>
      <c r="AK69" s="782"/>
      <c r="AL69" s="782"/>
      <c r="AM69" s="782"/>
      <c r="AN69" s="782"/>
      <c r="AO69" s="782"/>
      <c r="AP69" s="782"/>
      <c r="AQ69" s="782"/>
      <c r="AW69" s="782"/>
      <c r="AX69" s="782"/>
      <c r="AY69" s="782"/>
      <c r="AZ69" s="782"/>
      <c r="BA69" s="782"/>
      <c r="BB69" s="782"/>
      <c r="BC69" s="782"/>
      <c r="BG69" s="771"/>
      <c r="BH69" s="771"/>
      <c r="BI69" s="771"/>
      <c r="BJ69" s="771"/>
      <c r="BK69" s="771"/>
      <c r="BL69" s="771"/>
    </row>
    <row r="70" spans="1:64" ht="15.75" thickBot="1" x14ac:dyDescent="0.25">
      <c r="A70" s="274"/>
      <c r="B70" s="410" t="s">
        <v>1639</v>
      </c>
      <c r="C70" s="170">
        <v>500</v>
      </c>
      <c r="D70" s="97" t="s">
        <v>1689</v>
      </c>
      <c r="E70" s="730"/>
      <c r="F70" s="730"/>
      <c r="G70" s="731"/>
      <c r="H70" s="2125" t="str">
        <f>IF(СОДЕРЖАНИЕ!P2=1,"EUR","RUB")</f>
        <v>RUB</v>
      </c>
      <c r="I70" s="782"/>
      <c r="J70" s="782"/>
      <c r="K70" s="782"/>
      <c r="L70" s="782"/>
      <c r="M70" s="782"/>
      <c r="N70" s="782"/>
      <c r="P70" s="782"/>
      <c r="Q70" s="782"/>
      <c r="R70" s="782"/>
      <c r="S70" s="782"/>
      <c r="T70" s="782"/>
      <c r="U70" s="782"/>
      <c r="Y70" s="782"/>
      <c r="Z70" s="782"/>
      <c r="AA70" s="782"/>
      <c r="AB70" s="782"/>
      <c r="AC70" s="782"/>
      <c r="AD70" s="782"/>
      <c r="AE70" s="782"/>
      <c r="AK70" s="782"/>
      <c r="AL70" s="782"/>
      <c r="AM70" s="782"/>
      <c r="AN70" s="782"/>
      <c r="AO70" s="782"/>
      <c r="AP70" s="782"/>
      <c r="AQ70" s="782"/>
      <c r="AW70" s="782"/>
      <c r="AX70" s="782"/>
      <c r="AY70" s="782"/>
      <c r="AZ70" s="782"/>
      <c r="BA70" s="782"/>
      <c r="BB70" s="782"/>
      <c r="BC70" s="782"/>
      <c r="BG70" s="771"/>
      <c r="BH70" s="771"/>
      <c r="BI70" s="771"/>
      <c r="BJ70" s="771"/>
      <c r="BK70" s="771"/>
      <c r="BL70" s="771"/>
    </row>
    <row r="71" spans="1:64" ht="9" customHeight="1" x14ac:dyDescent="0.2">
      <c r="A71" s="2136"/>
      <c r="B71" s="2072"/>
      <c r="C71" s="135" t="s">
        <v>1301</v>
      </c>
      <c r="D71" s="139" t="s">
        <v>784</v>
      </c>
      <c r="E71" s="140" t="s">
        <v>2117</v>
      </c>
      <c r="F71" s="139"/>
      <c r="G71" s="178" t="s">
        <v>2116</v>
      </c>
      <c r="H71" s="2126"/>
      <c r="I71" s="782"/>
      <c r="J71" s="782"/>
      <c r="K71" s="782"/>
      <c r="L71" s="782"/>
      <c r="M71" s="782"/>
      <c r="N71" s="782"/>
      <c r="P71" s="782"/>
      <c r="Q71" s="782"/>
      <c r="R71" s="782"/>
      <c r="S71" s="782"/>
      <c r="T71" s="782"/>
      <c r="U71" s="782"/>
      <c r="Y71" s="782"/>
      <c r="Z71" s="782"/>
      <c r="AA71" s="782"/>
      <c r="AB71" s="782"/>
      <c r="AC71" s="782"/>
      <c r="AD71" s="782"/>
      <c r="AE71" s="782"/>
      <c r="AK71" s="782"/>
      <c r="AL71" s="782"/>
      <c r="AM71" s="782"/>
      <c r="AN71" s="782"/>
      <c r="AO71" s="782"/>
      <c r="AP71" s="782"/>
      <c r="AQ71" s="782"/>
      <c r="AW71" s="782"/>
      <c r="AX71" s="782"/>
      <c r="AY71" s="782"/>
      <c r="AZ71" s="782"/>
      <c r="BA71" s="782"/>
      <c r="BB71" s="782"/>
      <c r="BC71" s="782"/>
      <c r="BG71" s="771"/>
      <c r="BH71" s="771"/>
      <c r="BI71" s="771"/>
      <c r="BJ71" s="771"/>
      <c r="BK71" s="771"/>
      <c r="BL71" s="771"/>
    </row>
    <row r="72" spans="1:64" ht="12.75" customHeight="1" x14ac:dyDescent="0.2">
      <c r="A72" s="2136"/>
      <c r="B72" s="2073"/>
      <c r="C72" s="1154" t="str">
        <f>VLOOKUP($C$70,maa,2,FALSE)</f>
        <v>6723863/</v>
      </c>
      <c r="D72" s="43" t="str">
        <f t="shared" ref="D72:D84" si="15">VLOOKUP(C72,всецены,2,FALSE)</f>
        <v xml:space="preserve">TBX-A, Царга 83/500 мм, сер, прав. NEW  </v>
      </c>
      <c r="E72" s="80">
        <v>1</v>
      </c>
      <c r="F72" s="63">
        <f t="shared" ref="F72:F84" si="16">VLOOKUP(C72,всецены,4,FALSE)</f>
        <v>395.22122640000003</v>
      </c>
      <c r="G72" s="723">
        <f t="shared" ref="G72:G84" si="17">F72*E72</f>
        <v>395.22122640000003</v>
      </c>
      <c r="H72" s="2141">
        <f>SUM(G72:G84)</f>
        <v>4257.9801263999998</v>
      </c>
      <c r="I72" s="782"/>
      <c r="J72" s="782"/>
      <c r="K72" s="782"/>
      <c r="L72" s="782"/>
      <c r="M72" s="782"/>
      <c r="N72" s="782"/>
      <c r="P72" s="782"/>
      <c r="Q72" s="782"/>
      <c r="R72" s="782"/>
      <c r="S72" s="782"/>
      <c r="T72" s="782"/>
      <c r="U72" s="782"/>
      <c r="Y72" s="782"/>
      <c r="Z72" s="782"/>
      <c r="AA72" s="782"/>
      <c r="AB72" s="782"/>
      <c r="AC72" s="782"/>
      <c r="AD72" s="782"/>
      <c r="AE72" s="782"/>
      <c r="AK72" s="782"/>
      <c r="AL72" s="782"/>
      <c r="AM72" s="782"/>
      <c r="AN72" s="782"/>
      <c r="AO72" s="782"/>
      <c r="AP72" s="782"/>
      <c r="AQ72" s="782"/>
      <c r="AW72" s="782"/>
      <c r="AX72" s="782"/>
      <c r="AY72" s="782"/>
      <c r="AZ72" s="782"/>
      <c r="BA72" s="782"/>
      <c r="BB72" s="782"/>
      <c r="BC72" s="782"/>
      <c r="BG72" s="771"/>
      <c r="BH72" s="771"/>
      <c r="BI72" s="771"/>
      <c r="BJ72" s="771"/>
      <c r="BK72" s="771"/>
      <c r="BL72" s="771"/>
    </row>
    <row r="73" spans="1:64" ht="12.75" customHeight="1" x14ac:dyDescent="0.2">
      <c r="A73" s="2136"/>
      <c r="B73" s="2073"/>
      <c r="C73" s="1154" t="str">
        <f>VLOOKUP($C$70,maa,3,FALSE)</f>
        <v>6754103/</v>
      </c>
      <c r="D73" s="43" t="str">
        <f t="shared" si="15"/>
        <v xml:space="preserve">TBX-A, Царга 83/500 мм, сер, лев. NEW   </v>
      </c>
      <c r="E73" s="80">
        <v>1</v>
      </c>
      <c r="F73" s="63">
        <f t="shared" si="16"/>
        <v>395.22122640000003</v>
      </c>
      <c r="G73" s="723">
        <f t="shared" si="17"/>
        <v>395.22122640000003</v>
      </c>
      <c r="H73" s="2142"/>
      <c r="I73" s="782"/>
      <c r="J73" s="782"/>
      <c r="K73" s="782"/>
      <c r="L73" s="782"/>
      <c r="M73" s="782"/>
      <c r="N73" s="782"/>
      <c r="P73" s="782"/>
      <c r="Q73" s="782"/>
      <c r="R73" s="782"/>
      <c r="S73" s="782"/>
      <c r="T73" s="782"/>
      <c r="U73" s="782"/>
      <c r="Y73" s="782"/>
      <c r="Z73" s="782"/>
      <c r="AA73" s="782"/>
      <c r="AB73" s="782"/>
      <c r="AC73" s="782"/>
      <c r="AD73" s="782"/>
      <c r="AE73" s="782"/>
      <c r="AK73" s="782"/>
      <c r="AL73" s="782"/>
      <c r="AM73" s="782"/>
      <c r="AN73" s="782"/>
      <c r="AO73" s="782"/>
      <c r="AP73" s="782"/>
      <c r="AQ73" s="782"/>
      <c r="AW73" s="782"/>
      <c r="AX73" s="782"/>
      <c r="AY73" s="782"/>
      <c r="AZ73" s="782"/>
      <c r="BA73" s="782"/>
      <c r="BB73" s="782"/>
      <c r="BC73" s="782"/>
      <c r="BG73" s="771"/>
      <c r="BH73" s="771"/>
      <c r="BI73" s="771"/>
      <c r="BJ73" s="771"/>
      <c r="BK73" s="771"/>
      <c r="BL73" s="771"/>
    </row>
    <row r="74" spans="1:64" ht="12.75" customHeight="1" x14ac:dyDescent="0.2">
      <c r="A74" s="2136"/>
      <c r="B74" s="2073"/>
      <c r="C74" s="1154" t="str">
        <f>VLOOKUP($C$70,maa,11,FALSE)</f>
        <v>8716527/</v>
      </c>
      <c r="D74" s="43" t="str">
        <f t="shared" si="15"/>
        <v>TBX, Напр. с BM, 30 кг, 500 мм, лев. NEW</v>
      </c>
      <c r="E74" s="80">
        <v>1</v>
      </c>
      <c r="F74" s="63">
        <f t="shared" si="16"/>
        <v>424.49687280000001</v>
      </c>
      <c r="G74" s="723">
        <f t="shared" si="17"/>
        <v>424.49687280000001</v>
      </c>
      <c r="H74" s="2142"/>
      <c r="I74" s="782"/>
      <c r="J74" s="782"/>
      <c r="K74" s="782"/>
      <c r="L74" s="782"/>
      <c r="M74" s="782"/>
      <c r="N74" s="782"/>
      <c r="U74" s="782"/>
      <c r="Y74" s="782"/>
      <c r="Z74" s="782"/>
      <c r="AA74" s="782"/>
      <c r="AB74" s="782"/>
      <c r="AC74" s="782"/>
      <c r="AD74" s="782"/>
      <c r="AE74" s="782"/>
      <c r="AK74" s="782"/>
      <c r="AL74" s="782"/>
      <c r="AM74" s="782"/>
      <c r="AN74" s="782"/>
      <c r="AO74" s="782"/>
      <c r="AP74" s="782"/>
      <c r="AQ74" s="782"/>
      <c r="AW74" s="782"/>
      <c r="AX74" s="782"/>
      <c r="AY74" s="782"/>
      <c r="AZ74" s="782"/>
      <c r="BA74" s="782"/>
      <c r="BB74" s="782"/>
      <c r="BC74" s="782"/>
      <c r="BG74" s="771"/>
      <c r="BH74" s="771"/>
      <c r="BI74" s="771"/>
      <c r="BJ74" s="771"/>
      <c r="BK74" s="771"/>
      <c r="BL74" s="771"/>
    </row>
    <row r="75" spans="1:64" ht="12.75" customHeight="1" x14ac:dyDescent="0.2">
      <c r="A75" s="2136"/>
      <c r="B75" s="2073"/>
      <c r="C75" s="1154" t="str">
        <f>VLOOKUP($C$70,maa,12,FALSE)</f>
        <v>8709485/</v>
      </c>
      <c r="D75" s="43" t="str">
        <f t="shared" si="15"/>
        <v xml:space="preserve">TBX, Напр. с BM, 30 кг, 500 мм, пр. NEW </v>
      </c>
      <c r="E75" s="80">
        <v>1</v>
      </c>
      <c r="F75" s="63">
        <f t="shared" si="16"/>
        <v>424.49687280000001</v>
      </c>
      <c r="G75" s="723">
        <f t="shared" si="17"/>
        <v>424.49687280000001</v>
      </c>
      <c r="H75" s="2142"/>
      <c r="I75" s="782"/>
      <c r="J75" s="782"/>
      <c r="K75" s="782"/>
      <c r="L75" s="782"/>
      <c r="M75" s="782"/>
      <c r="N75" s="782"/>
      <c r="O75" s="782"/>
      <c r="P75" s="782"/>
      <c r="Q75" s="782"/>
      <c r="R75" s="782"/>
      <c r="S75" s="782"/>
      <c r="T75" s="782"/>
      <c r="U75" s="782"/>
      <c r="Y75" s="782"/>
      <c r="Z75" s="782"/>
      <c r="AA75" s="782"/>
      <c r="AB75" s="782"/>
      <c r="AC75" s="782"/>
      <c r="AD75" s="782"/>
      <c r="AE75" s="782"/>
      <c r="AK75" s="782"/>
      <c r="AL75" s="782"/>
      <c r="AM75" s="782"/>
      <c r="AN75" s="782"/>
      <c r="AO75" s="782"/>
      <c r="AP75" s="782"/>
      <c r="AQ75" s="782"/>
      <c r="AW75" s="782"/>
      <c r="AX75" s="782"/>
      <c r="AY75" s="782"/>
      <c r="AZ75" s="782"/>
      <c r="BA75" s="782"/>
      <c r="BB75" s="782"/>
      <c r="BC75" s="782"/>
      <c r="BG75" s="771"/>
      <c r="BH75" s="771"/>
      <c r="BI75" s="771"/>
      <c r="BJ75" s="771"/>
      <c r="BK75" s="771"/>
      <c r="BL75" s="771"/>
    </row>
    <row r="76" spans="1:64" ht="12.75" customHeight="1" x14ac:dyDescent="0.2">
      <c r="A76" s="2136"/>
      <c r="B76" s="2073"/>
      <c r="C76" s="1154" t="str">
        <f>VLOOKUP($C$70,maa,10,FALSE)</f>
        <v>8890185/</v>
      </c>
      <c r="D76" s="43" t="str">
        <f t="shared" si="15"/>
        <v>TBX-AA, Загл с лого, сер,сим,ZAA.532C.BL</v>
      </c>
      <c r="E76" s="80">
        <v>2</v>
      </c>
      <c r="F76" s="63">
        <f t="shared" si="16"/>
        <v>8.9453364000000004</v>
      </c>
      <c r="G76" s="723">
        <f t="shared" si="17"/>
        <v>17.890672800000001</v>
      </c>
      <c r="H76" s="2142"/>
      <c r="I76" s="782"/>
      <c r="J76" s="782"/>
      <c r="K76" s="782"/>
      <c r="L76" s="782"/>
      <c r="M76" s="782"/>
      <c r="N76" s="782"/>
      <c r="O76" s="782"/>
      <c r="P76" s="782"/>
      <c r="Q76" s="782"/>
      <c r="R76" s="782"/>
      <c r="S76" s="782"/>
      <c r="T76" s="782"/>
      <c r="U76" s="782"/>
      <c r="V76" s="1123"/>
      <c r="W76" s="1123"/>
      <c r="X76" s="1123"/>
      <c r="Y76" s="782"/>
      <c r="Z76" s="782"/>
      <c r="AA76" s="782"/>
      <c r="AB76" s="782"/>
      <c r="AC76" s="782"/>
      <c r="AD76" s="782"/>
      <c r="AE76" s="782"/>
      <c r="AF76" s="1123"/>
      <c r="AG76" s="1123"/>
      <c r="AH76" s="1123"/>
      <c r="AI76" s="1123"/>
      <c r="AJ76" s="1123"/>
      <c r="AK76" s="782"/>
      <c r="AL76" s="782"/>
      <c r="AM76" s="782"/>
      <c r="AN76" s="782"/>
      <c r="AO76" s="782"/>
      <c r="AP76" s="782"/>
      <c r="AQ76" s="782"/>
      <c r="AR76" s="1123"/>
      <c r="AS76" s="1123"/>
      <c r="AT76"/>
      <c r="AU76"/>
      <c r="AV76"/>
      <c r="AW76" s="782"/>
      <c r="AX76" s="782"/>
      <c r="AY76" s="782"/>
      <c r="AZ76" s="782"/>
      <c r="BA76" s="782"/>
      <c r="BB76" s="782"/>
      <c r="BC76" s="782"/>
      <c r="BD76"/>
      <c r="BE76"/>
      <c r="BF76"/>
      <c r="BG76" s="771"/>
      <c r="BH76" s="771"/>
      <c r="BI76" s="771"/>
      <c r="BJ76" s="771"/>
      <c r="BK76" s="771"/>
      <c r="BL76" s="771"/>
    </row>
    <row r="77" spans="1:64" ht="12.75" customHeight="1" x14ac:dyDescent="0.2">
      <c r="A77" s="2136"/>
      <c r="B77" s="2073"/>
      <c r="C77" s="1157" t="str">
        <f>VLOOKUP($D$3,AAвнутр.,5,FALSE)</f>
        <v>8679796/</v>
      </c>
      <c r="D77" s="43" t="str">
        <f t="shared" si="15"/>
        <v xml:space="preserve">TBX-AA, Крепл п/п вн сер, лев ZIF.74C0  </v>
      </c>
      <c r="E77" s="80">
        <v>1</v>
      </c>
      <c r="F77" s="63">
        <f t="shared" si="16"/>
        <v>115.4761608</v>
      </c>
      <c r="G77" s="723">
        <f t="shared" si="17"/>
        <v>115.4761608</v>
      </c>
      <c r="H77" s="2142"/>
      <c r="I77" s="782"/>
      <c r="J77" s="782"/>
      <c r="K77" s="782"/>
      <c r="L77" s="782"/>
      <c r="M77" s="782"/>
      <c r="N77" s="782"/>
      <c r="O77" s="782"/>
      <c r="P77" s="782"/>
      <c r="Q77" s="782"/>
      <c r="R77" s="782"/>
      <c r="S77" s="782"/>
      <c r="T77" s="782"/>
      <c r="U77" s="782"/>
      <c r="V77" s="1123"/>
      <c r="W77" s="1123"/>
      <c r="X77" s="1123"/>
      <c r="Y77" s="782"/>
      <c r="Z77" s="782"/>
      <c r="AA77" s="782"/>
      <c r="AB77" s="782"/>
      <c r="AC77" s="782"/>
      <c r="AD77" s="782"/>
      <c r="AE77" s="782"/>
      <c r="AF77" s="1123"/>
      <c r="AG77" s="1123"/>
      <c r="AH77" s="1123"/>
      <c r="AI77" s="1123"/>
      <c r="AJ77" s="1123"/>
      <c r="AK77" s="782"/>
      <c r="AL77" s="782"/>
      <c r="AM77" s="782"/>
      <c r="AN77" s="782"/>
      <c r="AO77" s="782"/>
      <c r="AP77" s="782"/>
      <c r="AQ77" s="782"/>
      <c r="AR77" s="1123"/>
      <c r="AS77" s="1123"/>
      <c r="AT77"/>
      <c r="AU77"/>
      <c r="AV77"/>
      <c r="AW77" s="782"/>
      <c r="AX77" s="782"/>
      <c r="AY77" s="782"/>
      <c r="AZ77" s="782"/>
      <c r="BA77" s="782"/>
      <c r="BB77" s="782"/>
      <c r="BC77" s="782"/>
      <c r="BD77"/>
      <c r="BE77"/>
      <c r="BF77"/>
      <c r="BG77" s="771"/>
      <c r="BH77" s="771"/>
      <c r="BI77" s="771"/>
      <c r="BJ77" s="771"/>
      <c r="BK77" s="771"/>
      <c r="BL77" s="771"/>
    </row>
    <row r="78" spans="1:64" ht="12.75" customHeight="1" x14ac:dyDescent="0.2">
      <c r="A78" s="2136"/>
      <c r="B78" s="2073"/>
      <c r="C78" s="1157" t="str">
        <f>VLOOKUP($D$3,AAвнутр.,6,FALSE)</f>
        <v>8679866/</v>
      </c>
      <c r="D78" s="43" t="str">
        <f t="shared" si="15"/>
        <v xml:space="preserve">TBX-AA, Крепл п/п вн сер, прав ZIF.74C0 </v>
      </c>
      <c r="E78" s="80">
        <v>1</v>
      </c>
      <c r="F78" s="63">
        <f t="shared" si="16"/>
        <v>115.4761608</v>
      </c>
      <c r="G78" s="723">
        <f t="shared" si="17"/>
        <v>115.4761608</v>
      </c>
      <c r="H78" s="2142"/>
      <c r="I78" s="782"/>
      <c r="J78" s="782"/>
      <c r="K78" s="782"/>
      <c r="L78" s="782"/>
      <c r="M78" s="782"/>
      <c r="N78" s="782"/>
      <c r="O78" s="782"/>
      <c r="P78" s="782"/>
      <c r="Q78" s="782"/>
      <c r="R78" s="782"/>
      <c r="S78" s="782"/>
      <c r="T78" s="782"/>
      <c r="U78" s="782"/>
      <c r="V78" s="1123"/>
      <c r="W78" s="1123"/>
      <c r="X78" s="1123"/>
      <c r="Y78" s="782"/>
      <c r="Z78" s="782"/>
      <c r="AA78" s="782"/>
      <c r="AB78" s="782"/>
      <c r="AC78" s="782"/>
      <c r="AD78" s="782"/>
      <c r="AE78" s="782"/>
      <c r="AF78" s="1123"/>
      <c r="AG78" s="1123"/>
      <c r="AH78" s="1123"/>
      <c r="AI78" s="1123"/>
      <c r="AJ78" s="1123"/>
      <c r="AK78" s="782"/>
      <c r="AL78" s="782"/>
      <c r="AM78" s="782"/>
      <c r="AN78" s="782"/>
      <c r="AO78" s="782"/>
      <c r="AP78" s="782"/>
      <c r="AQ78" s="782"/>
      <c r="AR78" s="1123"/>
      <c r="AS78" s="1123"/>
      <c r="AT78"/>
      <c r="AU78"/>
      <c r="AV78"/>
      <c r="AW78" s="782"/>
      <c r="AX78" s="782"/>
      <c r="AY78" s="782"/>
      <c r="AZ78" s="782"/>
      <c r="BA78" s="782"/>
      <c r="BB78" s="782"/>
      <c r="BC78" s="782"/>
      <c r="BD78"/>
      <c r="BE78"/>
      <c r="BF78"/>
      <c r="BG78" s="771"/>
      <c r="BH78" s="771"/>
      <c r="BI78" s="771"/>
      <c r="BJ78" s="771"/>
      <c r="BK78" s="771"/>
      <c r="BL78" s="771"/>
    </row>
    <row r="79" spans="1:64" ht="12.75" customHeight="1" x14ac:dyDescent="0.2">
      <c r="A79" s="2136"/>
      <c r="B79" s="2073"/>
      <c r="C79" s="1157" t="str">
        <f>VLOOKUP($C$70,maa,8,FALSE)</f>
        <v>4131800/</v>
      </c>
      <c r="D79" s="43" t="str">
        <f t="shared" si="15"/>
        <v xml:space="preserve">TBX-AA, Рел прод д/вн, 500мм, сер, лев  </v>
      </c>
      <c r="E79" s="80">
        <v>1</v>
      </c>
      <c r="F79" s="63">
        <f t="shared" si="16"/>
        <v>224.4466224</v>
      </c>
      <c r="G79" s="723">
        <f t="shared" si="17"/>
        <v>224.4466224</v>
      </c>
      <c r="H79" s="2142"/>
      <c r="I79" s="782"/>
      <c r="J79" s="782"/>
      <c r="K79" s="782"/>
      <c r="L79" s="782"/>
      <c r="M79" s="782"/>
      <c r="N79" s="782"/>
      <c r="O79" s="782"/>
      <c r="P79" s="782"/>
      <c r="Q79" s="782"/>
      <c r="R79" s="782"/>
      <c r="S79" s="782"/>
      <c r="T79" s="782"/>
      <c r="U79" s="782"/>
      <c r="V79" s="1123"/>
      <c r="W79" s="1123"/>
      <c r="X79" s="1123"/>
      <c r="Y79" s="782"/>
      <c r="Z79" s="782"/>
      <c r="AA79" s="782"/>
      <c r="AB79" s="782"/>
      <c r="AC79" s="782"/>
      <c r="AD79" s="782"/>
      <c r="AE79" s="782"/>
      <c r="AF79" s="1123"/>
      <c r="AG79" s="1123"/>
      <c r="AH79" s="1123"/>
      <c r="AI79" s="1123"/>
      <c r="AJ79" s="1123"/>
      <c r="AK79" s="782"/>
      <c r="AL79" s="782"/>
      <c r="AM79" s="782"/>
      <c r="AN79" s="782"/>
      <c r="AO79" s="782"/>
      <c r="AP79" s="782"/>
      <c r="AQ79" s="782"/>
      <c r="AR79" s="1123"/>
      <c r="AS79" s="1123"/>
      <c r="AT79"/>
      <c r="AU79"/>
      <c r="AV79"/>
      <c r="AW79" s="782"/>
      <c r="AX79" s="782"/>
      <c r="AY79" s="782"/>
      <c r="AZ79" s="782"/>
      <c r="BA79" s="782"/>
      <c r="BB79" s="782"/>
      <c r="BC79" s="782"/>
      <c r="BD79"/>
      <c r="BE79"/>
      <c r="BF79"/>
      <c r="BG79" s="771"/>
      <c r="BH79" s="771"/>
      <c r="BI79" s="771"/>
      <c r="BJ79" s="771"/>
      <c r="BK79" s="771"/>
      <c r="BL79" s="771"/>
    </row>
    <row r="80" spans="1:64" ht="12.75" customHeight="1" x14ac:dyDescent="0.2">
      <c r="A80" s="2136"/>
      <c r="B80" s="2073"/>
      <c r="C80" s="1157" t="str">
        <f>VLOOKUP($C$70,maa,9,FALSE)</f>
        <v>4768140/</v>
      </c>
      <c r="D80" s="43" t="str">
        <f t="shared" si="15"/>
        <v xml:space="preserve">TBX-AA, Рел прод д/вн, 500мм, сер, прав </v>
      </c>
      <c r="E80" s="80">
        <v>1</v>
      </c>
      <c r="F80" s="63">
        <f t="shared" si="16"/>
        <v>224.4466224</v>
      </c>
      <c r="G80" s="723">
        <f t="shared" si="17"/>
        <v>224.4466224</v>
      </c>
      <c r="H80" s="2142"/>
      <c r="I80" s="782"/>
      <c r="J80" s="782"/>
      <c r="K80" s="782"/>
      <c r="L80" s="782"/>
      <c r="M80" s="782"/>
      <c r="N80" s="782"/>
      <c r="O80" s="782"/>
      <c r="P80" s="782"/>
      <c r="Q80" s="782"/>
      <c r="R80" s="782"/>
      <c r="S80" s="782"/>
      <c r="T80" s="782"/>
      <c r="U80" s="782"/>
      <c r="V80" s="1123"/>
      <c r="W80" s="1123"/>
      <c r="X80" s="1123"/>
      <c r="Y80" s="782"/>
      <c r="Z80" s="782"/>
      <c r="AA80" s="782"/>
      <c r="AB80" s="782"/>
      <c r="AC80" s="782"/>
      <c r="AD80" s="782"/>
      <c r="AE80" s="782"/>
      <c r="AF80" s="1123"/>
      <c r="AG80" s="1123"/>
      <c r="AH80" s="1123"/>
      <c r="AI80" s="1123"/>
      <c r="AJ80" s="1123"/>
      <c r="AK80" s="782"/>
      <c r="AL80" s="782"/>
      <c r="AM80" s="782"/>
      <c r="AN80" s="782"/>
      <c r="AO80" s="782"/>
      <c r="AP80" s="782"/>
      <c r="AQ80" s="782"/>
      <c r="AR80" s="1123"/>
      <c r="AS80" s="1123"/>
      <c r="AT80"/>
      <c r="AU80"/>
      <c r="AV80"/>
      <c r="AW80" s="782"/>
      <c r="AX80" s="782"/>
      <c r="AY80" s="782"/>
      <c r="AZ80" s="782"/>
      <c r="BA80" s="782"/>
      <c r="BB80" s="782"/>
      <c r="BC80" s="782"/>
      <c r="BD80"/>
      <c r="BE80"/>
      <c r="BF80"/>
      <c r="BG80" s="771"/>
      <c r="BH80" s="771"/>
      <c r="BI80" s="771"/>
      <c r="BJ80" s="771"/>
      <c r="BK80" s="771"/>
      <c r="BL80" s="771"/>
    </row>
    <row r="81" spans="1:64" ht="12.75" customHeight="1" x14ac:dyDescent="0.2">
      <c r="A81" s="2136"/>
      <c r="B81" s="2073"/>
      <c r="C81" s="1154" t="str">
        <f>VLOOKUP($D$3,AAвнутр.,12,FALSE)</f>
        <v>3258060/</v>
      </c>
      <c r="D81" s="43" t="str">
        <f t="shared" si="15"/>
        <v>TBX, Держат. задн. ст, 191 мм, сер, лев.</v>
      </c>
      <c r="E81" s="80">
        <v>1</v>
      </c>
      <c r="F81" s="63">
        <f t="shared" si="16"/>
        <v>89.453364000000008</v>
      </c>
      <c r="G81" s="723">
        <f t="shared" si="17"/>
        <v>89.453364000000008</v>
      </c>
      <c r="H81" s="2142"/>
      <c r="I81" s="782"/>
      <c r="J81" s="782"/>
      <c r="K81" s="782"/>
      <c r="L81" s="782"/>
      <c r="M81" s="782"/>
      <c r="N81" s="782"/>
      <c r="O81" s="782"/>
      <c r="P81" s="782"/>
      <c r="Q81" s="782"/>
      <c r="R81" s="782"/>
      <c r="S81" s="782"/>
      <c r="T81" s="782"/>
      <c r="U81" s="782"/>
      <c r="V81" s="1123"/>
      <c r="W81" s="1123"/>
      <c r="X81" s="1123"/>
      <c r="Y81" s="782"/>
      <c r="Z81" s="782"/>
      <c r="AA81" s="782"/>
      <c r="AB81" s="782"/>
      <c r="AC81" s="782"/>
      <c r="AD81" s="782"/>
      <c r="AE81" s="782"/>
      <c r="AF81" s="1123"/>
      <c r="AG81" s="1123"/>
      <c r="AH81" s="1123"/>
      <c r="AI81" s="1123"/>
      <c r="AJ81" s="1123"/>
      <c r="AK81" s="782"/>
      <c r="AL81" s="782"/>
      <c r="AM81" s="782"/>
      <c r="AN81" s="782"/>
      <c r="AO81" s="782"/>
      <c r="AP81" s="782"/>
      <c r="AQ81" s="782"/>
      <c r="AR81" s="1123"/>
      <c r="AS81" s="1123"/>
      <c r="AT81"/>
      <c r="AU81"/>
      <c r="AV81"/>
      <c r="AW81" s="782"/>
      <c r="AX81" s="782"/>
      <c r="AY81" s="782"/>
      <c r="AZ81" s="782"/>
      <c r="BA81" s="782"/>
      <c r="BB81" s="782"/>
      <c r="BC81" s="782"/>
      <c r="BD81"/>
      <c r="BE81"/>
      <c r="BF81"/>
      <c r="BG81" s="771"/>
      <c r="BH81" s="771"/>
      <c r="BI81" s="771"/>
      <c r="BJ81" s="771"/>
      <c r="BK81" s="771"/>
      <c r="BL81" s="771"/>
    </row>
    <row r="82" spans="1:64" ht="12.75" customHeight="1" x14ac:dyDescent="0.2">
      <c r="A82" s="700"/>
      <c r="B82" s="2073"/>
      <c r="C82" s="1154" t="str">
        <f>VLOOKUP($D$3,AAвнутр.,13,FALSE)</f>
        <v>3257900/</v>
      </c>
      <c r="D82" s="43" t="str">
        <f t="shared" si="15"/>
        <v xml:space="preserve">TBX, Держат. задн. ст, 191 мм, сер, пр. </v>
      </c>
      <c r="E82" s="80">
        <v>1</v>
      </c>
      <c r="F82" s="63">
        <f t="shared" si="16"/>
        <v>89.453364000000008</v>
      </c>
      <c r="G82" s="723">
        <f t="shared" si="17"/>
        <v>89.453364000000008</v>
      </c>
      <c r="H82" s="2142"/>
      <c r="I82" s="782"/>
      <c r="J82" s="782"/>
      <c r="K82" s="782"/>
      <c r="L82" s="782"/>
      <c r="M82" s="782"/>
      <c r="N82" s="782"/>
      <c r="O82" s="782"/>
      <c r="P82" s="782"/>
      <c r="Q82" s="782"/>
      <c r="R82" s="782"/>
      <c r="S82" s="782"/>
      <c r="T82" s="782"/>
      <c r="U82" s="782"/>
      <c r="V82" s="1123"/>
      <c r="W82" s="1123"/>
      <c r="X82" s="1123"/>
      <c r="Y82" s="782"/>
      <c r="Z82" s="782"/>
      <c r="AA82" s="782"/>
      <c r="AB82" s="782"/>
      <c r="AC82" s="782"/>
      <c r="AD82" s="782"/>
      <c r="AE82" s="782"/>
      <c r="AF82" s="1123"/>
      <c r="AG82" s="1123"/>
      <c r="AH82" s="1123"/>
      <c r="AI82" s="1123"/>
      <c r="AJ82" s="1123"/>
      <c r="AK82" s="782"/>
      <c r="AL82" s="782"/>
      <c r="AM82" s="782"/>
      <c r="AN82" s="782"/>
      <c r="AO82" s="782"/>
      <c r="AP82" s="782"/>
      <c r="AQ82" s="782"/>
      <c r="AR82" s="1123"/>
      <c r="AS82" s="1123"/>
      <c r="AT82"/>
      <c r="AU82"/>
      <c r="AV82"/>
      <c r="AW82" s="782"/>
      <c r="AX82" s="782"/>
      <c r="AY82" s="782"/>
      <c r="AZ82" s="782"/>
      <c r="BA82" s="782"/>
      <c r="BB82" s="782"/>
      <c r="BC82" s="782"/>
      <c r="BD82"/>
      <c r="BE82"/>
      <c r="BF82"/>
      <c r="BG82" s="771"/>
      <c r="BH82" s="771"/>
      <c r="BI82" s="771"/>
      <c r="BJ82" s="771"/>
      <c r="BK82" s="771"/>
      <c r="BL82" s="771"/>
    </row>
    <row r="83" spans="1:64" ht="12.75" customHeight="1" x14ac:dyDescent="0.2">
      <c r="A83" s="274"/>
      <c r="B83" s="2073"/>
      <c r="C83" s="1157" t="str">
        <f>VLOOKUP($D$3,AAвнутр.,4,FALSE)</f>
        <v>8479020/</v>
      </c>
      <c r="D83" s="43" t="str">
        <f t="shared" si="15"/>
        <v>TBX-AA, Передн пан п/релинг сер, 1036 мм</v>
      </c>
      <c r="E83" s="80">
        <v>1</v>
      </c>
      <c r="F83" s="63">
        <f t="shared" si="16"/>
        <v>1187.2901040000002</v>
      </c>
      <c r="G83" s="723">
        <f t="shared" si="17"/>
        <v>1187.2901040000002</v>
      </c>
      <c r="H83" s="2142"/>
      <c r="I83" s="782"/>
      <c r="J83" s="782"/>
      <c r="K83" s="782"/>
      <c r="L83" s="782"/>
      <c r="M83" s="782"/>
      <c r="N83" s="782"/>
      <c r="O83" s="782"/>
      <c r="P83" s="782"/>
      <c r="Q83" s="782"/>
      <c r="R83" s="782"/>
      <c r="S83" s="782"/>
      <c r="T83" s="782"/>
      <c r="U83" s="782"/>
      <c r="V83" s="1123"/>
      <c r="W83" s="1123"/>
      <c r="X83" s="1123"/>
      <c r="Y83" s="782"/>
      <c r="Z83" s="782"/>
      <c r="AA83" s="782"/>
      <c r="AB83" s="782"/>
      <c r="AC83" s="782"/>
      <c r="AD83" s="782"/>
      <c r="AE83" s="782"/>
      <c r="AF83" s="1123"/>
      <c r="AG83" s="1123"/>
      <c r="AH83" s="1123"/>
      <c r="AI83" s="1123"/>
      <c r="AJ83" s="1123"/>
      <c r="AK83" s="782"/>
      <c r="AL83" s="782"/>
      <c r="AM83" s="782"/>
      <c r="AN83" s="782"/>
      <c r="AO83" s="782"/>
      <c r="AP83" s="782"/>
      <c r="AQ83" s="782"/>
      <c r="AR83" s="1123"/>
      <c r="AS83" s="1123"/>
      <c r="AT83"/>
      <c r="AU83"/>
      <c r="AV83"/>
      <c r="AW83" s="782"/>
      <c r="AX83" s="782"/>
      <c r="AY83" s="782"/>
      <c r="AZ83" s="782"/>
      <c r="BA83" s="782"/>
      <c r="BB83" s="782"/>
      <c r="BC83" s="782"/>
      <c r="BD83"/>
      <c r="BE83"/>
      <c r="BF83"/>
      <c r="BG83" s="771"/>
      <c r="BH83" s="771"/>
      <c r="BI83" s="771"/>
      <c r="BJ83" s="771"/>
      <c r="BK83" s="771"/>
      <c r="BL83" s="771"/>
    </row>
    <row r="84" spans="1:64" ht="12.75" customHeight="1" thickBot="1" x14ac:dyDescent="0.25">
      <c r="B84" s="2074"/>
      <c r="C84" s="1158" t="str">
        <f>VLOOKUP($D$3,AAвнутр.,11,FALSE)</f>
        <v>8473390/</v>
      </c>
      <c r="D84" s="404" t="str">
        <f t="shared" si="15"/>
        <v xml:space="preserve">TBX-AA, Рел д/пер панели, сер, 1046 мм  </v>
      </c>
      <c r="E84" s="381">
        <v>1</v>
      </c>
      <c r="F84" s="435">
        <f t="shared" si="16"/>
        <v>554.61085679999997</v>
      </c>
      <c r="G84" s="726">
        <f t="shared" si="17"/>
        <v>554.61085679999997</v>
      </c>
      <c r="H84" s="2143"/>
      <c r="I84" s="782"/>
      <c r="J84" s="782"/>
      <c r="K84" s="782"/>
      <c r="L84" s="782"/>
      <c r="M84" s="782"/>
      <c r="N84" s="782"/>
      <c r="O84" s="782"/>
      <c r="P84" s="782"/>
      <c r="Q84" s="782"/>
      <c r="R84" s="782"/>
      <c r="S84" s="782"/>
      <c r="T84" s="782"/>
      <c r="U84" s="782"/>
      <c r="V84" s="1123"/>
      <c r="W84" s="1123"/>
      <c r="X84" s="1123"/>
      <c r="Y84" s="782"/>
      <c r="Z84" s="782"/>
      <c r="AA84" s="782"/>
      <c r="AB84" s="782"/>
      <c r="AC84" s="782"/>
      <c r="AD84" s="782"/>
      <c r="AE84" s="782"/>
      <c r="AF84" s="1123"/>
      <c r="AG84" s="1123"/>
      <c r="AH84" s="1123"/>
      <c r="AI84" s="1123"/>
      <c r="AJ84" s="1123"/>
      <c r="AK84" s="782"/>
      <c r="AL84" s="782"/>
      <c r="AM84" s="782"/>
      <c r="AN84" s="782"/>
      <c r="AO84" s="782"/>
      <c r="AP84" s="782"/>
      <c r="AQ84" s="782"/>
      <c r="AR84" s="1123"/>
      <c r="AS84" s="1123"/>
      <c r="AT84"/>
      <c r="AU84"/>
      <c r="AV84"/>
      <c r="AW84" s="782"/>
      <c r="AX84" s="782"/>
      <c r="AY84" s="782"/>
      <c r="AZ84" s="782"/>
      <c r="BA84" s="782"/>
      <c r="BB84" s="782"/>
      <c r="BC84" s="782"/>
      <c r="BD84"/>
      <c r="BE84"/>
      <c r="BF84"/>
      <c r="BG84" s="771"/>
      <c r="BH84" s="771"/>
      <c r="BI84" s="771"/>
      <c r="BJ84" s="771"/>
      <c r="BK84" s="771"/>
      <c r="BL84" s="771"/>
    </row>
    <row r="85" spans="1:64" ht="8.1" customHeight="1" x14ac:dyDescent="0.2">
      <c r="B85" s="8"/>
      <c r="C85" s="8"/>
      <c r="D85" s="8"/>
      <c r="E85" s="53"/>
      <c r="F85" s="8"/>
      <c r="G85" s="37"/>
      <c r="H85" s="35"/>
      <c r="V85" s="1123"/>
      <c r="W85" s="1123"/>
      <c r="X85" s="1123"/>
      <c r="AF85" s="1123"/>
      <c r="AG85" s="1123"/>
      <c r="AH85" s="1123"/>
      <c r="AI85" s="1123"/>
      <c r="AJ85" s="1123"/>
      <c r="AR85" s="1123"/>
      <c r="AS85" s="1123"/>
      <c r="AT85"/>
      <c r="AU85"/>
      <c r="AV85"/>
      <c r="BD85"/>
      <c r="BE85"/>
      <c r="BF85"/>
      <c r="BG85" s="771"/>
      <c r="BH85" s="771"/>
      <c r="BI85" s="771"/>
      <c r="BJ85" s="771"/>
      <c r="BK85" s="771"/>
      <c r="BL85" s="771"/>
    </row>
    <row r="86" spans="1:64" ht="20.100000000000001" customHeight="1" x14ac:dyDescent="0.2">
      <c r="A86" s="274"/>
      <c r="B86" s="2127" t="s">
        <v>3438</v>
      </c>
      <c r="C86" s="2127"/>
      <c r="D86" s="2127"/>
      <c r="E86" s="2127"/>
      <c r="F86" s="2127"/>
      <c r="G86" s="2127"/>
      <c r="H86" s="716"/>
      <c r="V86" s="1123"/>
      <c r="W86" s="1123"/>
      <c r="X86" s="1123"/>
      <c r="AF86" s="1123"/>
      <c r="AG86" s="1123"/>
      <c r="AH86" s="1123"/>
      <c r="AI86" s="1123"/>
      <c r="AJ86" s="1123"/>
      <c r="AR86" s="1123"/>
      <c r="AS86" s="1123"/>
      <c r="AT86"/>
      <c r="AU86"/>
      <c r="AV86"/>
      <c r="BD86"/>
      <c r="BE86"/>
      <c r="BF86"/>
      <c r="BG86" s="771"/>
      <c r="BH86" s="771"/>
      <c r="BI86" s="771"/>
      <c r="BJ86" s="771"/>
      <c r="BK86" s="771"/>
      <c r="BL86" s="771"/>
    </row>
    <row r="87" spans="1:64" ht="20.100000000000001" customHeight="1" thickBot="1" x14ac:dyDescent="0.25">
      <c r="A87" s="274"/>
      <c r="B87" s="2140"/>
      <c r="C87" s="2140"/>
      <c r="D87" s="2140"/>
      <c r="E87" s="2140"/>
      <c r="F87" s="2140"/>
      <c r="G87" s="2140"/>
      <c r="H87" s="611" t="str">
        <f>D3</f>
        <v>Серый</v>
      </c>
      <c r="V87" s="1123"/>
      <c r="W87" s="1123"/>
      <c r="X87" s="1123"/>
      <c r="AF87" s="1123"/>
      <c r="AG87" s="1123"/>
      <c r="AH87" s="1123"/>
      <c r="AI87" s="1123"/>
      <c r="AJ87" s="1123"/>
      <c r="AR87" s="1123"/>
      <c r="AS87" s="1123"/>
      <c r="AT87"/>
      <c r="AU87"/>
      <c r="AV87"/>
      <c r="BD87"/>
      <c r="BE87"/>
      <c r="BF87"/>
      <c r="BG87" s="771"/>
      <c r="BH87" s="771"/>
      <c r="BI87" s="771"/>
      <c r="BJ87" s="771"/>
      <c r="BK87" s="771"/>
      <c r="BL87" s="771"/>
    </row>
    <row r="88" spans="1:64" x14ac:dyDescent="0.2">
      <c r="A88" s="274"/>
      <c r="B88" s="717"/>
      <c r="C88" s="718"/>
      <c r="D88" s="719"/>
      <c r="E88" s="719"/>
      <c r="F88" s="719"/>
      <c r="G88" s="720"/>
      <c r="H88" s="721"/>
      <c r="V88" s="1123"/>
      <c r="W88" s="1123"/>
      <c r="X88" s="1123"/>
      <c r="AF88" s="1123"/>
      <c r="AG88" s="1123"/>
      <c r="AH88" s="1123"/>
      <c r="AI88" s="1123"/>
      <c r="AJ88" s="1123"/>
      <c r="AR88" s="1123"/>
      <c r="AS88" s="1123"/>
      <c r="AT88"/>
      <c r="AU88"/>
      <c r="AV88"/>
      <c r="BD88"/>
      <c r="BE88"/>
      <c r="BF88"/>
      <c r="BG88" s="771"/>
      <c r="BH88" s="771"/>
      <c r="BI88" s="771"/>
      <c r="BJ88" s="771"/>
      <c r="BK88" s="771"/>
      <c r="BL88" s="771"/>
    </row>
    <row r="89" spans="1:64" ht="15.75" thickBot="1" x14ac:dyDescent="0.25">
      <c r="A89" s="274"/>
      <c r="B89" s="410" t="s">
        <v>1639</v>
      </c>
      <c r="C89" s="170">
        <v>500</v>
      </c>
      <c r="D89" s="97" t="s">
        <v>1689</v>
      </c>
      <c r="E89" s="97"/>
      <c r="F89" s="97"/>
      <c r="G89" s="722"/>
      <c r="H89" s="2125" t="str">
        <f>IF(СОДЕРЖАНИЕ!P2=1,"EUR","RUB")</f>
        <v>RUB</v>
      </c>
      <c r="V89" s="1123"/>
      <c r="W89" s="1123"/>
      <c r="X89" s="1123"/>
      <c r="AF89" s="1123"/>
      <c r="AG89" s="1123"/>
      <c r="AH89" s="1123"/>
      <c r="AI89" s="1123"/>
      <c r="AJ89" s="1123"/>
      <c r="AR89" s="1123"/>
      <c r="AS89" s="1123"/>
      <c r="AT89"/>
      <c r="AU89"/>
      <c r="AV89"/>
      <c r="BD89"/>
      <c r="BE89"/>
      <c r="BF89"/>
      <c r="BG89" s="771"/>
      <c r="BH89" s="771"/>
      <c r="BI89" s="771"/>
      <c r="BJ89" s="771"/>
      <c r="BK89" s="771"/>
      <c r="BL89" s="771"/>
    </row>
    <row r="90" spans="1:64" ht="9" customHeight="1" x14ac:dyDescent="0.2">
      <c r="A90" s="274"/>
      <c r="B90" s="2072"/>
      <c r="C90" s="135" t="s">
        <v>1301</v>
      </c>
      <c r="D90" s="139" t="s">
        <v>784</v>
      </c>
      <c r="E90" s="140" t="s">
        <v>2117</v>
      </c>
      <c r="F90" s="139"/>
      <c r="G90" s="178" t="s">
        <v>2116</v>
      </c>
      <c r="H90" s="2126"/>
      <c r="V90" s="1123"/>
      <c r="W90" s="1123"/>
      <c r="X90" s="1123"/>
      <c r="AF90" s="1123"/>
      <c r="AG90" s="1123"/>
      <c r="AH90" s="1123"/>
      <c r="AI90" s="1123"/>
      <c r="AJ90" s="1123"/>
      <c r="AR90" s="1123"/>
      <c r="AS90" s="1123"/>
      <c r="AT90"/>
      <c r="AU90"/>
      <c r="AV90"/>
      <c r="BD90"/>
      <c r="BE90"/>
      <c r="BF90"/>
      <c r="BG90" s="771"/>
      <c r="BH90" s="771"/>
      <c r="BI90" s="771"/>
      <c r="BJ90" s="771"/>
      <c r="BK90" s="771"/>
      <c r="BL90" s="771"/>
    </row>
    <row r="91" spans="1:64" ht="12.75" customHeight="1" x14ac:dyDescent="0.2">
      <c r="A91" s="2136"/>
      <c r="B91" s="2073"/>
      <c r="C91" s="1154" t="str">
        <f>VLOOKUP($C$89,maa,2,FALSE)</f>
        <v>6723863/</v>
      </c>
      <c r="D91" s="43" t="str">
        <f t="shared" ref="D91:D100" si="18">VLOOKUP(C91,всецены,2,FALSE)</f>
        <v xml:space="preserve">TBX-A, Царга 83/500 мм, сер, прав. NEW  </v>
      </c>
      <c r="E91" s="80">
        <v>1</v>
      </c>
      <c r="F91" s="63">
        <f t="shared" ref="F91:F100" si="19">VLOOKUP(C91,всецены,4,FALSE)</f>
        <v>395.22122640000003</v>
      </c>
      <c r="G91" s="723">
        <f t="shared" ref="G91:G100" si="20">F91*E91</f>
        <v>395.22122640000003</v>
      </c>
      <c r="H91" s="2091">
        <f>SUM(G91:G100)</f>
        <v>2211.9377280000003</v>
      </c>
      <c r="V91" s="1123"/>
      <c r="W91" s="1123"/>
      <c r="X91" s="1123"/>
      <c r="AF91" s="1123"/>
      <c r="AG91" s="1123"/>
      <c r="AH91" s="1123"/>
      <c r="AI91" s="1123"/>
      <c r="AJ91" s="1123"/>
      <c r="AR91" s="1123"/>
      <c r="AS91" s="1123"/>
      <c r="AT91"/>
      <c r="AU91"/>
      <c r="AV91"/>
      <c r="BD91"/>
      <c r="BE91"/>
      <c r="BF91"/>
      <c r="BG91" s="771"/>
      <c r="BH91" s="771"/>
      <c r="BI91" s="771"/>
      <c r="BJ91" s="771"/>
      <c r="BK91" s="771"/>
      <c r="BL91" s="771"/>
    </row>
    <row r="92" spans="1:64" ht="12.75" customHeight="1" x14ac:dyDescent="0.2">
      <c r="A92" s="2136"/>
      <c r="B92" s="2073"/>
      <c r="C92" s="1154" t="str">
        <f>VLOOKUP($C$89,maa,3,FALSE)</f>
        <v>6754103/</v>
      </c>
      <c r="D92" s="43" t="str">
        <f t="shared" si="18"/>
        <v xml:space="preserve">TBX-A, Царга 83/500 мм, сер, лев. NEW   </v>
      </c>
      <c r="E92" s="80">
        <v>1</v>
      </c>
      <c r="F92" s="63">
        <f t="shared" si="19"/>
        <v>395.22122640000003</v>
      </c>
      <c r="G92" s="723">
        <f t="shared" si="20"/>
        <v>395.22122640000003</v>
      </c>
      <c r="H92" s="2092"/>
      <c r="V92" s="1123"/>
      <c r="W92" s="1123"/>
      <c r="X92" s="1123"/>
      <c r="AF92" s="1123"/>
      <c r="AG92" s="1123"/>
      <c r="AH92" s="1123"/>
      <c r="AI92" s="1123"/>
      <c r="AJ92" s="1123"/>
      <c r="AR92" s="1123"/>
      <c r="AS92" s="1123"/>
      <c r="AT92"/>
      <c r="AU92"/>
      <c r="AV92"/>
      <c r="BD92"/>
      <c r="BE92"/>
      <c r="BF92"/>
      <c r="BG92" s="771"/>
      <c r="BH92" s="771"/>
      <c r="BI92" s="771"/>
      <c r="BJ92" s="771"/>
      <c r="BK92" s="771"/>
      <c r="BL92" s="771"/>
    </row>
    <row r="93" spans="1:64" ht="12.75" customHeight="1" x14ac:dyDescent="0.2">
      <c r="A93" s="2136"/>
      <c r="B93" s="2073"/>
      <c r="C93" s="1154" t="str">
        <f>VLOOKUP($D$3,AAвнутр.,14,FALSE)</f>
        <v>4722050/</v>
      </c>
      <c r="D93" s="43" t="str">
        <f t="shared" si="18"/>
        <v>TBX, Держ. задн. ст, D 224 мм, сер, лев.</v>
      </c>
      <c r="E93" s="80">
        <v>1</v>
      </c>
      <c r="F93" s="63">
        <f t="shared" si="19"/>
        <v>69.936266400000008</v>
      </c>
      <c r="G93" s="723">
        <f t="shared" si="20"/>
        <v>69.936266400000008</v>
      </c>
      <c r="H93" s="2092"/>
      <c r="V93" s="1123"/>
      <c r="W93" s="1123"/>
      <c r="X93" s="1123"/>
      <c r="AF93" s="1123"/>
      <c r="AG93" s="1123"/>
      <c r="AH93" s="1123"/>
      <c r="AI93" s="1123"/>
      <c r="AJ93" s="1123"/>
      <c r="AR93" s="1123"/>
      <c r="AS93" s="1123"/>
      <c r="AT93"/>
      <c r="AU93"/>
      <c r="AV93"/>
      <c r="BD93"/>
      <c r="BE93"/>
      <c r="BF93"/>
      <c r="BG93" s="771"/>
      <c r="BH93" s="771"/>
      <c r="BI93" s="771"/>
      <c r="BJ93" s="771"/>
      <c r="BK93" s="771"/>
      <c r="BL93" s="771"/>
    </row>
    <row r="94" spans="1:64" ht="12.75" customHeight="1" x14ac:dyDescent="0.2">
      <c r="A94" s="2136"/>
      <c r="B94" s="2073"/>
      <c r="C94" s="1154" t="str">
        <f>VLOOKUP($D$3,AAвнутр.,15,FALSE)</f>
        <v>4721830/</v>
      </c>
      <c r="D94" s="43" t="str">
        <f t="shared" si="18"/>
        <v xml:space="preserve">TBX, Держ. задн. ст, D 224 мм, сер, пр. </v>
      </c>
      <c r="E94" s="80">
        <v>1</v>
      </c>
      <c r="F94" s="63">
        <f t="shared" si="19"/>
        <v>69.936266400000008</v>
      </c>
      <c r="G94" s="723">
        <f t="shared" si="20"/>
        <v>69.936266400000008</v>
      </c>
      <c r="H94" s="2092"/>
      <c r="V94" s="1123"/>
      <c r="W94" s="1123"/>
      <c r="X94" s="1123"/>
      <c r="AF94" s="1123"/>
      <c r="AG94" s="1123"/>
      <c r="AH94" s="1123"/>
      <c r="AI94" s="1123"/>
      <c r="AJ94" s="1123"/>
      <c r="AR94" s="1123"/>
      <c r="AS94" s="1123"/>
      <c r="AT94"/>
      <c r="AU94"/>
      <c r="AV94"/>
      <c r="BD94"/>
      <c r="BE94"/>
      <c r="BF94"/>
      <c r="BG94" s="771"/>
      <c r="BH94" s="771"/>
      <c r="BI94" s="771"/>
      <c r="BJ94" s="771"/>
      <c r="BK94" s="771"/>
      <c r="BL94" s="771"/>
    </row>
    <row r="95" spans="1:64" ht="12.75" customHeight="1" x14ac:dyDescent="0.2">
      <c r="A95" s="2136"/>
      <c r="B95" s="2073"/>
      <c r="C95" s="1154" t="str">
        <f>VLOOKUP($C$89,maa,11,FALSE)</f>
        <v>8716527/</v>
      </c>
      <c r="D95" s="43" t="str">
        <f t="shared" si="18"/>
        <v>TBX, Напр. с BM, 30 кг, 500 мм, лев. NEW</v>
      </c>
      <c r="E95" s="80">
        <v>1</v>
      </c>
      <c r="F95" s="63">
        <f t="shared" si="19"/>
        <v>424.49687280000001</v>
      </c>
      <c r="G95" s="723">
        <f t="shared" si="20"/>
        <v>424.49687280000001</v>
      </c>
      <c r="H95" s="2092"/>
      <c r="V95" s="1123"/>
      <c r="W95" s="1123"/>
      <c r="X95" s="1123"/>
      <c r="AF95" s="1123"/>
      <c r="AG95" s="1123"/>
      <c r="AH95" s="1123"/>
      <c r="AI95" s="1123"/>
      <c r="AJ95" s="1123"/>
      <c r="AR95" s="1123"/>
      <c r="AS95" s="1123"/>
      <c r="AT95"/>
      <c r="AU95"/>
      <c r="AV95"/>
      <c r="BD95"/>
      <c r="BE95"/>
      <c r="BF95"/>
      <c r="BG95" s="771"/>
      <c r="BH95" s="771"/>
      <c r="BI95" s="771"/>
      <c r="BJ95" s="771"/>
      <c r="BK95" s="771"/>
      <c r="BL95" s="771"/>
    </row>
    <row r="96" spans="1:64" ht="12.75" customHeight="1" x14ac:dyDescent="0.2">
      <c r="A96" s="2136"/>
      <c r="B96" s="2073"/>
      <c r="C96" s="1154" t="str">
        <f>VLOOKUP($C$89,maa,12,FALSE)</f>
        <v>8709485/</v>
      </c>
      <c r="D96" s="43" t="str">
        <f t="shared" si="18"/>
        <v xml:space="preserve">TBX, Напр. с BM, 30 кг, 500 мм, пр. NEW </v>
      </c>
      <c r="E96" s="80">
        <v>1</v>
      </c>
      <c r="F96" s="63">
        <f t="shared" si="19"/>
        <v>424.49687280000001</v>
      </c>
      <c r="G96" s="723">
        <f t="shared" si="20"/>
        <v>424.49687280000001</v>
      </c>
      <c r="H96" s="2092"/>
      <c r="V96" s="1123"/>
      <c r="W96" s="1123"/>
      <c r="X96" s="1123"/>
      <c r="AF96" s="1123"/>
      <c r="AG96" s="1123"/>
      <c r="AH96" s="1123"/>
      <c r="AI96" s="1123"/>
      <c r="AJ96" s="1123"/>
      <c r="AR96" s="1123"/>
      <c r="AS96" s="1123"/>
      <c r="AT96"/>
      <c r="AU96"/>
      <c r="AV96"/>
      <c r="BD96"/>
      <c r="BE96"/>
      <c r="BF96"/>
      <c r="BG96" s="771"/>
      <c r="BH96" s="771"/>
      <c r="BI96" s="771"/>
      <c r="BJ96" s="771"/>
      <c r="BK96" s="771"/>
      <c r="BL96" s="771"/>
    </row>
    <row r="97" spans="1:64" ht="12.75" customHeight="1" x14ac:dyDescent="0.2">
      <c r="A97" s="2136"/>
      <c r="B97" s="2073"/>
      <c r="C97" s="1154" t="str">
        <f>VLOOKUP($C$89,maa,10,FALSE)</f>
        <v>8890185/</v>
      </c>
      <c r="D97" s="43" t="str">
        <f t="shared" si="18"/>
        <v>TBX-AA, Загл с лого, сер,сим,ZAA.532C.BL</v>
      </c>
      <c r="E97" s="80">
        <v>2</v>
      </c>
      <c r="F97" s="63">
        <f t="shared" si="19"/>
        <v>8.9453364000000004</v>
      </c>
      <c r="G97" s="723">
        <f t="shared" si="20"/>
        <v>17.890672800000001</v>
      </c>
      <c r="H97" s="2092"/>
      <c r="V97" s="1123"/>
      <c r="W97" s="1123"/>
      <c r="X97" s="1123"/>
      <c r="AF97" s="1123"/>
      <c r="AG97" s="1123"/>
      <c r="AH97" s="1123"/>
      <c r="AI97" s="1123"/>
      <c r="AJ97" s="1123"/>
      <c r="AR97" s="1123"/>
      <c r="AS97" s="1123"/>
      <c r="AT97"/>
      <c r="AU97"/>
      <c r="AV97"/>
      <c r="BD97"/>
      <c r="BE97"/>
      <c r="BF97"/>
      <c r="BG97" s="771"/>
      <c r="BH97" s="771"/>
      <c r="BI97" s="771"/>
      <c r="BJ97" s="771"/>
      <c r="BK97" s="771"/>
      <c r="BL97" s="771"/>
    </row>
    <row r="98" spans="1:64" ht="12.75" customHeight="1" x14ac:dyDescent="0.2">
      <c r="A98" s="2136"/>
      <c r="B98" s="2073"/>
      <c r="C98" s="1157" t="str">
        <f>VLOOKUP($C$89,maa,6,FALSE)</f>
        <v>5062109/</v>
      </c>
      <c r="D98" s="43" t="str">
        <f t="shared" si="18"/>
        <v xml:space="preserve">TBX-AA, Рел прод 500 мм, сер лев        </v>
      </c>
      <c r="E98" s="80">
        <v>1</v>
      </c>
      <c r="F98" s="63">
        <f t="shared" si="19"/>
        <v>163.45569239999998</v>
      </c>
      <c r="G98" s="723">
        <f t="shared" si="20"/>
        <v>163.45569239999998</v>
      </c>
      <c r="H98" s="2092"/>
      <c r="V98" s="1123"/>
      <c r="W98" s="1123"/>
      <c r="X98" s="1123"/>
      <c r="AF98" s="1123"/>
      <c r="AG98" s="1123"/>
      <c r="AH98" s="1123"/>
      <c r="AI98" s="1123"/>
      <c r="AJ98" s="1123"/>
      <c r="AR98" s="1123"/>
      <c r="AS98" s="1123"/>
      <c r="AT98"/>
      <c r="AU98"/>
      <c r="AV98"/>
      <c r="BD98"/>
      <c r="BE98"/>
      <c r="BF98"/>
      <c r="BG98" s="771"/>
      <c r="BH98" s="771"/>
      <c r="BI98" s="771"/>
      <c r="BJ98" s="771"/>
      <c r="BK98" s="771"/>
      <c r="BL98" s="771"/>
    </row>
    <row r="99" spans="1:64" ht="12.75" customHeight="1" x14ac:dyDescent="0.2">
      <c r="A99" s="2136"/>
      <c r="B99" s="2073"/>
      <c r="C99" s="1157" t="str">
        <f>VLOOKUP($C$89,maa,7,FALSE)</f>
        <v>5306499/</v>
      </c>
      <c r="D99" s="43" t="str">
        <f t="shared" si="18"/>
        <v xml:space="preserve">TBX-AA, Рел прод 500 мм, сер прав       </v>
      </c>
      <c r="E99" s="80">
        <v>1</v>
      </c>
      <c r="F99" s="63">
        <f t="shared" si="19"/>
        <v>163.45569239999998</v>
      </c>
      <c r="G99" s="723">
        <f t="shared" si="20"/>
        <v>163.45569239999998</v>
      </c>
      <c r="H99" s="2092"/>
      <c r="V99" s="1123"/>
      <c r="W99" s="1123"/>
      <c r="X99" s="1123"/>
      <c r="AF99" s="1123"/>
      <c r="AG99" s="1123"/>
      <c r="AH99" s="1123"/>
      <c r="AI99" s="1123"/>
      <c r="AJ99" s="1123"/>
      <c r="AR99" s="1123"/>
      <c r="AS99" s="1123"/>
      <c r="AT99"/>
      <c r="AU99"/>
      <c r="AV99"/>
      <c r="BD99"/>
      <c r="BE99"/>
      <c r="BF99"/>
      <c r="BG99" s="771"/>
      <c r="BH99" s="771"/>
      <c r="BI99" s="771"/>
      <c r="BJ99" s="771"/>
      <c r="BK99" s="771"/>
      <c r="BL99" s="771"/>
    </row>
    <row r="100" spans="1:64" ht="12.75" customHeight="1" thickBot="1" x14ac:dyDescent="0.25">
      <c r="A100" s="2136"/>
      <c r="B100" s="2074"/>
      <c r="C100" s="1139" t="s">
        <v>4511</v>
      </c>
      <c r="D100" s="404" t="str">
        <f t="shared" si="18"/>
        <v xml:space="preserve">TBX, Крепл фасада INSERTA, NEW ZSF.39A2 </v>
      </c>
      <c r="E100" s="381">
        <v>2</v>
      </c>
      <c r="F100" s="435">
        <f t="shared" si="19"/>
        <v>43.913469600000006</v>
      </c>
      <c r="G100" s="726">
        <f t="shared" si="20"/>
        <v>87.826939200000012</v>
      </c>
      <c r="H100" s="2093"/>
      <c r="V100" s="1123"/>
      <c r="W100" s="1123"/>
      <c r="X100" s="1123"/>
      <c r="AF100" s="1123"/>
      <c r="AG100" s="1123"/>
      <c r="AH100" s="1123"/>
      <c r="AI100" s="1123"/>
      <c r="AJ100" s="1123"/>
      <c r="AR100" s="1123"/>
      <c r="AS100" s="1123"/>
      <c r="AT100"/>
      <c r="AU100"/>
      <c r="AV100"/>
      <c r="BD100"/>
      <c r="BE100"/>
      <c r="BF100"/>
      <c r="BG100" s="771"/>
      <c r="BH100" s="771"/>
      <c r="BI100" s="771"/>
      <c r="BJ100" s="771"/>
      <c r="BK100" s="771"/>
      <c r="BL100" s="771"/>
    </row>
    <row r="101" spans="1:64" ht="15.75" customHeight="1" thickBot="1" x14ac:dyDescent="0.25">
      <c r="A101" s="274"/>
      <c r="B101" s="733"/>
      <c r="C101" s="176"/>
      <c r="D101" s="75"/>
      <c r="E101" s="169"/>
      <c r="F101" s="114"/>
      <c r="G101" s="177"/>
      <c r="H101" s="728"/>
      <c r="V101" s="1123"/>
      <c r="W101" s="1123"/>
      <c r="X101" s="1123"/>
      <c r="AF101" s="1123"/>
      <c r="AG101" s="1123"/>
      <c r="AH101" s="1123"/>
      <c r="AI101" s="1123"/>
      <c r="AJ101" s="1123"/>
      <c r="AR101" s="1123"/>
      <c r="AS101" s="1123"/>
      <c r="AT101"/>
      <c r="AU101"/>
      <c r="AV101"/>
      <c r="BD101"/>
      <c r="BE101"/>
      <c r="BF101"/>
      <c r="BG101" s="771"/>
      <c r="BH101" s="771"/>
      <c r="BI101" s="771"/>
      <c r="BJ101" s="771"/>
      <c r="BK101" s="771"/>
      <c r="BL101" s="771"/>
    </row>
    <row r="102" spans="1:64" x14ac:dyDescent="0.2">
      <c r="A102" s="274"/>
      <c r="B102" s="729"/>
      <c r="C102" s="719"/>
      <c r="D102" s="2144" t="s">
        <v>1183</v>
      </c>
      <c r="E102" s="2144"/>
      <c r="F102" s="2144"/>
      <c r="G102" s="2144"/>
      <c r="H102" s="2145"/>
      <c r="V102" s="1123"/>
      <c r="W102" s="1123"/>
      <c r="X102" s="1123"/>
      <c r="AF102" s="1123"/>
      <c r="AG102" s="1123"/>
      <c r="AH102" s="1123"/>
      <c r="AI102" s="1123"/>
      <c r="AJ102" s="1123"/>
      <c r="AR102" s="1123"/>
      <c r="AS102" s="1123"/>
      <c r="AT102"/>
      <c r="AU102"/>
      <c r="AV102"/>
      <c r="BD102"/>
      <c r="BE102"/>
      <c r="BF102"/>
      <c r="BG102" s="771"/>
      <c r="BH102" s="771"/>
      <c r="BI102" s="771"/>
      <c r="BJ102" s="771"/>
      <c r="BK102" s="771"/>
      <c r="BL102" s="771"/>
    </row>
    <row r="103" spans="1:64" ht="15.75" thickBot="1" x14ac:dyDescent="0.25">
      <c r="A103" s="274"/>
      <c r="B103" s="410" t="s">
        <v>1639</v>
      </c>
      <c r="C103" s="170">
        <v>500</v>
      </c>
      <c r="D103" s="97" t="s">
        <v>1689</v>
      </c>
      <c r="E103" s="730"/>
      <c r="F103" s="730"/>
      <c r="G103" s="731"/>
      <c r="H103" s="2125" t="str">
        <f>IF(СОДЕРЖАНИЕ!P2=1,"EUR","RUB")</f>
        <v>RUB</v>
      </c>
      <c r="V103" s="1123"/>
      <c r="W103" s="1123"/>
      <c r="X103" s="1123"/>
      <c r="AF103" s="1123"/>
      <c r="AG103" s="1123"/>
      <c r="AH103" s="1123"/>
      <c r="AI103" s="1123"/>
      <c r="AJ103" s="1123"/>
      <c r="AR103" s="1123"/>
      <c r="AS103" s="1123"/>
      <c r="AT103"/>
      <c r="AU103"/>
      <c r="AV103"/>
      <c r="BD103"/>
      <c r="BE103"/>
      <c r="BF103"/>
      <c r="BG103" s="771"/>
      <c r="BH103" s="771"/>
      <c r="BI103" s="771"/>
      <c r="BJ103" s="771"/>
      <c r="BK103" s="771"/>
      <c r="BL103" s="771"/>
    </row>
    <row r="104" spans="1:64" ht="9" customHeight="1" x14ac:dyDescent="0.2">
      <c r="A104" s="274"/>
      <c r="B104" s="2072"/>
      <c r="C104" s="135" t="s">
        <v>1301</v>
      </c>
      <c r="D104" s="139" t="s">
        <v>784</v>
      </c>
      <c r="E104" s="140" t="s">
        <v>2117</v>
      </c>
      <c r="F104" s="139"/>
      <c r="G104" s="178" t="s">
        <v>2116</v>
      </c>
      <c r="H104" s="2126"/>
      <c r="V104" s="1123"/>
      <c r="W104" s="1123"/>
      <c r="X104" s="1123"/>
      <c r="AF104" s="1123"/>
      <c r="AG104" s="1123"/>
      <c r="AH104" s="1123"/>
      <c r="AI104" s="1123"/>
      <c r="AJ104" s="1123"/>
      <c r="AR104" s="1123"/>
      <c r="AS104" s="1123"/>
      <c r="AT104"/>
      <c r="AU104"/>
      <c r="AV104"/>
      <c r="BD104"/>
      <c r="BE104"/>
      <c r="BF104"/>
      <c r="BG104" s="771"/>
      <c r="BH104" s="771"/>
      <c r="BI104" s="771"/>
      <c r="BJ104" s="771"/>
      <c r="BK104" s="771"/>
      <c r="BL104" s="771"/>
    </row>
    <row r="105" spans="1:64" ht="12.75" customHeight="1" x14ac:dyDescent="0.2">
      <c r="A105" s="2136"/>
      <c r="B105" s="2073"/>
      <c r="C105" s="1154" t="str">
        <f>VLOOKUP($C$103,maa,2,FALSE)</f>
        <v>6723863/</v>
      </c>
      <c r="D105" s="43" t="str">
        <f t="shared" ref="D105:D117" si="21">VLOOKUP(C105,всецены,2,FALSE)</f>
        <v xml:space="preserve">TBX-A, Царга 83/500 мм, сер, прав. NEW  </v>
      </c>
      <c r="E105" s="80">
        <v>1</v>
      </c>
      <c r="F105" s="63">
        <f t="shared" ref="F105:F117" si="22">VLOOKUP(C105,всецены,4,FALSE)</f>
        <v>395.22122640000003</v>
      </c>
      <c r="G105" s="723">
        <f t="shared" ref="G105:G117" si="23">F105*E105</f>
        <v>395.22122640000003</v>
      </c>
      <c r="H105" s="2091">
        <f>SUM(G105:G117)</f>
        <v>4240.0894535999996</v>
      </c>
      <c r="V105" s="1123"/>
      <c r="W105" s="1123"/>
      <c r="X105" s="1123"/>
      <c r="AF105" s="1123"/>
      <c r="AG105" s="1123"/>
      <c r="AH105" s="1123"/>
      <c r="AI105" s="1123"/>
      <c r="AJ105" s="1123"/>
      <c r="AR105" s="1123"/>
      <c r="AS105" s="1123"/>
      <c r="AT105"/>
      <c r="AU105"/>
      <c r="AV105"/>
      <c r="BD105"/>
      <c r="BE105"/>
      <c r="BF105"/>
      <c r="BG105" s="771"/>
      <c r="BH105" s="771"/>
      <c r="BI105" s="771"/>
      <c r="BJ105" s="771"/>
      <c r="BK105" s="771"/>
      <c r="BL105" s="771"/>
    </row>
    <row r="106" spans="1:64" ht="12.75" customHeight="1" x14ac:dyDescent="0.2">
      <c r="A106" s="2136"/>
      <c r="B106" s="2073"/>
      <c r="C106" s="1154" t="str">
        <f>VLOOKUP($C$103,maa,3,FALSE)</f>
        <v>6754103/</v>
      </c>
      <c r="D106" s="43" t="str">
        <f t="shared" si="21"/>
        <v xml:space="preserve">TBX-A, Царга 83/500 мм, сер, лев. NEW   </v>
      </c>
      <c r="E106" s="80">
        <v>1</v>
      </c>
      <c r="F106" s="63">
        <f t="shared" si="22"/>
        <v>395.22122640000003</v>
      </c>
      <c r="G106" s="723">
        <f t="shared" si="23"/>
        <v>395.22122640000003</v>
      </c>
      <c r="H106" s="2092"/>
      <c r="V106" s="1123"/>
      <c r="W106" s="1123"/>
      <c r="X106" s="1123"/>
      <c r="AF106" s="1123"/>
      <c r="AG106" s="1123"/>
      <c r="AH106" s="1123"/>
      <c r="AI106" s="1123"/>
      <c r="AJ106" s="1123"/>
      <c r="AR106" s="1123"/>
      <c r="AS106" s="1123"/>
      <c r="AT106"/>
      <c r="AU106"/>
      <c r="AV106"/>
      <c r="BD106"/>
      <c r="BE106"/>
      <c r="BF106"/>
      <c r="BG106" s="771"/>
      <c r="BH106" s="771"/>
      <c r="BI106" s="771"/>
      <c r="BJ106" s="771"/>
      <c r="BK106" s="771"/>
      <c r="BL106" s="771"/>
    </row>
    <row r="107" spans="1:64" ht="12.75" customHeight="1" x14ac:dyDescent="0.2">
      <c r="A107" s="2136"/>
      <c r="B107" s="2073"/>
      <c r="C107" s="1154" t="str">
        <f>VLOOKUP($C$103,maa,11,FALSE)</f>
        <v>8716527/</v>
      </c>
      <c r="D107" s="43" t="str">
        <f t="shared" si="21"/>
        <v>TBX, Напр. с BM, 30 кг, 500 мм, лев. NEW</v>
      </c>
      <c r="E107" s="80">
        <v>1</v>
      </c>
      <c r="F107" s="63">
        <f t="shared" si="22"/>
        <v>424.49687280000001</v>
      </c>
      <c r="G107" s="723">
        <f t="shared" si="23"/>
        <v>424.49687280000001</v>
      </c>
      <c r="H107" s="2092"/>
      <c r="V107" s="1123"/>
      <c r="W107" s="1123"/>
      <c r="X107" s="1123"/>
      <c r="AF107" s="1123"/>
      <c r="AG107" s="1123"/>
      <c r="AH107" s="1123"/>
      <c r="AI107" s="1123"/>
      <c r="AJ107" s="1123"/>
      <c r="AR107" s="1123"/>
      <c r="AS107" s="1123"/>
      <c r="AT107"/>
      <c r="AU107"/>
      <c r="AV107"/>
      <c r="BD107"/>
      <c r="BE107"/>
      <c r="BF107"/>
      <c r="BG107" s="771"/>
      <c r="BH107" s="771"/>
      <c r="BI107" s="771"/>
      <c r="BJ107" s="771"/>
      <c r="BK107" s="771"/>
      <c r="BL107" s="771"/>
    </row>
    <row r="108" spans="1:64" ht="12.75" customHeight="1" x14ac:dyDescent="0.2">
      <c r="A108" s="2136"/>
      <c r="B108" s="2073"/>
      <c r="C108" s="1154" t="str">
        <f>VLOOKUP($C$103,maa,12,FALSE)</f>
        <v>8709485/</v>
      </c>
      <c r="D108" s="43" t="str">
        <f t="shared" si="21"/>
        <v xml:space="preserve">TBX, Напр. с BM, 30 кг, 500 мм, пр. NEW </v>
      </c>
      <c r="E108" s="80">
        <v>1</v>
      </c>
      <c r="F108" s="63">
        <f t="shared" si="22"/>
        <v>424.49687280000001</v>
      </c>
      <c r="G108" s="723">
        <f t="shared" si="23"/>
        <v>424.49687280000001</v>
      </c>
      <c r="H108" s="2092"/>
      <c r="V108" s="1123"/>
      <c r="W108" s="1123"/>
      <c r="X108" s="1123"/>
      <c r="AF108" s="1123"/>
      <c r="AG108" s="1123"/>
      <c r="AH108" s="1123"/>
      <c r="AI108" s="1123"/>
      <c r="AJ108" s="1123"/>
      <c r="AR108" s="1123"/>
      <c r="AS108" s="1123"/>
      <c r="AT108"/>
      <c r="AU108"/>
      <c r="AV108"/>
      <c r="BD108"/>
      <c r="BE108"/>
      <c r="BF108"/>
      <c r="BG108" s="771"/>
      <c r="BH108" s="771"/>
      <c r="BI108" s="771"/>
      <c r="BJ108" s="771"/>
      <c r="BK108" s="771"/>
      <c r="BL108" s="771"/>
    </row>
    <row r="109" spans="1:64" ht="12.75" customHeight="1" x14ac:dyDescent="0.2">
      <c r="A109" s="2136"/>
      <c r="B109" s="2073"/>
      <c r="C109" s="1154" t="str">
        <f>VLOOKUP($C$103,maa,10,FALSE)</f>
        <v>8890185/</v>
      </c>
      <c r="D109" s="43" t="str">
        <f t="shared" si="21"/>
        <v>TBX-AA, Загл с лого, сер,сим,ZAA.532C.BL</v>
      </c>
      <c r="E109" s="80">
        <v>2</v>
      </c>
      <c r="F109" s="63">
        <f t="shared" si="22"/>
        <v>8.9453364000000004</v>
      </c>
      <c r="G109" s="723">
        <f t="shared" si="23"/>
        <v>17.890672800000001</v>
      </c>
      <c r="H109" s="2092"/>
      <c r="V109" s="1123"/>
      <c r="W109" s="1123"/>
      <c r="X109" s="1123"/>
      <c r="AF109" s="1123"/>
      <c r="AG109" s="1123"/>
      <c r="AH109" s="1123"/>
      <c r="AI109" s="1123"/>
      <c r="AJ109" s="1123"/>
      <c r="AR109" s="1123"/>
      <c r="AS109" s="1123"/>
      <c r="AT109"/>
      <c r="AU109"/>
      <c r="AV109"/>
      <c r="BD109"/>
      <c r="BE109"/>
      <c r="BF109"/>
      <c r="BG109" s="771"/>
      <c r="BH109" s="771"/>
      <c r="BI109" s="771"/>
      <c r="BJ109" s="771"/>
      <c r="BK109" s="771"/>
      <c r="BL109" s="771"/>
    </row>
    <row r="110" spans="1:64" ht="12.75" customHeight="1" x14ac:dyDescent="0.2">
      <c r="A110" s="2136"/>
      <c r="B110" s="2073"/>
      <c r="C110" s="1157" t="str">
        <f>VLOOKUP($D$3,AAвнутр.,9,FALSE)</f>
        <v>8784016/</v>
      </c>
      <c r="D110" s="43" t="str">
        <f t="shared" si="21"/>
        <v xml:space="preserve">TBX-AA, Крепл п/п вн сер, лев ZIF.74D0  </v>
      </c>
      <c r="E110" s="80">
        <v>1</v>
      </c>
      <c r="F110" s="63">
        <f t="shared" si="22"/>
        <v>126.047922</v>
      </c>
      <c r="G110" s="723">
        <f t="shared" si="23"/>
        <v>126.047922</v>
      </c>
      <c r="H110" s="2092"/>
      <c r="V110" s="1123"/>
      <c r="W110" s="1123"/>
      <c r="X110" s="1123"/>
      <c r="AF110" s="1123"/>
      <c r="AG110" s="1123"/>
      <c r="AH110" s="1123"/>
      <c r="AI110" s="1123"/>
      <c r="AJ110" s="1123"/>
      <c r="AR110" s="1123"/>
      <c r="AS110" s="1123"/>
      <c r="AT110"/>
      <c r="AU110"/>
      <c r="AV110"/>
      <c r="BD110"/>
      <c r="BE110"/>
      <c r="BF110"/>
      <c r="BG110" s="771"/>
      <c r="BH110" s="771"/>
      <c r="BI110" s="771"/>
      <c r="BJ110" s="771"/>
      <c r="BK110" s="771"/>
      <c r="BL110" s="771"/>
    </row>
    <row r="111" spans="1:64" ht="12.75" customHeight="1" x14ac:dyDescent="0.2">
      <c r="A111" s="2136"/>
      <c r="B111" s="2073"/>
      <c r="C111" s="1157" t="str">
        <f>VLOOKUP($D$3,AAвнутр.,10,FALSE)</f>
        <v>8784186/</v>
      </c>
      <c r="D111" s="43" t="str">
        <f t="shared" si="21"/>
        <v xml:space="preserve">TBX-AA, Крепл п/п вн сер, прав ZIF.74D0 </v>
      </c>
      <c r="E111" s="80">
        <v>1</v>
      </c>
      <c r="F111" s="63">
        <f t="shared" si="22"/>
        <v>126.047922</v>
      </c>
      <c r="G111" s="723">
        <f t="shared" si="23"/>
        <v>126.047922</v>
      </c>
      <c r="H111" s="2092"/>
      <c r="V111" s="1123"/>
      <c r="W111" s="1123"/>
      <c r="X111" s="1123"/>
      <c r="AF111" s="1123"/>
      <c r="AG111" s="1123"/>
      <c r="AH111" s="1123"/>
      <c r="AI111" s="1123"/>
      <c r="AJ111" s="1123"/>
      <c r="AR111" s="1123"/>
      <c r="AS111" s="1123"/>
      <c r="AT111"/>
      <c r="AU111"/>
      <c r="AV111"/>
      <c r="BD111"/>
      <c r="BE111"/>
      <c r="BF111"/>
      <c r="BG111" s="771"/>
      <c r="BH111" s="771"/>
      <c r="BI111" s="771"/>
      <c r="BJ111" s="771"/>
      <c r="BK111" s="771"/>
      <c r="BL111" s="771"/>
    </row>
    <row r="112" spans="1:64" ht="12.75" customHeight="1" x14ac:dyDescent="0.2">
      <c r="A112" s="2136"/>
      <c r="B112" s="2073"/>
      <c r="C112" s="1157" t="str">
        <f>VLOOKUP($C$103,maa,8,FALSE)</f>
        <v>4131800/</v>
      </c>
      <c r="D112" s="43" t="str">
        <f t="shared" si="21"/>
        <v xml:space="preserve">TBX-AA, Рел прод д/вн, 500мм, сер, лев  </v>
      </c>
      <c r="E112" s="80">
        <v>1</v>
      </c>
      <c r="F112" s="63">
        <f t="shared" si="22"/>
        <v>224.4466224</v>
      </c>
      <c r="G112" s="723">
        <f t="shared" si="23"/>
        <v>224.4466224</v>
      </c>
      <c r="H112" s="2092"/>
      <c r="V112" s="1123"/>
      <c r="W112" s="1123"/>
      <c r="X112" s="1123"/>
      <c r="AF112" s="1123"/>
      <c r="AG112" s="1123"/>
      <c r="AH112" s="1123"/>
      <c r="AI112" s="1123"/>
      <c r="AJ112" s="1123"/>
      <c r="AR112" s="1123"/>
      <c r="AS112" s="1123"/>
      <c r="AT112"/>
      <c r="AU112"/>
      <c r="AV112"/>
      <c r="BD112"/>
      <c r="BE112"/>
      <c r="BF112"/>
      <c r="BG112" s="771"/>
      <c r="BH112" s="771"/>
      <c r="BI112" s="771"/>
      <c r="BJ112" s="771"/>
      <c r="BK112" s="771"/>
      <c r="BL112" s="771"/>
    </row>
    <row r="113" spans="1:64" ht="12.75" customHeight="1" x14ac:dyDescent="0.2">
      <c r="A113" s="2136"/>
      <c r="B113" s="2073"/>
      <c r="C113" s="1157" t="str">
        <f>VLOOKUP($C$103,maa,9,FALSE)</f>
        <v>4768140/</v>
      </c>
      <c r="D113" s="43" t="str">
        <f t="shared" si="21"/>
        <v xml:space="preserve">TBX-AA, Рел прод д/вн, 500мм, сер, прав </v>
      </c>
      <c r="E113" s="80">
        <v>1</v>
      </c>
      <c r="F113" s="63">
        <f t="shared" si="22"/>
        <v>224.4466224</v>
      </c>
      <c r="G113" s="723">
        <f t="shared" si="23"/>
        <v>224.4466224</v>
      </c>
      <c r="H113" s="2092"/>
      <c r="V113" s="1123"/>
      <c r="W113" s="1123"/>
      <c r="X113" s="1123"/>
      <c r="AF113" s="1123"/>
      <c r="AG113" s="1123"/>
      <c r="AH113" s="1123"/>
      <c r="AI113" s="1123"/>
      <c r="AJ113" s="1123"/>
      <c r="AR113" s="1123"/>
      <c r="AS113" s="1123"/>
      <c r="AT113"/>
      <c r="AU113"/>
      <c r="AV113"/>
      <c r="BD113"/>
      <c r="BE113"/>
      <c r="BF113"/>
      <c r="BG113" s="771"/>
      <c r="BH113" s="771"/>
      <c r="BI113" s="771"/>
      <c r="BJ113" s="771"/>
      <c r="BK113" s="771"/>
      <c r="BL113" s="771"/>
    </row>
    <row r="114" spans="1:64" ht="12.75" customHeight="1" x14ac:dyDescent="0.2">
      <c r="A114" s="2136"/>
      <c r="B114" s="2073"/>
      <c r="C114" s="1154" t="str">
        <f>VLOOKUP($D$3,AAвнутр.,14,FALSE)</f>
        <v>4722050/</v>
      </c>
      <c r="D114" s="43" t="str">
        <f t="shared" si="21"/>
        <v>TBX, Держ. задн. ст, D 224 мм, сер, лев.</v>
      </c>
      <c r="E114" s="80">
        <v>1</v>
      </c>
      <c r="F114" s="63">
        <f t="shared" si="22"/>
        <v>69.936266400000008</v>
      </c>
      <c r="G114" s="723">
        <f t="shared" si="23"/>
        <v>69.936266400000008</v>
      </c>
      <c r="H114" s="2092"/>
      <c r="V114" s="1123"/>
      <c r="W114" s="1123"/>
      <c r="X114" s="1123"/>
      <c r="AF114" s="1123"/>
      <c r="AG114" s="1123"/>
      <c r="AH114" s="1123"/>
      <c r="AI114" s="1123"/>
      <c r="AJ114" s="1123"/>
      <c r="AR114" s="1123"/>
      <c r="AS114" s="1123"/>
      <c r="AT114"/>
      <c r="AU114"/>
      <c r="AV114"/>
      <c r="BD114"/>
      <c r="BE114"/>
      <c r="BF114"/>
      <c r="BG114" s="771"/>
      <c r="BH114" s="771"/>
      <c r="BI114" s="771"/>
      <c r="BJ114" s="771"/>
      <c r="BK114" s="771"/>
      <c r="BL114" s="771"/>
    </row>
    <row r="115" spans="1:64" ht="12.75" customHeight="1" x14ac:dyDescent="0.2">
      <c r="A115" s="274"/>
      <c r="B115" s="2073"/>
      <c r="C115" s="1154" t="str">
        <f>VLOOKUP($D$3,AAвнутр.,15,FALSE)</f>
        <v>4721830/</v>
      </c>
      <c r="D115" s="43" t="str">
        <f t="shared" si="21"/>
        <v xml:space="preserve">TBX, Держ. задн. ст, D 224 мм, сер, пр. </v>
      </c>
      <c r="E115" s="80">
        <v>1</v>
      </c>
      <c r="F115" s="63">
        <f t="shared" si="22"/>
        <v>69.936266400000008</v>
      </c>
      <c r="G115" s="723">
        <f t="shared" si="23"/>
        <v>69.936266400000008</v>
      </c>
      <c r="H115" s="2092"/>
      <c r="V115" s="1123"/>
      <c r="W115" s="1123"/>
      <c r="X115" s="1123"/>
      <c r="AF115" s="1123"/>
      <c r="AG115" s="1123"/>
      <c r="AH115" s="1123"/>
      <c r="AI115" s="1123"/>
      <c r="AJ115" s="1123"/>
      <c r="AR115" s="1123"/>
      <c r="AS115" s="1123"/>
      <c r="AT115"/>
      <c r="AU115"/>
      <c r="AV115"/>
      <c r="BD115"/>
      <c r="BE115"/>
      <c r="BF115"/>
      <c r="BG115" s="771"/>
      <c r="BH115" s="771"/>
      <c r="BI115" s="771"/>
      <c r="BJ115" s="771"/>
      <c r="BK115" s="771"/>
      <c r="BL115" s="771"/>
    </row>
    <row r="116" spans="1:64" ht="12.75" customHeight="1" x14ac:dyDescent="0.2">
      <c r="A116" s="274"/>
      <c r="B116" s="2073"/>
      <c r="C116" s="1157" t="str">
        <f>VLOOKUP($D$3,AAвнутр.,4,FALSE)</f>
        <v>8479020/</v>
      </c>
      <c r="D116" s="43" t="str">
        <f t="shared" si="21"/>
        <v>TBX-AA, Передн пан п/релинг сер, 1036 мм</v>
      </c>
      <c r="E116" s="80">
        <v>1</v>
      </c>
      <c r="F116" s="63">
        <f t="shared" si="22"/>
        <v>1187.2901040000002</v>
      </c>
      <c r="G116" s="723">
        <f t="shared" si="23"/>
        <v>1187.2901040000002</v>
      </c>
      <c r="H116" s="2092"/>
      <c r="V116" s="1123"/>
      <c r="W116" s="1123"/>
      <c r="X116" s="1123"/>
      <c r="AF116" s="1123"/>
      <c r="AG116" s="1123"/>
      <c r="AH116" s="1123"/>
      <c r="AI116" s="1123"/>
      <c r="AJ116" s="1123"/>
      <c r="AR116" s="1123"/>
      <c r="AS116" s="1123"/>
      <c r="AT116"/>
      <c r="AU116"/>
      <c r="AV116"/>
      <c r="BD116"/>
      <c r="BE116"/>
      <c r="BF116"/>
      <c r="BG116" s="771"/>
      <c r="BH116" s="771"/>
      <c r="BI116" s="771"/>
      <c r="BJ116" s="771"/>
      <c r="BK116" s="771"/>
      <c r="BL116" s="771"/>
    </row>
    <row r="117" spans="1:64" ht="12.75" customHeight="1" thickBot="1" x14ac:dyDescent="0.25">
      <c r="B117" s="2074"/>
      <c r="C117" s="1158" t="str">
        <f>VLOOKUP($D$3,AAвнутр.,11,FALSE)</f>
        <v>8473390/</v>
      </c>
      <c r="D117" s="404" t="str">
        <f t="shared" si="21"/>
        <v xml:space="preserve">TBX-AA, Рел д/пер панели, сер, 1046 мм  </v>
      </c>
      <c r="E117" s="381">
        <v>1</v>
      </c>
      <c r="F117" s="435">
        <f t="shared" si="22"/>
        <v>554.61085679999997</v>
      </c>
      <c r="G117" s="726">
        <f t="shared" si="23"/>
        <v>554.61085679999997</v>
      </c>
      <c r="H117" s="2093"/>
      <c r="V117" s="1123"/>
      <c r="W117" s="1123"/>
      <c r="X117" s="1123"/>
      <c r="AF117" s="1123"/>
      <c r="AG117" s="1123"/>
      <c r="AH117" s="1123"/>
      <c r="AI117" s="1123"/>
      <c r="AJ117" s="1123"/>
      <c r="AR117" s="1123"/>
      <c r="AS117" s="1123"/>
      <c r="AT117"/>
      <c r="AU117"/>
      <c r="AV117"/>
      <c r="BD117"/>
      <c r="BE117"/>
      <c r="BF117"/>
      <c r="BG117" s="771"/>
      <c r="BH117" s="771"/>
      <c r="BI117" s="771"/>
      <c r="BJ117" s="771"/>
      <c r="BK117" s="771"/>
      <c r="BL117" s="771"/>
    </row>
    <row r="118" spans="1:64" x14ac:dyDescent="0.2">
      <c r="B118" s="8"/>
      <c r="C118" s="8"/>
      <c r="D118" s="8"/>
      <c r="E118" s="53"/>
      <c r="F118" s="8"/>
      <c r="G118" s="37"/>
      <c r="H118" s="35"/>
      <c r="V118" s="1123"/>
      <c r="W118" s="1123"/>
      <c r="X118" s="1123"/>
      <c r="AF118" s="1123"/>
      <c r="AG118" s="1123"/>
      <c r="AH118" s="1123"/>
      <c r="AI118" s="1123"/>
      <c r="AJ118" s="1123"/>
      <c r="AR118" s="1123"/>
      <c r="AS118" s="1123"/>
      <c r="AT118"/>
      <c r="AU118"/>
      <c r="AV118"/>
      <c r="BD118"/>
      <c r="BE118"/>
      <c r="BF118"/>
      <c r="BG118" s="771"/>
      <c r="BH118" s="771"/>
      <c r="BI118" s="771"/>
      <c r="BJ118" s="771"/>
      <c r="BK118" s="771"/>
      <c r="BL118" s="771"/>
    </row>
    <row r="119" spans="1:64" x14ac:dyDescent="0.2">
      <c r="B119" s="8"/>
      <c r="C119" s="8"/>
      <c r="D119" s="8"/>
      <c r="E119" s="53"/>
      <c r="F119" s="8"/>
      <c r="G119" s="37"/>
      <c r="H119" s="35"/>
      <c r="V119" s="1123"/>
      <c r="W119" s="1123"/>
      <c r="X119" s="1123"/>
      <c r="AF119" s="1123"/>
      <c r="AG119" s="1123"/>
      <c r="AH119" s="1123"/>
      <c r="AI119" s="1123"/>
      <c r="AJ119" s="1123"/>
      <c r="AR119" s="1123"/>
      <c r="AS119" s="1123"/>
      <c r="AT119"/>
      <c r="AU119"/>
      <c r="AV119"/>
      <c r="BD119"/>
      <c r="BE119"/>
      <c r="BF119"/>
      <c r="BG119" s="771"/>
      <c r="BH119" s="771"/>
      <c r="BI119" s="771"/>
      <c r="BJ119" s="771"/>
      <c r="BK119" s="771"/>
      <c r="BL119" s="771"/>
    </row>
    <row r="120" spans="1:64" x14ac:dyDescent="0.2">
      <c r="B120" s="8"/>
      <c r="C120" s="8"/>
      <c r="D120" s="8"/>
      <c r="E120" s="53"/>
      <c r="F120" s="8"/>
      <c r="G120" s="37"/>
      <c r="H120" s="35"/>
      <c r="V120" s="1123"/>
      <c r="W120" s="1123"/>
      <c r="X120" s="1123"/>
      <c r="AF120" s="1123"/>
      <c r="AG120" s="1123"/>
      <c r="AH120" s="1123"/>
      <c r="AI120" s="1123"/>
      <c r="AJ120" s="1123"/>
      <c r="AR120" s="1123"/>
      <c r="AS120" s="1123"/>
      <c r="AT120"/>
      <c r="AU120"/>
      <c r="AV120"/>
      <c r="BD120"/>
      <c r="BE120"/>
      <c r="BF120"/>
      <c r="BG120" s="771"/>
      <c r="BH120" s="771"/>
      <c r="BI120" s="771"/>
      <c r="BJ120" s="771"/>
      <c r="BK120" s="771"/>
      <c r="BL120" s="771"/>
    </row>
    <row r="121" spans="1:64" x14ac:dyDescent="0.2">
      <c r="B121" s="8"/>
      <c r="C121" s="8"/>
      <c r="D121" s="8"/>
      <c r="E121" s="53"/>
      <c r="F121" s="8"/>
      <c r="G121" s="37"/>
      <c r="H121" s="35"/>
      <c r="V121" s="1123"/>
      <c r="W121" s="1123"/>
      <c r="X121" s="1123"/>
      <c r="AF121" s="1123"/>
      <c r="AG121" s="1123"/>
      <c r="AH121" s="1123"/>
      <c r="AI121" s="1123"/>
      <c r="AJ121" s="1123"/>
      <c r="AR121" s="1123"/>
      <c r="AS121" s="1123"/>
      <c r="AT121"/>
      <c r="AU121"/>
      <c r="AV121"/>
      <c r="BD121"/>
      <c r="BE121"/>
      <c r="BF121"/>
      <c r="BG121" s="771"/>
      <c r="BH121" s="771"/>
      <c r="BI121" s="771"/>
      <c r="BJ121" s="771"/>
      <c r="BK121" s="771"/>
      <c r="BL121" s="771"/>
    </row>
    <row r="122" spans="1:64" x14ac:dyDescent="0.2">
      <c r="B122" s="8"/>
      <c r="C122" s="8"/>
      <c r="D122" s="8"/>
      <c r="E122" s="53"/>
      <c r="F122" s="8"/>
      <c r="G122" s="37"/>
      <c r="H122" s="35"/>
      <c r="V122" s="1123"/>
      <c r="W122" s="1123"/>
      <c r="X122" s="1123"/>
      <c r="AF122" s="1123"/>
      <c r="AG122" s="1123"/>
      <c r="AH122" s="1123"/>
      <c r="AI122" s="1123"/>
      <c r="AJ122" s="1123"/>
      <c r="AR122" s="1123"/>
      <c r="AS122" s="1123"/>
      <c r="AT122"/>
      <c r="AU122"/>
      <c r="AV122"/>
      <c r="BD122"/>
      <c r="BE122"/>
      <c r="BF122"/>
      <c r="BG122" s="771"/>
      <c r="BH122" s="771"/>
      <c r="BI122" s="771"/>
      <c r="BJ122" s="771"/>
      <c r="BK122" s="771"/>
      <c r="BL122" s="771"/>
    </row>
    <row r="123" spans="1:64" x14ac:dyDescent="0.2">
      <c r="B123" s="8"/>
      <c r="C123" s="8"/>
      <c r="D123" s="8"/>
      <c r="E123" s="53"/>
      <c r="F123" s="8"/>
      <c r="G123" s="37"/>
      <c r="H123" s="35"/>
      <c r="V123" s="1123"/>
      <c r="W123" s="1123"/>
      <c r="X123" s="1123"/>
      <c r="AF123" s="1123"/>
      <c r="AG123" s="1123"/>
      <c r="AH123" s="1123"/>
      <c r="AI123" s="1123"/>
      <c r="AJ123" s="1123"/>
      <c r="AR123" s="1123"/>
      <c r="AS123" s="1123"/>
      <c r="AT123"/>
      <c r="AU123"/>
      <c r="AV123"/>
      <c r="BD123"/>
      <c r="BE123"/>
      <c r="BF123"/>
      <c r="BG123" s="771"/>
      <c r="BH123" s="771"/>
      <c r="BI123" s="771"/>
      <c r="BJ123" s="771"/>
      <c r="BK123" s="771"/>
      <c r="BL123" s="771"/>
    </row>
    <row r="124" spans="1:64" ht="12.75" x14ac:dyDescent="0.2">
      <c r="A124"/>
      <c r="B124" s="8"/>
      <c r="C124" s="8"/>
      <c r="D124" s="8"/>
      <c r="E124" s="53"/>
      <c r="F124" s="8"/>
      <c r="G124" s="37"/>
      <c r="H124" s="35"/>
      <c r="V124" s="1123"/>
      <c r="W124" s="1123"/>
      <c r="X124" s="1123"/>
      <c r="AF124" s="1123"/>
      <c r="AG124" s="1123"/>
      <c r="AH124" s="1123"/>
      <c r="AI124" s="1123"/>
      <c r="AJ124" s="1123"/>
      <c r="AR124" s="1123"/>
      <c r="AS124" s="1123"/>
      <c r="AT124"/>
      <c r="AU124"/>
      <c r="AV124"/>
      <c r="BD124"/>
      <c r="BE124"/>
      <c r="BF124"/>
      <c r="BG124" s="771"/>
      <c r="BH124" s="771"/>
      <c r="BI124" s="771"/>
      <c r="BJ124" s="771"/>
      <c r="BK124" s="771"/>
      <c r="BL124" s="771"/>
    </row>
    <row r="125" spans="1:64" ht="12.75" x14ac:dyDescent="0.2">
      <c r="A125"/>
      <c r="B125" s="8"/>
      <c r="C125" s="8"/>
      <c r="D125" s="8"/>
      <c r="E125" s="53"/>
      <c r="F125" s="8"/>
      <c r="G125" s="37"/>
      <c r="H125" s="35"/>
      <c r="V125" s="1123"/>
      <c r="W125" s="1123"/>
      <c r="X125" s="1123"/>
      <c r="AF125" s="1123"/>
      <c r="AG125" s="1123"/>
      <c r="AH125" s="1123"/>
      <c r="AI125" s="1123"/>
      <c r="AJ125" s="1123"/>
      <c r="AR125" s="1123"/>
      <c r="AS125" s="1123"/>
      <c r="AT125"/>
      <c r="AU125"/>
      <c r="AV125"/>
      <c r="BD125"/>
      <c r="BE125"/>
      <c r="BF125"/>
      <c r="BG125" s="771"/>
      <c r="BH125" s="771"/>
      <c r="BI125" s="771"/>
      <c r="BJ125" s="771"/>
      <c r="BK125" s="771"/>
      <c r="BL125" s="771"/>
    </row>
    <row r="126" spans="1:64" ht="12.75" x14ac:dyDescent="0.2">
      <c r="A126"/>
      <c r="B126" s="8"/>
      <c r="C126" s="8"/>
      <c r="D126" s="8"/>
      <c r="E126" s="53"/>
      <c r="F126" s="8"/>
      <c r="G126" s="37"/>
      <c r="H126" s="35"/>
      <c r="V126" s="1123"/>
      <c r="W126" s="1123"/>
      <c r="X126" s="1123"/>
      <c r="AF126" s="1123"/>
      <c r="AG126" s="1123"/>
      <c r="AH126" s="1123"/>
      <c r="AI126" s="1123"/>
      <c r="AJ126" s="1123"/>
      <c r="AR126" s="1123"/>
      <c r="AS126" s="1123"/>
      <c r="AT126"/>
      <c r="AU126"/>
      <c r="AV126"/>
      <c r="BD126"/>
      <c r="BE126"/>
      <c r="BF126"/>
      <c r="BG126" s="771"/>
      <c r="BH126" s="771"/>
      <c r="BI126" s="771"/>
      <c r="BJ126" s="771"/>
      <c r="BK126" s="771"/>
      <c r="BL126" s="771"/>
    </row>
    <row r="127" spans="1:64" ht="12.75" x14ac:dyDescent="0.2">
      <c r="A127"/>
      <c r="B127" s="8"/>
      <c r="C127" s="8"/>
      <c r="D127" s="8"/>
      <c r="E127" s="53"/>
      <c r="F127" s="8"/>
      <c r="G127" s="37"/>
      <c r="H127" s="35"/>
      <c r="V127" s="1123"/>
      <c r="W127" s="1123"/>
      <c r="X127" s="1123"/>
      <c r="AF127" s="1123"/>
      <c r="AG127" s="1123"/>
      <c r="AH127" s="1123"/>
      <c r="AI127" s="1123"/>
      <c r="AJ127" s="1123"/>
      <c r="AR127" s="1123"/>
      <c r="AS127" s="1123"/>
      <c r="AT127"/>
      <c r="AU127"/>
      <c r="AV127"/>
      <c r="BD127"/>
      <c r="BE127"/>
      <c r="BF127"/>
      <c r="BG127" s="771"/>
      <c r="BH127" s="771"/>
      <c r="BI127" s="771"/>
      <c r="BJ127" s="771"/>
      <c r="BK127" s="771"/>
      <c r="BL127" s="771"/>
    </row>
    <row r="128" spans="1:64" ht="12.75" x14ac:dyDescent="0.2">
      <c r="A128"/>
      <c r="B128" s="8"/>
      <c r="C128" s="8"/>
      <c r="D128" s="8"/>
      <c r="E128" s="53"/>
      <c r="F128" s="8"/>
      <c r="G128" s="37"/>
      <c r="H128" s="35"/>
      <c r="V128" s="1123"/>
      <c r="W128" s="1123"/>
      <c r="X128" s="1123"/>
      <c r="AF128" s="1123"/>
      <c r="AG128" s="1123"/>
      <c r="AH128" s="1123"/>
      <c r="AI128" s="1123"/>
      <c r="AJ128" s="1123"/>
      <c r="AR128" s="1123"/>
      <c r="AS128" s="1123"/>
      <c r="AT128"/>
      <c r="AU128"/>
      <c r="AV128"/>
      <c r="BD128"/>
      <c r="BE128"/>
      <c r="BF128"/>
      <c r="BG128" s="771"/>
      <c r="BH128" s="771"/>
      <c r="BI128" s="771"/>
      <c r="BJ128" s="771"/>
      <c r="BK128" s="771"/>
      <c r="BL128" s="771"/>
    </row>
    <row r="129" spans="1:64" ht="12.75" x14ac:dyDescent="0.2">
      <c r="A129"/>
      <c r="B129" s="8"/>
      <c r="C129" s="8"/>
      <c r="D129" s="8"/>
      <c r="E129" s="53"/>
      <c r="F129" s="8"/>
      <c r="G129" s="37"/>
      <c r="H129" s="35"/>
      <c r="V129" s="1123"/>
      <c r="W129" s="1123"/>
      <c r="X129" s="1123"/>
      <c r="AF129" s="1123"/>
      <c r="AG129" s="1123"/>
      <c r="AH129" s="1123"/>
      <c r="AI129" s="1123"/>
      <c r="AJ129" s="1123"/>
      <c r="AR129" s="1123"/>
      <c r="AS129" s="1123"/>
      <c r="AT129"/>
      <c r="AU129"/>
      <c r="AV129"/>
      <c r="BD129"/>
      <c r="BE129"/>
      <c r="BF129"/>
      <c r="BG129" s="771"/>
      <c r="BH129" s="771"/>
      <c r="BI129" s="771"/>
      <c r="BJ129" s="771"/>
      <c r="BK129" s="771"/>
      <c r="BL129" s="771"/>
    </row>
    <row r="130" spans="1:64" ht="12.75" x14ac:dyDescent="0.2">
      <c r="A130"/>
      <c r="B130" s="8"/>
      <c r="C130" s="8"/>
      <c r="D130" s="8"/>
      <c r="E130" s="53"/>
      <c r="F130" s="8"/>
      <c r="G130" s="37"/>
      <c r="H130" s="35"/>
      <c r="V130" s="1123"/>
      <c r="W130" s="1123"/>
      <c r="X130" s="1123"/>
      <c r="AF130" s="1123"/>
      <c r="AG130" s="1123"/>
      <c r="AH130" s="1123"/>
      <c r="AI130" s="1123"/>
      <c r="AJ130" s="1123"/>
      <c r="AR130" s="1123"/>
      <c r="AS130" s="1123"/>
      <c r="AT130"/>
      <c r="AU130"/>
      <c r="AV130"/>
      <c r="BD130"/>
      <c r="BE130"/>
      <c r="BF130"/>
      <c r="BG130" s="771"/>
      <c r="BH130" s="771"/>
      <c r="BI130" s="771"/>
      <c r="BJ130" s="771"/>
      <c r="BK130" s="771"/>
      <c r="BL130" s="771"/>
    </row>
    <row r="131" spans="1:64" ht="12.75" x14ac:dyDescent="0.2">
      <c r="A131"/>
      <c r="B131" s="8"/>
      <c r="C131" s="8"/>
      <c r="D131" s="8"/>
      <c r="E131" s="53"/>
      <c r="F131" s="8"/>
      <c r="G131" s="37"/>
      <c r="H131" s="35"/>
      <c r="V131" s="1123"/>
      <c r="W131" s="1123"/>
      <c r="X131" s="1123"/>
      <c r="AF131" s="1123"/>
      <c r="AG131" s="1123"/>
      <c r="AH131" s="1123"/>
      <c r="AI131" s="1123"/>
      <c r="AJ131" s="1123"/>
      <c r="AR131" s="1123"/>
      <c r="AS131" s="1123"/>
      <c r="AT131"/>
      <c r="AU131"/>
      <c r="AV131"/>
      <c r="BD131"/>
      <c r="BE131"/>
      <c r="BF131"/>
      <c r="BG131" s="771"/>
      <c r="BH131" s="771"/>
      <c r="BI131" s="771"/>
      <c r="BJ131" s="771"/>
      <c r="BK131" s="771"/>
      <c r="BL131" s="771"/>
    </row>
    <row r="132" spans="1:64" ht="12.75" x14ac:dyDescent="0.2">
      <c r="A132"/>
      <c r="B132" s="8"/>
      <c r="C132" s="8"/>
      <c r="D132" s="8"/>
      <c r="E132" s="53"/>
      <c r="F132" s="8"/>
      <c r="G132" s="37"/>
      <c r="H132" s="35"/>
      <c r="V132" s="1123"/>
      <c r="W132" s="1123"/>
      <c r="X132" s="1123"/>
      <c r="AF132" s="1123"/>
      <c r="AG132" s="1123"/>
      <c r="AH132" s="1123"/>
      <c r="AI132" s="1123"/>
      <c r="AJ132" s="1123"/>
      <c r="AR132" s="1123"/>
      <c r="AS132" s="1123"/>
      <c r="AT132"/>
      <c r="AU132"/>
      <c r="AV132"/>
      <c r="BD132"/>
      <c r="BE132"/>
      <c r="BF132"/>
      <c r="BG132" s="771"/>
      <c r="BH132" s="771"/>
      <c r="BI132" s="771"/>
      <c r="BJ132" s="771"/>
      <c r="BK132" s="771"/>
      <c r="BL132" s="771"/>
    </row>
    <row r="133" spans="1:64" ht="12.75" x14ac:dyDescent="0.2">
      <c r="A133"/>
      <c r="B133" s="8"/>
      <c r="C133" s="8"/>
      <c r="D133" s="8"/>
      <c r="E133" s="53"/>
      <c r="F133" s="8"/>
      <c r="G133" s="37"/>
      <c r="H133" s="35"/>
      <c r="V133" s="1123"/>
      <c r="W133" s="1123"/>
      <c r="X133" s="1123"/>
      <c r="AF133" s="1123"/>
      <c r="AG133" s="1123"/>
      <c r="AH133" s="1123"/>
      <c r="AI133" s="1123"/>
      <c r="AJ133" s="1123"/>
      <c r="AR133" s="1123"/>
      <c r="AS133" s="1123"/>
      <c r="AT133"/>
      <c r="AU133"/>
      <c r="AV133"/>
      <c r="BD133"/>
      <c r="BE133"/>
      <c r="BF133"/>
      <c r="BG133" s="771"/>
      <c r="BH133" s="771"/>
      <c r="BI133" s="771"/>
      <c r="BJ133" s="771"/>
      <c r="BK133" s="771"/>
      <c r="BL133" s="771"/>
    </row>
    <row r="134" spans="1:64" ht="12.75" x14ac:dyDescent="0.2">
      <c r="A134"/>
      <c r="B134" s="8"/>
      <c r="C134" s="8"/>
      <c r="D134" s="8"/>
      <c r="E134" s="53"/>
      <c r="F134" s="8"/>
      <c r="G134" s="37"/>
      <c r="H134" s="35"/>
      <c r="V134" s="1123"/>
      <c r="W134" s="1123"/>
      <c r="X134" s="1123"/>
      <c r="AF134" s="1123"/>
      <c r="AG134" s="1123"/>
      <c r="AH134" s="1123"/>
      <c r="AI134" s="1123"/>
      <c r="AJ134" s="1123"/>
      <c r="AR134" s="1123"/>
      <c r="AS134" s="1123"/>
      <c r="AT134"/>
      <c r="AU134"/>
      <c r="AV134"/>
      <c r="BD134"/>
      <c r="BE134"/>
      <c r="BF134"/>
      <c r="BG134" s="771"/>
      <c r="BH134" s="771"/>
      <c r="BI134" s="771"/>
      <c r="BJ134" s="771"/>
      <c r="BK134" s="771"/>
      <c r="BL134" s="771"/>
    </row>
    <row r="135" spans="1:64" ht="12.75" x14ac:dyDescent="0.2">
      <c r="A135"/>
      <c r="B135" s="8"/>
      <c r="C135" s="8"/>
      <c r="D135" s="8"/>
      <c r="E135" s="53"/>
      <c r="F135" s="8"/>
      <c r="G135" s="37"/>
      <c r="H135" s="35"/>
      <c r="V135" s="1123"/>
      <c r="W135" s="1123"/>
      <c r="X135" s="1123"/>
      <c r="AF135" s="1123"/>
      <c r="AG135" s="1123"/>
      <c r="AH135" s="1123"/>
      <c r="AI135" s="1123"/>
      <c r="AJ135" s="1123"/>
      <c r="AR135" s="1123"/>
      <c r="AS135" s="1123"/>
      <c r="AT135"/>
      <c r="AU135"/>
      <c r="AV135"/>
      <c r="BD135"/>
      <c r="BE135"/>
      <c r="BF135"/>
      <c r="BG135" s="771"/>
      <c r="BH135" s="771"/>
      <c r="BI135" s="771"/>
      <c r="BJ135" s="771"/>
      <c r="BK135" s="771"/>
      <c r="BL135" s="771"/>
    </row>
    <row r="136" spans="1:64" ht="12.75" x14ac:dyDescent="0.2">
      <c r="A136"/>
      <c r="B136" s="8"/>
      <c r="C136" s="8"/>
      <c r="D136" s="8"/>
      <c r="E136" s="53"/>
      <c r="F136" s="8"/>
      <c r="G136" s="37"/>
      <c r="H136" s="35"/>
      <c r="V136" s="1123"/>
      <c r="W136" s="1123"/>
      <c r="X136" s="1123"/>
      <c r="AF136" s="1123"/>
      <c r="AG136" s="1123"/>
      <c r="AH136" s="1123"/>
      <c r="AI136" s="1123"/>
      <c r="AJ136" s="1123"/>
      <c r="AR136" s="1123"/>
      <c r="AS136" s="1123"/>
      <c r="AT136"/>
      <c r="AU136"/>
      <c r="AV136"/>
      <c r="BD136"/>
      <c r="BE136"/>
      <c r="BF136"/>
      <c r="BG136" s="771"/>
      <c r="BH136" s="771"/>
      <c r="BI136" s="771"/>
      <c r="BJ136" s="771"/>
      <c r="BK136" s="771"/>
      <c r="BL136" s="771"/>
    </row>
    <row r="137" spans="1:64" ht="12.75" x14ac:dyDescent="0.2">
      <c r="A137"/>
      <c r="B137" s="8"/>
      <c r="C137" s="8"/>
      <c r="D137" s="8"/>
      <c r="E137" s="53"/>
      <c r="F137" s="8"/>
      <c r="G137" s="37"/>
      <c r="H137" s="35"/>
      <c r="V137" s="1123"/>
      <c r="W137" s="1123"/>
      <c r="X137" s="1123"/>
      <c r="AF137" s="1123"/>
      <c r="AG137" s="1123"/>
      <c r="AH137" s="1123"/>
      <c r="AI137" s="1123"/>
      <c r="AJ137" s="1123"/>
      <c r="AR137" s="1123"/>
      <c r="AS137" s="1123"/>
      <c r="AT137"/>
      <c r="AU137"/>
      <c r="AV137"/>
      <c r="BD137"/>
      <c r="BE137"/>
      <c r="BF137"/>
      <c r="BG137" s="771"/>
      <c r="BH137" s="771"/>
      <c r="BI137" s="771"/>
      <c r="BJ137" s="771"/>
      <c r="BK137" s="771"/>
      <c r="BL137" s="771"/>
    </row>
    <row r="138" spans="1:64" ht="12.75" x14ac:dyDescent="0.2">
      <c r="A138"/>
      <c r="B138" s="8"/>
      <c r="C138" s="8"/>
      <c r="D138" s="8"/>
      <c r="E138" s="53"/>
      <c r="F138" s="8"/>
      <c r="G138" s="37"/>
      <c r="H138" s="35"/>
      <c r="V138" s="1123"/>
      <c r="W138" s="1123"/>
      <c r="X138" s="1123"/>
      <c r="AF138" s="1123"/>
      <c r="AG138" s="1123"/>
      <c r="AH138" s="1123"/>
      <c r="AI138" s="1123"/>
      <c r="AJ138" s="1123"/>
      <c r="AR138" s="1123"/>
      <c r="AS138" s="1123"/>
      <c r="AT138"/>
      <c r="AU138"/>
      <c r="AV138"/>
      <c r="BD138"/>
      <c r="BE138"/>
      <c r="BF138"/>
      <c r="BG138" s="771"/>
      <c r="BH138" s="771"/>
      <c r="BI138" s="771"/>
      <c r="BJ138" s="771"/>
      <c r="BK138" s="771"/>
      <c r="BL138" s="771"/>
    </row>
    <row r="139" spans="1:64" ht="12.75" x14ac:dyDescent="0.2">
      <c r="A139"/>
      <c r="B139" s="8"/>
      <c r="C139" s="8"/>
      <c r="D139" s="8"/>
      <c r="E139" s="53"/>
      <c r="F139" s="8"/>
      <c r="G139" s="37"/>
      <c r="H139" s="35"/>
      <c r="V139" s="1123"/>
      <c r="W139" s="1123"/>
      <c r="X139" s="1123"/>
      <c r="AF139" s="1123"/>
      <c r="AG139" s="1123"/>
      <c r="AH139" s="1123"/>
      <c r="AI139" s="1123"/>
      <c r="AJ139" s="1123"/>
      <c r="AR139" s="1123"/>
      <c r="AS139" s="1123"/>
      <c r="AT139"/>
      <c r="AU139"/>
      <c r="AV139"/>
      <c r="BD139"/>
      <c r="BE139"/>
      <c r="BF139"/>
      <c r="BG139" s="771"/>
      <c r="BH139" s="771"/>
      <c r="BI139" s="771"/>
      <c r="BJ139" s="771"/>
      <c r="BK139" s="771"/>
      <c r="BL139" s="771"/>
    </row>
    <row r="140" spans="1:64" ht="12.75" x14ac:dyDescent="0.2">
      <c r="A140"/>
      <c r="B140" s="8"/>
      <c r="C140" s="8"/>
      <c r="D140" s="8"/>
      <c r="E140" s="53"/>
      <c r="F140" s="8"/>
      <c r="G140" s="37"/>
      <c r="H140" s="35"/>
      <c r="V140" s="1123"/>
      <c r="W140" s="1123"/>
      <c r="X140" s="1123"/>
      <c r="AF140" s="1123"/>
      <c r="AG140" s="1123"/>
      <c r="AH140" s="1123"/>
      <c r="AI140" s="1123"/>
      <c r="AJ140" s="1123"/>
      <c r="AR140" s="1123"/>
      <c r="AS140" s="1123"/>
      <c r="AT140"/>
      <c r="AU140"/>
      <c r="AV140"/>
      <c r="BD140"/>
      <c r="BE140"/>
      <c r="BF140"/>
      <c r="BG140" s="771"/>
      <c r="BH140" s="771"/>
      <c r="BI140" s="771"/>
      <c r="BJ140" s="771"/>
      <c r="BK140" s="771"/>
      <c r="BL140" s="771"/>
    </row>
    <row r="141" spans="1:64" ht="12.75" x14ac:dyDescent="0.2">
      <c r="A141"/>
      <c r="B141" s="8"/>
      <c r="C141" s="8"/>
      <c r="D141" s="8"/>
      <c r="E141" s="53"/>
      <c r="F141" s="8"/>
      <c r="G141" s="37"/>
      <c r="H141" s="35"/>
      <c r="V141" s="1123"/>
      <c r="W141" s="1123"/>
      <c r="X141" s="1123"/>
      <c r="AF141" s="1123"/>
      <c r="AG141" s="1123"/>
      <c r="AH141" s="1123"/>
      <c r="AI141" s="1123"/>
      <c r="AJ141" s="1123"/>
      <c r="AR141" s="1123"/>
      <c r="AS141" s="1123"/>
      <c r="AT141"/>
      <c r="AU141"/>
      <c r="AV141"/>
      <c r="BD141"/>
      <c r="BE141"/>
      <c r="BF141"/>
      <c r="BG141" s="771"/>
      <c r="BH141" s="771"/>
      <c r="BI141" s="771"/>
      <c r="BJ141" s="771"/>
      <c r="BK141" s="771"/>
      <c r="BL141" s="771"/>
    </row>
    <row r="142" spans="1:64" ht="12.75" x14ac:dyDescent="0.2">
      <c r="A142"/>
      <c r="B142" s="8"/>
      <c r="C142" s="8"/>
      <c r="D142" s="8"/>
      <c r="E142" s="53"/>
      <c r="F142" s="8"/>
      <c r="G142" s="37"/>
      <c r="H142" s="35"/>
      <c r="V142" s="1123"/>
      <c r="W142" s="1123"/>
      <c r="X142" s="1123"/>
      <c r="AF142" s="1123"/>
      <c r="AG142" s="1123"/>
      <c r="AH142" s="1123"/>
      <c r="AI142" s="1123"/>
      <c r="AJ142" s="1123"/>
      <c r="AR142" s="1123"/>
      <c r="AS142" s="1123"/>
      <c r="AT142"/>
      <c r="AU142"/>
      <c r="AV142"/>
      <c r="BD142"/>
      <c r="BE142"/>
      <c r="BF142"/>
      <c r="BG142" s="771"/>
      <c r="BH142" s="771"/>
      <c r="BI142" s="771"/>
      <c r="BJ142" s="771"/>
      <c r="BK142" s="771"/>
      <c r="BL142" s="771"/>
    </row>
    <row r="143" spans="1:64" ht="12.75" x14ac:dyDescent="0.2">
      <c r="A143"/>
      <c r="B143" s="8"/>
      <c r="C143" s="8"/>
      <c r="D143" s="8"/>
      <c r="E143" s="53"/>
      <c r="F143" s="8"/>
      <c r="G143" s="37"/>
      <c r="H143" s="35"/>
      <c r="V143" s="1123"/>
      <c r="W143" s="1123"/>
      <c r="X143" s="1123"/>
      <c r="AF143" s="1123"/>
      <c r="AG143" s="1123"/>
      <c r="AH143" s="1123"/>
      <c r="AI143" s="1123"/>
      <c r="AJ143" s="1123"/>
      <c r="AR143" s="1123"/>
      <c r="AS143" s="1123"/>
      <c r="AT143"/>
      <c r="AU143"/>
      <c r="AV143"/>
      <c r="BD143"/>
      <c r="BE143"/>
      <c r="BF143"/>
      <c r="BG143" s="771"/>
      <c r="BH143" s="771"/>
      <c r="BI143" s="771"/>
      <c r="BJ143" s="771"/>
      <c r="BK143" s="771"/>
      <c r="BL143" s="771"/>
    </row>
    <row r="144" spans="1:64" ht="12.75" x14ac:dyDescent="0.2">
      <c r="A144"/>
      <c r="B144" s="8"/>
      <c r="C144" s="8"/>
      <c r="D144" s="8"/>
      <c r="E144" s="53"/>
      <c r="F144" s="8"/>
      <c r="G144" s="37"/>
      <c r="H144" s="35"/>
      <c r="V144" s="1123"/>
      <c r="W144" s="1123"/>
      <c r="X144" s="1123"/>
      <c r="AF144" s="1123"/>
      <c r="AG144" s="1123"/>
      <c r="AH144" s="1123"/>
      <c r="AI144" s="1123"/>
      <c r="AJ144" s="1123"/>
      <c r="AR144" s="1123"/>
      <c r="AS144" s="1123"/>
      <c r="AT144"/>
      <c r="AU144"/>
      <c r="AV144"/>
      <c r="BD144"/>
      <c r="BE144"/>
      <c r="BF144"/>
      <c r="BG144" s="771"/>
      <c r="BH144" s="771"/>
      <c r="BI144" s="771"/>
      <c r="BJ144" s="771"/>
      <c r="BK144" s="771"/>
      <c r="BL144" s="771"/>
    </row>
    <row r="145" spans="1:64" ht="12.75" x14ac:dyDescent="0.2">
      <c r="A145"/>
      <c r="B145" s="8"/>
      <c r="C145" s="8"/>
      <c r="D145" s="8"/>
      <c r="E145" s="53"/>
      <c r="F145" s="8"/>
      <c r="G145" s="37"/>
      <c r="H145" s="35"/>
      <c r="V145" s="1123"/>
      <c r="W145" s="1123"/>
      <c r="X145" s="1123"/>
      <c r="AF145" s="1123"/>
      <c r="AG145" s="1123"/>
      <c r="AH145" s="1123"/>
      <c r="AI145" s="1123"/>
      <c r="AJ145" s="1123"/>
      <c r="AR145" s="1123"/>
      <c r="AS145" s="1123"/>
      <c r="AT145"/>
      <c r="AU145"/>
      <c r="AV145"/>
      <c r="BD145"/>
      <c r="BE145"/>
      <c r="BF145"/>
      <c r="BG145" s="771"/>
      <c r="BH145" s="771"/>
      <c r="BI145" s="771"/>
      <c r="BJ145" s="771"/>
      <c r="BK145" s="771"/>
      <c r="BL145" s="771"/>
    </row>
    <row r="146" spans="1:64" ht="12.75" x14ac:dyDescent="0.2">
      <c r="A146"/>
      <c r="B146" s="8"/>
      <c r="C146" s="8"/>
      <c r="D146" s="8"/>
      <c r="E146" s="53"/>
      <c r="F146" s="8"/>
      <c r="G146" s="37"/>
      <c r="H146" s="35"/>
      <c r="V146" s="1123"/>
      <c r="W146" s="1123"/>
      <c r="X146" s="1123"/>
      <c r="AF146" s="1123"/>
      <c r="AG146" s="1123"/>
      <c r="AH146" s="1123"/>
      <c r="AI146" s="1123"/>
      <c r="AJ146" s="1123"/>
      <c r="AR146" s="1123"/>
      <c r="AS146" s="1123"/>
      <c r="AT146"/>
      <c r="AU146"/>
      <c r="AV146"/>
      <c r="BD146"/>
      <c r="BE146"/>
      <c r="BF146"/>
      <c r="BG146" s="771"/>
      <c r="BH146" s="771"/>
      <c r="BI146" s="771"/>
      <c r="BJ146" s="771"/>
      <c r="BK146" s="771"/>
      <c r="BL146" s="771"/>
    </row>
    <row r="147" spans="1:64" ht="12.75" x14ac:dyDescent="0.2">
      <c r="A147"/>
      <c r="B147" s="8"/>
      <c r="C147" s="8"/>
      <c r="D147" s="8"/>
      <c r="E147" s="53"/>
      <c r="F147" s="8"/>
      <c r="G147" s="37"/>
      <c r="H147" s="35"/>
      <c r="V147" s="1123"/>
      <c r="W147" s="1123"/>
      <c r="X147" s="1123"/>
      <c r="AF147" s="1123"/>
      <c r="AG147" s="1123"/>
      <c r="AH147" s="1123"/>
      <c r="AI147" s="1123"/>
      <c r="AJ147" s="1123"/>
      <c r="AR147" s="1123"/>
      <c r="AS147" s="1123"/>
      <c r="AT147"/>
      <c r="AU147"/>
      <c r="AV147"/>
      <c r="BD147"/>
      <c r="BE147"/>
      <c r="BF147"/>
      <c r="BG147" s="771"/>
      <c r="BH147" s="771"/>
      <c r="BI147" s="771"/>
      <c r="BJ147" s="771"/>
      <c r="BK147" s="771"/>
      <c r="BL147" s="771"/>
    </row>
    <row r="148" spans="1:64" ht="12.75" x14ac:dyDescent="0.2">
      <c r="A148"/>
      <c r="B148" s="8"/>
      <c r="C148" s="8"/>
      <c r="D148" s="8"/>
      <c r="E148" s="53"/>
      <c r="F148" s="8"/>
      <c r="G148" s="37"/>
      <c r="H148" s="35"/>
      <c r="V148" s="1123"/>
      <c r="W148" s="1123"/>
      <c r="X148" s="1123"/>
      <c r="AF148" s="1123"/>
      <c r="AG148" s="1123"/>
      <c r="AH148" s="1123"/>
      <c r="AI148" s="1123"/>
      <c r="AJ148" s="1123"/>
      <c r="AR148" s="1123"/>
      <c r="AS148" s="1123"/>
      <c r="AT148"/>
      <c r="AU148"/>
      <c r="AV148"/>
      <c r="BD148"/>
      <c r="BE148"/>
      <c r="BF148"/>
      <c r="BG148" s="771"/>
      <c r="BH148" s="771"/>
      <c r="BI148" s="771"/>
      <c r="BJ148" s="771"/>
      <c r="BK148" s="771"/>
      <c r="BL148" s="771"/>
    </row>
    <row r="149" spans="1:64" ht="12.75" x14ac:dyDescent="0.2">
      <c r="A149"/>
      <c r="B149" s="8"/>
      <c r="C149" s="8"/>
      <c r="D149" s="8"/>
      <c r="E149" s="53"/>
      <c r="F149" s="8"/>
      <c r="G149" s="37"/>
      <c r="H149" s="35"/>
      <c r="V149" s="1123"/>
      <c r="W149" s="1123"/>
      <c r="X149" s="1123"/>
      <c r="AF149" s="1123"/>
      <c r="AG149" s="1123"/>
      <c r="AH149" s="1123"/>
      <c r="AI149" s="1123"/>
      <c r="AJ149" s="1123"/>
      <c r="AR149" s="1123"/>
      <c r="AS149" s="1123"/>
      <c r="AT149"/>
      <c r="AU149"/>
      <c r="AV149"/>
      <c r="BD149"/>
      <c r="BE149"/>
      <c r="BF149"/>
      <c r="BG149" s="771"/>
      <c r="BH149" s="771"/>
      <c r="BI149" s="771"/>
      <c r="BJ149" s="771"/>
      <c r="BK149" s="771"/>
      <c r="BL149" s="771"/>
    </row>
    <row r="150" spans="1:64" ht="12.75" x14ac:dyDescent="0.2">
      <c r="A150"/>
      <c r="B150" s="8"/>
      <c r="C150" s="8"/>
      <c r="D150" s="8"/>
      <c r="E150" s="53"/>
      <c r="F150" s="8"/>
      <c r="G150" s="37"/>
      <c r="H150" s="35"/>
      <c r="V150" s="1123"/>
      <c r="W150" s="1123"/>
      <c r="X150" s="1123"/>
      <c r="AF150" s="1123"/>
      <c r="AG150" s="1123"/>
      <c r="AH150" s="1123"/>
      <c r="AI150" s="1123"/>
      <c r="AJ150" s="1123"/>
      <c r="AR150" s="1123"/>
      <c r="AS150" s="1123"/>
      <c r="AT150"/>
      <c r="AU150"/>
      <c r="AV150"/>
      <c r="BD150"/>
      <c r="BE150"/>
      <c r="BF150"/>
      <c r="BG150" s="771"/>
      <c r="BH150" s="771"/>
      <c r="BI150" s="771"/>
      <c r="BJ150" s="771"/>
      <c r="BK150" s="771"/>
      <c r="BL150" s="771"/>
    </row>
    <row r="151" spans="1:64" ht="12.75" x14ac:dyDescent="0.2">
      <c r="A151"/>
      <c r="B151" s="8"/>
      <c r="C151" s="8"/>
      <c r="D151" s="8"/>
      <c r="E151" s="53"/>
      <c r="F151" s="8"/>
      <c r="G151" s="37"/>
      <c r="H151" s="35"/>
      <c r="V151" s="1123"/>
      <c r="W151" s="1123"/>
      <c r="X151" s="1123"/>
      <c r="AF151" s="1123"/>
      <c r="AG151" s="1123"/>
      <c r="AH151" s="1123"/>
      <c r="AI151" s="1123"/>
      <c r="AJ151" s="1123"/>
      <c r="AR151" s="1123"/>
      <c r="AS151" s="1123"/>
      <c r="AT151"/>
      <c r="AU151"/>
      <c r="AV151"/>
      <c r="BD151"/>
      <c r="BE151"/>
      <c r="BF151"/>
      <c r="BG151" s="771"/>
      <c r="BH151" s="771"/>
      <c r="BI151" s="771"/>
      <c r="BJ151" s="771"/>
      <c r="BK151" s="771"/>
      <c r="BL151" s="771"/>
    </row>
    <row r="152" spans="1:64" ht="12.75" x14ac:dyDescent="0.2">
      <c r="A152"/>
      <c r="B152" s="8"/>
      <c r="C152" s="8"/>
      <c r="D152" s="8"/>
      <c r="E152" s="53"/>
      <c r="F152" s="8"/>
      <c r="G152" s="37"/>
      <c r="H152" s="35"/>
      <c r="V152" s="1123"/>
      <c r="W152" s="1123"/>
      <c r="X152" s="1123"/>
      <c r="AF152" s="1123"/>
      <c r="AG152" s="1123"/>
      <c r="AH152" s="1123"/>
      <c r="AI152" s="1123"/>
      <c r="AJ152" s="1123"/>
      <c r="AR152" s="1123"/>
      <c r="AS152" s="1123"/>
      <c r="AT152"/>
      <c r="AU152"/>
      <c r="AV152"/>
      <c r="BD152"/>
      <c r="BE152"/>
      <c r="BF152"/>
      <c r="BG152" s="771"/>
      <c r="BH152" s="771"/>
      <c r="BI152" s="771"/>
      <c r="BJ152" s="771"/>
      <c r="BK152" s="771"/>
      <c r="BL152" s="771"/>
    </row>
    <row r="153" spans="1:64" ht="12.75" x14ac:dyDescent="0.2">
      <c r="A153"/>
      <c r="B153" s="8"/>
      <c r="C153" s="8"/>
      <c r="D153" s="8"/>
      <c r="E153" s="53"/>
      <c r="F153" s="8"/>
      <c r="G153" s="37"/>
      <c r="H153" s="35"/>
      <c r="V153" s="1123"/>
      <c r="W153" s="1123"/>
      <c r="X153" s="1123"/>
      <c r="AF153" s="1123"/>
      <c r="AG153" s="1123"/>
      <c r="AH153" s="1123"/>
      <c r="AI153" s="1123"/>
      <c r="AJ153" s="1123"/>
      <c r="AR153" s="1123"/>
      <c r="AS153" s="1123"/>
      <c r="AT153"/>
      <c r="AU153"/>
      <c r="AV153"/>
      <c r="BD153"/>
      <c r="BE153"/>
      <c r="BF153"/>
      <c r="BG153" s="771"/>
      <c r="BH153" s="771"/>
      <c r="BI153" s="771"/>
      <c r="BJ153" s="771"/>
      <c r="BK153" s="771"/>
      <c r="BL153" s="771"/>
    </row>
    <row r="154" spans="1:64" ht="12.75" x14ac:dyDescent="0.2">
      <c r="A154"/>
      <c r="B154" s="8"/>
      <c r="C154" s="8"/>
      <c r="D154" s="8"/>
      <c r="E154" s="53"/>
      <c r="F154" s="8"/>
      <c r="G154" s="37"/>
      <c r="H154" s="35"/>
      <c r="V154" s="1123"/>
      <c r="W154" s="1123"/>
      <c r="X154" s="1123"/>
      <c r="AF154" s="1123"/>
      <c r="AG154" s="1123"/>
      <c r="AH154" s="1123"/>
      <c r="AI154" s="1123"/>
      <c r="AJ154" s="1123"/>
      <c r="AR154" s="1123"/>
      <c r="AS154" s="1123"/>
      <c r="AT154"/>
      <c r="AU154"/>
      <c r="AV154"/>
      <c r="BD154"/>
      <c r="BE154"/>
      <c r="BF154"/>
      <c r="BG154" s="771"/>
      <c r="BH154" s="771"/>
      <c r="BI154" s="771"/>
      <c r="BJ154" s="771"/>
      <c r="BK154" s="771"/>
      <c r="BL154" s="771"/>
    </row>
    <row r="155" spans="1:64" ht="12.75" x14ac:dyDescent="0.2">
      <c r="A155"/>
      <c r="B155" s="8"/>
      <c r="C155" s="8"/>
      <c r="D155" s="8"/>
      <c r="E155" s="53"/>
      <c r="F155" s="8"/>
      <c r="G155" s="37"/>
      <c r="H155" s="35"/>
      <c r="V155" s="1123"/>
      <c r="W155" s="1123"/>
      <c r="X155" s="1123"/>
      <c r="AF155" s="1123"/>
      <c r="AG155" s="1123"/>
      <c r="AH155" s="1123"/>
      <c r="AI155" s="1123"/>
      <c r="AJ155" s="1123"/>
      <c r="AR155" s="1123"/>
      <c r="AS155" s="1123"/>
      <c r="AT155"/>
      <c r="AU155"/>
      <c r="AV155"/>
      <c r="BD155"/>
      <c r="BE155"/>
      <c r="BF155"/>
      <c r="BG155" s="771"/>
      <c r="BH155" s="771"/>
      <c r="BI155" s="771"/>
      <c r="BJ155" s="771"/>
      <c r="BK155" s="771"/>
      <c r="BL155" s="771"/>
    </row>
    <row r="156" spans="1:64" ht="12.75" x14ac:dyDescent="0.2">
      <c r="A156"/>
      <c r="B156" s="8"/>
      <c r="C156" s="8"/>
      <c r="D156" s="8"/>
      <c r="E156" s="53"/>
      <c r="F156" s="8"/>
      <c r="G156" s="37"/>
      <c r="H156" s="35"/>
      <c r="V156" s="1123"/>
      <c r="W156" s="1123"/>
      <c r="X156" s="1123"/>
      <c r="AF156" s="1123"/>
      <c r="AG156" s="1123"/>
      <c r="AH156" s="1123"/>
      <c r="AI156" s="1123"/>
      <c r="AJ156" s="1123"/>
      <c r="AR156" s="1123"/>
      <c r="AS156" s="1123"/>
      <c r="AT156"/>
      <c r="AU156"/>
      <c r="AV156"/>
      <c r="BD156"/>
      <c r="BE156"/>
      <c r="BF156"/>
      <c r="BG156" s="771"/>
      <c r="BH156" s="771"/>
      <c r="BI156" s="771"/>
      <c r="BJ156" s="771"/>
      <c r="BK156" s="771"/>
      <c r="BL156" s="771"/>
    </row>
    <row r="157" spans="1:64" ht="12.75" x14ac:dyDescent="0.2">
      <c r="A157"/>
      <c r="B157" s="8"/>
      <c r="C157" s="8"/>
      <c r="D157" s="8"/>
      <c r="E157" s="53"/>
      <c r="F157" s="8"/>
      <c r="G157" s="37"/>
      <c r="H157" s="35"/>
      <c r="V157" s="1123"/>
      <c r="W157" s="1123"/>
      <c r="X157" s="1123"/>
      <c r="AF157" s="1123"/>
      <c r="AG157" s="1123"/>
      <c r="AH157" s="1123"/>
      <c r="AI157" s="1123"/>
      <c r="AJ157" s="1123"/>
      <c r="AR157" s="1123"/>
      <c r="AS157" s="1123"/>
      <c r="AT157"/>
      <c r="AU157"/>
      <c r="AV157"/>
      <c r="BD157"/>
      <c r="BE157"/>
      <c r="BF157"/>
      <c r="BG157" s="771"/>
      <c r="BH157" s="771"/>
      <c r="BI157" s="771"/>
      <c r="BJ157" s="771"/>
      <c r="BK157" s="771"/>
      <c r="BL157" s="771"/>
    </row>
    <row r="158" spans="1:64" ht="12.75" x14ac:dyDescent="0.2">
      <c r="A158"/>
      <c r="B158" s="8"/>
      <c r="C158" s="8"/>
      <c r="D158" s="8"/>
      <c r="E158" s="53"/>
      <c r="F158" s="8"/>
      <c r="G158" s="37"/>
      <c r="H158" s="35"/>
      <c r="V158" s="1123"/>
      <c r="W158" s="1123"/>
      <c r="X158" s="1123"/>
      <c r="AF158" s="1123"/>
      <c r="AG158" s="1123"/>
      <c r="AH158" s="1123"/>
      <c r="AI158" s="1123"/>
      <c r="AJ158" s="1123"/>
      <c r="AR158" s="1123"/>
      <c r="AS158" s="1123"/>
      <c r="AT158"/>
      <c r="AU158"/>
      <c r="AV158"/>
      <c r="BD158"/>
      <c r="BE158"/>
      <c r="BF158"/>
      <c r="BG158" s="771"/>
      <c r="BH158" s="771"/>
      <c r="BI158" s="771"/>
      <c r="BJ158" s="771"/>
      <c r="BK158" s="771"/>
      <c r="BL158" s="771"/>
    </row>
    <row r="159" spans="1:64" ht="12.75" x14ac:dyDescent="0.2">
      <c r="A159"/>
      <c r="B159" s="8"/>
      <c r="C159" s="8"/>
      <c r="D159" s="8"/>
      <c r="E159" s="53"/>
      <c r="F159" s="8"/>
      <c r="G159" s="37"/>
      <c r="H159" s="35"/>
      <c r="V159" s="1123"/>
      <c r="W159" s="1123"/>
      <c r="X159" s="1123"/>
      <c r="AF159" s="1123"/>
      <c r="AG159" s="1123"/>
      <c r="AH159" s="1123"/>
      <c r="AI159" s="1123"/>
      <c r="AJ159" s="1123"/>
      <c r="AR159" s="1123"/>
      <c r="AS159" s="1123"/>
      <c r="AT159"/>
      <c r="AU159"/>
      <c r="AV159"/>
      <c r="BD159"/>
      <c r="BE159"/>
      <c r="BF159"/>
      <c r="BG159" s="771"/>
      <c r="BH159" s="771"/>
      <c r="BI159" s="771"/>
      <c r="BJ159" s="771"/>
      <c r="BK159" s="771"/>
      <c r="BL159" s="771"/>
    </row>
    <row r="160" spans="1:64" ht="12.75" x14ac:dyDescent="0.2">
      <c r="A160"/>
      <c r="B160" s="8"/>
      <c r="C160" s="8"/>
      <c r="D160" s="8"/>
      <c r="E160" s="53"/>
      <c r="F160" s="8"/>
      <c r="G160" s="37"/>
      <c r="H160" s="35"/>
      <c r="V160" s="1123"/>
      <c r="W160" s="1123"/>
      <c r="X160" s="1123"/>
      <c r="AF160" s="1123"/>
      <c r="AG160" s="1123"/>
      <c r="AH160" s="1123"/>
      <c r="AI160" s="1123"/>
      <c r="AJ160" s="1123"/>
      <c r="AR160" s="1123"/>
      <c r="AS160" s="1123"/>
      <c r="AT160"/>
      <c r="AU160"/>
      <c r="AV160"/>
      <c r="BD160"/>
      <c r="BE160"/>
      <c r="BF160"/>
      <c r="BG160" s="771"/>
      <c r="BH160" s="771"/>
      <c r="BI160" s="771"/>
      <c r="BJ160" s="771"/>
      <c r="BK160" s="771"/>
      <c r="BL160" s="771"/>
    </row>
    <row r="161" spans="1:64" ht="12.75" x14ac:dyDescent="0.2">
      <c r="A161"/>
      <c r="B161" s="8"/>
      <c r="C161" s="8"/>
      <c r="D161" s="8"/>
      <c r="E161" s="53"/>
      <c r="F161" s="8"/>
      <c r="G161" s="37"/>
      <c r="H161" s="35"/>
      <c r="V161" s="1123"/>
      <c r="W161" s="1123"/>
      <c r="X161" s="1123"/>
      <c r="AF161" s="1123"/>
      <c r="AG161" s="1123"/>
      <c r="AH161" s="1123"/>
      <c r="AI161" s="1123"/>
      <c r="AJ161" s="1123"/>
      <c r="AR161" s="1123"/>
      <c r="AS161" s="1123"/>
      <c r="AT161"/>
      <c r="AU161"/>
      <c r="AV161"/>
      <c r="BD161"/>
      <c r="BE161"/>
      <c r="BF161"/>
      <c r="BG161" s="771"/>
      <c r="BH161" s="771"/>
      <c r="BI161" s="771"/>
      <c r="BJ161" s="771"/>
      <c r="BK161" s="771"/>
      <c r="BL161" s="771"/>
    </row>
    <row r="162" spans="1:64" ht="12.75" x14ac:dyDescent="0.2">
      <c r="A162"/>
      <c r="B162" s="8"/>
      <c r="C162" s="8"/>
      <c r="D162" s="8"/>
      <c r="E162" s="53"/>
      <c r="F162" s="8"/>
      <c r="G162" s="37"/>
      <c r="H162" s="35"/>
      <c r="V162" s="1123"/>
      <c r="W162" s="1123"/>
      <c r="X162" s="1123"/>
      <c r="AF162" s="1123"/>
      <c r="AG162" s="1123"/>
      <c r="AH162" s="1123"/>
      <c r="AI162" s="1123"/>
      <c r="AJ162" s="1123"/>
      <c r="AR162" s="1123"/>
      <c r="AS162" s="1123"/>
      <c r="AT162"/>
      <c r="AU162"/>
      <c r="AV162"/>
      <c r="BD162"/>
      <c r="BE162"/>
      <c r="BF162"/>
      <c r="BG162" s="771"/>
      <c r="BH162" s="771"/>
      <c r="BI162" s="771"/>
      <c r="BJ162" s="771"/>
      <c r="BK162" s="771"/>
      <c r="BL162" s="771"/>
    </row>
    <row r="163" spans="1:64" ht="12.75" x14ac:dyDescent="0.2">
      <c r="A163"/>
      <c r="B163" s="8"/>
      <c r="C163" s="8"/>
      <c r="D163" s="8"/>
      <c r="E163" s="53"/>
      <c r="F163" s="8"/>
      <c r="G163" s="37"/>
      <c r="H163" s="35"/>
      <c r="V163" s="1123"/>
      <c r="W163" s="1123"/>
      <c r="X163" s="1123"/>
      <c r="AF163" s="1123"/>
      <c r="AG163" s="1123"/>
      <c r="AH163" s="1123"/>
      <c r="AI163" s="1123"/>
      <c r="AJ163" s="1123"/>
      <c r="AR163" s="1123"/>
      <c r="AS163" s="1123"/>
      <c r="AT163"/>
      <c r="AU163"/>
      <c r="AV163"/>
      <c r="BD163"/>
      <c r="BE163"/>
      <c r="BF163"/>
      <c r="BG163" s="771"/>
      <c r="BH163" s="771"/>
      <c r="BI163" s="771"/>
      <c r="BJ163" s="771"/>
      <c r="BK163" s="771"/>
      <c r="BL163" s="771"/>
    </row>
    <row r="164" spans="1:64" ht="12.75" x14ac:dyDescent="0.2">
      <c r="A164"/>
      <c r="B164" s="8"/>
      <c r="C164" s="8"/>
      <c r="D164" s="8"/>
      <c r="E164" s="53"/>
      <c r="F164" s="8"/>
      <c r="G164" s="37"/>
      <c r="H164" s="35"/>
      <c r="V164" s="1123"/>
      <c r="W164" s="1123"/>
      <c r="X164" s="1123"/>
      <c r="AF164" s="1123"/>
      <c r="AG164" s="1123"/>
      <c r="AH164" s="1123"/>
      <c r="AI164" s="1123"/>
      <c r="AJ164" s="1123"/>
      <c r="AR164" s="1123"/>
      <c r="AS164" s="1123"/>
      <c r="AT164"/>
      <c r="AU164"/>
      <c r="AV164"/>
      <c r="BD164"/>
      <c r="BE164"/>
      <c r="BF164"/>
      <c r="BG164" s="771"/>
      <c r="BH164" s="771"/>
      <c r="BI164" s="771"/>
      <c r="BJ164" s="771"/>
      <c r="BK164" s="771"/>
      <c r="BL164" s="771"/>
    </row>
    <row r="165" spans="1:64" ht="12.75" x14ac:dyDescent="0.2">
      <c r="A165"/>
      <c r="B165" s="8"/>
      <c r="C165" s="8"/>
      <c r="D165" s="8"/>
      <c r="E165" s="53"/>
      <c r="F165" s="8"/>
      <c r="G165" s="37"/>
      <c r="H165" s="35"/>
      <c r="V165" s="1123"/>
      <c r="W165" s="1123"/>
      <c r="X165" s="1123"/>
      <c r="AF165" s="1123"/>
      <c r="AG165" s="1123"/>
      <c r="AH165" s="1123"/>
      <c r="AI165" s="1123"/>
      <c r="AJ165" s="1123"/>
      <c r="AR165" s="1123"/>
      <c r="AS165" s="1123"/>
      <c r="AT165"/>
      <c r="AU165"/>
      <c r="AV165"/>
      <c r="BD165"/>
      <c r="BE165"/>
      <c r="BF165"/>
      <c r="BG165" s="771"/>
      <c r="BH165" s="771"/>
      <c r="BI165" s="771"/>
      <c r="BJ165" s="771"/>
      <c r="BK165" s="771"/>
      <c r="BL165" s="771"/>
    </row>
    <row r="166" spans="1:64" x14ac:dyDescent="0.2">
      <c r="BL166" s="771"/>
    </row>
  </sheetData>
  <protectedRanges>
    <protectedRange sqref="C8 C22 C34 C56 C70 C89 C103" name="Диапазон1"/>
  </protectedRanges>
  <customSheetViews>
    <customSheetView guid="{788B8383-784A-4263-9D04-45657AC129FF}" hiddenColumns="1">
      <pageMargins left="0.75" right="0.75" top="1" bottom="1" header="0.5" footer="0.5"/>
      <pageSetup paperSize="9" orientation="portrait" verticalDpi="0" r:id="rId1"/>
      <headerFooter alignWithMargins="0"/>
    </customSheetView>
  </customSheetViews>
  <mergeCells count="49">
    <mergeCell ref="B104:B117"/>
    <mergeCell ref="A105:A114"/>
    <mergeCell ref="H105:H117"/>
    <mergeCell ref="H103:H104"/>
    <mergeCell ref="B86:G87"/>
    <mergeCell ref="B90:B100"/>
    <mergeCell ref="A91:A100"/>
    <mergeCell ref="H91:H100"/>
    <mergeCell ref="H89:H90"/>
    <mergeCell ref="D102:H102"/>
    <mergeCell ref="A71:A81"/>
    <mergeCell ref="B71:B84"/>
    <mergeCell ref="H72:H84"/>
    <mergeCell ref="H70:H71"/>
    <mergeCell ref="D69:H69"/>
    <mergeCell ref="B53:G54"/>
    <mergeCell ref="A57:A67"/>
    <mergeCell ref="B57:B67"/>
    <mergeCell ref="H58:H67"/>
    <mergeCell ref="H56:H57"/>
    <mergeCell ref="A23:A31"/>
    <mergeCell ref="B23:B31"/>
    <mergeCell ref="H24:H31"/>
    <mergeCell ref="H22:H23"/>
    <mergeCell ref="A35:A43"/>
    <mergeCell ref="B35:B45"/>
    <mergeCell ref="H36:H45"/>
    <mergeCell ref="H34:H35"/>
    <mergeCell ref="D33:H33"/>
    <mergeCell ref="A5:A6"/>
    <mergeCell ref="B5:G6"/>
    <mergeCell ref="A9:A14"/>
    <mergeCell ref="B9:B17"/>
    <mergeCell ref="H10:H17"/>
    <mergeCell ref="D7:H7"/>
    <mergeCell ref="B47:G48"/>
    <mergeCell ref="B49:B51"/>
    <mergeCell ref="D49:G49"/>
    <mergeCell ref="BM8:BN9"/>
    <mergeCell ref="J11:U11"/>
    <mergeCell ref="AT11:BE11"/>
    <mergeCell ref="V11:AG11"/>
    <mergeCell ref="AH11:AS11"/>
    <mergeCell ref="V22:AG22"/>
    <mergeCell ref="AH22:AS22"/>
    <mergeCell ref="AT22:BE22"/>
    <mergeCell ref="H8:H9"/>
    <mergeCell ref="B19:G20"/>
    <mergeCell ref="D21:G21"/>
  </mergeCells>
  <phoneticPr fontId="2" type="noConversion"/>
  <conditionalFormatting sqref="D3">
    <cfRule type="cellIs" dxfId="138" priority="13" operator="equal">
      <formula>$K$39</formula>
    </cfRule>
    <cfRule type="cellIs" dxfId="137" priority="14" operator="equal">
      <formula>$K$38</formula>
    </cfRule>
  </conditionalFormatting>
  <conditionalFormatting sqref="H6 H20 H54 H87">
    <cfRule type="cellIs" dxfId="136" priority="10" operator="equal">
      <formula>$K$37</formula>
    </cfRule>
    <cfRule type="cellIs" dxfId="135" priority="11" operator="equal">
      <formula>$K$39</formula>
    </cfRule>
    <cfRule type="cellIs" dxfId="134" priority="12" operator="equal">
      <formula>$K$38</formula>
    </cfRule>
  </conditionalFormatting>
  <conditionalFormatting sqref="E3">
    <cfRule type="cellIs" dxfId="133" priority="7" operator="equal">
      <formula>$K$37</formula>
    </cfRule>
    <cfRule type="cellIs" dxfId="132" priority="8" operator="equal">
      <formula>$K$39</formula>
    </cfRule>
    <cfRule type="cellIs" dxfId="131" priority="9" operator="equal">
      <formula>$K$38</formula>
    </cfRule>
  </conditionalFormatting>
  <conditionalFormatting sqref="G3">
    <cfRule type="cellIs" dxfId="130" priority="4" operator="equal">
      <formula>$K$37</formula>
    </cfRule>
    <cfRule type="cellIs" dxfId="129" priority="5" operator="equal">
      <formula>$K$39</formula>
    </cfRule>
    <cfRule type="cellIs" dxfId="128" priority="6" operator="equal">
      <formula>$K$38</formula>
    </cfRule>
  </conditionalFormatting>
  <conditionalFormatting sqref="H3">
    <cfRule type="cellIs" dxfId="127" priority="1" operator="equal">
      <formula>$K$37</formula>
    </cfRule>
    <cfRule type="cellIs" dxfId="126" priority="2" operator="equal">
      <formula>$K$39</formula>
    </cfRule>
    <cfRule type="cellIs" dxfId="125" priority="3" operator="equal">
      <formula>$K$38</formula>
    </cfRule>
  </conditionalFormatting>
  <dataValidations count="5">
    <dataValidation type="list" allowBlank="1" showInputMessage="1" showErrorMessage="1" sqref="C8" xr:uid="{00000000-0002-0000-0A00-000000000000}">
      <formula1>$AT$13:$AT$14</formula1>
    </dataValidation>
    <dataValidation type="list" allowBlank="1" showInputMessage="1" showErrorMessage="1" sqref="C34 C22" xr:uid="{00000000-0002-0000-0A00-000001000000}">
      <formula1>$AT$26:$AT$30</formula1>
    </dataValidation>
    <dataValidation type="list" allowBlank="1" showInputMessage="1" showErrorMessage="1" sqref="C103 C55 C70 C88" xr:uid="{00000000-0002-0000-0A00-000002000000}">
      <formula1>$AT$61:$AT$64</formula1>
    </dataValidation>
    <dataValidation type="list" allowBlank="1" showInputMessage="1" showErrorMessage="1" sqref="C56 C89" xr:uid="{00000000-0002-0000-0A00-000003000000}">
      <formula1>$AT$60:$AT$64</formula1>
    </dataValidation>
    <dataValidation type="list" allowBlank="1" showInputMessage="1" showErrorMessage="1" sqref="D3" xr:uid="{00000000-0002-0000-0A00-000004000000}">
      <formula1>$K$37:$K$39</formula1>
    </dataValidation>
  </dataValidations>
  <hyperlinks>
    <hyperlink ref="BL12:BN12" location="'3.3'!A1" display="→" xr:uid="{00000000-0004-0000-0A00-000000000000}"/>
    <hyperlink ref="BL13:BN13" location="'3.4'!A1" display="→" xr:uid="{00000000-0004-0000-0A00-000001000000}"/>
    <hyperlink ref="BL16:BN16" location="'3.6'!A1" display="→" xr:uid="{00000000-0004-0000-0A00-000002000000}"/>
    <hyperlink ref="BL17:BN17" location="'3.7'!A1" display="→" xr:uid="{00000000-0004-0000-0A00-000003000000}"/>
    <hyperlink ref="BL19:BN19" location="'3.8'!A1" display="→" xr:uid="{00000000-0004-0000-0A00-000004000000}"/>
    <hyperlink ref="BL10" location="'3.3'!A1" display="→" xr:uid="{00000000-0004-0000-0A00-000005000000}"/>
    <hyperlink ref="BL10:BN10" location="'3.1'!A1" display="→" xr:uid="{00000000-0004-0000-0A00-000006000000}"/>
    <hyperlink ref="BL20:BN20" location="СОДЕРЖАНИЕ!A1" display="←" xr:uid="{00000000-0004-0000-0A00-000007000000}"/>
    <hyperlink ref="BL11:BN11" location="'3.2'!A1" display="→" xr:uid="{00000000-0004-0000-0A00-000008000000}"/>
    <hyperlink ref="BL15" location="'3.6'!A1" display="→" xr:uid="{00000000-0004-0000-0A00-000009000000}"/>
    <hyperlink ref="BM15:BN15" location="'3.12'!A1" display="ANTARO Tip-On Blumotion" xr:uid="{00000000-0004-0000-0A00-00000A000000}"/>
  </hyperlinks>
  <pageMargins left="0.75" right="0.75" top="1" bottom="1" header="0.5" footer="0.5"/>
  <pageSetup paperSize="9" orientation="portrait" r:id="rId2"/>
  <headerFooter alignWithMargins="0"/>
  <ignoredErrors>
    <ignoredError sqref="D11 G11" formula="1"/>
    <ignoredError sqref="D29 G29 C60:D60" evalError="1"/>
  </ignoredErrors>
  <drawing r:id="rId3"/>
  <legacyDrawing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Лист11"/>
  <dimension ref="A1:BI108"/>
  <sheetViews>
    <sheetView workbookViewId="0">
      <selection activeCell="R3" sqref="R3"/>
    </sheetView>
  </sheetViews>
  <sheetFormatPr defaultRowHeight="15" x14ac:dyDescent="0.2"/>
  <cols>
    <col min="1" max="1" width="2.85546875" style="314" customWidth="1"/>
    <col min="2" max="2" width="35" style="827" customWidth="1"/>
    <col min="3" max="3" width="8.5703125" style="827" bestFit="1" customWidth="1"/>
    <col min="4" max="4" width="38.5703125" style="827" bestFit="1" customWidth="1"/>
    <col min="5" max="5" width="3.42578125" style="10" bestFit="1" customWidth="1"/>
    <col min="6" max="6" width="9.140625" style="827" hidden="1" customWidth="1"/>
    <col min="7" max="7" width="8" style="6" bestFit="1" customWidth="1"/>
    <col min="8" max="8" width="9.140625" style="20"/>
    <col min="9" max="9" width="3.140625" style="918" customWidth="1"/>
    <col min="10" max="10" width="5.140625" style="8" hidden="1" customWidth="1"/>
    <col min="11" max="15" width="9.140625" style="8" hidden="1" customWidth="1"/>
    <col min="16" max="16" width="9.140625" style="771" hidden="1" customWidth="1"/>
    <col min="17" max="17" width="12.7109375" style="771" bestFit="1" customWidth="1"/>
    <col min="18" max="18" width="20.140625" style="771" customWidth="1"/>
    <col min="19" max="19" width="3.5703125" style="771" bestFit="1" customWidth="1"/>
    <col min="20" max="50" width="9.140625" style="771"/>
    <col min="51" max="16384" width="9.140625" style="827"/>
  </cols>
  <sheetData>
    <row r="1" spans="1:61" s="771" customFormat="1" ht="6" customHeight="1" thickBot="1" x14ac:dyDescent="0.25">
      <c r="A1" s="1143"/>
      <c r="B1" s="916"/>
      <c r="C1" s="916"/>
      <c r="D1" s="916"/>
      <c r="E1" s="1144"/>
      <c r="F1" s="916"/>
      <c r="G1" s="1145"/>
      <c r="H1" s="887"/>
      <c r="BH1" s="782"/>
      <c r="BI1" s="782"/>
    </row>
    <row r="2" spans="1:61" s="771" customFormat="1" ht="21" thickBot="1" x14ac:dyDescent="0.35">
      <c r="A2" s="1143"/>
      <c r="B2" s="1310" t="s">
        <v>3447</v>
      </c>
      <c r="C2" s="1303"/>
      <c r="D2" s="1303"/>
      <c r="E2" s="1304"/>
      <c r="F2" s="1305"/>
      <c r="G2" s="1306"/>
      <c r="H2" s="1307"/>
      <c r="BH2" s="782"/>
      <c r="BI2" s="782"/>
    </row>
    <row r="3" spans="1:61" ht="6.75" customHeight="1" x14ac:dyDescent="0.2">
      <c r="B3" s="28"/>
      <c r="C3" s="8"/>
      <c r="D3" s="8"/>
      <c r="E3" s="828"/>
      <c r="F3" s="8"/>
      <c r="G3" s="37"/>
      <c r="H3" s="35"/>
      <c r="I3" s="941"/>
      <c r="J3" s="165"/>
      <c r="K3" s="165"/>
      <c r="L3" s="165"/>
      <c r="M3" s="165"/>
      <c r="N3" s="165"/>
      <c r="O3" s="165"/>
    </row>
    <row r="4" spans="1:61" ht="20.100000000000001" customHeight="1" x14ac:dyDescent="0.2">
      <c r="A4" s="319"/>
      <c r="B4" s="2127" t="s">
        <v>3437</v>
      </c>
      <c r="C4" s="2127"/>
      <c r="D4" s="2127"/>
      <c r="E4" s="2127"/>
      <c r="F4" s="2127"/>
      <c r="G4" s="2127"/>
      <c r="H4" s="611"/>
      <c r="I4" s="941"/>
    </row>
    <row r="5" spans="1:61" ht="20.100000000000001" customHeight="1" thickBot="1" x14ac:dyDescent="0.25">
      <c r="A5" s="319"/>
      <c r="B5" s="2127"/>
      <c r="C5" s="2127"/>
      <c r="D5" s="2127"/>
      <c r="E5" s="2127"/>
      <c r="F5" s="2127"/>
      <c r="G5" s="2127"/>
      <c r="H5" s="611"/>
      <c r="I5" s="941"/>
    </row>
    <row r="6" spans="1:61" ht="13.5" customHeight="1" x14ac:dyDescent="0.2">
      <c r="A6" s="274"/>
      <c r="B6" s="690" t="s">
        <v>2260</v>
      </c>
      <c r="C6" s="698"/>
      <c r="D6" s="833"/>
      <c r="E6" s="833"/>
      <c r="F6" s="833"/>
      <c r="G6" s="834"/>
      <c r="H6" s="832" t="s">
        <v>2266</v>
      </c>
      <c r="I6" s="941"/>
    </row>
    <row r="7" spans="1:61" ht="15.75" thickBot="1" x14ac:dyDescent="0.25">
      <c r="A7" s="274"/>
      <c r="B7" s="829" t="s">
        <v>1639</v>
      </c>
      <c r="C7" s="170">
        <v>500</v>
      </c>
      <c r="D7" s="73" t="s">
        <v>1689</v>
      </c>
      <c r="E7" s="73"/>
      <c r="F7" s="73"/>
      <c r="G7" s="93"/>
      <c r="H7" s="2125" t="s">
        <v>1850</v>
      </c>
      <c r="I7" s="941"/>
    </row>
    <row r="8" spans="1:61" ht="11.25" customHeight="1" x14ac:dyDescent="0.2">
      <c r="A8" s="1168"/>
      <c r="B8" s="2072"/>
      <c r="C8" s="172" t="s">
        <v>1301</v>
      </c>
      <c r="D8" s="173" t="s">
        <v>784</v>
      </c>
      <c r="E8" s="140" t="s">
        <v>2117</v>
      </c>
      <c r="F8" s="139"/>
      <c r="G8" s="174" t="s">
        <v>2116</v>
      </c>
      <c r="H8" s="2126"/>
      <c r="I8" s="942"/>
      <c r="K8" s="88"/>
    </row>
    <row r="9" spans="1:61" ht="12.75" customHeight="1" x14ac:dyDescent="0.2">
      <c r="A9" s="1168"/>
      <c r="B9" s="2073"/>
      <c r="C9" s="701" t="str">
        <f>VLOOKUP(C7,J36:O37,6,FALSE)</f>
        <v>8801547/</v>
      </c>
      <c r="D9" s="701" t="str">
        <f>VLOOKUP(C9,всецены,2,FALSE)</f>
        <v>TBX-A, Царги п/мойку 500 мм, бел,кмп NEW</v>
      </c>
      <c r="E9" s="702">
        <v>1</v>
      </c>
      <c r="F9" s="735">
        <f>VLOOKUP(C9,всецены,4,FALSE)</f>
        <v>1597.962366</v>
      </c>
      <c r="G9" s="163">
        <f>F9*E9</f>
        <v>1597.962366</v>
      </c>
      <c r="H9" s="2091">
        <f>SUM(G9:G20)</f>
        <v>3725.3260043999999</v>
      </c>
      <c r="I9" s="941"/>
      <c r="J9" s="96"/>
      <c r="K9" s="28"/>
      <c r="L9" s="28"/>
      <c r="R9" s="2087" t="s">
        <v>1181</v>
      </c>
      <c r="S9" s="2087"/>
    </row>
    <row r="10" spans="1:61" ht="12.75" customHeight="1" x14ac:dyDescent="0.2">
      <c r="A10" s="1168"/>
      <c r="B10" s="2073"/>
      <c r="C10" s="830" t="s">
        <v>2032</v>
      </c>
      <c r="D10" s="701" t="str">
        <f>VLOOKUP(C10,всецены,2,FALSE)</f>
        <v xml:space="preserve">TBX-A, Держат задн ст, 68 мм, бел, лев  </v>
      </c>
      <c r="E10" s="702">
        <v>1</v>
      </c>
      <c r="F10" s="735">
        <f>VLOOKUP(C10,всецены,4,FALSE)</f>
        <v>43.913469600000006</v>
      </c>
      <c r="G10" s="163">
        <f>F10*E10</f>
        <v>43.913469600000006</v>
      </c>
      <c r="H10" s="2092"/>
      <c r="I10" s="941"/>
      <c r="J10" s="96"/>
      <c r="K10" s="28"/>
      <c r="L10" s="28"/>
      <c r="R10" s="2088"/>
      <c r="S10" s="2088"/>
    </row>
    <row r="11" spans="1:61" ht="12.75" customHeight="1" x14ac:dyDescent="0.2">
      <c r="A11" s="1168"/>
      <c r="B11" s="2073"/>
      <c r="C11" s="2" t="s">
        <v>2033</v>
      </c>
      <c r="D11" s="701" t="str">
        <f>VLOOKUP(C11,всецены,2,FALSE)</f>
        <v xml:space="preserve">TBX-A, Держат задн ст, 68 мм, бел, прав </v>
      </c>
      <c r="E11" s="702">
        <v>1</v>
      </c>
      <c r="F11" s="735">
        <f>VLOOKUP(C11,всецены,4,FALSE)</f>
        <v>43.913469600000006</v>
      </c>
      <c r="G11" s="163">
        <f>F11*E11</f>
        <v>43.913469600000006</v>
      </c>
      <c r="H11" s="2092"/>
      <c r="I11" s="941"/>
      <c r="J11" s="96"/>
      <c r="K11" s="28"/>
      <c r="L11" s="28"/>
      <c r="Q11" s="943" t="s">
        <v>1813</v>
      </c>
      <c r="R11" s="929" t="s">
        <v>2253</v>
      </c>
      <c r="S11" s="930" t="s">
        <v>2229</v>
      </c>
    </row>
    <row r="12" spans="1:61" ht="12.75" customHeight="1" x14ac:dyDescent="0.2">
      <c r="A12" s="1168"/>
      <c r="B12" s="2073"/>
      <c r="C12" s="2" t="s">
        <v>1951</v>
      </c>
      <c r="D12" s="701" t="str">
        <f>VLOOKUP(C12,всецены,2,FALSE)</f>
        <v xml:space="preserve">TBX, Адаптеры к Z30N под мойку, кмп.    </v>
      </c>
      <c r="E12" s="702">
        <v>1</v>
      </c>
      <c r="F12" s="735">
        <f>VLOOKUP(C12,всецены,4,FALSE)</f>
        <v>157.76320559999999</v>
      </c>
      <c r="G12" s="163">
        <f>F12*E12</f>
        <v>157.76320559999999</v>
      </c>
      <c r="H12" s="2092"/>
      <c r="I12" s="941"/>
      <c r="J12" s="96"/>
      <c r="K12" s="28"/>
      <c r="L12" s="28"/>
      <c r="Q12" s="943" t="s">
        <v>1813</v>
      </c>
      <c r="R12" s="924" t="s">
        <v>2262</v>
      </c>
      <c r="S12" s="925" t="s">
        <v>2230</v>
      </c>
    </row>
    <row r="13" spans="1:61" ht="12.75" customHeight="1" x14ac:dyDescent="0.2">
      <c r="A13" s="1168"/>
      <c r="B13" s="2073"/>
      <c r="C13" s="738" t="str">
        <f>VLOOKUP($C$7,MA,2,FALSE)</f>
        <v>1847502/</v>
      </c>
      <c r="D13" s="701" t="str">
        <f t="shared" ref="D13:D20" si="0">VLOOKUP(C13,всецены,2,FALSE)</f>
        <v xml:space="preserve">TBX-A, Царга 83/500 мм, бел, лев. NEW   </v>
      </c>
      <c r="E13" s="702">
        <v>1</v>
      </c>
      <c r="F13" s="735">
        <f t="shared" ref="F13:F20" si="1">VLOOKUP(C13,всецены,4,FALSE)</f>
        <v>395.22122640000003</v>
      </c>
      <c r="G13" s="163">
        <f t="shared" ref="G13:G20" si="2">F13*E13</f>
        <v>395.22122640000003</v>
      </c>
      <c r="H13" s="2092"/>
      <c r="I13" s="941"/>
      <c r="J13" s="96" t="s">
        <v>1646</v>
      </c>
      <c r="K13" s="28"/>
      <c r="L13" s="28"/>
      <c r="Q13" s="943" t="s">
        <v>1813</v>
      </c>
      <c r="R13" s="922" t="s">
        <v>2263</v>
      </c>
      <c r="S13" s="923" t="s">
        <v>2231</v>
      </c>
    </row>
    <row r="14" spans="1:61" ht="12.75" customHeight="1" x14ac:dyDescent="0.2">
      <c r="A14" s="1168"/>
      <c r="B14" s="2073"/>
      <c r="C14" s="701" t="str">
        <f>VLOOKUP($C$7,MA,3,FALSE)</f>
        <v>1838267/</v>
      </c>
      <c r="D14" s="701" t="str">
        <f t="shared" si="0"/>
        <v xml:space="preserve">TBX-A, Царга 83/500 мм, бел, прав. NEW  </v>
      </c>
      <c r="E14" s="702">
        <v>1</v>
      </c>
      <c r="F14" s="735">
        <f>VLOOKUP(C14,всецены,4,FALSE)</f>
        <v>395.22122640000003</v>
      </c>
      <c r="G14" s="163">
        <f>F14*E14</f>
        <v>395.22122640000003</v>
      </c>
      <c r="H14" s="2092"/>
      <c r="I14" s="941"/>
      <c r="K14" s="828" t="s">
        <v>1645</v>
      </c>
      <c r="L14" s="828" t="s">
        <v>1644</v>
      </c>
      <c r="M14" s="8" t="s">
        <v>1641</v>
      </c>
      <c r="N14" s="8" t="s">
        <v>1642</v>
      </c>
      <c r="Q14" s="943" t="s">
        <v>1813</v>
      </c>
      <c r="R14" s="924" t="s">
        <v>2264</v>
      </c>
      <c r="S14" s="925" t="s">
        <v>2232</v>
      </c>
    </row>
    <row r="15" spans="1:61" ht="12.75" customHeight="1" x14ac:dyDescent="0.2">
      <c r="A15" s="1168"/>
      <c r="B15" s="2073"/>
      <c r="C15" s="164" t="str">
        <f>VLOOKUP(C7,MA,4,FALSE)</f>
        <v>8716527/</v>
      </c>
      <c r="D15" s="701" t="str">
        <f t="shared" si="0"/>
        <v>TBX, Напр. с BM, 30 кг, 500 мм, лев. NEW</v>
      </c>
      <c r="E15" s="702">
        <v>1</v>
      </c>
      <c r="F15" s="735">
        <f t="shared" si="1"/>
        <v>424.49687280000001</v>
      </c>
      <c r="G15" s="163">
        <f t="shared" si="2"/>
        <v>424.49687280000001</v>
      </c>
      <c r="H15" s="2092"/>
      <c r="I15" s="941"/>
      <c r="J15" s="8">
        <v>270</v>
      </c>
      <c r="K15" s="1371" t="s">
        <v>3501</v>
      </c>
      <c r="L15" s="1371" t="s">
        <v>3502</v>
      </c>
      <c r="M15" s="1371" t="s">
        <v>4506</v>
      </c>
      <c r="N15" s="1371" t="s">
        <v>4505</v>
      </c>
      <c r="Q15" s="943" t="s">
        <v>1813</v>
      </c>
      <c r="R15" s="929" t="s">
        <v>2251</v>
      </c>
      <c r="S15" s="928" t="s">
        <v>2233</v>
      </c>
    </row>
    <row r="16" spans="1:61" ht="12.75" customHeight="1" x14ac:dyDescent="0.2">
      <c r="A16" s="1168"/>
      <c r="B16" s="2073"/>
      <c r="C16" s="164" t="str">
        <f>VLOOKUP(C7,MA,5,FALSE)</f>
        <v>8709485/</v>
      </c>
      <c r="D16" s="701" t="str">
        <f t="shared" si="0"/>
        <v xml:space="preserve">TBX, Напр. с BM, 30 кг, 500 мм, пр. NEW </v>
      </c>
      <c r="E16" s="702">
        <v>1</v>
      </c>
      <c r="F16" s="735">
        <f>VLOOKUP(C16,всецены,4,FALSE)</f>
        <v>424.49687280000001</v>
      </c>
      <c r="G16" s="163">
        <f>F16*E16</f>
        <v>424.49687280000001</v>
      </c>
      <c r="H16" s="2092"/>
      <c r="I16" s="941"/>
      <c r="J16" s="8">
        <v>350</v>
      </c>
      <c r="K16" s="1371" t="s">
        <v>3497</v>
      </c>
      <c r="L16" s="1371" t="s">
        <v>3498</v>
      </c>
      <c r="M16" s="1371" t="s">
        <v>4513</v>
      </c>
      <c r="N16" s="1371" t="s">
        <v>4512</v>
      </c>
      <c r="Q16" s="938" t="s">
        <v>2812</v>
      </c>
      <c r="R16" s="939" t="s">
        <v>2403</v>
      </c>
      <c r="S16" s="936"/>
    </row>
    <row r="17" spans="1:19" ht="12.75" customHeight="1" x14ac:dyDescent="0.2">
      <c r="A17" s="1168"/>
      <c r="B17" s="2073"/>
      <c r="C17" s="164" t="s">
        <v>4511</v>
      </c>
      <c r="D17" s="701" t="str">
        <f t="shared" si="0"/>
        <v xml:space="preserve">TBX, Крепл фасада INSERTA, NEW ZSF.39A2 </v>
      </c>
      <c r="E17" s="702">
        <v>2</v>
      </c>
      <c r="F17" s="735">
        <f t="shared" si="1"/>
        <v>43.913469600000006</v>
      </c>
      <c r="G17" s="163">
        <f t="shared" si="2"/>
        <v>87.826939200000012</v>
      </c>
      <c r="H17" s="2092"/>
      <c r="I17" s="941"/>
      <c r="J17" s="8">
        <v>400</v>
      </c>
      <c r="K17" s="1371" t="s">
        <v>3495</v>
      </c>
      <c r="L17" s="1371" t="s">
        <v>3496</v>
      </c>
      <c r="M17" s="1371" t="s">
        <v>4516</v>
      </c>
      <c r="N17" s="1371" t="s">
        <v>4515</v>
      </c>
      <c r="Q17" s="943" t="s">
        <v>1813</v>
      </c>
      <c r="R17" s="922" t="s">
        <v>2252</v>
      </c>
      <c r="S17" s="925" t="s">
        <v>2235</v>
      </c>
    </row>
    <row r="18" spans="1:19" ht="12.75" customHeight="1" x14ac:dyDescent="0.2">
      <c r="A18" s="1168"/>
      <c r="B18" s="2073"/>
      <c r="C18" s="164" t="s">
        <v>1021</v>
      </c>
      <c r="D18" s="701" t="str">
        <f t="shared" si="0"/>
        <v>TBX-A, Загл с лого, бел, сим,ZAA.532C.BL</v>
      </c>
      <c r="E18" s="702">
        <v>2</v>
      </c>
      <c r="F18" s="735">
        <f t="shared" si="1"/>
        <v>8.9453364000000004</v>
      </c>
      <c r="G18" s="163">
        <f t="shared" si="2"/>
        <v>17.890672800000001</v>
      </c>
      <c r="H18" s="2092"/>
      <c r="I18" s="941"/>
      <c r="J18" s="8">
        <v>450</v>
      </c>
      <c r="K18" s="1371" t="s">
        <v>3503</v>
      </c>
      <c r="L18" s="1371" t="s">
        <v>3504</v>
      </c>
      <c r="M18" s="1371" t="s">
        <v>4519</v>
      </c>
      <c r="N18" s="1371" t="s">
        <v>4518</v>
      </c>
      <c r="Q18" s="943" t="s">
        <v>1813</v>
      </c>
      <c r="R18" s="924" t="s">
        <v>2265</v>
      </c>
      <c r="S18" s="925" t="s">
        <v>2240</v>
      </c>
    </row>
    <row r="19" spans="1:19" ht="12.75" customHeight="1" x14ac:dyDescent="0.2">
      <c r="A19" s="1168"/>
      <c r="B19" s="2073"/>
      <c r="C19" s="164" t="s">
        <v>795</v>
      </c>
      <c r="D19" s="701" t="str">
        <f t="shared" si="0"/>
        <v xml:space="preserve">TBX-A, Держат задн ст, 96 мм, бел, лев  </v>
      </c>
      <c r="E19" s="702">
        <v>2</v>
      </c>
      <c r="F19" s="735">
        <f t="shared" si="1"/>
        <v>34.154920799999999</v>
      </c>
      <c r="G19" s="163">
        <f t="shared" si="2"/>
        <v>68.309841599999999</v>
      </c>
      <c r="H19" s="2092"/>
      <c r="I19" s="941"/>
      <c r="J19" s="8">
        <v>500</v>
      </c>
      <c r="K19" s="1371" t="s">
        <v>3493</v>
      </c>
      <c r="L19" s="1372" t="s">
        <v>3494</v>
      </c>
      <c r="M19" s="1371" t="s">
        <v>4522</v>
      </c>
      <c r="N19" s="1371" t="s">
        <v>4521</v>
      </c>
      <c r="Q19" s="8"/>
      <c r="R19" s="8"/>
      <c r="S19" s="106" t="s">
        <v>2822</v>
      </c>
    </row>
    <row r="20" spans="1:19" ht="13.5" customHeight="1" thickBot="1" x14ac:dyDescent="0.25">
      <c r="A20" s="1056"/>
      <c r="B20" s="2074"/>
      <c r="C20" s="704" t="s">
        <v>797</v>
      </c>
      <c r="D20" s="705" t="str">
        <f t="shared" si="0"/>
        <v xml:space="preserve">TBX-A, Держат задн ст, 96 мм, бел, прав </v>
      </c>
      <c r="E20" s="706">
        <v>2</v>
      </c>
      <c r="F20" s="736">
        <f t="shared" si="1"/>
        <v>34.154920799999999</v>
      </c>
      <c r="G20" s="707">
        <f t="shared" si="2"/>
        <v>68.309841599999999</v>
      </c>
      <c r="H20" s="2093"/>
      <c r="I20" s="941"/>
      <c r="Q20" s="944" t="s">
        <v>1815</v>
      </c>
      <c r="R20" s="934" t="s">
        <v>2813</v>
      </c>
      <c r="S20" s="935"/>
    </row>
    <row r="21" spans="1:19" ht="6.75" customHeight="1" x14ac:dyDescent="0.2">
      <c r="B21" s="826"/>
      <c r="C21" s="712"/>
      <c r="D21" s="713"/>
      <c r="E21" s="235"/>
      <c r="F21" s="714"/>
      <c r="G21" s="715"/>
      <c r="H21" s="19"/>
      <c r="I21" s="941"/>
    </row>
    <row r="22" spans="1:19" ht="20.100000000000001" customHeight="1" x14ac:dyDescent="0.2">
      <c r="A22" s="274"/>
      <c r="B22" s="2127" t="s">
        <v>3448</v>
      </c>
      <c r="C22" s="2127"/>
      <c r="D22" s="2127"/>
      <c r="E22" s="2127"/>
      <c r="F22" s="2127"/>
      <c r="G22" s="2127"/>
      <c r="H22" s="1559"/>
      <c r="I22" s="941"/>
    </row>
    <row r="23" spans="1:19" ht="20.100000000000001" customHeight="1" thickBot="1" x14ac:dyDescent="0.25">
      <c r="A23" s="274"/>
      <c r="B23" s="2140"/>
      <c r="C23" s="2140"/>
      <c r="D23" s="2140"/>
      <c r="E23" s="2140"/>
      <c r="F23" s="2140"/>
      <c r="G23" s="2140"/>
      <c r="H23" s="1122"/>
      <c r="I23" s="941"/>
      <c r="K23" s="158"/>
    </row>
    <row r="24" spans="1:19" x14ac:dyDescent="0.2">
      <c r="A24" s="274"/>
      <c r="B24" s="690" t="s">
        <v>2260</v>
      </c>
      <c r="C24" s="718"/>
      <c r="D24" s="719"/>
      <c r="E24" s="719"/>
      <c r="F24" s="719"/>
      <c r="G24" s="720"/>
      <c r="H24" s="832" t="s">
        <v>2266</v>
      </c>
      <c r="I24" s="941"/>
    </row>
    <row r="25" spans="1:19" ht="15.75" thickBot="1" x14ac:dyDescent="0.25">
      <c r="A25" s="274"/>
      <c r="B25" s="829" t="s">
        <v>1639</v>
      </c>
      <c r="C25" s="170">
        <v>500</v>
      </c>
      <c r="D25" s="97" t="s">
        <v>1689</v>
      </c>
      <c r="E25" s="97"/>
      <c r="F25" s="97"/>
      <c r="G25" s="722"/>
      <c r="H25" s="2125" t="s">
        <v>1850</v>
      </c>
      <c r="I25" s="941"/>
    </row>
    <row r="26" spans="1:19" ht="11.25" customHeight="1" x14ac:dyDescent="0.2">
      <c r="A26" s="1309"/>
      <c r="B26" s="2072"/>
      <c r="C26" s="135" t="s">
        <v>1301</v>
      </c>
      <c r="D26" s="139" t="s">
        <v>784</v>
      </c>
      <c r="E26" s="140" t="s">
        <v>2117</v>
      </c>
      <c r="F26" s="139"/>
      <c r="G26" s="178" t="s">
        <v>2116</v>
      </c>
      <c r="H26" s="2126"/>
      <c r="I26" s="942"/>
      <c r="K26" s="88"/>
    </row>
    <row r="27" spans="1:19" ht="12.75" customHeight="1" x14ac:dyDescent="0.2">
      <c r="A27" s="1309"/>
      <c r="B27" s="2073"/>
      <c r="C27" s="701" t="str">
        <f>VLOOKUP(C25,J36:O37,6,FALSE)</f>
        <v>8801547/</v>
      </c>
      <c r="D27" s="43" t="str">
        <f>VLOOKUP(C27,всецены,2,FALSE)</f>
        <v>TBX-A, Царги п/мойку 500 мм, бел,кмп NEW</v>
      </c>
      <c r="E27" s="80">
        <v>1</v>
      </c>
      <c r="F27" s="63">
        <f>VLOOKUP(C27,всецены,4,FALSE)</f>
        <v>1597.962366</v>
      </c>
      <c r="G27" s="723">
        <f>F27*E27</f>
        <v>1597.962366</v>
      </c>
      <c r="H27" s="2091">
        <f>SUM(G27:G40)</f>
        <v>4584.0782988000001</v>
      </c>
      <c r="I27" s="941"/>
      <c r="J27" s="106"/>
    </row>
    <row r="28" spans="1:19" ht="12.75" customHeight="1" x14ac:dyDescent="0.2">
      <c r="A28" s="1309"/>
      <c r="B28" s="2073"/>
      <c r="C28" s="830" t="s">
        <v>2032</v>
      </c>
      <c r="D28" s="43" t="str">
        <f>VLOOKUP(C28,всецены,2,FALSE)</f>
        <v xml:space="preserve">TBX-A, Держат задн ст, 68 мм, бел, лев  </v>
      </c>
      <c r="E28" s="80">
        <v>1</v>
      </c>
      <c r="F28" s="63">
        <f>VLOOKUP(C28,всецены,4,FALSE)</f>
        <v>43.913469600000006</v>
      </c>
      <c r="G28" s="723">
        <f>F28*E28</f>
        <v>43.913469600000006</v>
      </c>
      <c r="H28" s="2092"/>
      <c r="I28" s="941"/>
      <c r="J28" s="106"/>
    </row>
    <row r="29" spans="1:19" ht="12.75" customHeight="1" x14ac:dyDescent="0.2">
      <c r="A29" s="1309"/>
      <c r="B29" s="2073"/>
      <c r="C29" s="2" t="s">
        <v>2033</v>
      </c>
      <c r="D29" s="43" t="str">
        <f>VLOOKUP(C29,всецены,2,FALSE)</f>
        <v xml:space="preserve">TBX-A, Держат задн ст, 68 мм, бел, прав </v>
      </c>
      <c r="E29" s="80">
        <v>1</v>
      </c>
      <c r="F29" s="63">
        <f>VLOOKUP(C29,всецены,4,FALSE)</f>
        <v>43.913469600000006</v>
      </c>
      <c r="G29" s="723">
        <f>F29*E29</f>
        <v>43.913469600000006</v>
      </c>
      <c r="H29" s="2092"/>
      <c r="I29" s="941"/>
      <c r="J29" s="106"/>
    </row>
    <row r="30" spans="1:19" ht="12.75" customHeight="1" x14ac:dyDescent="0.2">
      <c r="A30" s="1309"/>
      <c r="B30" s="2073"/>
      <c r="C30" s="2" t="s">
        <v>1951</v>
      </c>
      <c r="D30" s="43" t="str">
        <f>VLOOKUP(C30,всецены,2,FALSE)</f>
        <v xml:space="preserve">TBX, Адаптеры к Z30N под мойку, кмп.    </v>
      </c>
      <c r="E30" s="80">
        <v>1</v>
      </c>
      <c r="F30" s="63">
        <f>VLOOKUP(C30,всецены,4,FALSE)</f>
        <v>157.76320559999999</v>
      </c>
      <c r="G30" s="723">
        <f>F30*E30</f>
        <v>157.76320559999999</v>
      </c>
      <c r="H30" s="2092"/>
      <c r="I30" s="941"/>
      <c r="J30" s="106"/>
    </row>
    <row r="31" spans="1:19" ht="12.75" customHeight="1" x14ac:dyDescent="0.2">
      <c r="A31" s="1309"/>
      <c r="B31" s="2073"/>
      <c r="C31" s="701" t="str">
        <f>VLOOKUP($C$25,MA,2,FALSE)</f>
        <v>1847502/</v>
      </c>
      <c r="D31" s="43" t="str">
        <f t="shared" ref="D31:D40" si="3">VLOOKUP(C31,всецены,2,FALSE)</f>
        <v xml:space="preserve">TBX-A, Царга 83/500 мм, бел, лев. NEW   </v>
      </c>
      <c r="E31" s="80">
        <v>1</v>
      </c>
      <c r="F31" s="63">
        <f t="shared" ref="F31:F40" si="4">VLOOKUP(C31,всецены,4,FALSE)</f>
        <v>395.22122640000003</v>
      </c>
      <c r="G31" s="723">
        <f t="shared" ref="G31:G40" si="5">F31*E31</f>
        <v>395.22122640000003</v>
      </c>
      <c r="H31" s="2092"/>
      <c r="I31" s="941"/>
      <c r="J31" s="106" t="s">
        <v>1185</v>
      </c>
    </row>
    <row r="32" spans="1:19" ht="12.75" customHeight="1" x14ac:dyDescent="0.2">
      <c r="A32" s="1309"/>
      <c r="B32" s="2073"/>
      <c r="C32" s="701" t="str">
        <f>VLOOKUP($C$25,MA,3,FALSE)</f>
        <v>1838267/</v>
      </c>
      <c r="D32" s="43" t="str">
        <f t="shared" si="3"/>
        <v xml:space="preserve">TBX-A, Царга 83/500 мм, бел, прав. NEW  </v>
      </c>
      <c r="E32" s="80">
        <v>1</v>
      </c>
      <c r="F32" s="63">
        <f>VLOOKUP(C32,всецены,4,FALSE)</f>
        <v>395.22122640000003</v>
      </c>
      <c r="G32" s="723">
        <f>F32*E32</f>
        <v>395.22122640000003</v>
      </c>
      <c r="H32" s="2092"/>
      <c r="I32" s="941"/>
      <c r="K32" s="828" t="s">
        <v>1186</v>
      </c>
      <c r="L32" s="828" t="s">
        <v>1187</v>
      </c>
      <c r="M32" s="8" t="s">
        <v>1188</v>
      </c>
      <c r="N32" s="8" t="s">
        <v>1189</v>
      </c>
      <c r="O32" s="8" t="s">
        <v>2151</v>
      </c>
    </row>
    <row r="33" spans="1:16" ht="12.75" customHeight="1" x14ac:dyDescent="0.2">
      <c r="A33" s="1309"/>
      <c r="B33" s="2073"/>
      <c r="C33" s="43" t="str">
        <f>VLOOKUP($C$25,MA,4,FALSE)</f>
        <v>8716527/</v>
      </c>
      <c r="D33" s="43" t="str">
        <f t="shared" si="3"/>
        <v>TBX, Напр. с BM, 30 кг, 500 мм, лев. NEW</v>
      </c>
      <c r="E33" s="80">
        <v>1</v>
      </c>
      <c r="F33" s="63">
        <f t="shared" si="4"/>
        <v>424.49687280000001</v>
      </c>
      <c r="G33" s="723">
        <f t="shared" si="5"/>
        <v>424.49687280000001</v>
      </c>
      <c r="H33" s="2092"/>
      <c r="I33" s="941"/>
      <c r="J33" s="8">
        <v>270</v>
      </c>
      <c r="K33" s="696" t="s">
        <v>763</v>
      </c>
      <c r="L33" s="696" t="s">
        <v>26</v>
      </c>
      <c r="M33" s="696"/>
      <c r="N33" s="696"/>
      <c r="O33" s="827"/>
    </row>
    <row r="34" spans="1:16" ht="12.75" customHeight="1" x14ac:dyDescent="0.2">
      <c r="A34" s="1309"/>
      <c r="B34" s="2073"/>
      <c r="C34" s="43" t="str">
        <f>VLOOKUP($C$25,MA,5,FALSE)</f>
        <v>8709485/</v>
      </c>
      <c r="D34" s="43" t="str">
        <f t="shared" si="3"/>
        <v xml:space="preserve">TBX, Напр. с BM, 30 кг, 500 мм, пр. NEW </v>
      </c>
      <c r="E34" s="80">
        <v>1</v>
      </c>
      <c r="F34" s="63">
        <f>VLOOKUP(C34,всецены,4,FALSE)</f>
        <v>424.49687280000001</v>
      </c>
      <c r="G34" s="723">
        <f>F34*E34</f>
        <v>424.49687280000001</v>
      </c>
      <c r="H34" s="2092"/>
      <c r="I34" s="941"/>
      <c r="J34" s="8">
        <v>350</v>
      </c>
      <c r="K34" s="696" t="s">
        <v>1</v>
      </c>
      <c r="L34" s="696" t="s">
        <v>32</v>
      </c>
      <c r="M34" s="696" t="s">
        <v>2027</v>
      </c>
      <c r="N34" s="696" t="s">
        <v>36</v>
      </c>
    </row>
    <row r="35" spans="1:16" ht="12.75" customHeight="1" x14ac:dyDescent="0.2">
      <c r="A35" s="1309"/>
      <c r="B35" s="2073"/>
      <c r="C35" s="164" t="s">
        <v>4511</v>
      </c>
      <c r="D35" s="43" t="str">
        <f t="shared" si="3"/>
        <v xml:space="preserve">TBX, Крепл фасада INSERTA, NEW ZSF.39A2 </v>
      </c>
      <c r="E35" s="80">
        <v>2</v>
      </c>
      <c r="F35" s="63">
        <f>VLOOKUP(C35,всецены,4,FALSE)</f>
        <v>43.913469600000006</v>
      </c>
      <c r="G35" s="723">
        <f>F35*E35</f>
        <v>87.826939200000012</v>
      </c>
      <c r="H35" s="2092"/>
      <c r="I35" s="941"/>
      <c r="J35" s="8">
        <v>400</v>
      </c>
      <c r="K35" s="696" t="s">
        <v>1858</v>
      </c>
      <c r="L35" s="696" t="s">
        <v>1547</v>
      </c>
      <c r="M35" s="696" t="s">
        <v>2037</v>
      </c>
      <c r="N35" s="696" t="s">
        <v>738</v>
      </c>
    </row>
    <row r="36" spans="1:16" ht="12.75" customHeight="1" x14ac:dyDescent="0.2">
      <c r="A36" s="1309"/>
      <c r="B36" s="2073"/>
      <c r="C36" s="43" t="s">
        <v>1021</v>
      </c>
      <c r="D36" s="43" t="str">
        <f t="shared" si="3"/>
        <v>TBX-A, Загл с лого, бел, сим,ZAA.532C.BL</v>
      </c>
      <c r="E36" s="80">
        <v>2</v>
      </c>
      <c r="F36" s="63">
        <f>VLOOKUP(C36,всецены,4,FALSE)</f>
        <v>8.9453364000000004</v>
      </c>
      <c r="G36" s="723">
        <f>F36*E36</f>
        <v>17.890672800000001</v>
      </c>
      <c r="H36" s="2092"/>
      <c r="I36" s="941"/>
      <c r="J36" s="8">
        <v>450</v>
      </c>
      <c r="K36" s="696" t="s">
        <v>729</v>
      </c>
      <c r="L36" s="696" t="s">
        <v>31</v>
      </c>
      <c r="M36" s="696" t="s">
        <v>8</v>
      </c>
      <c r="N36" s="696" t="s">
        <v>1539</v>
      </c>
      <c r="O36" s="43" t="s">
        <v>3856</v>
      </c>
      <c r="P36" s="782"/>
    </row>
    <row r="37" spans="1:16" ht="12.75" customHeight="1" x14ac:dyDescent="0.2">
      <c r="A37" s="1309"/>
      <c r="B37" s="2073"/>
      <c r="C37" s="43" t="str">
        <f>VLOOKUP($C$25,arel,2,FALSE)</f>
        <v>1785452/</v>
      </c>
      <c r="D37" s="43" t="str">
        <f>VLOOKUP(C37,всецены,2,FALSE)</f>
        <v xml:space="preserve">TBX-AA, Рел прод 500 мм, бел, лев       </v>
      </c>
      <c r="E37" s="80">
        <v>2</v>
      </c>
      <c r="F37" s="63">
        <f>VLOOKUP(C37,всецены,4,FALSE)</f>
        <v>163.45569239999998</v>
      </c>
      <c r="G37" s="723">
        <f t="shared" si="5"/>
        <v>326.91138479999995</v>
      </c>
      <c r="H37" s="2092"/>
      <c r="I37" s="941"/>
      <c r="J37" s="8">
        <v>500</v>
      </c>
      <c r="K37" s="696" t="s">
        <v>2028</v>
      </c>
      <c r="L37" s="696" t="s">
        <v>62</v>
      </c>
      <c r="M37" s="696" t="s">
        <v>2023</v>
      </c>
      <c r="N37" s="696" t="s">
        <v>59</v>
      </c>
      <c r="O37" s="43" t="s">
        <v>3858</v>
      </c>
      <c r="P37" s="782"/>
    </row>
    <row r="38" spans="1:16" ht="12.75" customHeight="1" x14ac:dyDescent="0.2">
      <c r="A38" s="1309"/>
      <c r="B38" s="2073"/>
      <c r="C38" s="43" t="str">
        <f>VLOOKUP($C$25,arel,3,FALSE)</f>
        <v>7403462/</v>
      </c>
      <c r="D38" s="43" t="str">
        <f t="shared" si="3"/>
        <v xml:space="preserve">TBX-AA, Рел прод 500 мм, бел, прав      </v>
      </c>
      <c r="E38" s="80">
        <v>2</v>
      </c>
      <c r="F38" s="63">
        <f t="shared" si="4"/>
        <v>163.45569239999998</v>
      </c>
      <c r="G38" s="723">
        <f t="shared" si="5"/>
        <v>326.91138479999995</v>
      </c>
      <c r="H38" s="2092"/>
      <c r="I38" s="941"/>
    </row>
    <row r="39" spans="1:16" ht="12.75" customHeight="1" x14ac:dyDescent="0.2">
      <c r="A39" s="1309"/>
      <c r="B39" s="2073"/>
      <c r="C39" s="724" t="s">
        <v>2176</v>
      </c>
      <c r="D39" s="43" t="str">
        <f t="shared" si="3"/>
        <v>TBX-AA, Держат. задн. ст, 191 мм, бел, L</v>
      </c>
      <c r="E39" s="80">
        <v>2</v>
      </c>
      <c r="F39" s="63">
        <f t="shared" si="4"/>
        <v>85.387302000000005</v>
      </c>
      <c r="G39" s="723">
        <f t="shared" si="5"/>
        <v>170.77460400000001</v>
      </c>
      <c r="H39" s="2092"/>
      <c r="I39" s="941"/>
    </row>
    <row r="40" spans="1:16" ht="13.5" customHeight="1" thickBot="1" x14ac:dyDescent="0.25">
      <c r="A40" s="1056"/>
      <c r="B40" s="2074"/>
      <c r="C40" s="725" t="s">
        <v>2175</v>
      </c>
      <c r="D40" s="404" t="str">
        <f t="shared" si="3"/>
        <v>TBX-AA, Держат. задн. ст, 191 мм, бел, R</v>
      </c>
      <c r="E40" s="381">
        <v>2</v>
      </c>
      <c r="F40" s="435">
        <f t="shared" si="4"/>
        <v>85.387302000000005</v>
      </c>
      <c r="G40" s="726">
        <f t="shared" si="5"/>
        <v>170.77460400000001</v>
      </c>
      <c r="H40" s="2093"/>
      <c r="I40" s="941"/>
    </row>
    <row r="41" spans="1:16" ht="6.75" customHeight="1" x14ac:dyDescent="0.2">
      <c r="B41" s="28"/>
      <c r="C41" s="28"/>
      <c r="D41" s="28"/>
      <c r="E41" s="32"/>
      <c r="F41" s="28"/>
      <c r="G41" s="38"/>
      <c r="H41" s="611"/>
      <c r="J41" s="827"/>
      <c r="K41" s="827"/>
      <c r="L41" s="827"/>
      <c r="M41" s="827"/>
      <c r="N41" s="827"/>
      <c r="O41" s="827"/>
    </row>
    <row r="42" spans="1:16" ht="20.100000000000001" customHeight="1" x14ac:dyDescent="0.2">
      <c r="A42" s="274"/>
      <c r="B42" s="2127" t="s">
        <v>3438</v>
      </c>
      <c r="C42" s="2127"/>
      <c r="D42" s="2127"/>
      <c r="E42" s="2127"/>
      <c r="F42" s="2127"/>
      <c r="G42" s="2127"/>
      <c r="H42" s="716"/>
      <c r="J42" s="827"/>
      <c r="K42" s="827"/>
      <c r="L42" s="827"/>
      <c r="M42" s="827"/>
      <c r="N42" s="827"/>
      <c r="O42" s="827"/>
    </row>
    <row r="43" spans="1:16" ht="20.100000000000001" customHeight="1" thickBot="1" x14ac:dyDescent="0.25">
      <c r="A43" s="274"/>
      <c r="B43" s="2140"/>
      <c r="C43" s="2140"/>
      <c r="D43" s="2140"/>
      <c r="E43" s="2140"/>
      <c r="F43" s="2140"/>
      <c r="G43" s="2140"/>
      <c r="H43" s="611"/>
      <c r="J43" s="827"/>
      <c r="K43" s="827"/>
      <c r="L43" s="827"/>
      <c r="M43" s="827"/>
      <c r="N43" s="827"/>
      <c r="O43" s="827"/>
    </row>
    <row r="44" spans="1:16" x14ac:dyDescent="0.2">
      <c r="A44" s="274"/>
      <c r="B44" s="690" t="s">
        <v>2260</v>
      </c>
      <c r="C44" s="718"/>
      <c r="D44" s="719"/>
      <c r="E44" s="719"/>
      <c r="F44" s="719"/>
      <c r="G44" s="720"/>
      <c r="H44" s="832" t="s">
        <v>2266</v>
      </c>
      <c r="J44" s="827"/>
      <c r="K44" s="827"/>
      <c r="L44" s="827"/>
      <c r="M44" s="827"/>
      <c r="N44" s="827"/>
      <c r="O44" s="827"/>
    </row>
    <row r="45" spans="1:16" ht="15.75" thickBot="1" x14ac:dyDescent="0.25">
      <c r="A45" s="274"/>
      <c r="B45" s="829" t="s">
        <v>1639</v>
      </c>
      <c r="C45" s="170">
        <v>450</v>
      </c>
      <c r="D45" s="97" t="s">
        <v>1689</v>
      </c>
      <c r="E45" s="97"/>
      <c r="F45" s="97"/>
      <c r="G45" s="722"/>
      <c r="H45" s="2125" t="s">
        <v>1850</v>
      </c>
      <c r="J45" s="827"/>
      <c r="K45" s="827"/>
      <c r="L45" s="827"/>
      <c r="M45" s="827"/>
      <c r="N45" s="827"/>
      <c r="O45" s="827"/>
    </row>
    <row r="46" spans="1:16" ht="10.5" customHeight="1" x14ac:dyDescent="0.2">
      <c r="A46" s="274"/>
      <c r="B46" s="2072"/>
      <c r="C46" s="135" t="s">
        <v>1301</v>
      </c>
      <c r="D46" s="139" t="s">
        <v>784</v>
      </c>
      <c r="E46" s="140" t="s">
        <v>2117</v>
      </c>
      <c r="F46" s="139"/>
      <c r="G46" s="178" t="s">
        <v>2116</v>
      </c>
      <c r="H46" s="2126"/>
      <c r="J46" s="827"/>
      <c r="K46" s="827"/>
      <c r="L46" s="827"/>
      <c r="M46" s="827"/>
      <c r="N46" s="827"/>
      <c r="O46" s="827"/>
    </row>
    <row r="47" spans="1:16" ht="12.75" customHeight="1" x14ac:dyDescent="0.2">
      <c r="A47" s="831"/>
      <c r="B47" s="2073"/>
      <c r="C47" s="701" t="str">
        <f>VLOOKUP(C45,J36:O37,6,FALSE)</f>
        <v>8790331/</v>
      </c>
      <c r="D47" s="43" t="str">
        <f>VLOOKUP(C47,всецены,2,FALSE)</f>
        <v>TBX-A, Царги п/мойку 450 мм, бел,кмп NEW</v>
      </c>
      <c r="E47" s="80">
        <v>1</v>
      </c>
      <c r="F47" s="63">
        <f>VLOOKUP(C47,всецены,4,FALSE)</f>
        <v>1586.5773924000002</v>
      </c>
      <c r="G47" s="723">
        <f>F47*E47</f>
        <v>1586.5773924000002</v>
      </c>
      <c r="H47" s="2091">
        <f>SUM(G47:G60)</f>
        <v>4471.8549876000006</v>
      </c>
      <c r="J47" s="827"/>
      <c r="K47" s="827"/>
      <c r="L47" s="827"/>
      <c r="M47" s="827"/>
      <c r="N47" s="827"/>
      <c r="O47" s="827"/>
    </row>
    <row r="48" spans="1:16" ht="12.75" customHeight="1" x14ac:dyDescent="0.2">
      <c r="A48" s="831"/>
      <c r="B48" s="2073"/>
      <c r="C48" s="830" t="s">
        <v>2032</v>
      </c>
      <c r="D48" s="43" t="str">
        <f>VLOOKUP(C48,всецены,2,FALSE)</f>
        <v xml:space="preserve">TBX-A, Держат задн ст, 68 мм, бел, лев  </v>
      </c>
      <c r="E48" s="80">
        <v>1</v>
      </c>
      <c r="F48" s="63">
        <f>VLOOKUP(C48,всецены,4,FALSE)</f>
        <v>43.913469600000006</v>
      </c>
      <c r="G48" s="723">
        <f>F48*E48</f>
        <v>43.913469600000006</v>
      </c>
      <c r="H48" s="2092"/>
      <c r="J48" s="827"/>
      <c r="K48" s="827"/>
      <c r="L48" s="827"/>
      <c r="M48" s="827"/>
      <c r="N48" s="827"/>
      <c r="O48" s="827"/>
    </row>
    <row r="49" spans="1:15" ht="12.75" customHeight="1" x14ac:dyDescent="0.2">
      <c r="A49" s="831"/>
      <c r="B49" s="2073"/>
      <c r="C49" s="2" t="s">
        <v>2033</v>
      </c>
      <c r="D49" s="43" t="str">
        <f>VLOOKUP(C49,всецены,2,FALSE)</f>
        <v xml:space="preserve">TBX-A, Держат задн ст, 68 мм, бел, прав </v>
      </c>
      <c r="E49" s="80">
        <v>1</v>
      </c>
      <c r="F49" s="63">
        <f>VLOOKUP(C49,всецены,4,FALSE)</f>
        <v>43.913469600000006</v>
      </c>
      <c r="G49" s="723">
        <f>F49*E49</f>
        <v>43.913469600000006</v>
      </c>
      <c r="H49" s="2092"/>
      <c r="J49" s="827"/>
      <c r="K49" s="827"/>
      <c r="L49" s="827"/>
      <c r="M49" s="827"/>
      <c r="N49" s="827"/>
      <c r="O49" s="827"/>
    </row>
    <row r="50" spans="1:15" ht="12.75" customHeight="1" x14ac:dyDescent="0.2">
      <c r="A50" s="831"/>
      <c r="B50" s="2073"/>
      <c r="C50" s="2" t="s">
        <v>1951</v>
      </c>
      <c r="D50" s="43" t="str">
        <f>VLOOKUP(C50,всецены,2,FALSE)</f>
        <v xml:space="preserve">TBX, Адаптеры к Z30N под мойку, кмп.    </v>
      </c>
      <c r="E50" s="80">
        <v>1</v>
      </c>
      <c r="F50" s="63">
        <f>VLOOKUP(C50,всецены,4,FALSE)</f>
        <v>157.76320559999999</v>
      </c>
      <c r="G50" s="723">
        <f>F50*E50</f>
        <v>157.76320559999999</v>
      </c>
      <c r="H50" s="2092"/>
      <c r="J50" s="827"/>
      <c r="K50" s="827"/>
      <c r="L50" s="827"/>
      <c r="M50" s="827"/>
      <c r="N50" s="827"/>
      <c r="O50" s="827"/>
    </row>
    <row r="51" spans="1:15" ht="12.75" customHeight="1" x14ac:dyDescent="0.2">
      <c r="A51" s="1168"/>
      <c r="B51" s="2073"/>
      <c r="C51" s="701" t="str">
        <f>VLOOKUP($C$45,MA,2,FALSE)</f>
        <v>1658416/</v>
      </c>
      <c r="D51" s="43" t="str">
        <f t="shared" ref="D51:D60" si="6">VLOOKUP(C51,всецены,2,FALSE)</f>
        <v xml:space="preserve">TBX-A, Царга 83/450 мм, бел, прав. NEW  </v>
      </c>
      <c r="E51" s="80">
        <v>1</v>
      </c>
      <c r="F51" s="63">
        <f t="shared" ref="F51:F60" si="7">VLOOKUP(C51,всецены,4,FALSE)</f>
        <v>390.34195199999999</v>
      </c>
      <c r="G51" s="723">
        <f t="shared" ref="G51:G60" si="8">F51*E51</f>
        <v>390.34195199999999</v>
      </c>
      <c r="H51" s="2092"/>
      <c r="J51" s="827"/>
      <c r="K51" s="827"/>
      <c r="L51" s="827"/>
      <c r="M51" s="827"/>
      <c r="N51" s="827"/>
      <c r="O51" s="827"/>
    </row>
    <row r="52" spans="1:15" ht="12.75" customHeight="1" x14ac:dyDescent="0.2">
      <c r="A52" s="1168"/>
      <c r="B52" s="2073"/>
      <c r="C52" s="701" t="str">
        <f>VLOOKUP($C$45,MA,3,FALSE)</f>
        <v>1683346/</v>
      </c>
      <c r="D52" s="43" t="str">
        <f t="shared" si="6"/>
        <v xml:space="preserve">TBX-A, Царга 83/450 мм, бел, лев. NEW   </v>
      </c>
      <c r="E52" s="80">
        <v>1</v>
      </c>
      <c r="F52" s="63">
        <f t="shared" si="7"/>
        <v>390.34195199999999</v>
      </c>
      <c r="G52" s="723">
        <f t="shared" si="8"/>
        <v>390.34195199999999</v>
      </c>
      <c r="H52" s="2092"/>
      <c r="J52" s="827"/>
      <c r="K52" s="827"/>
      <c r="L52" s="827"/>
      <c r="M52" s="827"/>
      <c r="N52" s="827"/>
      <c r="O52" s="827"/>
    </row>
    <row r="53" spans="1:15" ht="12.75" customHeight="1" x14ac:dyDescent="0.2">
      <c r="A53" s="1168"/>
      <c r="B53" s="2073"/>
      <c r="C53" s="43" t="str">
        <f>VLOOKUP($C$45,MA,5,FALSE)</f>
        <v>8690466/</v>
      </c>
      <c r="D53" s="43" t="str">
        <f t="shared" si="6"/>
        <v xml:space="preserve">TBX, Напр. с BM, 30 кг, 450 мм, пр. NEW </v>
      </c>
      <c r="E53" s="80">
        <v>1</v>
      </c>
      <c r="F53" s="63">
        <f t="shared" si="7"/>
        <v>421.24402319999996</v>
      </c>
      <c r="G53" s="723">
        <f t="shared" si="8"/>
        <v>421.24402319999996</v>
      </c>
      <c r="H53" s="2092"/>
      <c r="J53" s="827"/>
      <c r="K53" s="827"/>
      <c r="L53" s="827"/>
      <c r="M53" s="827"/>
      <c r="N53" s="827"/>
      <c r="O53" s="827"/>
    </row>
    <row r="54" spans="1:15" ht="12.75" customHeight="1" x14ac:dyDescent="0.2">
      <c r="A54" s="1168"/>
      <c r="B54" s="2073"/>
      <c r="C54" s="43" t="str">
        <f>VLOOKUP($C$45,MA,4,FALSE)</f>
        <v>8698727/</v>
      </c>
      <c r="D54" s="43" t="str">
        <f t="shared" si="6"/>
        <v>TBX, Напр. с BM, 30 кг, 450 мм, лев. NEW</v>
      </c>
      <c r="E54" s="80">
        <v>1</v>
      </c>
      <c r="F54" s="63">
        <f t="shared" si="7"/>
        <v>421.24402319999996</v>
      </c>
      <c r="G54" s="723">
        <f t="shared" si="8"/>
        <v>421.24402319999996</v>
      </c>
      <c r="H54" s="2092"/>
      <c r="J54" s="827"/>
      <c r="K54" s="827"/>
      <c r="L54" s="827"/>
      <c r="M54" s="827"/>
      <c r="N54" s="827"/>
      <c r="O54" s="827"/>
    </row>
    <row r="55" spans="1:15" ht="12.75" customHeight="1" x14ac:dyDescent="0.2">
      <c r="A55" s="1168"/>
      <c r="B55" s="2073"/>
      <c r="C55" s="164" t="s">
        <v>4511</v>
      </c>
      <c r="D55" s="43" t="str">
        <f t="shared" si="6"/>
        <v xml:space="preserve">TBX, Крепл фасада INSERTA, NEW ZSF.39A2 </v>
      </c>
      <c r="E55" s="80">
        <v>2</v>
      </c>
      <c r="F55" s="63">
        <f t="shared" si="7"/>
        <v>43.913469600000006</v>
      </c>
      <c r="G55" s="723">
        <f t="shared" si="8"/>
        <v>87.826939200000012</v>
      </c>
      <c r="H55" s="2092"/>
      <c r="J55" s="827"/>
      <c r="K55" s="827"/>
      <c r="L55" s="827"/>
      <c r="M55" s="827"/>
      <c r="N55" s="827"/>
      <c r="O55" s="827"/>
    </row>
    <row r="56" spans="1:15" ht="12.75" customHeight="1" x14ac:dyDescent="0.2">
      <c r="A56" s="1168"/>
      <c r="B56" s="2073"/>
      <c r="C56" s="43" t="s">
        <v>1021</v>
      </c>
      <c r="D56" s="43" t="str">
        <f t="shared" si="6"/>
        <v>TBX-A, Загл с лого, бел, сим,ZAA.532C.BL</v>
      </c>
      <c r="E56" s="80">
        <v>2</v>
      </c>
      <c r="F56" s="63">
        <f t="shared" si="7"/>
        <v>8.9453364000000004</v>
      </c>
      <c r="G56" s="723">
        <f t="shared" si="8"/>
        <v>17.890672800000001</v>
      </c>
      <c r="H56" s="2092"/>
      <c r="J56" s="827"/>
      <c r="K56" s="827"/>
      <c r="L56" s="827"/>
      <c r="M56" s="827"/>
      <c r="N56" s="827"/>
      <c r="O56" s="827"/>
    </row>
    <row r="57" spans="1:15" ht="12.75" customHeight="1" x14ac:dyDescent="0.2">
      <c r="A57" s="1168"/>
      <c r="B57" s="2073"/>
      <c r="C57" s="43" t="str">
        <f>VLOOKUP($C$45,arel,2,FALSE)</f>
        <v>2913111/</v>
      </c>
      <c r="D57" s="43" t="str">
        <f t="shared" si="6"/>
        <v xml:space="preserve">TBX-AA, Рел прод 450 мм бел лев         </v>
      </c>
      <c r="E57" s="80">
        <v>2</v>
      </c>
      <c r="F57" s="63">
        <f t="shared" si="7"/>
        <v>160.20284280000001</v>
      </c>
      <c r="G57" s="723">
        <f t="shared" si="8"/>
        <v>320.40568560000003</v>
      </c>
      <c r="H57" s="2092"/>
      <c r="J57" s="827"/>
      <c r="K57" s="827"/>
      <c r="L57" s="827"/>
      <c r="M57" s="827"/>
      <c r="N57" s="827"/>
      <c r="O57" s="827"/>
    </row>
    <row r="58" spans="1:15" ht="12.75" customHeight="1" x14ac:dyDescent="0.2">
      <c r="A58" s="1168"/>
      <c r="B58" s="2073"/>
      <c r="C58" s="43" t="str">
        <f>VLOOKUP($C$45,arel,3,FALSE)</f>
        <v>6427131/</v>
      </c>
      <c r="D58" s="43" t="str">
        <f t="shared" si="6"/>
        <v xml:space="preserve">TBX-AA, Рел прод 450 мм бел прав        </v>
      </c>
      <c r="E58" s="80">
        <v>2</v>
      </c>
      <c r="F58" s="63">
        <f t="shared" si="7"/>
        <v>160.20284280000001</v>
      </c>
      <c r="G58" s="723">
        <f t="shared" si="8"/>
        <v>320.40568560000003</v>
      </c>
      <c r="H58" s="2092"/>
      <c r="J58" s="827"/>
      <c r="K58" s="827"/>
      <c r="L58" s="827"/>
      <c r="M58" s="827"/>
      <c r="N58" s="827"/>
      <c r="O58" s="827"/>
    </row>
    <row r="59" spans="1:15" ht="12.75" customHeight="1" x14ac:dyDescent="0.2">
      <c r="A59" s="1168"/>
      <c r="B59" s="2073"/>
      <c r="C59" s="161" t="s">
        <v>1554</v>
      </c>
      <c r="D59" s="43" t="str">
        <f t="shared" si="6"/>
        <v xml:space="preserve">TBX-A, Держат задн ст, 224 мм, бел, лев </v>
      </c>
      <c r="E59" s="80">
        <v>2</v>
      </c>
      <c r="F59" s="63">
        <f t="shared" si="7"/>
        <v>67.496629200000001</v>
      </c>
      <c r="G59" s="723">
        <f t="shared" si="8"/>
        <v>134.9932584</v>
      </c>
      <c r="H59" s="2092"/>
      <c r="J59" s="827"/>
      <c r="K59" s="827"/>
      <c r="L59" s="827"/>
      <c r="M59" s="827"/>
      <c r="N59" s="827"/>
      <c r="O59" s="827"/>
    </row>
    <row r="60" spans="1:15" ht="13.5" customHeight="1" thickBot="1" x14ac:dyDescent="0.25">
      <c r="A60" s="1056"/>
      <c r="B60" s="2074"/>
      <c r="C60" s="732" t="s">
        <v>1774</v>
      </c>
      <c r="D60" s="404" t="str">
        <f t="shared" si="6"/>
        <v>TBX-A, Держат задн ст, 224 мм, бел, прав</v>
      </c>
      <c r="E60" s="381">
        <v>2</v>
      </c>
      <c r="F60" s="435">
        <f t="shared" si="7"/>
        <v>67.496629200000001</v>
      </c>
      <c r="G60" s="726">
        <f t="shared" si="8"/>
        <v>134.9932584</v>
      </c>
      <c r="H60" s="2093"/>
      <c r="J60" s="827"/>
      <c r="K60" s="827"/>
      <c r="L60" s="827"/>
      <c r="M60" s="827"/>
      <c r="N60" s="827"/>
      <c r="O60" s="827"/>
    </row>
    <row r="61" spans="1:15" x14ac:dyDescent="0.2">
      <c r="B61" s="28"/>
      <c r="C61" s="8"/>
      <c r="D61" s="8"/>
      <c r="E61" s="828"/>
      <c r="F61" s="8"/>
      <c r="G61" s="37"/>
      <c r="H61" s="611"/>
      <c r="J61" s="827"/>
      <c r="K61" s="827"/>
      <c r="L61" s="827"/>
      <c r="M61" s="827"/>
      <c r="N61" s="827"/>
      <c r="O61" s="827"/>
    </row>
    <row r="62" spans="1:15" x14ac:dyDescent="0.2">
      <c r="B62" s="8"/>
      <c r="C62" s="8"/>
      <c r="D62" s="8"/>
      <c r="E62" s="828"/>
      <c r="F62" s="8"/>
      <c r="G62" s="37"/>
      <c r="H62" s="35"/>
      <c r="J62" s="827"/>
      <c r="K62" s="827"/>
      <c r="L62" s="827"/>
      <c r="M62" s="827"/>
      <c r="N62" s="827"/>
      <c r="O62" s="827"/>
    </row>
    <row r="63" spans="1:15" x14ac:dyDescent="0.2">
      <c r="B63" s="8"/>
      <c r="C63" s="8"/>
      <c r="D63" s="8"/>
      <c r="E63" s="828"/>
      <c r="F63" s="8"/>
      <c r="G63" s="37"/>
      <c r="H63" s="35"/>
      <c r="J63" s="827"/>
      <c r="K63" s="827"/>
      <c r="L63" s="827"/>
      <c r="M63" s="827"/>
      <c r="N63" s="827"/>
      <c r="O63" s="827"/>
    </row>
    <row r="64" spans="1:15" x14ac:dyDescent="0.2">
      <c r="B64" s="8"/>
      <c r="C64" s="8"/>
      <c r="D64" s="8"/>
      <c r="E64" s="828"/>
      <c r="F64" s="8"/>
      <c r="G64" s="37"/>
      <c r="H64" s="35"/>
      <c r="J64" s="827"/>
      <c r="K64" s="827"/>
      <c r="L64" s="827"/>
      <c r="M64" s="827"/>
      <c r="N64" s="827"/>
      <c r="O64" s="827"/>
    </row>
    <row r="65" spans="1:15" x14ac:dyDescent="0.2">
      <c r="B65" s="8"/>
      <c r="C65" s="8"/>
      <c r="D65" s="8"/>
      <c r="E65" s="828"/>
      <c r="F65" s="8"/>
      <c r="G65" s="37"/>
      <c r="H65" s="35"/>
      <c r="J65" s="827"/>
      <c r="K65" s="827"/>
      <c r="L65" s="827"/>
      <c r="M65" s="827"/>
      <c r="N65" s="827"/>
      <c r="O65" s="827"/>
    </row>
    <row r="66" spans="1:15" x14ac:dyDescent="0.2">
      <c r="B66" s="8"/>
      <c r="C66" s="8"/>
      <c r="D66" s="8"/>
      <c r="E66" s="828"/>
      <c r="F66" s="8"/>
      <c r="G66" s="37"/>
      <c r="H66" s="35"/>
      <c r="J66" s="827"/>
      <c r="K66" s="827"/>
      <c r="L66" s="827"/>
      <c r="M66" s="827"/>
      <c r="N66" s="827"/>
      <c r="O66" s="827"/>
    </row>
    <row r="67" spans="1:15" ht="12.75" x14ac:dyDescent="0.2">
      <c r="A67" s="827"/>
      <c r="B67" s="8"/>
      <c r="C67" s="8"/>
      <c r="D67" s="8"/>
      <c r="E67" s="828"/>
      <c r="F67" s="8"/>
      <c r="G67" s="37"/>
      <c r="H67" s="35"/>
      <c r="J67" s="827"/>
      <c r="K67" s="827"/>
      <c r="L67" s="827"/>
      <c r="M67" s="827"/>
      <c r="N67" s="827"/>
      <c r="O67" s="827"/>
    </row>
    <row r="68" spans="1:15" ht="12.75" x14ac:dyDescent="0.2">
      <c r="A68" s="827"/>
      <c r="B68" s="8"/>
      <c r="C68" s="8"/>
      <c r="D68" s="8"/>
      <c r="E68" s="828"/>
      <c r="F68" s="8"/>
      <c r="G68" s="37"/>
      <c r="H68" s="35"/>
      <c r="J68" s="827"/>
      <c r="K68" s="827"/>
      <c r="L68" s="827"/>
      <c r="M68" s="827"/>
      <c r="N68" s="827"/>
      <c r="O68" s="827"/>
    </row>
    <row r="69" spans="1:15" ht="12.75" x14ac:dyDescent="0.2">
      <c r="A69" s="827"/>
      <c r="B69" s="8"/>
      <c r="C69" s="8"/>
      <c r="D69" s="8"/>
      <c r="E69" s="828"/>
      <c r="F69" s="8"/>
      <c r="G69" s="37"/>
      <c r="H69" s="35"/>
      <c r="J69" s="827"/>
      <c r="K69" s="827"/>
      <c r="L69" s="827"/>
      <c r="M69" s="827"/>
      <c r="N69" s="827"/>
      <c r="O69" s="827"/>
    </row>
    <row r="70" spans="1:15" ht="12.75" x14ac:dyDescent="0.2">
      <c r="A70" s="827"/>
      <c r="B70" s="8"/>
      <c r="C70" s="8"/>
      <c r="D70" s="8"/>
      <c r="E70" s="828"/>
      <c r="F70" s="8"/>
      <c r="G70" s="37"/>
      <c r="H70" s="35"/>
      <c r="J70" s="827"/>
      <c r="K70" s="827"/>
      <c r="L70" s="827"/>
      <c r="M70" s="827"/>
      <c r="N70" s="827"/>
      <c r="O70" s="827"/>
    </row>
    <row r="71" spans="1:15" ht="12.75" x14ac:dyDescent="0.2">
      <c r="A71" s="827"/>
      <c r="B71" s="8"/>
      <c r="C71" s="8"/>
      <c r="D71" s="8"/>
      <c r="E71" s="828"/>
      <c r="F71" s="8"/>
      <c r="G71" s="37"/>
      <c r="H71" s="35"/>
      <c r="J71" s="827"/>
      <c r="K71" s="827"/>
      <c r="L71" s="827"/>
      <c r="M71" s="827"/>
      <c r="N71" s="827"/>
      <c r="O71" s="827"/>
    </row>
    <row r="72" spans="1:15" ht="12.75" x14ac:dyDescent="0.2">
      <c r="A72" s="827"/>
      <c r="B72" s="8"/>
      <c r="C72" s="8"/>
      <c r="D72" s="8"/>
      <c r="E72" s="828"/>
      <c r="F72" s="8"/>
      <c r="G72" s="37"/>
      <c r="H72" s="35"/>
      <c r="J72" s="827"/>
      <c r="K72" s="827"/>
      <c r="L72" s="827"/>
      <c r="M72" s="827"/>
      <c r="N72" s="827"/>
      <c r="O72" s="827"/>
    </row>
    <row r="73" spans="1:15" ht="12.75" x14ac:dyDescent="0.2">
      <c r="A73" s="827"/>
      <c r="B73" s="8"/>
      <c r="C73" s="8"/>
      <c r="D73" s="8"/>
      <c r="E73" s="828"/>
      <c r="F73" s="8"/>
      <c r="G73" s="37"/>
      <c r="H73" s="35"/>
      <c r="J73" s="827"/>
      <c r="K73" s="827"/>
      <c r="L73" s="827"/>
      <c r="M73" s="827"/>
      <c r="N73" s="827"/>
      <c r="O73" s="827"/>
    </row>
    <row r="74" spans="1:15" ht="12.75" x14ac:dyDescent="0.2">
      <c r="A74" s="827"/>
      <c r="B74" s="8"/>
      <c r="C74" s="8"/>
      <c r="D74" s="8"/>
      <c r="E74" s="828"/>
      <c r="F74" s="8"/>
      <c r="G74" s="37"/>
      <c r="H74" s="35"/>
      <c r="J74" s="827"/>
      <c r="K74" s="827"/>
      <c r="L74" s="827"/>
      <c r="M74" s="827"/>
      <c r="N74" s="827"/>
      <c r="O74" s="827"/>
    </row>
    <row r="75" spans="1:15" ht="12.75" x14ac:dyDescent="0.2">
      <c r="A75" s="827"/>
      <c r="B75" s="8"/>
      <c r="C75" s="8"/>
      <c r="D75" s="8"/>
      <c r="E75" s="828"/>
      <c r="F75" s="8"/>
      <c r="G75" s="37"/>
      <c r="H75" s="35"/>
      <c r="J75" s="827"/>
      <c r="K75" s="827"/>
      <c r="L75" s="827"/>
      <c r="M75" s="827"/>
      <c r="N75" s="827"/>
      <c r="O75" s="827"/>
    </row>
    <row r="76" spans="1:15" ht="12.75" x14ac:dyDescent="0.2">
      <c r="A76" s="827"/>
      <c r="B76" s="8"/>
      <c r="C76" s="8"/>
      <c r="D76" s="8"/>
      <c r="E76" s="828"/>
      <c r="F76" s="8"/>
      <c r="G76" s="37"/>
      <c r="H76" s="35"/>
      <c r="J76" s="827"/>
      <c r="K76" s="827"/>
      <c r="L76" s="827"/>
      <c r="M76" s="827"/>
      <c r="N76" s="827"/>
      <c r="O76" s="827"/>
    </row>
    <row r="77" spans="1:15" ht="12.75" x14ac:dyDescent="0.2">
      <c r="A77" s="827"/>
      <c r="B77" s="8"/>
      <c r="C77" s="8"/>
      <c r="D77" s="8"/>
      <c r="E77" s="828"/>
      <c r="F77" s="8"/>
      <c r="G77" s="37"/>
      <c r="H77" s="35"/>
      <c r="J77" s="827"/>
      <c r="K77" s="827"/>
      <c r="L77" s="827"/>
      <c r="M77" s="827"/>
      <c r="N77" s="827"/>
      <c r="O77" s="827"/>
    </row>
    <row r="78" spans="1:15" ht="12.75" x14ac:dyDescent="0.2">
      <c r="A78" s="827"/>
      <c r="B78" s="8"/>
      <c r="C78" s="8"/>
      <c r="D78" s="8"/>
      <c r="E78" s="828"/>
      <c r="F78" s="8"/>
      <c r="G78" s="37"/>
      <c r="H78" s="35"/>
      <c r="J78" s="827"/>
      <c r="K78" s="827"/>
      <c r="L78" s="827"/>
      <c r="M78" s="827"/>
      <c r="N78" s="827"/>
      <c r="O78" s="827"/>
    </row>
    <row r="79" spans="1:15" ht="12.75" x14ac:dyDescent="0.2">
      <c r="A79" s="827"/>
      <c r="B79" s="8"/>
      <c r="C79" s="8"/>
      <c r="D79" s="8"/>
      <c r="E79" s="828"/>
      <c r="F79" s="8"/>
      <c r="G79" s="37"/>
      <c r="H79" s="35"/>
      <c r="J79" s="827"/>
      <c r="K79" s="827"/>
      <c r="L79" s="827"/>
      <c r="M79" s="827"/>
      <c r="N79" s="827"/>
      <c r="O79" s="827"/>
    </row>
    <row r="80" spans="1:15" ht="12.75" x14ac:dyDescent="0.2">
      <c r="A80" s="827"/>
      <c r="B80" s="8"/>
      <c r="C80" s="8"/>
      <c r="D80" s="8"/>
      <c r="E80" s="828"/>
      <c r="F80" s="8"/>
      <c r="G80" s="37"/>
      <c r="H80" s="35"/>
      <c r="J80" s="827"/>
      <c r="K80" s="827"/>
      <c r="L80" s="827"/>
      <c r="M80" s="827"/>
      <c r="N80" s="827"/>
      <c r="O80" s="827"/>
    </row>
    <row r="81" spans="1:19" ht="12.75" x14ac:dyDescent="0.2">
      <c r="A81" s="827"/>
      <c r="B81" s="8"/>
      <c r="C81" s="8"/>
      <c r="D81" s="8"/>
      <c r="E81" s="828"/>
      <c r="F81" s="8"/>
      <c r="G81" s="37"/>
      <c r="H81" s="35"/>
      <c r="J81" s="827"/>
      <c r="K81" s="827"/>
      <c r="L81" s="827"/>
      <c r="M81" s="827"/>
      <c r="N81" s="827"/>
      <c r="O81" s="827"/>
    </row>
    <row r="82" spans="1:19" ht="12.75" x14ac:dyDescent="0.2">
      <c r="A82" s="827"/>
      <c r="B82" s="8"/>
      <c r="C82" s="8"/>
      <c r="D82" s="8"/>
      <c r="E82" s="828"/>
      <c r="F82" s="8"/>
      <c r="G82" s="37"/>
      <c r="H82" s="35"/>
      <c r="J82" s="827"/>
      <c r="K82" s="827"/>
      <c r="L82" s="827"/>
      <c r="M82" s="827"/>
      <c r="N82" s="827"/>
      <c r="O82" s="827"/>
    </row>
    <row r="83" spans="1:19" ht="12.75" x14ac:dyDescent="0.2">
      <c r="A83" s="827"/>
      <c r="B83" s="8"/>
      <c r="C83" s="8"/>
      <c r="D83" s="8"/>
      <c r="E83" s="828"/>
      <c r="F83" s="8"/>
      <c r="G83" s="37"/>
      <c r="H83" s="35"/>
      <c r="J83" s="827"/>
      <c r="K83" s="827"/>
      <c r="L83" s="827"/>
      <c r="M83" s="827"/>
      <c r="N83" s="827"/>
      <c r="O83" s="827"/>
    </row>
    <row r="84" spans="1:19" ht="12.75" x14ac:dyDescent="0.2">
      <c r="A84" s="827"/>
      <c r="B84" s="8"/>
      <c r="C84" s="8"/>
      <c r="D84" s="8"/>
      <c r="E84" s="828"/>
      <c r="F84" s="8"/>
      <c r="G84" s="37"/>
      <c r="H84" s="35"/>
      <c r="J84" s="827"/>
      <c r="K84" s="827"/>
      <c r="L84" s="827"/>
      <c r="M84" s="827"/>
      <c r="N84" s="827"/>
      <c r="O84" s="827"/>
    </row>
    <row r="85" spans="1:19" ht="12.75" x14ac:dyDescent="0.2">
      <c r="A85" s="827"/>
      <c r="B85" s="8"/>
      <c r="C85" s="8"/>
      <c r="D85" s="8"/>
      <c r="E85" s="828"/>
      <c r="F85" s="8"/>
      <c r="G85" s="37"/>
      <c r="H85" s="35"/>
      <c r="J85" s="827"/>
      <c r="K85" s="827"/>
      <c r="L85" s="827"/>
      <c r="M85" s="827"/>
      <c r="N85" s="827"/>
      <c r="O85" s="827"/>
    </row>
    <row r="86" spans="1:19" ht="12.75" x14ac:dyDescent="0.2">
      <c r="A86" s="827"/>
      <c r="B86" s="8"/>
      <c r="C86" s="8"/>
      <c r="D86" s="8"/>
      <c r="E86" s="828"/>
      <c r="F86" s="8"/>
      <c r="G86" s="37"/>
      <c r="H86" s="35"/>
      <c r="J86" s="827"/>
      <c r="K86" s="827"/>
      <c r="L86" s="827"/>
      <c r="M86" s="827"/>
      <c r="N86" s="827"/>
      <c r="O86" s="827"/>
    </row>
    <row r="87" spans="1:19" ht="12.75" x14ac:dyDescent="0.2">
      <c r="A87" s="827"/>
      <c r="B87" s="8"/>
      <c r="C87" s="8"/>
      <c r="D87" s="8"/>
      <c r="E87" s="828"/>
      <c r="F87" s="8"/>
      <c r="G87" s="37"/>
      <c r="H87" s="35"/>
      <c r="J87" s="827"/>
      <c r="K87" s="827"/>
      <c r="L87" s="827"/>
      <c r="M87" s="827"/>
      <c r="N87" s="827"/>
      <c r="O87" s="827"/>
    </row>
    <row r="88" spans="1:19" ht="12.75" x14ac:dyDescent="0.2">
      <c r="A88" s="827"/>
      <c r="B88" s="8"/>
      <c r="C88" s="8"/>
      <c r="D88" s="8"/>
      <c r="E88" s="828"/>
      <c r="F88" s="8"/>
      <c r="G88" s="37"/>
      <c r="H88" s="35"/>
      <c r="J88" s="827"/>
      <c r="K88" s="827"/>
      <c r="L88" s="827"/>
      <c r="M88" s="827"/>
      <c r="N88" s="827"/>
      <c r="O88" s="827"/>
    </row>
    <row r="89" spans="1:19" ht="12.75" x14ac:dyDescent="0.2">
      <c r="A89" s="827"/>
      <c r="B89" s="8"/>
      <c r="C89" s="8"/>
      <c r="D89" s="8"/>
      <c r="E89" s="828"/>
      <c r="F89" s="8"/>
      <c r="G89" s="37"/>
      <c r="H89" s="35"/>
      <c r="J89" s="827"/>
      <c r="K89" s="827"/>
      <c r="L89" s="827"/>
      <c r="M89" s="827"/>
      <c r="N89" s="827"/>
      <c r="O89" s="827"/>
    </row>
    <row r="90" spans="1:19" ht="12.75" x14ac:dyDescent="0.2">
      <c r="A90" s="827"/>
      <c r="B90" s="8"/>
      <c r="C90" s="8"/>
      <c r="D90" s="8"/>
      <c r="E90" s="828"/>
      <c r="F90" s="8"/>
      <c r="G90" s="37"/>
      <c r="H90" s="35"/>
      <c r="J90" s="827"/>
      <c r="K90" s="827"/>
      <c r="L90" s="827"/>
      <c r="M90" s="827"/>
      <c r="N90" s="827"/>
      <c r="O90" s="827"/>
    </row>
    <row r="91" spans="1:19" ht="12.75" x14ac:dyDescent="0.2">
      <c r="A91" s="827"/>
      <c r="B91" s="8"/>
      <c r="C91" s="8"/>
      <c r="D91" s="8"/>
      <c r="E91" s="828"/>
      <c r="F91" s="8"/>
      <c r="G91" s="37"/>
      <c r="H91" s="35"/>
      <c r="J91" s="827"/>
      <c r="K91" s="827"/>
      <c r="L91" s="827"/>
      <c r="M91" s="827"/>
      <c r="N91" s="827"/>
      <c r="O91" s="827"/>
    </row>
    <row r="92" spans="1:19" ht="12.75" x14ac:dyDescent="0.2">
      <c r="A92" s="827"/>
      <c r="B92" s="8"/>
      <c r="C92" s="8"/>
      <c r="D92" s="8"/>
      <c r="E92" s="828"/>
      <c r="F92" s="8"/>
      <c r="G92" s="37"/>
      <c r="H92" s="35"/>
      <c r="J92" s="827"/>
      <c r="K92" s="827"/>
      <c r="L92" s="827"/>
      <c r="M92" s="827"/>
      <c r="N92" s="827"/>
      <c r="O92" s="827"/>
      <c r="Q92" s="827"/>
      <c r="R92" s="827"/>
      <c r="S92" s="827"/>
    </row>
    <row r="93" spans="1:19" ht="12.75" x14ac:dyDescent="0.2">
      <c r="A93" s="827"/>
      <c r="B93" s="8"/>
      <c r="C93" s="8"/>
      <c r="D93" s="8"/>
      <c r="E93" s="828"/>
      <c r="F93" s="8"/>
      <c r="G93" s="37"/>
      <c r="H93" s="35"/>
      <c r="J93" s="827"/>
      <c r="K93" s="827"/>
      <c r="L93" s="827"/>
      <c r="M93" s="827"/>
      <c r="N93" s="827"/>
      <c r="O93" s="827"/>
      <c r="Q93" s="827"/>
      <c r="R93" s="827"/>
      <c r="S93" s="827"/>
    </row>
    <row r="94" spans="1:19" ht="12.75" x14ac:dyDescent="0.2">
      <c r="A94" s="827"/>
      <c r="B94" s="8"/>
      <c r="C94" s="8"/>
      <c r="D94" s="8"/>
      <c r="E94" s="828"/>
      <c r="F94" s="8"/>
      <c r="G94" s="37"/>
      <c r="H94" s="35"/>
      <c r="J94" s="827"/>
      <c r="K94" s="827"/>
      <c r="L94" s="827"/>
      <c r="M94" s="827"/>
      <c r="N94" s="827"/>
      <c r="O94" s="827"/>
      <c r="Q94" s="827"/>
      <c r="R94" s="827"/>
      <c r="S94" s="827"/>
    </row>
    <row r="95" spans="1:19" ht="12.75" x14ac:dyDescent="0.2">
      <c r="A95" s="827"/>
      <c r="B95" s="8"/>
      <c r="C95" s="8"/>
      <c r="D95" s="8"/>
      <c r="E95" s="828"/>
      <c r="F95" s="8"/>
      <c r="G95" s="37"/>
      <c r="H95" s="35"/>
      <c r="J95" s="827"/>
      <c r="K95" s="827"/>
      <c r="L95" s="827"/>
      <c r="M95" s="827"/>
      <c r="N95" s="827"/>
      <c r="O95" s="827"/>
      <c r="Q95" s="827"/>
      <c r="R95" s="827"/>
      <c r="S95" s="827"/>
    </row>
    <row r="96" spans="1:19" ht="12.75" x14ac:dyDescent="0.2">
      <c r="A96" s="827"/>
      <c r="B96" s="8"/>
      <c r="C96" s="8"/>
      <c r="D96" s="8"/>
      <c r="E96" s="828"/>
      <c r="F96" s="8"/>
      <c r="G96" s="37"/>
      <c r="H96" s="35"/>
      <c r="J96" s="827"/>
      <c r="K96" s="827"/>
      <c r="L96" s="827"/>
      <c r="M96" s="827"/>
      <c r="N96" s="827"/>
      <c r="O96" s="827"/>
      <c r="Q96" s="827"/>
      <c r="R96" s="827"/>
      <c r="S96" s="827"/>
    </row>
    <row r="97" spans="1:19" ht="12.75" x14ac:dyDescent="0.2">
      <c r="A97" s="827"/>
      <c r="B97" s="8"/>
      <c r="C97" s="8"/>
      <c r="D97" s="8"/>
      <c r="E97" s="828"/>
      <c r="F97" s="8"/>
      <c r="G97" s="37"/>
      <c r="H97" s="35"/>
      <c r="J97" s="827"/>
      <c r="K97" s="827"/>
      <c r="L97" s="827"/>
      <c r="M97" s="827"/>
      <c r="N97" s="827"/>
      <c r="O97" s="827"/>
      <c r="Q97" s="827"/>
      <c r="R97" s="827"/>
      <c r="S97" s="827"/>
    </row>
    <row r="98" spans="1:19" ht="12.75" x14ac:dyDescent="0.2">
      <c r="A98" s="827"/>
      <c r="B98" s="8"/>
      <c r="C98" s="8"/>
      <c r="D98" s="8"/>
      <c r="E98" s="828"/>
      <c r="F98" s="8"/>
      <c r="G98" s="37"/>
      <c r="H98" s="35"/>
      <c r="J98" s="827"/>
      <c r="K98" s="827"/>
      <c r="L98" s="827"/>
      <c r="M98" s="827"/>
      <c r="N98" s="827"/>
      <c r="O98" s="827"/>
      <c r="Q98" s="827"/>
      <c r="R98" s="827"/>
      <c r="S98" s="827"/>
    </row>
    <row r="99" spans="1:19" ht="12.75" x14ac:dyDescent="0.2">
      <c r="A99" s="827"/>
      <c r="B99" s="8"/>
      <c r="C99" s="8"/>
      <c r="D99" s="8"/>
      <c r="E99" s="828"/>
      <c r="F99" s="8"/>
      <c r="G99" s="37"/>
      <c r="H99" s="35"/>
      <c r="J99" s="827"/>
      <c r="K99" s="827"/>
      <c r="L99" s="827"/>
      <c r="M99" s="827"/>
      <c r="N99" s="827"/>
      <c r="O99" s="827"/>
      <c r="Q99" s="827"/>
      <c r="R99" s="827"/>
      <c r="S99" s="827"/>
    </row>
    <row r="100" spans="1:19" ht="12.75" x14ac:dyDescent="0.2">
      <c r="A100" s="827"/>
      <c r="B100" s="8"/>
      <c r="C100" s="8"/>
      <c r="D100" s="8"/>
      <c r="E100" s="828"/>
      <c r="F100" s="8"/>
      <c r="G100" s="37"/>
      <c r="H100" s="35"/>
      <c r="J100" s="827"/>
      <c r="K100" s="827"/>
      <c r="L100" s="827"/>
      <c r="M100" s="827"/>
      <c r="N100" s="827"/>
      <c r="O100" s="827"/>
      <c r="Q100" s="827"/>
      <c r="R100" s="827"/>
      <c r="S100" s="827"/>
    </row>
    <row r="101" spans="1:19" ht="12.75" x14ac:dyDescent="0.2">
      <c r="A101" s="827"/>
      <c r="B101" s="8"/>
      <c r="C101" s="8"/>
      <c r="D101" s="8"/>
      <c r="E101" s="828"/>
      <c r="F101" s="8"/>
      <c r="G101" s="37"/>
      <c r="H101" s="35"/>
      <c r="J101" s="827"/>
      <c r="K101" s="827"/>
      <c r="L101" s="827"/>
      <c r="M101" s="827"/>
      <c r="N101" s="827"/>
      <c r="O101" s="827"/>
      <c r="Q101" s="827"/>
      <c r="R101" s="827"/>
      <c r="S101" s="827"/>
    </row>
    <row r="102" spans="1:19" ht="12.75" x14ac:dyDescent="0.2">
      <c r="A102" s="827"/>
      <c r="B102" s="8"/>
      <c r="C102" s="8"/>
      <c r="D102" s="8"/>
      <c r="E102" s="828"/>
      <c r="F102" s="8"/>
      <c r="G102" s="37"/>
      <c r="H102" s="35"/>
      <c r="J102" s="827"/>
      <c r="K102" s="827"/>
      <c r="L102" s="827"/>
      <c r="M102" s="827"/>
      <c r="N102" s="827"/>
      <c r="O102" s="827"/>
      <c r="Q102" s="827"/>
      <c r="R102" s="827"/>
      <c r="S102" s="827"/>
    </row>
    <row r="103" spans="1:19" ht="12.75" x14ac:dyDescent="0.2">
      <c r="A103" s="827"/>
      <c r="B103" s="8"/>
      <c r="C103" s="8"/>
      <c r="D103" s="8"/>
      <c r="E103" s="828"/>
      <c r="F103" s="8"/>
      <c r="G103" s="37"/>
      <c r="H103" s="35"/>
      <c r="J103" s="827"/>
      <c r="K103" s="827"/>
      <c r="L103" s="827"/>
      <c r="M103" s="827"/>
      <c r="N103" s="827"/>
      <c r="O103" s="827"/>
      <c r="Q103" s="827"/>
      <c r="R103" s="827"/>
      <c r="S103" s="827"/>
    </row>
    <row r="104" spans="1:19" ht="12.75" x14ac:dyDescent="0.2">
      <c r="A104" s="827"/>
      <c r="B104" s="8"/>
      <c r="C104" s="8"/>
      <c r="D104" s="8"/>
      <c r="E104" s="828"/>
      <c r="F104" s="8"/>
      <c r="G104" s="37"/>
      <c r="H104" s="35"/>
      <c r="J104" s="827"/>
      <c r="K104" s="827"/>
      <c r="L104" s="827"/>
      <c r="M104" s="827"/>
      <c r="N104" s="827"/>
      <c r="O104" s="827"/>
      <c r="Q104" s="827"/>
      <c r="R104" s="827"/>
      <c r="S104" s="827"/>
    </row>
    <row r="105" spans="1:19" ht="12.75" x14ac:dyDescent="0.2">
      <c r="A105" s="827"/>
      <c r="B105" s="8"/>
      <c r="C105" s="8"/>
      <c r="D105" s="8"/>
      <c r="E105" s="828"/>
      <c r="F105" s="8"/>
      <c r="G105" s="37"/>
      <c r="H105" s="35"/>
      <c r="J105" s="827"/>
      <c r="K105" s="827"/>
      <c r="L105" s="827"/>
      <c r="M105" s="827"/>
      <c r="N105" s="827"/>
      <c r="O105" s="827"/>
      <c r="Q105" s="827"/>
      <c r="R105" s="827"/>
      <c r="S105" s="827"/>
    </row>
    <row r="106" spans="1:19" ht="12.75" x14ac:dyDescent="0.2">
      <c r="A106" s="827"/>
      <c r="B106" s="8"/>
      <c r="C106" s="8"/>
      <c r="D106" s="8"/>
      <c r="E106" s="828"/>
      <c r="F106" s="8"/>
      <c r="G106" s="37"/>
      <c r="H106" s="35"/>
      <c r="J106" s="827"/>
      <c r="K106" s="827"/>
      <c r="L106" s="827"/>
      <c r="M106" s="827"/>
      <c r="N106" s="827"/>
      <c r="O106" s="827"/>
      <c r="Q106" s="827"/>
      <c r="R106" s="827"/>
      <c r="S106" s="827"/>
    </row>
    <row r="107" spans="1:19" ht="12.75" x14ac:dyDescent="0.2">
      <c r="A107" s="827"/>
      <c r="B107" s="8"/>
      <c r="C107" s="8"/>
      <c r="D107" s="8"/>
      <c r="E107" s="828"/>
      <c r="F107" s="8"/>
      <c r="G107" s="37"/>
      <c r="H107" s="35"/>
      <c r="J107" s="827"/>
      <c r="K107" s="827"/>
      <c r="L107" s="827"/>
      <c r="M107" s="827"/>
      <c r="N107" s="827"/>
      <c r="O107" s="827"/>
      <c r="Q107" s="827"/>
      <c r="R107" s="827"/>
      <c r="S107" s="827"/>
    </row>
    <row r="108" spans="1:19" ht="12.75" x14ac:dyDescent="0.2">
      <c r="A108" s="827"/>
      <c r="B108" s="8"/>
      <c r="C108" s="8"/>
      <c r="D108" s="8"/>
      <c r="E108" s="828"/>
      <c r="F108" s="8"/>
      <c r="G108" s="37"/>
      <c r="H108" s="35"/>
      <c r="J108" s="827"/>
      <c r="K108" s="827"/>
      <c r="L108" s="827"/>
      <c r="M108" s="827"/>
      <c r="N108" s="827"/>
      <c r="O108" s="827"/>
      <c r="Q108" s="827"/>
      <c r="R108" s="827"/>
      <c r="S108" s="827"/>
    </row>
  </sheetData>
  <protectedRanges>
    <protectedRange sqref="C25 C7 C45" name="Диапазон1"/>
  </protectedRanges>
  <mergeCells count="13">
    <mergeCell ref="H27:H40"/>
    <mergeCell ref="R9:S10"/>
    <mergeCell ref="H25:H26"/>
    <mergeCell ref="H47:H60"/>
    <mergeCell ref="B42:G43"/>
    <mergeCell ref="H45:H46"/>
    <mergeCell ref="B46:B60"/>
    <mergeCell ref="B26:B40"/>
    <mergeCell ref="B4:G5"/>
    <mergeCell ref="H7:H8"/>
    <mergeCell ref="H9:H20"/>
    <mergeCell ref="B8:B20"/>
    <mergeCell ref="B22:G23"/>
  </mergeCells>
  <dataValidations count="3">
    <dataValidation type="list" allowBlank="1" showInputMessage="1" showErrorMessage="1" sqref="C45 C25" xr:uid="{00000000-0002-0000-0B00-000000000000}">
      <formula1>$J$36:$J$37</formula1>
    </dataValidation>
    <dataValidation type="list" allowBlank="1" showInputMessage="1" showErrorMessage="1" sqref="C24 C44" xr:uid="{00000000-0002-0000-0B00-000001000000}">
      <formula1>$J$34:$J$37</formula1>
    </dataValidation>
    <dataValidation type="list" allowBlank="1" showInputMessage="1" showErrorMessage="1" sqref="C7" xr:uid="{00000000-0002-0000-0B00-000002000000}">
      <formula1>$J$18:$J$19</formula1>
    </dataValidation>
  </dataValidations>
  <hyperlinks>
    <hyperlink ref="Q13:S13" location="'3.3'!A1" display="→" xr:uid="{00000000-0004-0000-0B00-000000000000}"/>
    <hyperlink ref="Q14:S14" location="'3.4'!A1" display="→" xr:uid="{00000000-0004-0000-0B00-000001000000}"/>
    <hyperlink ref="Q17:S17" location="'3.7'!A1" display="→" xr:uid="{00000000-0004-0000-0B00-000002000000}"/>
    <hyperlink ref="Q18:S18" location="'3.8'!A1" display="→" xr:uid="{00000000-0004-0000-0B00-000003000000}"/>
    <hyperlink ref="Q11" location="'3.3'!A1" display="→" xr:uid="{00000000-0004-0000-0B00-000004000000}"/>
    <hyperlink ref="Q11:S11" location="'3.1'!A1" display="→" xr:uid="{00000000-0004-0000-0B00-000005000000}"/>
    <hyperlink ref="Q20:S20" location="СОДЕРЖАНИЕ!A1" display="←" xr:uid="{00000000-0004-0000-0B00-000006000000}"/>
    <hyperlink ref="Q12:S12" location="'3.2'!A1" display="→" xr:uid="{00000000-0004-0000-0B00-000007000000}"/>
    <hyperlink ref="Q15" location="'3.4'!A1" display="→" xr:uid="{00000000-0004-0000-0B00-000008000000}"/>
  </hyperlink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2"/>
  <dimension ref="A1:BH209"/>
  <sheetViews>
    <sheetView workbookViewId="0">
      <selection activeCell="R30" sqref="R30"/>
    </sheetView>
  </sheetViews>
  <sheetFormatPr defaultRowHeight="12.75" x14ac:dyDescent="0.2"/>
  <cols>
    <col min="1" max="1" width="2.85546875" style="771" customWidth="1"/>
    <col min="2" max="2" width="29.5703125" style="771" customWidth="1"/>
    <col min="3" max="3" width="9.42578125" style="771" customWidth="1"/>
    <col min="4" max="4" width="42" style="771" customWidth="1"/>
    <col min="5" max="5" width="4.42578125" style="774" customWidth="1"/>
    <col min="6" max="6" width="9.140625" style="771" hidden="1" customWidth="1"/>
    <col min="7" max="7" width="8.140625" style="801" bestFit="1" customWidth="1"/>
    <col min="8" max="8" width="9.140625" style="887"/>
    <col min="9" max="9" width="8.5703125" style="771" customWidth="1"/>
    <col min="10" max="10" width="5.140625" style="8" hidden="1" customWidth="1"/>
    <col min="11" max="16" width="9.140625" style="8" hidden="1" customWidth="1"/>
    <col min="17" max="17" width="10.28515625" style="8" hidden="1" customWidth="1"/>
    <col min="18" max="18" width="12.7109375" style="8" bestFit="1" customWidth="1"/>
    <col min="19" max="19" width="20.140625" style="8" customWidth="1"/>
    <col min="20" max="20" width="3.5703125" style="8" bestFit="1" customWidth="1"/>
    <col min="21" max="32" width="9.140625" style="8"/>
    <col min="33" max="46" width="9.140625" style="771"/>
  </cols>
  <sheetData>
    <row r="1" spans="1:60" s="771" customFormat="1" ht="6" customHeight="1" thickBot="1" x14ac:dyDescent="0.25">
      <c r="A1" s="1143"/>
      <c r="B1" s="916"/>
      <c r="C1" s="916"/>
      <c r="D1" s="916"/>
      <c r="E1" s="1144"/>
      <c r="F1" s="916"/>
      <c r="G1" s="1145"/>
      <c r="H1" s="887"/>
      <c r="BG1" s="782"/>
      <c r="BH1" s="782"/>
    </row>
    <row r="2" spans="1:60" s="771" customFormat="1" ht="21" thickBot="1" x14ac:dyDescent="0.35">
      <c r="A2" s="1143"/>
      <c r="B2" s="1302" t="s">
        <v>3445</v>
      </c>
      <c r="C2" s="1303"/>
      <c r="D2" s="1303"/>
      <c r="E2" s="1304"/>
      <c r="F2" s="1305"/>
      <c r="G2" s="1306"/>
      <c r="H2" s="1307"/>
      <c r="BG2" s="782"/>
      <c r="BH2" s="782"/>
    </row>
    <row r="3" spans="1:60" ht="8.1" customHeight="1" x14ac:dyDescent="0.2">
      <c r="B3" s="782"/>
      <c r="C3" s="782"/>
      <c r="D3" s="782"/>
      <c r="E3" s="781"/>
      <c r="F3" s="782"/>
      <c r="G3" s="799"/>
      <c r="H3" s="1122"/>
    </row>
    <row r="4" spans="1:60" ht="20.100000000000001" customHeight="1" x14ac:dyDescent="0.2">
      <c r="A4" s="916"/>
      <c r="B4" s="2130" t="s">
        <v>1446</v>
      </c>
      <c r="C4" s="2130"/>
      <c r="D4" s="2130"/>
      <c r="E4" s="2130"/>
      <c r="F4" s="2130"/>
      <c r="G4" s="2130"/>
      <c r="H4" s="1169"/>
    </row>
    <row r="5" spans="1:60" ht="20.100000000000001" customHeight="1" thickBot="1" x14ac:dyDescent="0.25">
      <c r="A5" s="916"/>
      <c r="B5" s="2130"/>
      <c r="C5" s="2130"/>
      <c r="D5" s="2130"/>
      <c r="E5" s="2130"/>
      <c r="F5" s="2130"/>
      <c r="G5" s="2130"/>
      <c r="H5" s="1169"/>
    </row>
    <row r="6" spans="1:60" ht="12.75" customHeight="1" x14ac:dyDescent="0.2">
      <c r="A6" s="916"/>
      <c r="B6" s="1255" t="s">
        <v>635</v>
      </c>
      <c r="C6" s="1214"/>
      <c r="D6" s="2175" t="s">
        <v>1409</v>
      </c>
      <c r="E6" s="2175"/>
      <c r="F6" s="2175"/>
      <c r="G6" s="2175"/>
      <c r="H6" s="1215"/>
      <c r="Q6" s="28"/>
    </row>
    <row r="7" spans="1:60" ht="15.75" thickBot="1" x14ac:dyDescent="0.25">
      <c r="A7" s="916"/>
      <c r="B7" s="1209" t="s">
        <v>1639</v>
      </c>
      <c r="C7" s="1231">
        <v>500</v>
      </c>
      <c r="D7" s="1210" t="s">
        <v>1689</v>
      </c>
      <c r="E7" s="1211"/>
      <c r="F7" s="1212"/>
      <c r="G7" s="1213"/>
      <c r="H7" s="1208"/>
      <c r="S7" s="2087" t="s">
        <v>1181</v>
      </c>
      <c r="T7" s="2087"/>
    </row>
    <row r="8" spans="1:60" ht="9.9499999999999993" customHeight="1" x14ac:dyDescent="0.2">
      <c r="A8" s="916"/>
      <c r="B8" s="2157"/>
      <c r="C8" s="1174" t="s">
        <v>1301</v>
      </c>
      <c r="D8" s="1216" t="s">
        <v>784</v>
      </c>
      <c r="E8" s="1217" t="s">
        <v>2117</v>
      </c>
      <c r="F8" s="1216"/>
      <c r="G8" s="1218" t="s">
        <v>2116</v>
      </c>
      <c r="H8" s="1235"/>
      <c r="K8" s="88"/>
      <c r="S8" s="2088"/>
      <c r="T8" s="2088"/>
    </row>
    <row r="9" spans="1:60" x14ac:dyDescent="0.2">
      <c r="A9" s="916"/>
      <c r="B9" s="2157"/>
      <c r="C9" s="1199" t="str">
        <f>VLOOKUP(C7,NA,2,FALSE)</f>
        <v>2828344/</v>
      </c>
      <c r="D9" s="1200" t="str">
        <f t="shared" ref="D9:D16" si="0">VLOOKUP(C9,всецены,2,FALSE)</f>
        <v xml:space="preserve">TBX-A, Царга 68/500 мм, бел, прав. NEW  </v>
      </c>
      <c r="E9" s="1201">
        <v>1</v>
      </c>
      <c r="F9" s="1202">
        <f t="shared" ref="F9:F16" si="1">VLOOKUP(C9,всецены,4,FALSE)</f>
        <v>557.86370639999996</v>
      </c>
      <c r="G9" s="1203">
        <f t="shared" ref="G9:G16" si="2">F9*E9</f>
        <v>557.86370639999996</v>
      </c>
      <c r="H9" s="2162">
        <f>SUM(G9:G16)</f>
        <v>2158.2657095999998</v>
      </c>
      <c r="I9" s="981"/>
      <c r="J9" s="96" t="s">
        <v>1640</v>
      </c>
      <c r="K9" s="28"/>
      <c r="L9" s="28"/>
      <c r="R9" s="943" t="s">
        <v>1813</v>
      </c>
      <c r="S9" s="929" t="s">
        <v>2253</v>
      </c>
      <c r="T9" s="930" t="s">
        <v>2229</v>
      </c>
    </row>
    <row r="10" spans="1:60" s="919" customFormat="1" x14ac:dyDescent="0.2">
      <c r="A10" s="916"/>
      <c r="B10" s="2176"/>
      <c r="C10" s="1219" t="str">
        <f>VLOOKUP(C7,NA,3,FALSE)</f>
        <v>2893126/</v>
      </c>
      <c r="D10" s="1220" t="str">
        <f>VLOOKUP(C10,всецены,2,FALSE)</f>
        <v xml:space="preserve">TBX-A, Царга 68/500 мм, бел, лев. NEW   </v>
      </c>
      <c r="E10" s="1221">
        <v>1</v>
      </c>
      <c r="F10" s="1222">
        <f>VLOOKUP(C10,всецены,4,FALSE)</f>
        <v>557.86370639999996</v>
      </c>
      <c r="G10" s="1223">
        <f>F10*E10</f>
        <v>557.86370639999996</v>
      </c>
      <c r="H10" s="2162"/>
      <c r="I10" s="981"/>
      <c r="J10" s="96"/>
      <c r="K10" s="28"/>
      <c r="L10" s="28"/>
      <c r="M10" s="8"/>
      <c r="N10" s="8"/>
      <c r="O10" s="8"/>
      <c r="P10" s="8"/>
      <c r="Q10" s="8"/>
      <c r="R10" s="943" t="s">
        <v>1813</v>
      </c>
      <c r="S10" s="924" t="s">
        <v>2262</v>
      </c>
      <c r="T10" s="925" t="s">
        <v>2230</v>
      </c>
      <c r="U10" s="8"/>
      <c r="V10" s="8"/>
      <c r="W10" s="8"/>
      <c r="X10" s="8"/>
      <c r="Y10" s="8"/>
      <c r="Z10" s="8"/>
      <c r="AA10" s="8"/>
      <c r="AB10" s="8"/>
      <c r="AC10" s="8"/>
      <c r="AD10" s="8"/>
      <c r="AE10" s="8"/>
      <c r="AF10" s="8"/>
      <c r="AG10" s="771"/>
      <c r="AH10" s="771"/>
      <c r="AI10" s="771"/>
      <c r="AJ10" s="771"/>
      <c r="AK10" s="771"/>
      <c r="AL10" s="771"/>
      <c r="AM10" s="771"/>
      <c r="AN10" s="771"/>
      <c r="AO10" s="771"/>
      <c r="AP10" s="771"/>
      <c r="AQ10" s="771"/>
      <c r="AR10" s="771"/>
      <c r="AS10" s="771"/>
      <c r="AT10" s="771"/>
    </row>
    <row r="11" spans="1:60" x14ac:dyDescent="0.2">
      <c r="A11" s="916"/>
      <c r="B11" s="2176"/>
      <c r="C11" s="1219" t="str">
        <f>VLOOKUP(C7,NA,4,FALSE)</f>
        <v>8716527/</v>
      </c>
      <c r="D11" s="1220" t="str">
        <f t="shared" si="0"/>
        <v>TBX, Напр. с BM, 30 кг, 500 мм, лев. NEW</v>
      </c>
      <c r="E11" s="1221">
        <v>1</v>
      </c>
      <c r="F11" s="1222">
        <f t="shared" si="1"/>
        <v>424.49687280000001</v>
      </c>
      <c r="G11" s="1223">
        <f t="shared" si="2"/>
        <v>424.49687280000001</v>
      </c>
      <c r="H11" s="2162"/>
      <c r="K11" s="53" t="s">
        <v>1645</v>
      </c>
      <c r="L11" s="53" t="s">
        <v>1644</v>
      </c>
      <c r="M11" s="8" t="s">
        <v>1641</v>
      </c>
      <c r="N11" s="8" t="s">
        <v>1642</v>
      </c>
      <c r="R11" s="943" t="s">
        <v>1813</v>
      </c>
      <c r="S11" s="922" t="s">
        <v>2263</v>
      </c>
      <c r="T11" s="923" t="s">
        <v>2231</v>
      </c>
    </row>
    <row r="12" spans="1:60" x14ac:dyDescent="0.2">
      <c r="A12" s="916"/>
      <c r="B12" s="2176"/>
      <c r="C12" s="1219" t="str">
        <f>VLOOKUP(C7,NA,5,FALSE)</f>
        <v>8709485/</v>
      </c>
      <c r="D12" s="1220" t="str">
        <f t="shared" si="0"/>
        <v xml:space="preserve">TBX, Напр. с BM, 30 кг, 500 мм, пр. NEW </v>
      </c>
      <c r="E12" s="1221">
        <v>1</v>
      </c>
      <c r="F12" s="1222">
        <f t="shared" si="1"/>
        <v>424.49687280000001</v>
      </c>
      <c r="G12" s="1223">
        <f t="shared" si="2"/>
        <v>424.49687280000001</v>
      </c>
      <c r="H12" s="2162"/>
      <c r="J12" s="8">
        <v>450</v>
      </c>
      <c r="K12" s="2" t="s">
        <v>5195</v>
      </c>
      <c r="L12" s="2" t="s">
        <v>5196</v>
      </c>
      <c r="M12" s="1371" t="s">
        <v>4519</v>
      </c>
      <c r="N12" s="1371" t="s">
        <v>4518</v>
      </c>
      <c r="R12" s="943" t="s">
        <v>1813</v>
      </c>
      <c r="S12" s="924" t="s">
        <v>2264</v>
      </c>
      <c r="T12" s="925" t="s">
        <v>2232</v>
      </c>
    </row>
    <row r="13" spans="1:60" x14ac:dyDescent="0.2">
      <c r="A13" s="916"/>
      <c r="B13" s="2176"/>
      <c r="C13" s="1224" t="s">
        <v>1021</v>
      </c>
      <c r="D13" s="1220" t="str">
        <f t="shared" si="0"/>
        <v>TBX-A, Загл с лого, бел, сим,ZAA.532C.BL</v>
      </c>
      <c r="E13" s="1221">
        <v>2</v>
      </c>
      <c r="F13" s="1222">
        <f t="shared" si="1"/>
        <v>8.9453364000000004</v>
      </c>
      <c r="G13" s="1223">
        <f t="shared" si="2"/>
        <v>17.890672800000001</v>
      </c>
      <c r="H13" s="2162"/>
      <c r="J13" s="8">
        <v>500</v>
      </c>
      <c r="K13" s="2" t="s">
        <v>3505</v>
      </c>
      <c r="L13" s="2" t="s">
        <v>3506</v>
      </c>
      <c r="M13" s="1371" t="s">
        <v>4522</v>
      </c>
      <c r="N13" s="1371" t="s">
        <v>4521</v>
      </c>
      <c r="R13" s="943" t="s">
        <v>1813</v>
      </c>
      <c r="S13" s="924" t="s">
        <v>2251</v>
      </c>
      <c r="T13" s="928" t="s">
        <v>2233</v>
      </c>
    </row>
    <row r="14" spans="1:60" x14ac:dyDescent="0.2">
      <c r="A14" s="916"/>
      <c r="B14" s="2176"/>
      <c r="C14" s="1219" t="s">
        <v>298</v>
      </c>
      <c r="D14" s="1220" t="str">
        <f t="shared" si="0"/>
        <v xml:space="preserve">TBX, Крепл фасада INSERTA, ZSF.3902     </v>
      </c>
      <c r="E14" s="1221">
        <v>2</v>
      </c>
      <c r="F14" s="1222">
        <f t="shared" si="1"/>
        <v>43.913469600000006</v>
      </c>
      <c r="G14" s="1223">
        <f t="shared" si="2"/>
        <v>87.826939200000012</v>
      </c>
      <c r="H14" s="2162"/>
      <c r="R14" s="943" t="s">
        <v>1813</v>
      </c>
      <c r="S14" s="921" t="s">
        <v>2403</v>
      </c>
      <c r="T14" s="925" t="s">
        <v>2234</v>
      </c>
    </row>
    <row r="15" spans="1:60" s="919" customFormat="1" x14ac:dyDescent="0.2">
      <c r="A15" s="916"/>
      <c r="B15" s="2176"/>
      <c r="C15" s="1225" t="s">
        <v>2032</v>
      </c>
      <c r="D15" s="1220" t="str">
        <f>VLOOKUP(C15,всецены,2,FALSE)</f>
        <v xml:space="preserve">TBX-A, Держат задн ст, 68 мм, бел, лев  </v>
      </c>
      <c r="E15" s="1221">
        <v>1</v>
      </c>
      <c r="F15" s="1222">
        <f>VLOOKUP(C15,всецены,4,FALSE)</f>
        <v>43.913469600000006</v>
      </c>
      <c r="G15" s="1223">
        <f>F15*E15</f>
        <v>43.913469600000006</v>
      </c>
      <c r="H15" s="2162"/>
      <c r="I15" s="771"/>
      <c r="J15" s="8"/>
      <c r="K15" s="8"/>
      <c r="L15" s="8"/>
      <c r="M15" s="8"/>
      <c r="N15" s="8"/>
      <c r="O15" s="8"/>
      <c r="P15" s="8"/>
      <c r="Q15" s="8"/>
      <c r="R15" s="938" t="s">
        <v>2812</v>
      </c>
      <c r="S15" s="939" t="s">
        <v>2252</v>
      </c>
      <c r="T15" s="936"/>
      <c r="U15" s="8"/>
      <c r="V15" s="8"/>
      <c r="W15" s="8"/>
      <c r="X15" s="8"/>
      <c r="Y15" s="8"/>
      <c r="Z15" s="8"/>
      <c r="AA15" s="8"/>
      <c r="AB15" s="8"/>
      <c r="AC15" s="8"/>
      <c r="AD15" s="8"/>
      <c r="AE15" s="8"/>
      <c r="AF15" s="8"/>
      <c r="AG15" s="771"/>
      <c r="AH15" s="771"/>
      <c r="AI15" s="771"/>
      <c r="AJ15" s="771"/>
      <c r="AK15" s="771"/>
      <c r="AL15" s="771"/>
      <c r="AM15" s="771"/>
      <c r="AN15" s="771"/>
      <c r="AO15" s="771"/>
      <c r="AP15" s="771"/>
      <c r="AQ15" s="771"/>
      <c r="AR15" s="771"/>
      <c r="AS15" s="771"/>
      <c r="AT15" s="771"/>
    </row>
    <row r="16" spans="1:60" ht="13.5" thickBot="1" x14ac:dyDescent="0.25">
      <c r="B16" s="2158"/>
      <c r="C16" s="1204" t="s">
        <v>2033</v>
      </c>
      <c r="D16" s="1204" t="str">
        <f t="shared" si="0"/>
        <v xml:space="preserve">TBX-A, Держат задн ст, 68 мм, бел, прав </v>
      </c>
      <c r="E16" s="1205">
        <v>1</v>
      </c>
      <c r="F16" s="1206">
        <f t="shared" si="1"/>
        <v>43.913469600000006</v>
      </c>
      <c r="G16" s="1207">
        <f t="shared" si="2"/>
        <v>43.913469600000006</v>
      </c>
      <c r="H16" s="2163"/>
      <c r="R16" s="943" t="s">
        <v>1813</v>
      </c>
      <c r="S16" s="922" t="s">
        <v>2265</v>
      </c>
      <c r="T16" s="925" t="s">
        <v>2240</v>
      </c>
    </row>
    <row r="17" spans="1:20" ht="8.1" customHeight="1" x14ac:dyDescent="0.2">
      <c r="A17" s="782"/>
      <c r="B17" s="782"/>
      <c r="C17" s="782"/>
      <c r="D17" s="782"/>
      <c r="E17" s="781"/>
      <c r="F17" s="782"/>
      <c r="G17" s="799"/>
      <c r="H17" s="1122"/>
      <c r="I17" s="782"/>
    </row>
    <row r="18" spans="1:20" ht="20.100000000000001" customHeight="1" x14ac:dyDescent="0.2">
      <c r="A18" s="1071"/>
      <c r="B18" s="2127" t="s">
        <v>3437</v>
      </c>
      <c r="C18" s="2127"/>
      <c r="D18" s="2127"/>
      <c r="E18" s="2127"/>
      <c r="F18" s="2127"/>
      <c r="G18" s="2127"/>
      <c r="H18" s="1122"/>
      <c r="I18" s="782"/>
      <c r="R18" s="944" t="s">
        <v>1815</v>
      </c>
      <c r="S18" s="934" t="s">
        <v>2813</v>
      </c>
      <c r="T18" s="935"/>
    </row>
    <row r="19" spans="1:20" ht="20.100000000000001" customHeight="1" thickBot="1" x14ac:dyDescent="0.25">
      <c r="A19" s="1071"/>
      <c r="B19" s="2127"/>
      <c r="C19" s="2127"/>
      <c r="D19" s="2127"/>
      <c r="E19" s="2127"/>
      <c r="F19" s="2127"/>
      <c r="G19" s="2127"/>
      <c r="H19" s="1122"/>
      <c r="I19" s="782"/>
    </row>
    <row r="20" spans="1:20" ht="12.75" customHeight="1" x14ac:dyDescent="0.2">
      <c r="A20" s="916"/>
      <c r="B20" s="1255" t="s">
        <v>875</v>
      </c>
      <c r="C20" s="1232"/>
      <c r="D20" s="2164" t="s">
        <v>1410</v>
      </c>
      <c r="E20" s="2164"/>
      <c r="F20" s="2164"/>
      <c r="G20" s="2164"/>
      <c r="H20" s="1233"/>
    </row>
    <row r="21" spans="1:20" ht="15.75" thickBot="1" x14ac:dyDescent="0.25">
      <c r="A21" s="916"/>
      <c r="B21" s="1209" t="s">
        <v>1639</v>
      </c>
      <c r="C21" s="1231">
        <v>500</v>
      </c>
      <c r="D21" s="1228" t="s">
        <v>1689</v>
      </c>
      <c r="E21" s="1228"/>
      <c r="F21" s="1228"/>
      <c r="G21" s="1229"/>
      <c r="H21" s="1234"/>
    </row>
    <row r="22" spans="1:20" ht="9.9499999999999993" customHeight="1" x14ac:dyDescent="0.2">
      <c r="A22" s="916"/>
      <c r="B22" s="2159"/>
      <c r="C22" s="1177" t="s">
        <v>1301</v>
      </c>
      <c r="D22" s="1245" t="s">
        <v>784</v>
      </c>
      <c r="E22" s="1246" t="s">
        <v>2117</v>
      </c>
      <c r="F22" s="1247"/>
      <c r="G22" s="1248" t="s">
        <v>2116</v>
      </c>
      <c r="H22" s="1235"/>
      <c r="K22" s="88"/>
    </row>
    <row r="23" spans="1:20" ht="12.75" customHeight="1" x14ac:dyDescent="0.2">
      <c r="A23" s="916"/>
      <c r="B23" s="2160"/>
      <c r="C23" s="1236" t="str">
        <f>VLOOKUP($C$21,MA,2,FALSE)</f>
        <v>1847502/</v>
      </c>
      <c r="D23" s="1236" t="str">
        <f t="shared" ref="D23:D30" si="3">VLOOKUP(C23,всецены,2,FALSE)</f>
        <v xml:space="preserve">TBX-A, Царга 83/500 мм, бел, лев. NEW   </v>
      </c>
      <c r="E23" s="1237">
        <v>1</v>
      </c>
      <c r="F23" s="1238">
        <f t="shared" ref="F23:F30" si="4">VLOOKUP(C23,всецены,4,FALSE)</f>
        <v>395.22122640000003</v>
      </c>
      <c r="G23" s="1239">
        <f t="shared" ref="G23:G30" si="5">F23*E23</f>
        <v>395.22122640000003</v>
      </c>
      <c r="H23" s="2166">
        <f>SUM(G23:G30)</f>
        <v>1813.4636519999999</v>
      </c>
      <c r="I23" s="981"/>
      <c r="J23" s="96" t="s">
        <v>1646</v>
      </c>
      <c r="K23" s="28"/>
      <c r="L23" s="28"/>
    </row>
    <row r="24" spans="1:20" x14ac:dyDescent="0.2">
      <c r="A24" s="916"/>
      <c r="B24" s="2160"/>
      <c r="C24" s="1236" t="str">
        <f>VLOOKUP($C$21,MA,3,FALSE)</f>
        <v>1838267/</v>
      </c>
      <c r="D24" s="1236" t="str">
        <f t="shared" si="3"/>
        <v xml:space="preserve">TBX-A, Царга 83/500 мм, бел, прав. NEW  </v>
      </c>
      <c r="E24" s="1237">
        <v>1</v>
      </c>
      <c r="F24" s="1238">
        <f>VLOOKUP(C24,всецены,4,FALSE)</f>
        <v>395.22122640000003</v>
      </c>
      <c r="G24" s="1239">
        <f>F24*E24</f>
        <v>395.22122640000003</v>
      </c>
      <c r="H24" s="2166"/>
      <c r="K24" s="53" t="s">
        <v>1645</v>
      </c>
      <c r="L24" s="53" t="s">
        <v>1644</v>
      </c>
      <c r="M24" s="8" t="s">
        <v>1641</v>
      </c>
      <c r="N24" s="8" t="s">
        <v>1642</v>
      </c>
    </row>
    <row r="25" spans="1:20" x14ac:dyDescent="0.2">
      <c r="A25" s="916"/>
      <c r="B25" s="2160"/>
      <c r="C25" s="1224" t="str">
        <f>VLOOKUP(C21,MA,4,FALSE)</f>
        <v>8716527/</v>
      </c>
      <c r="D25" s="1236" t="str">
        <f t="shared" si="3"/>
        <v>TBX, Напр. с BM, 30 кг, 500 мм, лев. NEW</v>
      </c>
      <c r="E25" s="1237">
        <v>1</v>
      </c>
      <c r="F25" s="1238">
        <f t="shared" si="4"/>
        <v>424.49687280000001</v>
      </c>
      <c r="G25" s="1239">
        <f t="shared" si="5"/>
        <v>424.49687280000001</v>
      </c>
      <c r="H25" s="2166"/>
      <c r="J25" s="8">
        <v>270</v>
      </c>
      <c r="K25" s="1371" t="s">
        <v>3501</v>
      </c>
      <c r="L25" s="1371" t="s">
        <v>3502</v>
      </c>
      <c r="M25" s="1371" t="s">
        <v>4506</v>
      </c>
      <c r="N25" s="1371" t="s">
        <v>4505</v>
      </c>
    </row>
    <row r="26" spans="1:20" x14ac:dyDescent="0.2">
      <c r="A26" s="916"/>
      <c r="B26" s="2160"/>
      <c r="C26" s="1224" t="str">
        <f>VLOOKUP(C21,MA,5,FALSE)</f>
        <v>8709485/</v>
      </c>
      <c r="D26" s="1236" t="str">
        <f t="shared" si="3"/>
        <v xml:space="preserve">TBX, Напр. с BM, 30 кг, 500 мм, пр. NEW </v>
      </c>
      <c r="E26" s="1237">
        <v>1</v>
      </c>
      <c r="F26" s="1238">
        <f>VLOOKUP(C26,всецены,4,FALSE)</f>
        <v>424.49687280000001</v>
      </c>
      <c r="G26" s="1239">
        <f>F26*E26</f>
        <v>424.49687280000001</v>
      </c>
      <c r="H26" s="2166"/>
      <c r="J26" s="8">
        <v>350</v>
      </c>
      <c r="K26" s="1371" t="s">
        <v>3497</v>
      </c>
      <c r="L26" s="1371" t="s">
        <v>3498</v>
      </c>
      <c r="M26" s="1371" t="s">
        <v>4513</v>
      </c>
      <c r="N26" s="1371" t="s">
        <v>4512</v>
      </c>
    </row>
    <row r="27" spans="1:20" x14ac:dyDescent="0.2">
      <c r="A27" s="916"/>
      <c r="B27" s="2160"/>
      <c r="C27" s="1224" t="s">
        <v>298</v>
      </c>
      <c r="D27" s="1236" t="str">
        <f t="shared" si="3"/>
        <v xml:space="preserve">TBX, Крепл фасада INSERTA, ZSF.3902     </v>
      </c>
      <c r="E27" s="1237">
        <v>2</v>
      </c>
      <c r="F27" s="1238">
        <f t="shared" si="4"/>
        <v>43.913469600000006</v>
      </c>
      <c r="G27" s="1239">
        <f t="shared" si="5"/>
        <v>87.826939200000012</v>
      </c>
      <c r="H27" s="2166"/>
      <c r="J27" s="8">
        <v>400</v>
      </c>
      <c r="K27" s="1371" t="s">
        <v>3495</v>
      </c>
      <c r="L27" s="1371" t="s">
        <v>3496</v>
      </c>
      <c r="M27" s="1371" t="s">
        <v>4516</v>
      </c>
      <c r="N27" s="1371" t="s">
        <v>4515</v>
      </c>
    </row>
    <row r="28" spans="1:20" x14ac:dyDescent="0.2">
      <c r="A28" s="916"/>
      <c r="B28" s="2160"/>
      <c r="C28" s="1224" t="s">
        <v>1021</v>
      </c>
      <c r="D28" s="1236" t="str">
        <f t="shared" si="3"/>
        <v>TBX-A, Загл с лого, бел, сим,ZAA.532C.BL</v>
      </c>
      <c r="E28" s="1237">
        <v>2</v>
      </c>
      <c r="F28" s="1238">
        <f t="shared" si="4"/>
        <v>8.9453364000000004</v>
      </c>
      <c r="G28" s="1239">
        <f t="shared" si="5"/>
        <v>17.890672800000001</v>
      </c>
      <c r="H28" s="2166"/>
      <c r="J28" s="8">
        <v>450</v>
      </c>
      <c r="K28" s="1371" t="s">
        <v>3503</v>
      </c>
      <c r="L28" s="1371" t="s">
        <v>3504</v>
      </c>
      <c r="M28" s="1371" t="s">
        <v>4519</v>
      </c>
      <c r="N28" s="1371" t="s">
        <v>4518</v>
      </c>
    </row>
    <row r="29" spans="1:20" x14ac:dyDescent="0.2">
      <c r="A29" s="916"/>
      <c r="B29" s="2160"/>
      <c r="C29" s="1224" t="s">
        <v>795</v>
      </c>
      <c r="D29" s="1236" t="str">
        <f t="shared" si="3"/>
        <v xml:space="preserve">TBX-A, Держат задн ст, 96 мм, бел, лев  </v>
      </c>
      <c r="E29" s="1237">
        <v>1</v>
      </c>
      <c r="F29" s="1238">
        <f t="shared" si="4"/>
        <v>34.154920799999999</v>
      </c>
      <c r="G29" s="1239">
        <f t="shared" si="5"/>
        <v>34.154920799999999</v>
      </c>
      <c r="H29" s="2166"/>
      <c r="J29" s="8">
        <v>500</v>
      </c>
      <c r="K29" s="1371" t="s">
        <v>3493</v>
      </c>
      <c r="L29" s="1372" t="s">
        <v>3494</v>
      </c>
      <c r="M29" s="1371" t="s">
        <v>4522</v>
      </c>
      <c r="N29" s="1371" t="s">
        <v>4521</v>
      </c>
    </row>
    <row r="30" spans="1:20" ht="13.5" thickBot="1" x14ac:dyDescent="0.25">
      <c r="A30" s="916"/>
      <c r="B30" s="2165"/>
      <c r="C30" s="1240" t="s">
        <v>797</v>
      </c>
      <c r="D30" s="1241" t="str">
        <f t="shared" si="3"/>
        <v xml:space="preserve">TBX-A, Держат задн ст, 96 мм, бел, прав </v>
      </c>
      <c r="E30" s="1242">
        <v>1</v>
      </c>
      <c r="F30" s="1243">
        <f t="shared" si="4"/>
        <v>34.154920799999999</v>
      </c>
      <c r="G30" s="1244">
        <f t="shared" si="5"/>
        <v>34.154920799999999</v>
      </c>
      <c r="H30" s="2167"/>
    </row>
    <row r="31" spans="1:20" ht="9" customHeight="1" thickBot="1" x14ac:dyDescent="0.25">
      <c r="A31" s="916"/>
      <c r="B31" s="1256"/>
      <c r="C31" s="1257"/>
      <c r="D31" s="1258"/>
      <c r="E31" s="1259"/>
      <c r="F31" s="1260"/>
      <c r="G31" s="1261"/>
      <c r="H31" s="787"/>
    </row>
    <row r="32" spans="1:20" ht="12.75" customHeight="1" x14ac:dyDescent="0.2">
      <c r="A32" s="916"/>
      <c r="B32" s="1255" t="s">
        <v>875</v>
      </c>
      <c r="C32" s="1251"/>
      <c r="D32" s="2173" t="s">
        <v>1299</v>
      </c>
      <c r="E32" s="2173"/>
      <c r="F32" s="2173"/>
      <c r="G32" s="2173"/>
      <c r="H32" s="1215"/>
      <c r="L32" s="1230"/>
    </row>
    <row r="33" spans="1:46" ht="15.75" thickBot="1" x14ac:dyDescent="0.25">
      <c r="A33" s="916"/>
      <c r="B33" s="1209" t="s">
        <v>1639</v>
      </c>
      <c r="C33" s="1172">
        <v>500</v>
      </c>
      <c r="D33" s="1228" t="s">
        <v>1689</v>
      </c>
      <c r="E33" s="1212"/>
      <c r="F33" s="1212"/>
      <c r="G33" s="1249"/>
      <c r="H33" s="1208"/>
    </row>
    <row r="34" spans="1:46" ht="9.9499999999999993" customHeight="1" x14ac:dyDescent="0.2">
      <c r="A34" s="916"/>
      <c r="B34" s="2159"/>
      <c r="C34" s="1177" t="s">
        <v>1301</v>
      </c>
      <c r="D34" s="1245" t="s">
        <v>784</v>
      </c>
      <c r="E34" s="1246" t="s">
        <v>2117</v>
      </c>
      <c r="F34" s="1247"/>
      <c r="G34" s="1250" t="s">
        <v>2116</v>
      </c>
      <c r="H34" s="1254"/>
    </row>
    <row r="35" spans="1:46" x14ac:dyDescent="0.2">
      <c r="A35" s="916"/>
      <c r="B35" s="2160"/>
      <c r="C35" s="1224" t="s">
        <v>1021</v>
      </c>
      <c r="D35" s="1224" t="s">
        <v>2105</v>
      </c>
      <c r="E35" s="1237">
        <v>2</v>
      </c>
      <c r="F35" s="1237">
        <f t="shared" ref="F35:F44" si="6">VLOOKUP(C35,всецены,4,FALSE)</f>
        <v>8.9453364000000004</v>
      </c>
      <c r="G35" s="1252">
        <f t="shared" ref="G35:G44" si="7">F35*E35</f>
        <v>17.890672800000001</v>
      </c>
      <c r="H35" s="2155">
        <f>SUM(G35:G44)</f>
        <v>3581.3874096000004</v>
      </c>
    </row>
    <row r="36" spans="1:46" x14ac:dyDescent="0.2">
      <c r="A36" s="916"/>
      <c r="B36" s="2160"/>
      <c r="C36" s="1224" t="s">
        <v>795</v>
      </c>
      <c r="D36" s="1224" t="s">
        <v>796</v>
      </c>
      <c r="E36" s="1237">
        <v>1</v>
      </c>
      <c r="F36" s="1237">
        <f t="shared" si="6"/>
        <v>34.154920799999999</v>
      </c>
      <c r="G36" s="1252">
        <f t="shared" si="7"/>
        <v>34.154920799999999</v>
      </c>
      <c r="H36" s="2155"/>
    </row>
    <row r="37" spans="1:46" x14ac:dyDescent="0.2">
      <c r="A37" s="916"/>
      <c r="B37" s="2160"/>
      <c r="C37" s="1224" t="s">
        <v>797</v>
      </c>
      <c r="D37" s="1224" t="s">
        <v>798</v>
      </c>
      <c r="E37" s="1237">
        <v>1</v>
      </c>
      <c r="F37" s="1237">
        <f t="shared" si="6"/>
        <v>34.154920799999999</v>
      </c>
      <c r="G37" s="1252">
        <f t="shared" si="7"/>
        <v>34.154920799999999</v>
      </c>
      <c r="H37" s="2155"/>
    </row>
    <row r="38" spans="1:46" x14ac:dyDescent="0.2">
      <c r="A38" s="916"/>
      <c r="B38" s="2160"/>
      <c r="C38" s="1236" t="str">
        <f>VLOOKUP($C$33,MA,2,FALSE)</f>
        <v>1847502/</v>
      </c>
      <c r="D38" s="1236" t="str">
        <f>VLOOKUP(C38,всецены,2,FALSE)</f>
        <v xml:space="preserve">TBX-A, Царга 83/500 мм, бел, лев. NEW   </v>
      </c>
      <c r="E38" s="1237">
        <v>1</v>
      </c>
      <c r="F38" s="1237">
        <f t="shared" si="6"/>
        <v>395.22122640000003</v>
      </c>
      <c r="G38" s="1252">
        <f t="shared" si="7"/>
        <v>395.22122640000003</v>
      </c>
      <c r="H38" s="2155"/>
    </row>
    <row r="39" spans="1:46" x14ac:dyDescent="0.2">
      <c r="A39" s="916"/>
      <c r="B39" s="2160"/>
      <c r="C39" s="1236" t="str">
        <f>VLOOKUP($C$33,MA,3,FALSE)</f>
        <v>1838267/</v>
      </c>
      <c r="D39" s="1236" t="str">
        <f>VLOOKUP(C39,всецены,2,FALSE)</f>
        <v xml:space="preserve">TBX-A, Царга 83/500 мм, бел, прав. NEW  </v>
      </c>
      <c r="E39" s="1237">
        <v>1</v>
      </c>
      <c r="F39" s="1237">
        <f>VLOOKUP(C39,всецены,4,FALSE)</f>
        <v>395.22122640000003</v>
      </c>
      <c r="G39" s="1252">
        <f>F39*E39</f>
        <v>395.22122640000003</v>
      </c>
      <c r="H39" s="2155"/>
    </row>
    <row r="40" spans="1:46" x14ac:dyDescent="0.2">
      <c r="A40" s="916"/>
      <c r="B40" s="2160"/>
      <c r="C40" s="1236" t="str">
        <f>VLOOKUP($C$33,MA,4,FALSE)</f>
        <v>8716527/</v>
      </c>
      <c r="D40" s="1236" t="str">
        <f>VLOOKUP(C40,всецены,2,FALSE)</f>
        <v>TBX, Напр. с BM, 30 кг, 500 мм, лев. NEW</v>
      </c>
      <c r="E40" s="1237">
        <v>1</v>
      </c>
      <c r="F40" s="1237">
        <f>VLOOKUP(C40,всецены,4,FALSE)</f>
        <v>424.49687280000001</v>
      </c>
      <c r="G40" s="1252">
        <f>F40*E40</f>
        <v>424.49687280000001</v>
      </c>
      <c r="H40" s="2155"/>
    </row>
    <row r="41" spans="1:46" x14ac:dyDescent="0.2">
      <c r="A41" s="916"/>
      <c r="B41" s="2160"/>
      <c r="C41" s="1236" t="str">
        <f>VLOOKUP($C$33,MA,5,FALSE)</f>
        <v>8709485/</v>
      </c>
      <c r="D41" s="1236" t="str">
        <f>VLOOKUP(C41,всецены,2,FALSE)</f>
        <v xml:space="preserve">TBX, Напр. с BM, 30 кг, 500 мм, пр. NEW </v>
      </c>
      <c r="E41" s="1237">
        <v>1</v>
      </c>
      <c r="F41" s="1237">
        <f>VLOOKUP(C41,всецены,4,FALSE)</f>
        <v>424.49687280000001</v>
      </c>
      <c r="G41" s="1252">
        <f>F41*E41</f>
        <v>424.49687280000001</v>
      </c>
      <c r="H41" s="2155"/>
    </row>
    <row r="42" spans="1:46" x14ac:dyDescent="0.2">
      <c r="A42" s="916"/>
      <c r="B42" s="2160"/>
      <c r="C42" s="1224" t="s">
        <v>274</v>
      </c>
      <c r="D42" s="1224" t="s">
        <v>275</v>
      </c>
      <c r="E42" s="1237">
        <v>1</v>
      </c>
      <c r="F42" s="1237">
        <f t="shared" si="6"/>
        <v>334.23029640000004</v>
      </c>
      <c r="G42" s="1252">
        <f t="shared" si="7"/>
        <v>334.23029640000004</v>
      </c>
      <c r="H42" s="2155"/>
    </row>
    <row r="43" spans="1:46" x14ac:dyDescent="0.2">
      <c r="A43" s="916"/>
      <c r="B43" s="2160"/>
      <c r="C43" s="1224" t="s">
        <v>276</v>
      </c>
      <c r="D43" s="1224" t="s">
        <v>1605</v>
      </c>
      <c r="E43" s="1237">
        <v>1</v>
      </c>
      <c r="F43" s="1237">
        <f t="shared" si="6"/>
        <v>334.23029640000004</v>
      </c>
      <c r="G43" s="1252">
        <f t="shared" si="7"/>
        <v>334.23029640000004</v>
      </c>
      <c r="H43" s="2155"/>
    </row>
    <row r="44" spans="1:46" ht="13.5" thickBot="1" x14ac:dyDescent="0.25">
      <c r="B44" s="2165"/>
      <c r="C44" s="1240" t="s">
        <v>1610</v>
      </c>
      <c r="D44" s="1240" t="s">
        <v>1611</v>
      </c>
      <c r="E44" s="1242">
        <v>1</v>
      </c>
      <c r="F44" s="1242">
        <f t="shared" si="6"/>
        <v>1187.2901040000002</v>
      </c>
      <c r="G44" s="1253">
        <f t="shared" si="7"/>
        <v>1187.2901040000002</v>
      </c>
      <c r="H44" s="2156"/>
    </row>
    <row r="45" spans="1:46" s="8" customFormat="1" ht="8.1" customHeight="1" x14ac:dyDescent="0.2">
      <c r="A45" s="771"/>
      <c r="B45" s="782"/>
      <c r="C45" s="785"/>
      <c r="D45" s="782"/>
      <c r="E45" s="781"/>
      <c r="F45" s="786"/>
      <c r="G45" s="1179"/>
      <c r="H45" s="787"/>
      <c r="I45" s="771"/>
      <c r="AG45" s="771"/>
      <c r="AH45" s="771"/>
      <c r="AI45" s="771"/>
      <c r="AJ45" s="771"/>
      <c r="AK45" s="771"/>
      <c r="AL45" s="771"/>
      <c r="AM45" s="771"/>
      <c r="AN45" s="771"/>
      <c r="AO45" s="771"/>
      <c r="AP45" s="771"/>
      <c r="AQ45" s="771"/>
      <c r="AR45" s="771"/>
      <c r="AS45" s="771"/>
      <c r="AT45" s="771"/>
    </row>
    <row r="46" spans="1:46" ht="39.950000000000003" customHeight="1" thickBot="1" x14ac:dyDescent="0.25">
      <c r="A46" s="916"/>
      <c r="B46" s="2127" t="s">
        <v>3438</v>
      </c>
      <c r="C46" s="2127"/>
      <c r="D46" s="2127"/>
      <c r="E46" s="2127"/>
      <c r="F46" s="2127"/>
      <c r="G46" s="2127"/>
      <c r="H46" s="1122"/>
    </row>
    <row r="47" spans="1:46" x14ac:dyDescent="0.2">
      <c r="A47" s="916"/>
      <c r="B47" s="1255" t="s">
        <v>874</v>
      </c>
      <c r="C47" s="1264"/>
      <c r="D47" s="2150" t="s">
        <v>3439</v>
      </c>
      <c r="E47" s="2150"/>
      <c r="F47" s="2150"/>
      <c r="G47" s="2150"/>
      <c r="H47" s="1265"/>
      <c r="K47" s="158"/>
      <c r="Q47" s="28"/>
    </row>
    <row r="48" spans="1:46" ht="15.75" thickBot="1" x14ac:dyDescent="0.25">
      <c r="A48" s="916"/>
      <c r="B48" s="1209" t="s">
        <v>1639</v>
      </c>
      <c r="C48" s="1172">
        <v>500</v>
      </c>
      <c r="D48" s="1262" t="s">
        <v>1689</v>
      </c>
      <c r="E48" s="1262"/>
      <c r="F48" s="1262"/>
      <c r="G48" s="1263"/>
      <c r="H48" s="1208"/>
      <c r="U48" s="28"/>
    </row>
    <row r="49" spans="1:17" ht="9.9499999999999993" customHeight="1" x14ac:dyDescent="0.2">
      <c r="A49" s="916"/>
      <c r="B49" s="2159"/>
      <c r="C49" s="1174" t="s">
        <v>1301</v>
      </c>
      <c r="D49" s="1247" t="s">
        <v>784</v>
      </c>
      <c r="E49" s="1246" t="s">
        <v>2117</v>
      </c>
      <c r="F49" s="1247"/>
      <c r="G49" s="1272" t="s">
        <v>2116</v>
      </c>
      <c r="H49" s="1235"/>
      <c r="K49" s="88"/>
    </row>
    <row r="50" spans="1:17" x14ac:dyDescent="0.2">
      <c r="A50" s="916"/>
      <c r="B50" s="2160"/>
      <c r="C50" s="1220" t="str">
        <f>VLOOKUP($C$48,DA,2,FALSE)</f>
        <v>8396233/</v>
      </c>
      <c r="D50" s="1220" t="str">
        <f t="shared" ref="D50:D58" si="8">VLOOKUP(C50,всецены,2,FALSE)</f>
        <v xml:space="preserve">TBX-A, Царга 101/500 мм, бел, лев. NEW  </v>
      </c>
      <c r="E50" s="1221">
        <v>1</v>
      </c>
      <c r="F50" s="1266">
        <f t="shared" ref="F50:F58" si="9">VLOOKUP(C50,всецены,4,FALSE)</f>
        <v>824.59737360000008</v>
      </c>
      <c r="G50" s="1267">
        <f t="shared" ref="G50:G58" si="10">F50*E50</f>
        <v>824.59737360000008</v>
      </c>
      <c r="H50" s="2154">
        <f>SUM(G50:G58)</f>
        <v>4079.0733984000003</v>
      </c>
      <c r="I50" s="885"/>
      <c r="J50" s="106" t="s">
        <v>1335</v>
      </c>
    </row>
    <row r="51" spans="1:17" x14ac:dyDescent="0.2">
      <c r="A51" s="916"/>
      <c r="B51" s="2160"/>
      <c r="C51" s="1220" t="str">
        <f>VLOOKUP($C$48,DA,3,FALSE)</f>
        <v>8384915/</v>
      </c>
      <c r="D51" s="1220" t="str">
        <f t="shared" si="8"/>
        <v xml:space="preserve">TBX-A, Царга 101/500 мм, бел, прав. NEW </v>
      </c>
      <c r="E51" s="1221">
        <v>1</v>
      </c>
      <c r="F51" s="1266">
        <f>VLOOKUP(C51,всецены,4,FALSE)</f>
        <v>824.59737360000008</v>
      </c>
      <c r="G51" s="1267">
        <f>F51*E51</f>
        <v>824.59737360000008</v>
      </c>
      <c r="H51" s="2155"/>
      <c r="K51" s="53" t="s">
        <v>1645</v>
      </c>
      <c r="L51" s="53" t="s">
        <v>1644</v>
      </c>
      <c r="M51" s="8" t="s">
        <v>1641</v>
      </c>
      <c r="N51" s="8" t="s">
        <v>1642</v>
      </c>
      <c r="O51" s="53" t="s">
        <v>876</v>
      </c>
      <c r="P51" s="8" t="s">
        <v>2151</v>
      </c>
      <c r="Q51" s="28"/>
    </row>
    <row r="52" spans="1:17" x14ac:dyDescent="0.2">
      <c r="A52" s="916"/>
      <c r="B52" s="2160"/>
      <c r="C52" s="1220" t="str">
        <f>VLOOKUP($C$48,DA,4,FALSE)</f>
        <v>5389662/</v>
      </c>
      <c r="D52" s="1220" t="str">
        <f t="shared" si="8"/>
        <v xml:space="preserve">TBX, Направл. с BM, 30 кг, 500 мм, лев. </v>
      </c>
      <c r="E52" s="1221">
        <v>1</v>
      </c>
      <c r="F52" s="1266">
        <f t="shared" si="9"/>
        <v>441.57433319999996</v>
      </c>
      <c r="G52" s="1267">
        <f t="shared" si="10"/>
        <v>441.57433319999996</v>
      </c>
      <c r="H52" s="2155"/>
      <c r="J52" s="8">
        <v>350</v>
      </c>
      <c r="K52" s="1371" t="s">
        <v>3510</v>
      </c>
      <c r="L52" s="1371" t="s">
        <v>3509</v>
      </c>
      <c r="M52" s="66" t="s">
        <v>82</v>
      </c>
      <c r="N52" s="66" t="s">
        <v>81</v>
      </c>
      <c r="O52" s="43" t="s">
        <v>1941</v>
      </c>
    </row>
    <row r="53" spans="1:17" x14ac:dyDescent="0.2">
      <c r="A53" s="916"/>
      <c r="B53" s="2160"/>
      <c r="C53" s="1220" t="str">
        <f>VLOOKUP($C$48,DA,5,FALSE)</f>
        <v>5385402/</v>
      </c>
      <c r="D53" s="1220" t="str">
        <f t="shared" si="8"/>
        <v xml:space="preserve">TBX, Направл. с BM, 30 кг, 500 мм, пр.  </v>
      </c>
      <c r="E53" s="1221">
        <v>1</v>
      </c>
      <c r="F53" s="1266">
        <f>VLOOKUP(C53,всецены,4,FALSE)</f>
        <v>441.57433319999996</v>
      </c>
      <c r="G53" s="1267">
        <f>F53*E53</f>
        <v>441.57433319999996</v>
      </c>
      <c r="H53" s="2155"/>
      <c r="J53" s="8">
        <v>400</v>
      </c>
      <c r="K53" s="66" t="s">
        <v>2055</v>
      </c>
      <c r="L53" s="66" t="s">
        <v>2056</v>
      </c>
      <c r="M53" s="66" t="s">
        <v>78</v>
      </c>
      <c r="N53" s="66" t="s">
        <v>77</v>
      </c>
      <c r="O53" s="43" t="s">
        <v>877</v>
      </c>
    </row>
    <row r="54" spans="1:17" x14ac:dyDescent="0.2">
      <c r="A54" s="916"/>
      <c r="B54" s="2160"/>
      <c r="C54" s="1220" t="str">
        <f>VLOOKUP($C$48,DA,6,FALSE)</f>
        <v>8207382/</v>
      </c>
      <c r="D54" s="1220" t="str">
        <f t="shared" si="8"/>
        <v xml:space="preserve">TBX-A, BOXCAP LI+RE, 500 мм, бел, кмп   </v>
      </c>
      <c r="E54" s="1221">
        <v>1</v>
      </c>
      <c r="F54" s="1266">
        <f>VLOOKUP(C54,всецены,4,FALSE)</f>
        <v>1167.7730064</v>
      </c>
      <c r="G54" s="1267">
        <f>F54*E54</f>
        <v>1167.7730064</v>
      </c>
      <c r="H54" s="2155"/>
      <c r="J54" s="8">
        <v>450</v>
      </c>
      <c r="K54" s="1371" t="s">
        <v>3514</v>
      </c>
      <c r="L54" s="1371" t="s">
        <v>3513</v>
      </c>
      <c r="M54" s="66" t="s">
        <v>74</v>
      </c>
      <c r="N54" s="66" t="s">
        <v>302</v>
      </c>
      <c r="O54" s="43" t="s">
        <v>574</v>
      </c>
      <c r="P54" s="43" t="s">
        <v>1038</v>
      </c>
    </row>
    <row r="55" spans="1:17" x14ac:dyDescent="0.2">
      <c r="A55" s="916"/>
      <c r="B55" s="2160"/>
      <c r="C55" s="1268" t="s">
        <v>469</v>
      </c>
      <c r="D55" s="1220" t="str">
        <f t="shared" si="8"/>
        <v xml:space="preserve">TBX-A, L-Крепл фасада Intivo EXPANDO    </v>
      </c>
      <c r="E55" s="1221">
        <v>2</v>
      </c>
      <c r="F55" s="1266">
        <f t="shared" si="9"/>
        <v>113.03652360000001</v>
      </c>
      <c r="G55" s="1267">
        <f t="shared" si="10"/>
        <v>226.07304720000002</v>
      </c>
      <c r="H55" s="2155"/>
      <c r="J55" s="8">
        <v>500</v>
      </c>
      <c r="K55" s="1371" t="s">
        <v>3512</v>
      </c>
      <c r="L55" s="1371" t="s">
        <v>3511</v>
      </c>
      <c r="M55" s="66" t="s">
        <v>1421</v>
      </c>
      <c r="N55" s="66" t="s">
        <v>1304</v>
      </c>
      <c r="O55" s="43" t="s">
        <v>579</v>
      </c>
      <c r="P55" s="43" t="s">
        <v>555</v>
      </c>
    </row>
    <row r="56" spans="1:17" x14ac:dyDescent="0.2">
      <c r="A56" s="916"/>
      <c r="B56" s="2160"/>
      <c r="C56" s="1220" t="s">
        <v>1021</v>
      </c>
      <c r="D56" s="1220" t="str">
        <f t="shared" si="8"/>
        <v>TBX-A, Загл с лого, бел, сим,ZAA.532C.BL</v>
      </c>
      <c r="E56" s="1221">
        <v>2</v>
      </c>
      <c r="F56" s="1266">
        <f t="shared" si="9"/>
        <v>8.9453364000000004</v>
      </c>
      <c r="G56" s="1267">
        <f t="shared" si="10"/>
        <v>17.890672800000001</v>
      </c>
      <c r="H56" s="2155"/>
    </row>
    <row r="57" spans="1:17" x14ac:dyDescent="0.2">
      <c r="A57" s="916"/>
      <c r="B57" s="2160"/>
      <c r="C57" s="1268" t="s">
        <v>1554</v>
      </c>
      <c r="D57" s="1220" t="str">
        <f t="shared" si="8"/>
        <v xml:space="preserve">TBX-A, Держат задн ст, 224 мм, бел, лев </v>
      </c>
      <c r="E57" s="1221">
        <v>1</v>
      </c>
      <c r="F57" s="1266">
        <f t="shared" si="9"/>
        <v>67.496629200000001</v>
      </c>
      <c r="G57" s="1267">
        <f t="shared" si="10"/>
        <v>67.496629200000001</v>
      </c>
      <c r="H57" s="2155"/>
    </row>
    <row r="58" spans="1:17" ht="13.5" thickBot="1" x14ac:dyDescent="0.25">
      <c r="A58" s="916"/>
      <c r="B58" s="2165"/>
      <c r="C58" s="1269" t="s">
        <v>1774</v>
      </c>
      <c r="D58" s="1204" t="str">
        <f t="shared" si="8"/>
        <v>TBX-A, Держат задн ст, 224 мм, бел, прав</v>
      </c>
      <c r="E58" s="1205">
        <v>1</v>
      </c>
      <c r="F58" s="1270">
        <f t="shared" si="9"/>
        <v>67.496629200000001</v>
      </c>
      <c r="G58" s="1271">
        <f t="shared" si="10"/>
        <v>67.496629200000001</v>
      </c>
      <c r="H58" s="2156"/>
    </row>
    <row r="59" spans="1:17" ht="9" customHeight="1" thickBot="1" x14ac:dyDescent="0.25">
      <c r="A59" s="1071"/>
      <c r="B59" s="1176"/>
      <c r="C59" s="1162"/>
      <c r="D59" s="782"/>
      <c r="E59" s="781"/>
      <c r="F59" s="799"/>
      <c r="G59" s="1179"/>
      <c r="H59" s="1180"/>
    </row>
    <row r="60" spans="1:17" x14ac:dyDescent="0.2">
      <c r="A60" s="916"/>
      <c r="B60" s="1255" t="s">
        <v>874</v>
      </c>
      <c r="C60" s="1274"/>
      <c r="D60" s="2150" t="s">
        <v>3440</v>
      </c>
      <c r="E60" s="2150"/>
      <c r="F60" s="2150"/>
      <c r="G60" s="2150"/>
      <c r="H60" s="1215"/>
    </row>
    <row r="61" spans="1:17" ht="15.75" thickBot="1" x14ac:dyDescent="0.25">
      <c r="A61" s="916"/>
      <c r="B61" s="1209" t="s">
        <v>1639</v>
      </c>
      <c r="C61" s="1231">
        <v>500</v>
      </c>
      <c r="D61" s="1262" t="s">
        <v>1689</v>
      </c>
      <c r="E61" s="1262"/>
      <c r="F61" s="1262"/>
      <c r="G61" s="1263"/>
      <c r="H61" s="1208"/>
    </row>
    <row r="62" spans="1:17" ht="9" customHeight="1" x14ac:dyDescent="0.2">
      <c r="A62" s="916"/>
      <c r="B62" s="2159"/>
      <c r="C62" s="1174" t="s">
        <v>1301</v>
      </c>
      <c r="D62" s="1247" t="s">
        <v>784</v>
      </c>
      <c r="E62" s="1246" t="s">
        <v>2117</v>
      </c>
      <c r="F62" s="1247"/>
      <c r="G62" s="1272" t="s">
        <v>2116</v>
      </c>
      <c r="H62" s="1235"/>
    </row>
    <row r="63" spans="1:17" ht="12.75" customHeight="1" x14ac:dyDescent="0.2">
      <c r="A63" s="916"/>
      <c r="B63" s="2160"/>
      <c r="C63" s="1220" t="s">
        <v>1021</v>
      </c>
      <c r="D63" s="1220" t="s">
        <v>2105</v>
      </c>
      <c r="E63" s="1221">
        <v>2</v>
      </c>
      <c r="F63" s="1266">
        <f t="shared" ref="F63:F77" si="11">VLOOKUP(C63,всецены,4,FALSE)</f>
        <v>8.9453364000000004</v>
      </c>
      <c r="G63" s="1267">
        <f t="shared" ref="G63:G77" si="12">F63*E63</f>
        <v>17.890672800000001</v>
      </c>
      <c r="H63" s="2155">
        <f>SUM(G63:G77)</f>
        <v>6717.9476364000002</v>
      </c>
    </row>
    <row r="64" spans="1:17" ht="12.75" customHeight="1" x14ac:dyDescent="0.2">
      <c r="A64" s="916"/>
      <c r="B64" s="2160"/>
      <c r="C64" s="1220" t="s">
        <v>1554</v>
      </c>
      <c r="D64" s="1220" t="s">
        <v>641</v>
      </c>
      <c r="E64" s="1221">
        <v>1</v>
      </c>
      <c r="F64" s="1266">
        <f t="shared" si="11"/>
        <v>67.496629200000001</v>
      </c>
      <c r="G64" s="1267">
        <f t="shared" si="12"/>
        <v>67.496629200000001</v>
      </c>
      <c r="H64" s="2155"/>
    </row>
    <row r="65" spans="1:8" ht="12.75" customHeight="1" x14ac:dyDescent="0.2">
      <c r="A65" s="916"/>
      <c r="B65" s="2160"/>
      <c r="C65" s="1220" t="s">
        <v>1774</v>
      </c>
      <c r="D65" s="1220" t="s">
        <v>2103</v>
      </c>
      <c r="E65" s="1221">
        <v>1</v>
      </c>
      <c r="F65" s="1266">
        <f t="shared" si="11"/>
        <v>67.496629200000001</v>
      </c>
      <c r="G65" s="1267">
        <f t="shared" si="12"/>
        <v>67.496629200000001</v>
      </c>
      <c r="H65" s="2155"/>
    </row>
    <row r="66" spans="1:8" ht="12.75" customHeight="1" x14ac:dyDescent="0.2">
      <c r="A66" s="916"/>
      <c r="B66" s="2160"/>
      <c r="C66" s="1220" t="str">
        <f>VLOOKUP($C$61,DA,3,FALSE)</f>
        <v>8384915/</v>
      </c>
      <c r="D66" s="1220" t="str">
        <f>VLOOKUP(C66,всецены,2,FALSE)</f>
        <v xml:space="preserve">TBX-A, Царга 101/500 мм, бел, прав. NEW </v>
      </c>
      <c r="E66" s="1221">
        <v>1</v>
      </c>
      <c r="F66" s="1266">
        <f t="shared" si="11"/>
        <v>824.59737360000008</v>
      </c>
      <c r="G66" s="1267">
        <f t="shared" si="12"/>
        <v>824.59737360000008</v>
      </c>
      <c r="H66" s="2155"/>
    </row>
    <row r="67" spans="1:8" ht="12.75" customHeight="1" x14ac:dyDescent="0.2">
      <c r="A67" s="916"/>
      <c r="B67" s="2160"/>
      <c r="C67" s="1220" t="str">
        <f>VLOOKUP($C$61,DA,3,FALSE)</f>
        <v>8384915/</v>
      </c>
      <c r="D67" s="1220" t="str">
        <f>VLOOKUP(C67,всецены,2,FALSE)</f>
        <v xml:space="preserve">TBX-A, Царга 101/500 мм, бел, прав. NEW </v>
      </c>
      <c r="E67" s="1221">
        <v>1</v>
      </c>
      <c r="F67" s="1266">
        <f t="shared" si="11"/>
        <v>824.59737360000008</v>
      </c>
      <c r="G67" s="1267">
        <f t="shared" si="12"/>
        <v>824.59737360000008</v>
      </c>
      <c r="H67" s="2155"/>
    </row>
    <row r="68" spans="1:8" ht="12.75" customHeight="1" x14ac:dyDescent="0.2">
      <c r="A68" s="916"/>
      <c r="B68" s="2160"/>
      <c r="C68" s="1220" t="str">
        <f>VLOOKUP($C$61,DA,4,FALSE)</f>
        <v>5389662/</v>
      </c>
      <c r="D68" s="1220" t="str">
        <f>VLOOKUP(C68,всецены,2,FALSE)</f>
        <v xml:space="preserve">TBX, Направл. с BM, 30 кг, 500 мм, лев. </v>
      </c>
      <c r="E68" s="1221">
        <v>1</v>
      </c>
      <c r="F68" s="1266">
        <f t="shared" si="11"/>
        <v>441.57433319999996</v>
      </c>
      <c r="G68" s="1267">
        <f t="shared" si="12"/>
        <v>441.57433319999996</v>
      </c>
      <c r="H68" s="2155"/>
    </row>
    <row r="69" spans="1:8" ht="12.75" customHeight="1" x14ac:dyDescent="0.2">
      <c r="A69" s="916"/>
      <c r="B69" s="2160"/>
      <c r="C69" s="1220" t="str">
        <f>VLOOKUP($C$61,DA,5,FALSE)</f>
        <v>5385402/</v>
      </c>
      <c r="D69" s="1220" t="str">
        <f>VLOOKUP(C69,всецены,2,FALSE)</f>
        <v xml:space="preserve">TBX, Направл. с BM, 30 кг, 500 мм, пр.  </v>
      </c>
      <c r="E69" s="1221">
        <v>1</v>
      </c>
      <c r="F69" s="1266">
        <f t="shared" si="11"/>
        <v>441.57433319999996</v>
      </c>
      <c r="G69" s="1267">
        <f t="shared" si="12"/>
        <v>441.57433319999996</v>
      </c>
      <c r="H69" s="2155"/>
    </row>
    <row r="70" spans="1:8" ht="12.75" customHeight="1" x14ac:dyDescent="0.2">
      <c r="A70" s="916"/>
      <c r="B70" s="2160"/>
      <c r="C70" s="1220" t="str">
        <f>VLOOKUP($C$61,DA,6,FALSE)</f>
        <v>8207382/</v>
      </c>
      <c r="D70" s="1220" t="s">
        <v>580</v>
      </c>
      <c r="E70" s="1221">
        <v>1</v>
      </c>
      <c r="F70" s="1266">
        <f t="shared" si="11"/>
        <v>1167.7730064</v>
      </c>
      <c r="G70" s="1267">
        <f t="shared" si="12"/>
        <v>1167.7730064</v>
      </c>
      <c r="H70" s="2155"/>
    </row>
    <row r="71" spans="1:8" ht="12.75" customHeight="1" x14ac:dyDescent="0.2">
      <c r="A71" s="916"/>
      <c r="B71" s="2160"/>
      <c r="C71" s="1268" t="s">
        <v>270</v>
      </c>
      <c r="D71" s="1220" t="s">
        <v>271</v>
      </c>
      <c r="E71" s="1221">
        <v>1</v>
      </c>
      <c r="F71" s="1266">
        <f t="shared" si="11"/>
        <v>441.57433319999996</v>
      </c>
      <c r="G71" s="1267">
        <f t="shared" si="12"/>
        <v>441.57433319999996</v>
      </c>
      <c r="H71" s="2155"/>
    </row>
    <row r="72" spans="1:8" x14ac:dyDescent="0.2">
      <c r="A72" s="916"/>
      <c r="B72" s="2160"/>
      <c r="C72" s="1220" t="s">
        <v>272</v>
      </c>
      <c r="D72" s="1220" t="s">
        <v>273</v>
      </c>
      <c r="E72" s="1221">
        <v>1</v>
      </c>
      <c r="F72" s="1266">
        <f t="shared" si="11"/>
        <v>441.57433319999996</v>
      </c>
      <c r="G72" s="1267">
        <f t="shared" si="12"/>
        <v>441.57433319999996</v>
      </c>
      <c r="H72" s="2155"/>
    </row>
    <row r="73" spans="1:8" x14ac:dyDescent="0.2">
      <c r="A73" s="916"/>
      <c r="B73" s="2160"/>
      <c r="C73" s="1220" t="s">
        <v>1011</v>
      </c>
      <c r="D73" s="1220" t="s">
        <v>1012</v>
      </c>
      <c r="E73" s="1221">
        <v>1</v>
      </c>
      <c r="F73" s="1266">
        <f t="shared" si="11"/>
        <v>67.496629200000001</v>
      </c>
      <c r="G73" s="1267">
        <f t="shared" si="12"/>
        <v>67.496629200000001</v>
      </c>
      <c r="H73" s="2155"/>
    </row>
    <row r="74" spans="1:8" x14ac:dyDescent="0.2">
      <c r="A74" s="916"/>
      <c r="B74" s="2160"/>
      <c r="C74" s="1220" t="s">
        <v>1013</v>
      </c>
      <c r="D74" s="1220" t="s">
        <v>1014</v>
      </c>
      <c r="E74" s="1221">
        <v>1</v>
      </c>
      <c r="F74" s="1266">
        <f t="shared" si="11"/>
        <v>67.496629200000001</v>
      </c>
      <c r="G74" s="1267">
        <f t="shared" si="12"/>
        <v>67.496629200000001</v>
      </c>
      <c r="H74" s="2155"/>
    </row>
    <row r="75" spans="1:8" x14ac:dyDescent="0.2">
      <c r="A75" s="916"/>
      <c r="B75" s="2160"/>
      <c r="C75" s="1220" t="s">
        <v>1610</v>
      </c>
      <c r="D75" s="1220" t="s">
        <v>1611</v>
      </c>
      <c r="E75" s="1221">
        <v>1</v>
      </c>
      <c r="F75" s="1266">
        <f t="shared" si="11"/>
        <v>1187.2901040000002</v>
      </c>
      <c r="G75" s="1267">
        <f t="shared" si="12"/>
        <v>1187.2901040000002</v>
      </c>
      <c r="H75" s="2155"/>
    </row>
    <row r="76" spans="1:8" x14ac:dyDescent="0.2">
      <c r="A76" s="916"/>
      <c r="B76" s="2160"/>
      <c r="C76" s="1220" t="s">
        <v>931</v>
      </c>
      <c r="D76" s="1220" t="s">
        <v>932</v>
      </c>
      <c r="E76" s="1221">
        <v>1</v>
      </c>
      <c r="F76" s="1266">
        <f t="shared" si="11"/>
        <v>560.30334359999995</v>
      </c>
      <c r="G76" s="1267">
        <f t="shared" si="12"/>
        <v>560.30334359999995</v>
      </c>
      <c r="H76" s="2155"/>
    </row>
    <row r="77" spans="1:8" ht="13.5" thickBot="1" x14ac:dyDescent="0.25">
      <c r="A77" s="916"/>
      <c r="B77" s="2165"/>
      <c r="C77" s="1269" t="s">
        <v>801</v>
      </c>
      <c r="D77" s="1204" t="s">
        <v>802</v>
      </c>
      <c r="E77" s="1205">
        <v>2</v>
      </c>
      <c r="F77" s="1270">
        <f t="shared" si="11"/>
        <v>49.605956400000004</v>
      </c>
      <c r="G77" s="1271">
        <f t="shared" si="12"/>
        <v>99.211912800000007</v>
      </c>
      <c r="H77" s="2156"/>
    </row>
    <row r="78" spans="1:8" ht="9" customHeight="1" thickBot="1" x14ac:dyDescent="0.25">
      <c r="A78" s="1071"/>
      <c r="B78" s="782"/>
      <c r="C78" s="782"/>
      <c r="D78" s="782"/>
      <c r="E78" s="781"/>
      <c r="F78" s="782"/>
      <c r="G78" s="799"/>
      <c r="H78" s="1183"/>
    </row>
    <row r="79" spans="1:8" x14ac:dyDescent="0.2">
      <c r="A79" s="916"/>
      <c r="B79" s="1255" t="s">
        <v>635</v>
      </c>
      <c r="C79" s="1264"/>
      <c r="D79" s="2150" t="s">
        <v>3441</v>
      </c>
      <c r="E79" s="2150"/>
      <c r="F79" s="2150"/>
      <c r="G79" s="2150"/>
      <c r="H79" s="1265"/>
    </row>
    <row r="80" spans="1:8" ht="15.75" thickBot="1" x14ac:dyDescent="0.25">
      <c r="A80" s="916"/>
      <c r="B80" s="1209" t="s">
        <v>1639</v>
      </c>
      <c r="C80" s="1231">
        <v>500</v>
      </c>
      <c r="D80" s="1262" t="s">
        <v>1689</v>
      </c>
      <c r="E80" s="1262"/>
      <c r="F80" s="1262"/>
      <c r="G80" s="1263"/>
      <c r="H80" s="1208" t="s">
        <v>1850</v>
      </c>
    </row>
    <row r="81" spans="1:46" ht="9.9499999999999993" customHeight="1" x14ac:dyDescent="0.2">
      <c r="A81" s="916"/>
      <c r="B81" s="2159"/>
      <c r="C81" s="1174" t="s">
        <v>1301</v>
      </c>
      <c r="D81" s="1247" t="s">
        <v>784</v>
      </c>
      <c r="E81" s="1246" t="s">
        <v>2117</v>
      </c>
      <c r="F81" s="1247"/>
      <c r="G81" s="1272" t="s">
        <v>2116</v>
      </c>
      <c r="H81" s="1277"/>
    </row>
    <row r="82" spans="1:46" ht="12.75" customHeight="1" x14ac:dyDescent="0.2">
      <c r="A82" s="916"/>
      <c r="B82" s="2160"/>
      <c r="C82" s="1219" t="str">
        <f>VLOOKUP($C$80,DA,2,FALSE)</f>
        <v>8396233/</v>
      </c>
      <c r="D82" s="1220" t="str">
        <f t="shared" ref="D82:D93" si="13">VLOOKUP(C82,всецены,2,FALSE)</f>
        <v xml:space="preserve">TBX-A, Царга 101/500 мм, бел, лев. NEW  </v>
      </c>
      <c r="E82" s="1221">
        <v>1</v>
      </c>
      <c r="F82" s="1266">
        <f t="shared" ref="F82:F93" si="14">VLOOKUP(C82,всецены,4,FALSE)</f>
        <v>824.59737360000008</v>
      </c>
      <c r="G82" s="1223">
        <f t="shared" ref="G82:G93" si="15">F82*E82</f>
        <v>824.59737360000008</v>
      </c>
      <c r="H82" s="2154">
        <f>SUM(G82:G93)</f>
        <v>7238.4035724000023</v>
      </c>
      <c r="K82" s="40"/>
    </row>
    <row r="83" spans="1:46" ht="12.75" customHeight="1" x14ac:dyDescent="0.2">
      <c r="A83" s="916"/>
      <c r="B83" s="2160"/>
      <c r="C83" s="1219" t="str">
        <f>VLOOKUP($C$80,DA,3,FALSE)</f>
        <v>8384915/</v>
      </c>
      <c r="D83" s="1220" t="str">
        <f t="shared" si="13"/>
        <v xml:space="preserve">TBX-A, Царга 101/500 мм, бел, прав. NEW </v>
      </c>
      <c r="E83" s="1221">
        <v>1</v>
      </c>
      <c r="F83" s="1266">
        <f t="shared" si="14"/>
        <v>824.59737360000008</v>
      </c>
      <c r="G83" s="1223">
        <f t="shared" si="15"/>
        <v>824.59737360000008</v>
      </c>
      <c r="H83" s="2155"/>
      <c r="K83" s="40"/>
    </row>
    <row r="84" spans="1:46" ht="12.75" customHeight="1" x14ac:dyDescent="0.2">
      <c r="A84" s="916"/>
      <c r="B84" s="2160"/>
      <c r="C84" s="1219" t="str">
        <f>VLOOKUP($C$80,DA,4,FALSE)</f>
        <v>5389662/</v>
      </c>
      <c r="D84" s="1220" t="str">
        <f t="shared" si="13"/>
        <v xml:space="preserve">TBX, Направл. с BM, 30 кг, 500 мм, лев. </v>
      </c>
      <c r="E84" s="1221">
        <v>1</v>
      </c>
      <c r="F84" s="1266">
        <f t="shared" si="14"/>
        <v>441.57433319999996</v>
      </c>
      <c r="G84" s="1223">
        <f t="shared" si="15"/>
        <v>441.57433319999996</v>
      </c>
      <c r="H84" s="2155"/>
      <c r="K84" s="40"/>
    </row>
    <row r="85" spans="1:46" ht="12.75" customHeight="1" x14ac:dyDescent="0.2">
      <c r="A85" s="916"/>
      <c r="B85" s="2160"/>
      <c r="C85" s="1219" t="str">
        <f>VLOOKUP($C$80,DA,5,FALSE)</f>
        <v>5385402/</v>
      </c>
      <c r="D85" s="1220" t="str">
        <f t="shared" si="13"/>
        <v xml:space="preserve">TBX, Направл. с BM, 30 кг, 500 мм, пр.  </v>
      </c>
      <c r="E85" s="1221">
        <v>1</v>
      </c>
      <c r="F85" s="1266">
        <f t="shared" si="14"/>
        <v>441.57433319999996</v>
      </c>
      <c r="G85" s="1223">
        <f t="shared" si="15"/>
        <v>441.57433319999996</v>
      </c>
      <c r="H85" s="2155"/>
      <c r="K85" s="40"/>
    </row>
    <row r="86" spans="1:46" ht="12.75" customHeight="1" x14ac:dyDescent="0.2">
      <c r="A86" s="916"/>
      <c r="B86" s="2160"/>
      <c r="C86" s="1219" t="str">
        <f>VLOOKUP($C$80,DA,6,FALSE)</f>
        <v>8207382/</v>
      </c>
      <c r="D86" s="1220" t="str">
        <f t="shared" si="13"/>
        <v xml:space="preserve">TBX-A, BOXCAP LI+RE, 500 мм, бел, кмп   </v>
      </c>
      <c r="E86" s="1221">
        <v>1</v>
      </c>
      <c r="F86" s="1266">
        <f t="shared" si="14"/>
        <v>1167.7730064</v>
      </c>
      <c r="G86" s="1223">
        <f t="shared" si="15"/>
        <v>1167.7730064</v>
      </c>
      <c r="H86" s="2155"/>
      <c r="K86" s="40"/>
    </row>
    <row r="87" spans="1:46" ht="12.75" customHeight="1" x14ac:dyDescent="0.2">
      <c r="A87" s="916"/>
      <c r="B87" s="2160"/>
      <c r="C87" s="1219" t="str">
        <f>VLOOKUP($C$80,DA,7,FALSE)</f>
        <v>6639732/</v>
      </c>
      <c r="D87" s="1220" t="str">
        <f t="shared" si="13"/>
        <v xml:space="preserve">TBX-A, Царги п/мойку 500 мм, бел, кмп   </v>
      </c>
      <c r="E87" s="1221">
        <v>1</v>
      </c>
      <c r="F87" s="1266">
        <f t="shared" si="14"/>
        <v>1571.1263568000002</v>
      </c>
      <c r="G87" s="1223">
        <f t="shared" si="15"/>
        <v>1571.1263568000002</v>
      </c>
      <c r="H87" s="2155"/>
      <c r="K87" s="40"/>
    </row>
    <row r="88" spans="1:46" ht="12.75" customHeight="1" x14ac:dyDescent="0.2">
      <c r="A88" s="916"/>
      <c r="B88" s="2160"/>
      <c r="C88" s="1276" t="s">
        <v>469</v>
      </c>
      <c r="D88" s="1220" t="str">
        <f t="shared" si="13"/>
        <v xml:space="preserve">TBX-A, L-Крепл фасада Intivo EXPANDO    </v>
      </c>
      <c r="E88" s="1221">
        <v>2</v>
      </c>
      <c r="F88" s="1266">
        <f t="shared" si="14"/>
        <v>113.03652360000001</v>
      </c>
      <c r="G88" s="1223">
        <f t="shared" si="15"/>
        <v>226.07304720000002</v>
      </c>
      <c r="H88" s="2155"/>
      <c r="K88" s="40"/>
    </row>
    <row r="89" spans="1:46" ht="12.75" customHeight="1" x14ac:dyDescent="0.2">
      <c r="A89" s="916"/>
      <c r="B89" s="2160"/>
      <c r="C89" s="1219" t="s">
        <v>1021</v>
      </c>
      <c r="D89" s="1220" t="str">
        <f t="shared" si="13"/>
        <v>TBX-A, Загл с лого, бел, сим,ZAA.532C.BL</v>
      </c>
      <c r="E89" s="1221">
        <v>2</v>
      </c>
      <c r="F89" s="1266">
        <f t="shared" si="14"/>
        <v>8.9453364000000004</v>
      </c>
      <c r="G89" s="1223">
        <f t="shared" si="15"/>
        <v>17.890672800000001</v>
      </c>
      <c r="H89" s="2155"/>
      <c r="K89" s="40"/>
    </row>
    <row r="90" spans="1:46" ht="12.75" customHeight="1" x14ac:dyDescent="0.2">
      <c r="A90" s="916"/>
      <c r="B90" s="2160"/>
      <c r="C90" s="1268" t="s">
        <v>1951</v>
      </c>
      <c r="D90" s="1220" t="str">
        <f>VLOOKUP(C90,всецены,2,FALSE)</f>
        <v xml:space="preserve">TBX, Адаптеры к Z30N под мойку, кмп.    </v>
      </c>
      <c r="E90" s="1221">
        <v>1</v>
      </c>
      <c r="F90" s="1266">
        <f>VLOOKUP(C90,всецены,4,FALSE)</f>
        <v>157.76320559999999</v>
      </c>
      <c r="G90" s="1223">
        <f>F90*E90</f>
        <v>157.76320559999999</v>
      </c>
      <c r="H90" s="2155"/>
      <c r="K90" s="40"/>
    </row>
    <row r="91" spans="1:46" s="1140" customFormat="1" ht="12.75" customHeight="1" x14ac:dyDescent="0.2">
      <c r="A91" s="916"/>
      <c r="B91" s="2160"/>
      <c r="C91" s="1268" t="s">
        <v>2032</v>
      </c>
      <c r="D91" s="1220" t="str">
        <f>VLOOKUP(C91,всецены,2,FALSE)</f>
        <v xml:space="preserve">TBX-A, Держат задн ст, 68 мм, бел, лев  </v>
      </c>
      <c r="E91" s="1221">
        <v>1</v>
      </c>
      <c r="F91" s="1266">
        <f>VLOOKUP(C91,всецены,4,FALSE)</f>
        <v>43.913469600000006</v>
      </c>
      <c r="G91" s="1223">
        <f>F91*E91</f>
        <v>43.913469600000006</v>
      </c>
      <c r="H91" s="2155"/>
      <c r="I91" s="771"/>
      <c r="J91" s="8"/>
      <c r="K91" s="40"/>
      <c r="L91" s="8"/>
      <c r="M91" s="8"/>
      <c r="N91" s="8"/>
      <c r="O91" s="8"/>
      <c r="P91" s="8"/>
      <c r="Q91" s="8"/>
      <c r="R91" s="8"/>
      <c r="S91" s="8"/>
      <c r="T91" s="8"/>
      <c r="U91" s="8"/>
      <c r="V91" s="8"/>
      <c r="W91" s="8"/>
      <c r="X91" s="8"/>
      <c r="Y91" s="8"/>
      <c r="Z91" s="8"/>
      <c r="AA91" s="8"/>
      <c r="AB91" s="8"/>
      <c r="AC91" s="8"/>
      <c r="AD91" s="8"/>
      <c r="AE91" s="8"/>
      <c r="AF91" s="8"/>
      <c r="AG91" s="771"/>
      <c r="AH91" s="771"/>
      <c r="AI91" s="771"/>
      <c r="AJ91" s="771"/>
      <c r="AK91" s="771"/>
      <c r="AL91" s="771"/>
      <c r="AM91" s="771"/>
      <c r="AN91" s="771"/>
      <c r="AO91" s="771"/>
      <c r="AP91" s="771"/>
      <c r="AQ91" s="771"/>
      <c r="AR91" s="771"/>
      <c r="AS91" s="771"/>
      <c r="AT91" s="771"/>
    </row>
    <row r="92" spans="1:46" ht="12.75" customHeight="1" x14ac:dyDescent="0.2">
      <c r="A92" s="916"/>
      <c r="B92" s="2160"/>
      <c r="C92" s="1268" t="s">
        <v>2033</v>
      </c>
      <c r="D92" s="1220" t="str">
        <f t="shared" si="13"/>
        <v xml:space="preserve">TBX-A, Держат задн ст, 68 мм, бел, прав </v>
      </c>
      <c r="E92" s="1221">
        <v>1</v>
      </c>
      <c r="F92" s="1266">
        <f t="shared" si="14"/>
        <v>43.913469600000006</v>
      </c>
      <c r="G92" s="1223">
        <f t="shared" si="15"/>
        <v>43.913469600000006</v>
      </c>
      <c r="H92" s="2155"/>
      <c r="K92" s="40"/>
    </row>
    <row r="93" spans="1:46" ht="12.75" customHeight="1" thickBot="1" x14ac:dyDescent="0.25">
      <c r="A93" s="916"/>
      <c r="B93" s="2165"/>
      <c r="C93" s="1269" t="s">
        <v>648</v>
      </c>
      <c r="D93" s="1204" t="str">
        <f t="shared" si="13"/>
        <v>TBX-A, Зад ст п/м L, бел, кмпZ30D120S.6S</v>
      </c>
      <c r="E93" s="1205">
        <v>1</v>
      </c>
      <c r="F93" s="1270">
        <f t="shared" si="14"/>
        <v>1477.6069308000003</v>
      </c>
      <c r="G93" s="1207">
        <f t="shared" si="15"/>
        <v>1477.6069308000003</v>
      </c>
      <c r="H93" s="2156"/>
      <c r="K93" s="40"/>
      <c r="Q93" s="28"/>
    </row>
    <row r="94" spans="1:46" ht="9" customHeight="1" thickBot="1" x14ac:dyDescent="0.25">
      <c r="A94" s="1071"/>
      <c r="B94" s="1278"/>
      <c r="C94" s="1279"/>
      <c r="D94" s="1280"/>
      <c r="E94" s="1281"/>
      <c r="F94" s="1282"/>
      <c r="G94" s="1283"/>
      <c r="H94" s="1284"/>
      <c r="K94" s="40"/>
    </row>
    <row r="95" spans="1:46" x14ac:dyDescent="0.2">
      <c r="A95" s="916"/>
      <c r="B95" s="1255" t="s">
        <v>874</v>
      </c>
      <c r="C95" s="1274"/>
      <c r="D95" s="2150" t="s">
        <v>3443</v>
      </c>
      <c r="E95" s="2150"/>
      <c r="F95" s="2150"/>
      <c r="G95" s="2151"/>
      <c r="H95" s="1285"/>
    </row>
    <row r="96" spans="1:46" ht="15.75" thickBot="1" x14ac:dyDescent="0.25">
      <c r="A96" s="916"/>
      <c r="B96" s="1290" t="s">
        <v>1639</v>
      </c>
      <c r="C96" s="1231">
        <v>500</v>
      </c>
      <c r="D96" s="1291" t="s">
        <v>1689</v>
      </c>
      <c r="E96" s="1291"/>
      <c r="F96" s="1291"/>
      <c r="G96" s="1292"/>
      <c r="H96" s="1293"/>
    </row>
    <row r="97" spans="1:8" ht="9.9499999999999993" customHeight="1" x14ac:dyDescent="0.2">
      <c r="A97" s="916"/>
      <c r="B97" s="2159"/>
      <c r="C97" s="1174" t="s">
        <v>1301</v>
      </c>
      <c r="D97" s="1247" t="s">
        <v>784</v>
      </c>
      <c r="E97" s="1246" t="s">
        <v>2117</v>
      </c>
      <c r="F97" s="1247"/>
      <c r="G97" s="1272" t="s">
        <v>2116</v>
      </c>
      <c r="H97" s="1294"/>
    </row>
    <row r="98" spans="1:8" ht="12.75" customHeight="1" x14ac:dyDescent="0.2">
      <c r="A98" s="916"/>
      <c r="B98" s="2160"/>
      <c r="C98" s="1219" t="str">
        <f>VLOOKUP($C$96,DA,2,FALSE)</f>
        <v>8396233/</v>
      </c>
      <c r="D98" s="1220" t="str">
        <f t="shared" ref="D98:D108" si="16">VLOOKUP(C98,всецены,2,FALSE)</f>
        <v xml:space="preserve">TBX-A, Царга 101/500 мм, бел, лев. NEW  </v>
      </c>
      <c r="E98" s="1221">
        <v>1</v>
      </c>
      <c r="F98" s="1266">
        <f t="shared" ref="F98:F105" si="17">VLOOKUP(C98,всецены,4,FALSE)</f>
        <v>824.59737360000008</v>
      </c>
      <c r="G98" s="1286">
        <f>F98*E98</f>
        <v>824.59737360000008</v>
      </c>
      <c r="H98" s="2152">
        <f>SUM(G98:G108)</f>
        <v>3392.722132800001</v>
      </c>
    </row>
    <row r="99" spans="1:8" ht="12.75" customHeight="1" x14ac:dyDescent="0.2">
      <c r="A99" s="916"/>
      <c r="B99" s="2160"/>
      <c r="C99" s="1219" t="str">
        <f>VLOOKUP($C$96,DA,3,FALSE)</f>
        <v>8384915/</v>
      </c>
      <c r="D99" s="1220" t="str">
        <f t="shared" si="16"/>
        <v xml:space="preserve">TBX-A, Царга 101/500 мм, бел, прав. NEW </v>
      </c>
      <c r="E99" s="1221">
        <v>1</v>
      </c>
      <c r="F99" s="1266">
        <f>VLOOKUP(C99,всецены,4,FALSE)</f>
        <v>824.59737360000008</v>
      </c>
      <c r="G99" s="1286">
        <f>F99*E99</f>
        <v>824.59737360000008</v>
      </c>
      <c r="H99" s="2152"/>
    </row>
    <row r="100" spans="1:8" x14ac:dyDescent="0.2">
      <c r="A100" s="916"/>
      <c r="B100" s="2160"/>
      <c r="C100" s="1219" t="str">
        <f>VLOOKUP($C$96,DA,4,FALSE)</f>
        <v>5389662/</v>
      </c>
      <c r="D100" s="1220" t="str">
        <f t="shared" si="16"/>
        <v xml:space="preserve">TBX, Направл. с BM, 30 кг, 500 мм, лев. </v>
      </c>
      <c r="E100" s="1221">
        <v>1</v>
      </c>
      <c r="F100" s="1266">
        <f>VLOOKUP(C100,всецены,4,FALSE)</f>
        <v>441.57433319999996</v>
      </c>
      <c r="G100" s="1286">
        <f>F100*E100</f>
        <v>441.57433319999996</v>
      </c>
      <c r="H100" s="2152"/>
    </row>
    <row r="101" spans="1:8" x14ac:dyDescent="0.2">
      <c r="A101" s="916"/>
      <c r="B101" s="2160"/>
      <c r="C101" s="1219" t="str">
        <f>VLOOKUP($C$96,DA,5,FALSE)</f>
        <v>5385402/</v>
      </c>
      <c r="D101" s="1220" t="str">
        <f t="shared" si="16"/>
        <v xml:space="preserve">TBX, Направл. с BM, 30 кг, 500 мм, пр.  </v>
      </c>
      <c r="E101" s="1221">
        <v>1</v>
      </c>
      <c r="F101" s="1266">
        <f>VLOOKUP(C101,всецены,4,FALSE)</f>
        <v>441.57433319999996</v>
      </c>
      <c r="G101" s="1286">
        <f>F101*E101</f>
        <v>441.57433319999996</v>
      </c>
      <c r="H101" s="2152"/>
    </row>
    <row r="102" spans="1:8" ht="12.75" customHeight="1" x14ac:dyDescent="0.2">
      <c r="A102" s="916"/>
      <c r="B102" s="2160"/>
      <c r="C102" s="1219" t="s">
        <v>581</v>
      </c>
      <c r="D102" s="1220" t="str">
        <f t="shared" si="16"/>
        <v xml:space="preserve">TBX-A, BOXCOVER задн, бел, лев          </v>
      </c>
      <c r="E102" s="1221">
        <v>1</v>
      </c>
      <c r="F102" s="1266">
        <f t="shared" si="17"/>
        <v>120.35543520000002</v>
      </c>
      <c r="G102" s="1286">
        <f t="shared" ref="G102:G108" si="18">F102*E102</f>
        <v>120.35543520000002</v>
      </c>
      <c r="H102" s="2152"/>
    </row>
    <row r="103" spans="1:8" ht="12.75" customHeight="1" x14ac:dyDescent="0.2">
      <c r="A103" s="916"/>
      <c r="B103" s="2160"/>
      <c r="C103" s="1219" t="s">
        <v>583</v>
      </c>
      <c r="D103" s="1220" t="str">
        <f t="shared" si="16"/>
        <v xml:space="preserve">TBX-A, BOXCOVER задн, бел, прав         </v>
      </c>
      <c r="E103" s="1221">
        <v>1</v>
      </c>
      <c r="F103" s="1266">
        <f>VLOOKUP(C103,всецены,4,FALSE)</f>
        <v>120.35543520000002</v>
      </c>
      <c r="G103" s="1286">
        <f>F103*E103</f>
        <v>120.35543520000002</v>
      </c>
      <c r="H103" s="2152"/>
    </row>
    <row r="104" spans="1:8" x14ac:dyDescent="0.2">
      <c r="A104" s="916"/>
      <c r="B104" s="2160"/>
      <c r="C104" s="1219" t="s">
        <v>1933</v>
      </c>
      <c r="D104" s="1220" t="str">
        <f t="shared" si="16"/>
        <v xml:space="preserve">TBX-A, BOXCOVER передн, бел, симм       </v>
      </c>
      <c r="E104" s="1221">
        <v>2</v>
      </c>
      <c r="F104" s="1266">
        <f t="shared" si="17"/>
        <v>120.35543520000002</v>
      </c>
      <c r="G104" s="1286">
        <f t="shared" si="18"/>
        <v>240.71087040000003</v>
      </c>
      <c r="H104" s="2152"/>
    </row>
    <row r="105" spans="1:8" x14ac:dyDescent="0.2">
      <c r="A105" s="916"/>
      <c r="B105" s="2160"/>
      <c r="C105" s="1287" t="s">
        <v>1021</v>
      </c>
      <c r="D105" s="1220" t="str">
        <f t="shared" si="16"/>
        <v>TBX-A, Загл с лого, бел, сим,ZAA.532C.BL</v>
      </c>
      <c r="E105" s="1221">
        <v>2</v>
      </c>
      <c r="F105" s="1266">
        <f t="shared" si="17"/>
        <v>8.9453364000000004</v>
      </c>
      <c r="G105" s="1286">
        <f t="shared" si="18"/>
        <v>17.890672800000001</v>
      </c>
      <c r="H105" s="2152"/>
    </row>
    <row r="106" spans="1:8" x14ac:dyDescent="0.2">
      <c r="A106" s="916"/>
      <c r="B106" s="2160"/>
      <c r="C106" s="1219" t="s">
        <v>469</v>
      </c>
      <c r="D106" s="1220" t="str">
        <f t="shared" si="16"/>
        <v xml:space="preserve">TBX-A, L-Крепл фасада Intivo EXPANDO    </v>
      </c>
      <c r="E106" s="1221">
        <v>2</v>
      </c>
      <c r="F106" s="1266">
        <f>VLOOKUP(C106,всецены,4,FALSE)</f>
        <v>113.03652360000001</v>
      </c>
      <c r="G106" s="1286">
        <f t="shared" si="18"/>
        <v>226.07304720000002</v>
      </c>
      <c r="H106" s="2152"/>
    </row>
    <row r="107" spans="1:8" x14ac:dyDescent="0.2">
      <c r="A107" s="916"/>
      <c r="B107" s="2160"/>
      <c r="C107" s="1276" t="s">
        <v>1554</v>
      </c>
      <c r="D107" s="1220" t="str">
        <f t="shared" si="16"/>
        <v xml:space="preserve">TBX-A, Держат задн ст, 224 мм, бел, лев </v>
      </c>
      <c r="E107" s="1221">
        <v>1</v>
      </c>
      <c r="F107" s="1266">
        <f>VLOOKUP(C107,всецены,4,FALSE)</f>
        <v>67.496629200000001</v>
      </c>
      <c r="G107" s="1286">
        <f t="shared" si="18"/>
        <v>67.496629200000001</v>
      </c>
      <c r="H107" s="2152"/>
    </row>
    <row r="108" spans="1:8" ht="13.5" thickBot="1" x14ac:dyDescent="0.25">
      <c r="A108" s="1057"/>
      <c r="B108" s="2165"/>
      <c r="C108" s="1288" t="s">
        <v>1774</v>
      </c>
      <c r="D108" s="1204" t="str">
        <f t="shared" si="16"/>
        <v>TBX-A, Держат задн ст, 224 мм, бел, прав</v>
      </c>
      <c r="E108" s="1205">
        <v>1</v>
      </c>
      <c r="F108" s="1270">
        <f>VLOOKUP(C108,всецены,4,FALSE)</f>
        <v>67.496629200000001</v>
      </c>
      <c r="G108" s="1289">
        <f t="shared" si="18"/>
        <v>67.496629200000001</v>
      </c>
      <c r="H108" s="2153"/>
    </row>
    <row r="109" spans="1:8" ht="9" customHeight="1" thickBot="1" x14ac:dyDescent="0.25">
      <c r="A109" s="1301"/>
      <c r="B109" s="1176"/>
      <c r="C109" s="1162"/>
      <c r="D109" s="782"/>
      <c r="E109" s="781"/>
      <c r="F109" s="799"/>
      <c r="G109" s="1182"/>
      <c r="H109" s="787"/>
    </row>
    <row r="110" spans="1:8" x14ac:dyDescent="0.2">
      <c r="A110" s="1057"/>
      <c r="B110" s="1255" t="s">
        <v>874</v>
      </c>
      <c r="C110" s="1264"/>
      <c r="D110" s="2150" t="s">
        <v>3442</v>
      </c>
      <c r="E110" s="2150"/>
      <c r="F110" s="2150"/>
      <c r="G110" s="2151"/>
      <c r="H110" s="1233"/>
    </row>
    <row r="111" spans="1:8" ht="15.75" thickBot="1" x14ac:dyDescent="0.25">
      <c r="A111" s="1057"/>
      <c r="B111" s="1209" t="s">
        <v>1639</v>
      </c>
      <c r="C111" s="1172">
        <v>500</v>
      </c>
      <c r="D111" s="1262" t="s">
        <v>1689</v>
      </c>
      <c r="E111" s="1262"/>
      <c r="F111" s="1262"/>
      <c r="G111" s="1263"/>
      <c r="H111" s="1234"/>
    </row>
    <row r="112" spans="1:8" ht="9" customHeight="1" x14ac:dyDescent="0.2">
      <c r="A112" s="1057"/>
      <c r="B112" s="2157"/>
      <c r="C112" s="1174" t="s">
        <v>1301</v>
      </c>
      <c r="D112" s="1247" t="s">
        <v>784</v>
      </c>
      <c r="E112" s="1246" t="s">
        <v>2117</v>
      </c>
      <c r="F112" s="1247"/>
      <c r="G112" s="1272" t="s">
        <v>2116</v>
      </c>
      <c r="H112" s="1297"/>
    </row>
    <row r="113" spans="1:8" ht="12.75" customHeight="1" x14ac:dyDescent="0.2">
      <c r="A113" s="1057"/>
      <c r="B113" s="2157"/>
      <c r="C113" s="1219" t="s">
        <v>1021</v>
      </c>
      <c r="D113" s="1220" t="str">
        <f t="shared" ref="D113:D127" si="19">VLOOKUP(C113,всецены,2,FALSE)</f>
        <v>TBX-A, Загл с лого, бел, сим,ZAA.532C.BL</v>
      </c>
      <c r="E113" s="1221">
        <v>2</v>
      </c>
      <c r="F113" s="1266">
        <f t="shared" ref="F113:F127" si="20">VLOOKUP(C113,всецены,4,FALSE)</f>
        <v>8.9453364000000004</v>
      </c>
      <c r="G113" s="1286">
        <f t="shared" ref="G113:G127" si="21">F113*E113</f>
        <v>17.890672800000001</v>
      </c>
      <c r="H113" s="2154">
        <f>SUM(G113:G127)</f>
        <v>5439.5777436000008</v>
      </c>
    </row>
    <row r="114" spans="1:8" ht="12.75" customHeight="1" x14ac:dyDescent="0.2">
      <c r="A114" s="1057"/>
      <c r="B114" s="2157"/>
      <c r="C114" s="1219" t="s">
        <v>1554</v>
      </c>
      <c r="D114" s="1220" t="str">
        <f t="shared" si="19"/>
        <v xml:space="preserve">TBX-A, Держат задн ст, 224 мм, бел, лев </v>
      </c>
      <c r="E114" s="1221">
        <v>1</v>
      </c>
      <c r="F114" s="1266">
        <f t="shared" si="20"/>
        <v>67.496629200000001</v>
      </c>
      <c r="G114" s="1286">
        <f t="shared" si="21"/>
        <v>67.496629200000001</v>
      </c>
      <c r="H114" s="2155"/>
    </row>
    <row r="115" spans="1:8" x14ac:dyDescent="0.2">
      <c r="A115" s="1057"/>
      <c r="B115" s="2157"/>
      <c r="C115" s="1219" t="s">
        <v>1774</v>
      </c>
      <c r="D115" s="1220" t="str">
        <f t="shared" si="19"/>
        <v>TBX-A, Держат задн ст, 224 мм, бел, прав</v>
      </c>
      <c r="E115" s="1221">
        <v>1</v>
      </c>
      <c r="F115" s="1266">
        <f t="shared" si="20"/>
        <v>67.496629200000001</v>
      </c>
      <c r="G115" s="1286">
        <f t="shared" si="21"/>
        <v>67.496629200000001</v>
      </c>
      <c r="H115" s="2155"/>
    </row>
    <row r="116" spans="1:8" x14ac:dyDescent="0.2">
      <c r="A116" s="1057"/>
      <c r="B116" s="2157"/>
      <c r="C116" s="1219" t="str">
        <f>VLOOKUP($C$111,DA,2,FALSE)</f>
        <v>8396233/</v>
      </c>
      <c r="D116" s="1220" t="str">
        <f t="shared" si="19"/>
        <v xml:space="preserve">TBX-A, Царга 101/500 мм, бел, лев. NEW  </v>
      </c>
      <c r="E116" s="1221">
        <v>1</v>
      </c>
      <c r="F116" s="1266">
        <f t="shared" si="20"/>
        <v>824.59737360000008</v>
      </c>
      <c r="G116" s="1286">
        <f t="shared" si="21"/>
        <v>824.59737360000008</v>
      </c>
      <c r="H116" s="2155"/>
    </row>
    <row r="117" spans="1:8" x14ac:dyDescent="0.2">
      <c r="A117" s="1057"/>
      <c r="B117" s="2157"/>
      <c r="C117" s="1219" t="str">
        <f>VLOOKUP($C$111,DA,3,FALSE)</f>
        <v>8384915/</v>
      </c>
      <c r="D117" s="1220" t="str">
        <f t="shared" si="19"/>
        <v xml:space="preserve">TBX-A, Царга 101/500 мм, бел, прав. NEW </v>
      </c>
      <c r="E117" s="1221">
        <v>1</v>
      </c>
      <c r="F117" s="1266">
        <f t="shared" si="20"/>
        <v>824.59737360000008</v>
      </c>
      <c r="G117" s="1286">
        <f t="shared" si="21"/>
        <v>824.59737360000008</v>
      </c>
      <c r="H117" s="2155"/>
    </row>
    <row r="118" spans="1:8" x14ac:dyDescent="0.2">
      <c r="A118" s="1057"/>
      <c r="B118" s="2157"/>
      <c r="C118" s="1219" t="str">
        <f>VLOOKUP($C$111,DA,4,FALSE)</f>
        <v>5389662/</v>
      </c>
      <c r="D118" s="1220" t="str">
        <f t="shared" si="19"/>
        <v xml:space="preserve">TBX, Направл. с BM, 30 кг, 500 мм, лев. </v>
      </c>
      <c r="E118" s="1221">
        <v>1</v>
      </c>
      <c r="F118" s="1266">
        <f t="shared" si="20"/>
        <v>441.57433319999996</v>
      </c>
      <c r="G118" s="1286">
        <f t="shared" si="21"/>
        <v>441.57433319999996</v>
      </c>
      <c r="H118" s="2155"/>
    </row>
    <row r="119" spans="1:8" x14ac:dyDescent="0.2">
      <c r="A119" s="1057"/>
      <c r="B119" s="2157"/>
      <c r="C119" s="1219" t="str">
        <f>VLOOKUP($C$111,DA,5,FALSE)</f>
        <v>5385402/</v>
      </c>
      <c r="D119" s="1220" t="str">
        <f t="shared" si="19"/>
        <v xml:space="preserve">TBX, Направл. с BM, 30 кг, 500 мм, пр.  </v>
      </c>
      <c r="E119" s="1221">
        <v>1</v>
      </c>
      <c r="F119" s="1266">
        <f t="shared" si="20"/>
        <v>441.57433319999996</v>
      </c>
      <c r="G119" s="1286">
        <f t="shared" si="21"/>
        <v>441.57433319999996</v>
      </c>
      <c r="H119" s="2155"/>
    </row>
    <row r="120" spans="1:8" ht="12.75" customHeight="1" x14ac:dyDescent="0.2">
      <c r="A120" s="1057"/>
      <c r="B120" s="2157"/>
      <c r="C120" s="1295" t="s">
        <v>581</v>
      </c>
      <c r="D120" s="1220" t="str">
        <f t="shared" si="19"/>
        <v xml:space="preserve">TBX-A, BOXCOVER задн, бел, лев          </v>
      </c>
      <c r="E120" s="1221">
        <v>1</v>
      </c>
      <c r="F120" s="1266">
        <f t="shared" si="20"/>
        <v>120.35543520000002</v>
      </c>
      <c r="G120" s="1286">
        <f t="shared" si="21"/>
        <v>120.35543520000002</v>
      </c>
      <c r="H120" s="2155"/>
    </row>
    <row r="121" spans="1:8" ht="12.75" customHeight="1" x14ac:dyDescent="0.2">
      <c r="A121" s="1057"/>
      <c r="B121" s="2157"/>
      <c r="C121" s="1219" t="s">
        <v>583</v>
      </c>
      <c r="D121" s="1220" t="str">
        <f t="shared" si="19"/>
        <v xml:space="preserve">TBX-A, BOXCOVER задн, бел, прав         </v>
      </c>
      <c r="E121" s="1221">
        <v>1</v>
      </c>
      <c r="F121" s="1266">
        <f t="shared" si="20"/>
        <v>120.35543520000002</v>
      </c>
      <c r="G121" s="1286">
        <f t="shared" si="21"/>
        <v>120.35543520000002</v>
      </c>
      <c r="H121" s="2155"/>
    </row>
    <row r="122" spans="1:8" x14ac:dyDescent="0.2">
      <c r="A122" s="1057"/>
      <c r="B122" s="2157"/>
      <c r="C122" s="1276" t="s">
        <v>1933</v>
      </c>
      <c r="D122" s="1220" t="str">
        <f t="shared" si="19"/>
        <v xml:space="preserve">TBX-A, BOXCOVER передн, бел, симм       </v>
      </c>
      <c r="E122" s="1221">
        <v>2</v>
      </c>
      <c r="F122" s="1266">
        <f t="shared" si="20"/>
        <v>120.35543520000002</v>
      </c>
      <c r="G122" s="1286">
        <f t="shared" si="21"/>
        <v>240.71087040000003</v>
      </c>
      <c r="H122" s="2155"/>
    </row>
    <row r="123" spans="1:8" x14ac:dyDescent="0.2">
      <c r="A123" s="1057"/>
      <c r="B123" s="2157"/>
      <c r="C123" s="1276" t="s">
        <v>270</v>
      </c>
      <c r="D123" s="1220" t="str">
        <f t="shared" si="19"/>
        <v xml:space="preserve">TBX-A, КРЕП П/П БЕЛ ЛЕВZIF.81D0(СНЯТО)  </v>
      </c>
      <c r="E123" s="1221">
        <v>1</v>
      </c>
      <c r="F123" s="1266">
        <f t="shared" si="20"/>
        <v>441.57433319999996</v>
      </c>
      <c r="G123" s="1286">
        <f t="shared" si="21"/>
        <v>441.57433319999996</v>
      </c>
      <c r="H123" s="2155"/>
    </row>
    <row r="124" spans="1:8" x14ac:dyDescent="0.2">
      <c r="A124" s="1057"/>
      <c r="B124" s="2157"/>
      <c r="C124" s="1219" t="s">
        <v>272</v>
      </c>
      <c r="D124" s="1220" t="str">
        <f t="shared" si="19"/>
        <v xml:space="preserve">TBX-A, КРЕП П/П БЕЛ ПРZIF.81D0(СНЯТО)   </v>
      </c>
      <c r="E124" s="1221">
        <v>1</v>
      </c>
      <c r="F124" s="1266">
        <f t="shared" si="20"/>
        <v>441.57433319999996</v>
      </c>
      <c r="G124" s="1286">
        <f t="shared" si="21"/>
        <v>441.57433319999996</v>
      </c>
      <c r="H124" s="2155"/>
    </row>
    <row r="125" spans="1:8" x14ac:dyDescent="0.2">
      <c r="A125" s="1057"/>
      <c r="B125" s="2157"/>
      <c r="C125" s="1219" t="s">
        <v>1011</v>
      </c>
      <c r="D125" s="1220" t="str">
        <f t="shared" si="19"/>
        <v xml:space="preserve">TBX-A, Загл к креп п/п zif.81d0 бел лев </v>
      </c>
      <c r="E125" s="1221">
        <v>1</v>
      </c>
      <c r="F125" s="1266">
        <f t="shared" si="20"/>
        <v>67.496629200000001</v>
      </c>
      <c r="G125" s="1286">
        <f t="shared" si="21"/>
        <v>67.496629200000001</v>
      </c>
      <c r="H125" s="2155"/>
    </row>
    <row r="126" spans="1:8" x14ac:dyDescent="0.2">
      <c r="A126" s="1057"/>
      <c r="B126" s="2157"/>
      <c r="C126" s="1219" t="s">
        <v>1013</v>
      </c>
      <c r="D126" s="1220" t="str">
        <f t="shared" si="19"/>
        <v xml:space="preserve">TBX-A, Загл к креп п/п zif.81d0 бел пр  </v>
      </c>
      <c r="E126" s="1221">
        <v>1</v>
      </c>
      <c r="F126" s="1266">
        <f t="shared" si="20"/>
        <v>67.496629200000001</v>
      </c>
      <c r="G126" s="1286">
        <f t="shared" si="21"/>
        <v>67.496629200000001</v>
      </c>
      <c r="H126" s="2155"/>
    </row>
    <row r="127" spans="1:8" ht="13.5" thickBot="1" x14ac:dyDescent="0.25">
      <c r="A127" s="1057"/>
      <c r="B127" s="2158"/>
      <c r="C127" s="1296" t="s">
        <v>1612</v>
      </c>
      <c r="D127" s="1204" t="str">
        <f t="shared" si="19"/>
        <v xml:space="preserve">TBX-A, Передн панель, 1036 мм, бел, с/п </v>
      </c>
      <c r="E127" s="1205">
        <v>1</v>
      </c>
      <c r="F127" s="1270">
        <f t="shared" si="20"/>
        <v>1254.7867332000001</v>
      </c>
      <c r="G127" s="1289">
        <f t="shared" si="21"/>
        <v>1254.7867332000001</v>
      </c>
      <c r="H127" s="2156"/>
    </row>
    <row r="128" spans="1:8" ht="9" customHeight="1" thickBot="1" x14ac:dyDescent="0.25">
      <c r="A128" s="1301"/>
      <c r="B128" s="782"/>
      <c r="C128" s="782"/>
      <c r="D128" s="782"/>
      <c r="E128" s="781"/>
      <c r="F128" s="782"/>
      <c r="G128" s="799"/>
      <c r="H128" s="1183"/>
    </row>
    <row r="129" spans="1:46" x14ac:dyDescent="0.2">
      <c r="A129" s="1057"/>
      <c r="B129" s="1255" t="s">
        <v>635</v>
      </c>
      <c r="C129" s="1274"/>
      <c r="D129" s="2150" t="s">
        <v>3444</v>
      </c>
      <c r="E129" s="2150"/>
      <c r="F129" s="2150"/>
      <c r="G129" s="2151"/>
      <c r="H129" s="1215"/>
    </row>
    <row r="130" spans="1:46" ht="15.75" thickBot="1" x14ac:dyDescent="0.25">
      <c r="A130" s="1057"/>
      <c r="B130" s="1209" t="s">
        <v>1639</v>
      </c>
      <c r="C130" s="1231">
        <v>500</v>
      </c>
      <c r="D130" s="1262" t="s">
        <v>1689</v>
      </c>
      <c r="E130" s="1262"/>
      <c r="F130" s="1262"/>
      <c r="G130" s="1263"/>
      <c r="H130" s="1208"/>
    </row>
    <row r="131" spans="1:46" ht="9.9499999999999993" customHeight="1" x14ac:dyDescent="0.2">
      <c r="A131" s="1057"/>
      <c r="B131" s="2159"/>
      <c r="C131" s="1174" t="s">
        <v>1301</v>
      </c>
      <c r="D131" s="1247" t="s">
        <v>784</v>
      </c>
      <c r="E131" s="1246" t="s">
        <v>2117</v>
      </c>
      <c r="F131" s="1247"/>
      <c r="G131" s="1298" t="s">
        <v>2116</v>
      </c>
      <c r="H131" s="1275"/>
    </row>
    <row r="132" spans="1:46" ht="12.75" customHeight="1" x14ac:dyDescent="0.2">
      <c r="A132" s="1057"/>
      <c r="B132" s="2160"/>
      <c r="C132" s="1219" t="str">
        <f>VLOOKUP($C$130,DA,2,FALSE)</f>
        <v>8396233/</v>
      </c>
      <c r="D132" s="1220" t="str">
        <f t="shared" ref="D132:D145" si="22">VLOOKUP(C132,всецены,2,FALSE)</f>
        <v xml:space="preserve">TBX-A, Царга 101/500 мм, бел, лев. NEW  </v>
      </c>
      <c r="E132" s="1221">
        <v>1</v>
      </c>
      <c r="F132" s="1266">
        <f t="shared" ref="F132:F145" si="23">VLOOKUP(C132,всецены,4,FALSE)</f>
        <v>824.59737360000008</v>
      </c>
      <c r="G132" s="1223">
        <f t="shared" ref="G132:G145" si="24">F132*E132</f>
        <v>824.59737360000008</v>
      </c>
      <c r="H132" s="2161">
        <f>SUM(G132:G145)</f>
        <v>6552.052306800002</v>
      </c>
      <c r="K132" s="40"/>
    </row>
    <row r="133" spans="1:46" ht="12.75" customHeight="1" x14ac:dyDescent="0.2">
      <c r="A133" s="1057"/>
      <c r="B133" s="2160"/>
      <c r="C133" s="1219" t="str">
        <f>VLOOKUP($C$130,DA,3,FALSE)</f>
        <v>8384915/</v>
      </c>
      <c r="D133" s="1220" t="str">
        <f t="shared" si="22"/>
        <v xml:space="preserve">TBX-A, Царга 101/500 мм, бел, прав. NEW </v>
      </c>
      <c r="E133" s="1221">
        <v>1</v>
      </c>
      <c r="F133" s="1266">
        <f t="shared" si="23"/>
        <v>824.59737360000008</v>
      </c>
      <c r="G133" s="1223">
        <f t="shared" si="24"/>
        <v>824.59737360000008</v>
      </c>
      <c r="H133" s="2162"/>
      <c r="K133" s="40"/>
    </row>
    <row r="134" spans="1:46" ht="12.75" customHeight="1" x14ac:dyDescent="0.2">
      <c r="A134" s="1057"/>
      <c r="B134" s="2160"/>
      <c r="C134" s="1219" t="str">
        <f>VLOOKUP($C$130,DA,4,FALSE)</f>
        <v>5389662/</v>
      </c>
      <c r="D134" s="1220" t="str">
        <f t="shared" si="22"/>
        <v xml:space="preserve">TBX, Направл. с BM, 30 кг, 500 мм, лев. </v>
      </c>
      <c r="E134" s="1221">
        <v>1</v>
      </c>
      <c r="F134" s="1266">
        <f t="shared" si="23"/>
        <v>441.57433319999996</v>
      </c>
      <c r="G134" s="1223">
        <f t="shared" si="24"/>
        <v>441.57433319999996</v>
      </c>
      <c r="H134" s="2162"/>
      <c r="K134" s="40"/>
    </row>
    <row r="135" spans="1:46" ht="12.75" customHeight="1" x14ac:dyDescent="0.2">
      <c r="A135" s="1057"/>
      <c r="B135" s="2160"/>
      <c r="C135" s="1219" t="str">
        <f>VLOOKUP($C$130,DA,5,FALSE)</f>
        <v>5385402/</v>
      </c>
      <c r="D135" s="1220" t="str">
        <f t="shared" si="22"/>
        <v xml:space="preserve">TBX, Направл. с BM, 30 кг, 500 мм, пр.  </v>
      </c>
      <c r="E135" s="1221">
        <v>1</v>
      </c>
      <c r="F135" s="1266">
        <f t="shared" si="23"/>
        <v>441.57433319999996</v>
      </c>
      <c r="G135" s="1223">
        <f t="shared" si="24"/>
        <v>441.57433319999996</v>
      </c>
      <c r="H135" s="2162"/>
      <c r="K135" s="40"/>
    </row>
    <row r="136" spans="1:46" ht="12.75" customHeight="1" x14ac:dyDescent="0.2">
      <c r="A136" s="1057"/>
      <c r="B136" s="2160"/>
      <c r="C136" s="1219" t="str">
        <f>VLOOKUP($C$130,DA,7,FALSE)</f>
        <v>6639732/</v>
      </c>
      <c r="D136" s="1220" t="str">
        <f t="shared" si="22"/>
        <v xml:space="preserve">TBX-A, Царги п/мойку 500 мм, бел, кмп   </v>
      </c>
      <c r="E136" s="1221">
        <v>1</v>
      </c>
      <c r="F136" s="1266">
        <f>VLOOKUP(C136,всецены,4,FALSE)</f>
        <v>1571.1263568000002</v>
      </c>
      <c r="G136" s="1223">
        <f>F136*E136</f>
        <v>1571.1263568000002</v>
      </c>
      <c r="H136" s="2162"/>
      <c r="K136" s="40"/>
    </row>
    <row r="137" spans="1:46" ht="12.75" customHeight="1" x14ac:dyDescent="0.2">
      <c r="A137" s="1057"/>
      <c r="B137" s="2160"/>
      <c r="C137" s="1219" t="s">
        <v>581</v>
      </c>
      <c r="D137" s="1220" t="str">
        <f t="shared" si="22"/>
        <v xml:space="preserve">TBX-A, BOXCOVER задн, бел, лев          </v>
      </c>
      <c r="E137" s="1221">
        <v>1</v>
      </c>
      <c r="F137" s="1266">
        <f>VLOOKUP(C137,всецены,4,FALSE)</f>
        <v>120.35543520000002</v>
      </c>
      <c r="G137" s="1223">
        <f>F137*E137</f>
        <v>120.35543520000002</v>
      </c>
      <c r="H137" s="2162"/>
      <c r="K137" s="40"/>
    </row>
    <row r="138" spans="1:46" ht="12.75" customHeight="1" x14ac:dyDescent="0.2">
      <c r="A138" s="1057"/>
      <c r="B138" s="2160"/>
      <c r="C138" s="1219" t="s">
        <v>583</v>
      </c>
      <c r="D138" s="1220" t="str">
        <f t="shared" si="22"/>
        <v xml:space="preserve">TBX-A, BOXCOVER задн, бел, прав         </v>
      </c>
      <c r="E138" s="1221">
        <v>1</v>
      </c>
      <c r="F138" s="1266">
        <f t="shared" si="23"/>
        <v>120.35543520000002</v>
      </c>
      <c r="G138" s="1223">
        <f t="shared" si="24"/>
        <v>120.35543520000002</v>
      </c>
      <c r="H138" s="2162"/>
      <c r="K138" s="40"/>
    </row>
    <row r="139" spans="1:46" ht="12.75" customHeight="1" x14ac:dyDescent="0.2">
      <c r="A139" s="1057"/>
      <c r="B139" s="2160"/>
      <c r="C139" s="1219" t="s">
        <v>1933</v>
      </c>
      <c r="D139" s="1220" t="str">
        <f t="shared" si="22"/>
        <v xml:space="preserve">TBX-A, BOXCOVER передн, бел, симм       </v>
      </c>
      <c r="E139" s="1221">
        <v>2</v>
      </c>
      <c r="F139" s="1266">
        <f t="shared" si="23"/>
        <v>120.35543520000002</v>
      </c>
      <c r="G139" s="1223">
        <f t="shared" si="24"/>
        <v>240.71087040000003</v>
      </c>
      <c r="H139" s="2162"/>
      <c r="K139" s="40"/>
    </row>
    <row r="140" spans="1:46" ht="12.75" customHeight="1" x14ac:dyDescent="0.2">
      <c r="A140" s="1057"/>
      <c r="B140" s="2160"/>
      <c r="C140" s="1276" t="s">
        <v>469</v>
      </c>
      <c r="D140" s="1220" t="str">
        <f t="shared" si="22"/>
        <v xml:space="preserve">TBX-A, L-Крепл фасада Intivo EXPANDO    </v>
      </c>
      <c r="E140" s="1221">
        <v>2</v>
      </c>
      <c r="F140" s="1266">
        <f t="shared" si="23"/>
        <v>113.03652360000001</v>
      </c>
      <c r="G140" s="1223">
        <f t="shared" si="24"/>
        <v>226.07304720000002</v>
      </c>
      <c r="H140" s="2162"/>
      <c r="K140" s="40"/>
    </row>
    <row r="141" spans="1:46" ht="12.75" customHeight="1" x14ac:dyDescent="0.2">
      <c r="A141" s="1057"/>
      <c r="B141" s="1299"/>
      <c r="C141" s="1220" t="s">
        <v>1021</v>
      </c>
      <c r="D141" s="1220" t="str">
        <f t="shared" si="22"/>
        <v>TBX-A, Загл с лого, бел, сим,ZAA.532C.BL</v>
      </c>
      <c r="E141" s="1221">
        <v>2</v>
      </c>
      <c r="F141" s="1266">
        <f t="shared" si="23"/>
        <v>8.9453364000000004</v>
      </c>
      <c r="G141" s="1223">
        <f t="shared" si="24"/>
        <v>17.890672800000001</v>
      </c>
      <c r="H141" s="2162"/>
      <c r="K141" s="40"/>
    </row>
    <row r="142" spans="1:46" ht="12.75" customHeight="1" x14ac:dyDescent="0.2">
      <c r="A142" s="1057"/>
      <c r="B142" s="1299"/>
      <c r="C142" s="1268" t="s">
        <v>1951</v>
      </c>
      <c r="D142" s="1220" t="str">
        <f t="shared" si="22"/>
        <v xml:space="preserve">TBX, Адаптеры к Z30N под мойку, кмп.    </v>
      </c>
      <c r="E142" s="1221">
        <v>1</v>
      </c>
      <c r="F142" s="1266">
        <f t="shared" si="23"/>
        <v>157.76320559999999</v>
      </c>
      <c r="G142" s="1223">
        <f t="shared" si="24"/>
        <v>157.76320559999999</v>
      </c>
      <c r="H142" s="2162"/>
      <c r="K142" s="40"/>
    </row>
    <row r="143" spans="1:46" s="1140" customFormat="1" ht="12.75" customHeight="1" x14ac:dyDescent="0.2">
      <c r="A143" s="1057"/>
      <c r="B143" s="1299"/>
      <c r="C143" s="1268" t="s">
        <v>2032</v>
      </c>
      <c r="D143" s="1220" t="str">
        <f>VLOOKUP(C143,всецены,2,FALSE)</f>
        <v xml:space="preserve">TBX-A, Держат задн ст, 68 мм, бел, лев  </v>
      </c>
      <c r="E143" s="1221">
        <v>1</v>
      </c>
      <c r="F143" s="1266">
        <f>VLOOKUP(C143,всецены,4,FALSE)</f>
        <v>43.913469600000006</v>
      </c>
      <c r="G143" s="1223">
        <f>F143*E143</f>
        <v>43.913469600000006</v>
      </c>
      <c r="H143" s="2162"/>
      <c r="I143" s="771"/>
      <c r="J143" s="8"/>
      <c r="K143" s="40"/>
      <c r="L143" s="8"/>
      <c r="M143" s="8"/>
      <c r="N143" s="8"/>
      <c r="O143" s="8"/>
      <c r="P143" s="8"/>
      <c r="Q143" s="8"/>
      <c r="R143" s="8"/>
      <c r="S143" s="8"/>
      <c r="T143" s="8"/>
      <c r="U143" s="8"/>
      <c r="V143" s="8"/>
      <c r="W143" s="8"/>
      <c r="X143" s="8"/>
      <c r="Y143" s="8"/>
      <c r="Z143" s="8"/>
      <c r="AA143" s="8"/>
      <c r="AB143" s="8"/>
      <c r="AC143" s="8"/>
      <c r="AD143" s="8"/>
      <c r="AE143" s="8"/>
      <c r="AF143" s="8"/>
      <c r="AG143" s="771"/>
      <c r="AH143" s="771"/>
      <c r="AI143" s="771"/>
      <c r="AJ143" s="771"/>
      <c r="AK143" s="771"/>
      <c r="AL143" s="771"/>
      <c r="AM143" s="771"/>
      <c r="AN143" s="771"/>
      <c r="AO143" s="771"/>
      <c r="AP143" s="771"/>
      <c r="AQ143" s="771"/>
      <c r="AR143" s="771"/>
      <c r="AS143" s="771"/>
      <c r="AT143" s="771"/>
    </row>
    <row r="144" spans="1:46" ht="12.75" customHeight="1" x14ac:dyDescent="0.2">
      <c r="A144" s="1057"/>
      <c r="B144" s="1299"/>
      <c r="C144" s="1268" t="s">
        <v>2033</v>
      </c>
      <c r="D144" s="1220" t="str">
        <f t="shared" si="22"/>
        <v xml:space="preserve">TBX-A, Держат задн ст, 68 мм, бел, прав </v>
      </c>
      <c r="E144" s="1221">
        <v>1</v>
      </c>
      <c r="F144" s="1266">
        <f t="shared" si="23"/>
        <v>43.913469600000006</v>
      </c>
      <c r="G144" s="1223">
        <f t="shared" si="24"/>
        <v>43.913469600000006</v>
      </c>
      <c r="H144" s="2162"/>
      <c r="K144" s="40"/>
    </row>
    <row r="145" spans="1:46" ht="12.75" customHeight="1" thickBot="1" x14ac:dyDescent="0.25">
      <c r="B145" s="1300"/>
      <c r="C145" s="1269" t="s">
        <v>648</v>
      </c>
      <c r="D145" s="1204" t="str">
        <f t="shared" si="22"/>
        <v>TBX-A, Зад ст п/м L, бел, кмпZ30D120S.6S</v>
      </c>
      <c r="E145" s="1205">
        <v>1</v>
      </c>
      <c r="F145" s="1270">
        <f t="shared" si="23"/>
        <v>1477.6069308000003</v>
      </c>
      <c r="G145" s="1207">
        <f t="shared" si="24"/>
        <v>1477.6069308000003</v>
      </c>
      <c r="H145" s="2163"/>
      <c r="K145" s="40"/>
    </row>
    <row r="146" spans="1:46" s="8" customFormat="1" ht="14.25" x14ac:dyDescent="0.2">
      <c r="A146" s="771"/>
      <c r="B146" s="782"/>
      <c r="C146" s="771"/>
      <c r="D146" s="771"/>
      <c r="E146" s="774"/>
      <c r="F146" s="771"/>
      <c r="G146" s="801"/>
      <c r="H146" s="1184" t="s">
        <v>878</v>
      </c>
      <c r="I146" s="771"/>
      <c r="AG146" s="771"/>
      <c r="AH146" s="771"/>
      <c r="AI146" s="771"/>
      <c r="AJ146" s="771"/>
      <c r="AK146" s="771"/>
      <c r="AL146" s="771"/>
      <c r="AM146" s="771"/>
      <c r="AN146" s="771"/>
      <c r="AO146" s="771"/>
      <c r="AP146" s="771"/>
      <c r="AQ146" s="771"/>
      <c r="AR146" s="771"/>
      <c r="AS146" s="771"/>
      <c r="AT146" s="771"/>
    </row>
    <row r="147" spans="1:46" s="8" customFormat="1" ht="14.25" x14ac:dyDescent="0.2">
      <c r="A147" s="771"/>
      <c r="B147" s="782"/>
      <c r="C147" s="771"/>
      <c r="D147" s="771"/>
      <c r="E147" s="774"/>
      <c r="F147" s="771"/>
      <c r="G147" s="801"/>
      <c r="H147" s="1185"/>
      <c r="I147" s="771"/>
      <c r="AG147" s="771"/>
      <c r="AH147" s="771"/>
      <c r="AI147" s="771"/>
      <c r="AJ147" s="771"/>
      <c r="AK147" s="771"/>
      <c r="AL147" s="771"/>
      <c r="AM147" s="771"/>
      <c r="AN147" s="771"/>
      <c r="AO147" s="771"/>
      <c r="AP147" s="771"/>
      <c r="AQ147" s="771"/>
      <c r="AR147" s="771"/>
      <c r="AS147" s="771"/>
      <c r="AT147" s="771"/>
    </row>
    <row r="148" spans="1:46" s="8" customFormat="1" ht="14.25" x14ac:dyDescent="0.2">
      <c r="A148" s="771"/>
      <c r="B148" s="782"/>
      <c r="C148" s="771"/>
      <c r="D148" s="771"/>
      <c r="E148" s="774"/>
      <c r="F148" s="771"/>
      <c r="G148" s="801"/>
      <c r="H148" s="1185"/>
      <c r="I148" s="771"/>
      <c r="AG148" s="771"/>
      <c r="AH148" s="771"/>
      <c r="AI148" s="771"/>
      <c r="AJ148" s="771"/>
      <c r="AK148" s="771"/>
      <c r="AL148" s="771"/>
      <c r="AM148" s="771"/>
      <c r="AN148" s="771"/>
      <c r="AO148" s="771"/>
      <c r="AP148" s="771"/>
      <c r="AQ148" s="771"/>
      <c r="AR148" s="771"/>
      <c r="AS148" s="771"/>
      <c r="AT148" s="771"/>
    </row>
    <row r="149" spans="1:46" s="8" customFormat="1" ht="14.25" x14ac:dyDescent="0.2">
      <c r="A149" s="771"/>
      <c r="B149" s="782"/>
      <c r="C149" s="771"/>
      <c r="D149" s="771"/>
      <c r="E149" s="774"/>
      <c r="F149" s="771"/>
      <c r="G149" s="801"/>
      <c r="H149" s="1185"/>
      <c r="I149" s="771"/>
      <c r="AG149" s="771"/>
      <c r="AH149" s="771"/>
      <c r="AI149" s="771"/>
      <c r="AJ149" s="771"/>
      <c r="AK149" s="771"/>
      <c r="AL149" s="771"/>
      <c r="AM149" s="771"/>
      <c r="AN149" s="771"/>
      <c r="AO149" s="771"/>
      <c r="AP149" s="771"/>
      <c r="AQ149" s="771"/>
      <c r="AR149" s="771"/>
      <c r="AS149" s="771"/>
      <c r="AT149" s="771"/>
    </row>
    <row r="150" spans="1:46" s="8" customFormat="1" ht="14.25" x14ac:dyDescent="0.2">
      <c r="A150" s="771"/>
      <c r="B150" s="782"/>
      <c r="C150" s="771"/>
      <c r="D150" s="771"/>
      <c r="E150" s="774"/>
      <c r="F150" s="771"/>
      <c r="G150" s="801"/>
      <c r="H150" s="1185"/>
      <c r="I150" s="771"/>
      <c r="AG150" s="771"/>
      <c r="AH150" s="771"/>
      <c r="AI150" s="771"/>
      <c r="AJ150" s="771"/>
      <c r="AK150" s="771"/>
      <c r="AL150" s="771"/>
      <c r="AM150" s="771"/>
      <c r="AN150" s="771"/>
      <c r="AO150" s="771"/>
      <c r="AP150" s="771"/>
      <c r="AQ150" s="771"/>
      <c r="AR150" s="771"/>
      <c r="AS150" s="771"/>
      <c r="AT150" s="771"/>
    </row>
    <row r="151" spans="1:46" s="8" customFormat="1" ht="14.25" x14ac:dyDescent="0.2">
      <c r="A151" s="771"/>
      <c r="B151" s="782"/>
      <c r="C151" s="771"/>
      <c r="D151" s="771"/>
      <c r="E151" s="774"/>
      <c r="F151" s="771"/>
      <c r="G151" s="801"/>
      <c r="H151" s="1185"/>
      <c r="I151" s="771"/>
      <c r="AG151" s="771"/>
      <c r="AH151" s="771"/>
      <c r="AI151" s="771"/>
      <c r="AJ151" s="771"/>
      <c r="AK151" s="771"/>
      <c r="AL151" s="771"/>
      <c r="AM151" s="771"/>
      <c r="AN151" s="771"/>
      <c r="AO151" s="771"/>
      <c r="AP151" s="771"/>
      <c r="AQ151" s="771"/>
      <c r="AR151" s="771"/>
      <c r="AS151" s="771"/>
      <c r="AT151" s="771"/>
    </row>
    <row r="152" spans="1:46" s="8" customFormat="1" ht="14.25" x14ac:dyDescent="0.2">
      <c r="A152" s="771"/>
      <c r="B152" s="782"/>
      <c r="C152" s="771"/>
      <c r="D152" s="771"/>
      <c r="E152" s="774"/>
      <c r="F152" s="771"/>
      <c r="G152" s="801"/>
      <c r="H152" s="1185"/>
      <c r="I152" s="771"/>
      <c r="AG152" s="771"/>
      <c r="AH152" s="771"/>
      <c r="AI152" s="771"/>
      <c r="AJ152" s="771"/>
      <c r="AK152" s="771"/>
      <c r="AL152" s="771"/>
      <c r="AM152" s="771"/>
      <c r="AN152" s="771"/>
      <c r="AO152" s="771"/>
      <c r="AP152" s="771"/>
      <c r="AQ152" s="771"/>
      <c r="AR152" s="771"/>
      <c r="AS152" s="771"/>
      <c r="AT152" s="771"/>
    </row>
    <row r="153" spans="1:46" s="8" customFormat="1" ht="14.25" x14ac:dyDescent="0.2">
      <c r="A153" s="771"/>
      <c r="B153" s="782"/>
      <c r="C153" s="771"/>
      <c r="D153" s="771"/>
      <c r="E153" s="774"/>
      <c r="F153" s="771"/>
      <c r="G153" s="801"/>
      <c r="H153" s="1185"/>
      <c r="I153" s="771"/>
      <c r="AG153" s="771"/>
      <c r="AH153" s="771"/>
      <c r="AI153" s="771"/>
      <c r="AJ153" s="771"/>
      <c r="AK153" s="771"/>
      <c r="AL153" s="771"/>
      <c r="AM153" s="771"/>
      <c r="AN153" s="771"/>
      <c r="AO153" s="771"/>
      <c r="AP153" s="771"/>
      <c r="AQ153" s="771"/>
      <c r="AR153" s="771"/>
      <c r="AS153" s="771"/>
      <c r="AT153" s="771"/>
    </row>
    <row r="154" spans="1:46" s="8" customFormat="1" ht="14.25" x14ac:dyDescent="0.2">
      <c r="A154" s="771"/>
      <c r="B154" s="782"/>
      <c r="C154" s="771"/>
      <c r="D154" s="771"/>
      <c r="E154" s="774"/>
      <c r="F154" s="771"/>
      <c r="G154" s="801"/>
      <c r="H154" s="1185"/>
      <c r="I154" s="771"/>
      <c r="AG154" s="771"/>
      <c r="AH154" s="771"/>
      <c r="AI154" s="771"/>
      <c r="AJ154" s="771"/>
      <c r="AK154" s="771"/>
      <c r="AL154" s="771"/>
      <c r="AM154" s="771"/>
      <c r="AN154" s="771"/>
      <c r="AO154" s="771"/>
      <c r="AP154" s="771"/>
      <c r="AQ154" s="771"/>
      <c r="AR154" s="771"/>
      <c r="AS154" s="771"/>
      <c r="AT154" s="771"/>
    </row>
    <row r="155" spans="1:46" s="8" customFormat="1" ht="14.25" x14ac:dyDescent="0.2">
      <c r="A155" s="771"/>
      <c r="B155" s="782"/>
      <c r="C155" s="771"/>
      <c r="D155" s="771"/>
      <c r="E155" s="774"/>
      <c r="F155" s="771"/>
      <c r="G155" s="801"/>
      <c r="H155" s="1185"/>
      <c r="I155" s="771"/>
      <c r="AG155" s="771"/>
      <c r="AH155" s="771"/>
      <c r="AI155" s="771"/>
      <c r="AJ155" s="771"/>
      <c r="AK155" s="771"/>
      <c r="AL155" s="771"/>
      <c r="AM155" s="771"/>
      <c r="AN155" s="771"/>
      <c r="AO155" s="771"/>
      <c r="AP155" s="771"/>
      <c r="AQ155" s="771"/>
      <c r="AR155" s="771"/>
      <c r="AS155" s="771"/>
      <c r="AT155" s="771"/>
    </row>
    <row r="156" spans="1:46" s="8" customFormat="1" ht="14.25" x14ac:dyDescent="0.2">
      <c r="A156" s="771"/>
      <c r="B156" s="782"/>
      <c r="C156" s="771"/>
      <c r="D156" s="771"/>
      <c r="E156" s="774"/>
      <c r="F156" s="771"/>
      <c r="G156" s="801"/>
      <c r="H156" s="1185"/>
      <c r="I156" s="771"/>
      <c r="AG156" s="771"/>
      <c r="AH156" s="771"/>
      <c r="AI156" s="771"/>
      <c r="AJ156" s="771"/>
      <c r="AK156" s="771"/>
      <c r="AL156" s="771"/>
      <c r="AM156" s="771"/>
      <c r="AN156" s="771"/>
      <c r="AO156" s="771"/>
      <c r="AP156" s="771"/>
      <c r="AQ156" s="771"/>
      <c r="AR156" s="771"/>
      <c r="AS156" s="771"/>
      <c r="AT156" s="771"/>
    </row>
    <row r="157" spans="1:46" s="8" customFormat="1" ht="14.25" x14ac:dyDescent="0.2">
      <c r="A157" s="771"/>
      <c r="B157" s="782"/>
      <c r="C157" s="771"/>
      <c r="D157" s="771"/>
      <c r="E157" s="774"/>
      <c r="F157" s="771"/>
      <c r="G157" s="801"/>
      <c r="H157" s="1185"/>
      <c r="I157" s="771"/>
      <c r="AG157" s="771"/>
      <c r="AH157" s="771"/>
      <c r="AI157" s="771"/>
      <c r="AJ157" s="771"/>
      <c r="AK157" s="771"/>
      <c r="AL157" s="771"/>
      <c r="AM157" s="771"/>
      <c r="AN157" s="771"/>
      <c r="AO157" s="771"/>
      <c r="AP157" s="771"/>
      <c r="AQ157" s="771"/>
      <c r="AR157" s="771"/>
      <c r="AS157" s="771"/>
      <c r="AT157" s="771"/>
    </row>
    <row r="158" spans="1:46" s="8" customFormat="1" ht="14.25" x14ac:dyDescent="0.2">
      <c r="A158" s="771"/>
      <c r="B158" s="782"/>
      <c r="C158" s="771"/>
      <c r="D158" s="771"/>
      <c r="E158" s="774"/>
      <c r="F158" s="771"/>
      <c r="G158" s="801"/>
      <c r="H158" s="1185"/>
      <c r="I158" s="771"/>
      <c r="AG158" s="771"/>
      <c r="AH158" s="771"/>
      <c r="AI158" s="771"/>
      <c r="AJ158" s="771"/>
      <c r="AK158" s="771"/>
      <c r="AL158" s="771"/>
      <c r="AM158" s="771"/>
      <c r="AN158" s="771"/>
      <c r="AO158" s="771"/>
      <c r="AP158" s="771"/>
      <c r="AQ158" s="771"/>
      <c r="AR158" s="771"/>
      <c r="AS158" s="771"/>
      <c r="AT158" s="771"/>
    </row>
    <row r="159" spans="1:46" s="8" customFormat="1" ht="14.25" x14ac:dyDescent="0.2">
      <c r="A159" s="771"/>
      <c r="B159" s="782"/>
      <c r="C159" s="771"/>
      <c r="D159" s="771"/>
      <c r="E159" s="774"/>
      <c r="F159" s="771"/>
      <c r="G159" s="801"/>
      <c r="H159" s="1185"/>
      <c r="I159" s="771"/>
      <c r="AG159" s="771"/>
      <c r="AH159" s="771"/>
      <c r="AI159" s="771"/>
      <c r="AJ159" s="771"/>
      <c r="AK159" s="771"/>
      <c r="AL159" s="771"/>
      <c r="AM159" s="771"/>
      <c r="AN159" s="771"/>
      <c r="AO159" s="771"/>
      <c r="AP159" s="771"/>
      <c r="AQ159" s="771"/>
      <c r="AR159" s="771"/>
      <c r="AS159" s="771"/>
      <c r="AT159" s="771"/>
    </row>
    <row r="160" spans="1:46" s="8" customFormat="1" ht="14.25" x14ac:dyDescent="0.2">
      <c r="A160" s="771"/>
      <c r="B160" s="782"/>
      <c r="C160" s="771"/>
      <c r="D160" s="771"/>
      <c r="E160" s="774"/>
      <c r="F160" s="771"/>
      <c r="G160" s="801"/>
      <c r="H160" s="1185"/>
      <c r="I160" s="771"/>
      <c r="AG160" s="771"/>
      <c r="AH160" s="771"/>
      <c r="AI160" s="771"/>
      <c r="AJ160" s="771"/>
      <c r="AK160" s="771"/>
      <c r="AL160" s="771"/>
      <c r="AM160" s="771"/>
      <c r="AN160" s="771"/>
      <c r="AO160" s="771"/>
      <c r="AP160" s="771"/>
      <c r="AQ160" s="771"/>
      <c r="AR160" s="771"/>
      <c r="AS160" s="771"/>
      <c r="AT160" s="771"/>
    </row>
    <row r="161" spans="1:46" s="8" customFormat="1" ht="14.25" x14ac:dyDescent="0.2">
      <c r="A161" s="771"/>
      <c r="B161" s="782"/>
      <c r="C161" s="771"/>
      <c r="D161" s="771"/>
      <c r="E161" s="774"/>
      <c r="F161" s="771"/>
      <c r="G161" s="801"/>
      <c r="H161" s="1185"/>
      <c r="I161" s="771"/>
      <c r="AG161" s="771"/>
      <c r="AH161" s="771"/>
      <c r="AI161" s="771"/>
      <c r="AJ161" s="771"/>
      <c r="AK161" s="771"/>
      <c r="AL161" s="771"/>
      <c r="AM161" s="771"/>
      <c r="AN161" s="771"/>
      <c r="AO161" s="771"/>
      <c r="AP161" s="771"/>
      <c r="AQ161" s="771"/>
      <c r="AR161" s="771"/>
      <c r="AS161" s="771"/>
      <c r="AT161" s="771"/>
    </row>
    <row r="162" spans="1:46" s="8" customFormat="1" ht="14.25" x14ac:dyDescent="0.2">
      <c r="A162" s="771"/>
      <c r="B162" s="782"/>
      <c r="C162" s="771"/>
      <c r="D162" s="771"/>
      <c r="E162" s="774"/>
      <c r="F162" s="771"/>
      <c r="G162" s="801"/>
      <c r="H162" s="1185"/>
      <c r="I162" s="771"/>
      <c r="AG162" s="771"/>
      <c r="AH162" s="771"/>
      <c r="AI162" s="771"/>
      <c r="AJ162" s="771"/>
      <c r="AK162" s="771"/>
      <c r="AL162" s="771"/>
      <c r="AM162" s="771"/>
      <c r="AN162" s="771"/>
      <c r="AO162" s="771"/>
      <c r="AP162" s="771"/>
      <c r="AQ162" s="771"/>
      <c r="AR162" s="771"/>
      <c r="AS162" s="771"/>
      <c r="AT162" s="771"/>
    </row>
    <row r="163" spans="1:46" s="8" customFormat="1" ht="14.25" x14ac:dyDescent="0.2">
      <c r="A163" s="771"/>
      <c r="B163" s="782"/>
      <c r="C163" s="771"/>
      <c r="D163" s="771"/>
      <c r="E163" s="774"/>
      <c r="F163" s="771"/>
      <c r="G163" s="801"/>
      <c r="H163" s="1185"/>
      <c r="I163" s="771"/>
      <c r="AG163" s="771"/>
      <c r="AH163" s="771"/>
      <c r="AI163" s="771"/>
      <c r="AJ163" s="771"/>
      <c r="AK163" s="771"/>
      <c r="AL163" s="771"/>
      <c r="AM163" s="771"/>
      <c r="AN163" s="771"/>
      <c r="AO163" s="771"/>
      <c r="AP163" s="771"/>
      <c r="AQ163" s="771"/>
      <c r="AR163" s="771"/>
      <c r="AS163" s="771"/>
      <c r="AT163" s="771"/>
    </row>
    <row r="164" spans="1:46" s="8" customFormat="1" ht="14.25" x14ac:dyDescent="0.2">
      <c r="A164" s="771"/>
      <c r="B164" s="782"/>
      <c r="C164" s="771"/>
      <c r="D164" s="771"/>
      <c r="E164" s="774"/>
      <c r="F164" s="771"/>
      <c r="G164" s="801"/>
      <c r="H164" s="1185"/>
      <c r="I164" s="771"/>
      <c r="AG164" s="771"/>
      <c r="AH164" s="771"/>
      <c r="AI164" s="771"/>
      <c r="AJ164" s="771"/>
      <c r="AK164" s="771"/>
      <c r="AL164" s="771"/>
      <c r="AM164" s="771"/>
      <c r="AN164" s="771"/>
      <c r="AO164" s="771"/>
      <c r="AP164" s="771"/>
      <c r="AQ164" s="771"/>
      <c r="AR164" s="771"/>
      <c r="AS164" s="771"/>
      <c r="AT164" s="771"/>
    </row>
    <row r="165" spans="1:46" s="8" customFormat="1" ht="14.25" x14ac:dyDescent="0.2">
      <c r="A165" s="771"/>
      <c r="B165" s="782"/>
      <c r="C165" s="771"/>
      <c r="D165" s="771"/>
      <c r="E165" s="774"/>
      <c r="F165" s="771"/>
      <c r="G165" s="801"/>
      <c r="H165" s="1185"/>
      <c r="I165" s="771"/>
      <c r="AG165" s="771"/>
      <c r="AH165" s="771"/>
      <c r="AI165" s="771"/>
      <c r="AJ165" s="771"/>
      <c r="AK165" s="771"/>
      <c r="AL165" s="771"/>
      <c r="AM165" s="771"/>
      <c r="AN165" s="771"/>
      <c r="AO165" s="771"/>
      <c r="AP165" s="771"/>
      <c r="AQ165" s="771"/>
      <c r="AR165" s="771"/>
      <c r="AS165" s="771"/>
      <c r="AT165" s="771"/>
    </row>
    <row r="166" spans="1:46" s="8" customFormat="1" ht="14.25" x14ac:dyDescent="0.2">
      <c r="A166" s="771"/>
      <c r="B166" s="782"/>
      <c r="C166" s="771"/>
      <c r="D166" s="771"/>
      <c r="E166" s="774"/>
      <c r="F166" s="771"/>
      <c r="G166" s="801"/>
      <c r="H166" s="1185"/>
      <c r="I166" s="771"/>
      <c r="AG166" s="771"/>
      <c r="AH166" s="771"/>
      <c r="AI166" s="771"/>
      <c r="AJ166" s="771"/>
      <c r="AK166" s="771"/>
      <c r="AL166" s="771"/>
      <c r="AM166" s="771"/>
      <c r="AN166" s="771"/>
      <c r="AO166" s="771"/>
      <c r="AP166" s="771"/>
      <c r="AQ166" s="771"/>
      <c r="AR166" s="771"/>
      <c r="AS166" s="771"/>
      <c r="AT166" s="771"/>
    </row>
    <row r="167" spans="1:46" s="8" customFormat="1" ht="14.25" x14ac:dyDescent="0.2">
      <c r="A167" s="771"/>
      <c r="B167" s="782"/>
      <c r="C167" s="771"/>
      <c r="D167" s="771"/>
      <c r="E167" s="774"/>
      <c r="F167" s="771"/>
      <c r="G167" s="801"/>
      <c r="H167" s="1185"/>
      <c r="I167" s="771"/>
      <c r="AG167" s="771"/>
      <c r="AH167" s="771"/>
      <c r="AI167" s="771"/>
      <c r="AJ167" s="771"/>
      <c r="AK167" s="771"/>
      <c r="AL167" s="771"/>
      <c r="AM167" s="771"/>
      <c r="AN167" s="771"/>
      <c r="AO167" s="771"/>
      <c r="AP167" s="771"/>
      <c r="AQ167" s="771"/>
      <c r="AR167" s="771"/>
      <c r="AS167" s="771"/>
      <c r="AT167" s="771"/>
    </row>
    <row r="168" spans="1:46" s="8" customFormat="1" ht="14.25" x14ac:dyDescent="0.2">
      <c r="A168" s="771"/>
      <c r="B168" s="782"/>
      <c r="C168" s="771"/>
      <c r="D168" s="771"/>
      <c r="E168" s="774"/>
      <c r="F168" s="771"/>
      <c r="G168" s="801"/>
      <c r="H168" s="1185"/>
      <c r="I168" s="771"/>
      <c r="AG168" s="771"/>
      <c r="AH168" s="771"/>
      <c r="AI168" s="771"/>
      <c r="AJ168" s="771"/>
      <c r="AK168" s="771"/>
      <c r="AL168" s="771"/>
      <c r="AM168" s="771"/>
      <c r="AN168" s="771"/>
      <c r="AO168" s="771"/>
      <c r="AP168" s="771"/>
      <c r="AQ168" s="771"/>
      <c r="AR168" s="771"/>
      <c r="AS168" s="771"/>
      <c r="AT168" s="771"/>
    </row>
    <row r="169" spans="1:46" s="8" customFormat="1" ht="14.25" x14ac:dyDescent="0.2">
      <c r="A169" s="771"/>
      <c r="B169" s="782"/>
      <c r="C169" s="771"/>
      <c r="D169" s="771"/>
      <c r="E169" s="774"/>
      <c r="F169" s="771"/>
      <c r="G169" s="801"/>
      <c r="H169" s="1185"/>
      <c r="I169" s="771"/>
      <c r="AG169" s="771"/>
      <c r="AH169" s="771"/>
      <c r="AI169" s="771"/>
      <c r="AJ169" s="771"/>
      <c r="AK169" s="771"/>
      <c r="AL169" s="771"/>
      <c r="AM169" s="771"/>
      <c r="AN169" s="771"/>
      <c r="AO169" s="771"/>
      <c r="AP169" s="771"/>
      <c r="AQ169" s="771"/>
      <c r="AR169" s="771"/>
      <c r="AS169" s="771"/>
      <c r="AT169" s="771"/>
    </row>
    <row r="170" spans="1:46" s="8" customFormat="1" ht="14.25" x14ac:dyDescent="0.2">
      <c r="A170" s="771"/>
      <c r="B170" s="782"/>
      <c r="C170" s="771"/>
      <c r="D170" s="771"/>
      <c r="E170" s="774"/>
      <c r="F170" s="771"/>
      <c r="G170" s="801"/>
      <c r="H170" s="1185"/>
      <c r="I170" s="771"/>
      <c r="AG170" s="771"/>
      <c r="AH170" s="771"/>
      <c r="AI170" s="771"/>
      <c r="AJ170" s="771"/>
      <c r="AK170" s="771"/>
      <c r="AL170" s="771"/>
      <c r="AM170" s="771"/>
      <c r="AN170" s="771"/>
      <c r="AO170" s="771"/>
      <c r="AP170" s="771"/>
      <c r="AQ170" s="771"/>
      <c r="AR170" s="771"/>
      <c r="AS170" s="771"/>
      <c r="AT170" s="771"/>
    </row>
    <row r="171" spans="1:46" s="8" customFormat="1" ht="14.25" x14ac:dyDescent="0.2">
      <c r="A171" s="771"/>
      <c r="B171" s="782"/>
      <c r="C171" s="771"/>
      <c r="D171" s="771"/>
      <c r="E171" s="774"/>
      <c r="F171" s="771"/>
      <c r="G171" s="801"/>
      <c r="H171" s="1185"/>
      <c r="I171" s="771"/>
      <c r="AG171" s="771"/>
      <c r="AH171" s="771"/>
      <c r="AI171" s="771"/>
      <c r="AJ171" s="771"/>
      <c r="AK171" s="771"/>
      <c r="AL171" s="771"/>
      <c r="AM171" s="771"/>
      <c r="AN171" s="771"/>
      <c r="AO171" s="771"/>
      <c r="AP171" s="771"/>
      <c r="AQ171" s="771"/>
      <c r="AR171" s="771"/>
      <c r="AS171" s="771"/>
      <c r="AT171" s="771"/>
    </row>
    <row r="172" spans="1:46" s="8" customFormat="1" ht="14.25" x14ac:dyDescent="0.2">
      <c r="A172" s="771"/>
      <c r="B172" s="782"/>
      <c r="C172" s="771"/>
      <c r="D172" s="771"/>
      <c r="E172" s="774"/>
      <c r="F172" s="771"/>
      <c r="G172" s="801"/>
      <c r="H172" s="1185"/>
      <c r="I172" s="771"/>
      <c r="AG172" s="771"/>
      <c r="AH172" s="771"/>
      <c r="AI172" s="771"/>
      <c r="AJ172" s="771"/>
      <c r="AK172" s="771"/>
      <c r="AL172" s="771"/>
      <c r="AM172" s="771"/>
      <c r="AN172" s="771"/>
      <c r="AO172" s="771"/>
      <c r="AP172" s="771"/>
      <c r="AQ172" s="771"/>
      <c r="AR172" s="771"/>
      <c r="AS172" s="771"/>
      <c r="AT172" s="771"/>
    </row>
    <row r="173" spans="1:46" s="8" customFormat="1" ht="14.25" x14ac:dyDescent="0.2">
      <c r="A173" s="771"/>
      <c r="B173" s="782"/>
      <c r="C173" s="771"/>
      <c r="D173" s="771"/>
      <c r="E173" s="774"/>
      <c r="F173" s="771"/>
      <c r="G173" s="801"/>
      <c r="H173" s="1185"/>
      <c r="I173" s="771"/>
      <c r="AG173" s="771"/>
      <c r="AH173" s="771"/>
      <c r="AI173" s="771"/>
      <c r="AJ173" s="771"/>
      <c r="AK173" s="771"/>
      <c r="AL173" s="771"/>
      <c r="AM173" s="771"/>
      <c r="AN173" s="771"/>
      <c r="AO173" s="771"/>
      <c r="AP173" s="771"/>
      <c r="AQ173" s="771"/>
      <c r="AR173" s="771"/>
      <c r="AS173" s="771"/>
      <c r="AT173" s="771"/>
    </row>
    <row r="174" spans="1:46" ht="14.25" x14ac:dyDescent="0.2">
      <c r="B174" s="782"/>
      <c r="H174" s="1185"/>
    </row>
    <row r="175" spans="1:46" ht="14.25" x14ac:dyDescent="0.2">
      <c r="B175" s="782"/>
      <c r="H175" s="1185"/>
    </row>
    <row r="176" spans="1:46" ht="14.25" x14ac:dyDescent="0.2">
      <c r="B176" s="782"/>
      <c r="H176" s="1185"/>
    </row>
    <row r="177" spans="2:8" ht="14.25" x14ac:dyDescent="0.2">
      <c r="B177" s="782"/>
      <c r="H177" s="1185"/>
    </row>
    <row r="178" spans="2:8" ht="14.25" x14ac:dyDescent="0.2">
      <c r="B178" s="782"/>
      <c r="H178" s="1185"/>
    </row>
    <row r="179" spans="2:8" ht="14.25" x14ac:dyDescent="0.2">
      <c r="B179" s="782"/>
      <c r="H179" s="1185"/>
    </row>
    <row r="181" spans="2:8" ht="39.950000000000003" customHeight="1" x14ac:dyDescent="0.2">
      <c r="B181" s="2174" t="s">
        <v>881</v>
      </c>
      <c r="C181" s="2174"/>
      <c r="D181" s="2174"/>
      <c r="E181" s="2174"/>
      <c r="F181" s="2174"/>
      <c r="G181" s="2174"/>
      <c r="H181" s="1171"/>
    </row>
    <row r="182" spans="2:8" x14ac:dyDescent="0.2">
      <c r="B182" s="1170" t="s">
        <v>635</v>
      </c>
      <c r="C182" s="1186"/>
      <c r="D182" s="2146"/>
      <c r="E182" s="2146"/>
      <c r="F182" s="2146"/>
      <c r="G182" s="2146"/>
      <c r="H182" s="1171"/>
    </row>
    <row r="183" spans="2:8" x14ac:dyDescent="0.2">
      <c r="B183" s="2147" t="s">
        <v>879</v>
      </c>
      <c r="C183" s="2148"/>
      <c r="D183" s="2148"/>
      <c r="E183" s="2148"/>
      <c r="F183" s="2148"/>
      <c r="G183" s="2149"/>
      <c r="H183" s="1173"/>
    </row>
    <row r="184" spans="2:8" x14ac:dyDescent="0.2">
      <c r="B184" s="1181"/>
      <c r="C184" s="1187" t="s">
        <v>1301</v>
      </c>
      <c r="D184" s="1188" t="s">
        <v>784</v>
      </c>
      <c r="E184" s="1189" t="s">
        <v>2117</v>
      </c>
      <c r="F184" s="1188"/>
      <c r="G184" s="1190" t="s">
        <v>2116</v>
      </c>
      <c r="H184" s="1191"/>
    </row>
    <row r="185" spans="2:8" ht="20.100000000000001" customHeight="1" x14ac:dyDescent="0.2">
      <c r="B185" s="2171"/>
      <c r="C185" s="1192" t="s">
        <v>794</v>
      </c>
      <c r="D185" s="1193" t="str">
        <f>VLOOKUP(C185,всецены,2,FALSE)</f>
        <v>TBX-A, Вставка "intivo" мат, 450 мм прав</v>
      </c>
      <c r="E185" s="1194">
        <v>2</v>
      </c>
      <c r="F185" s="1178">
        <f>VLOOKUP(C185,всецены,4,FALSE)</f>
        <v>1185.6636791999999</v>
      </c>
      <c r="G185" s="1175">
        <f>F185*E185</f>
        <v>2371.3273583999999</v>
      </c>
      <c r="H185" s="2168"/>
    </row>
    <row r="186" spans="2:8" ht="20.100000000000001" customHeight="1" x14ac:dyDescent="0.2">
      <c r="B186" s="2172"/>
      <c r="C186" s="1192" t="s">
        <v>900</v>
      </c>
      <c r="D186" s="1193" t="str">
        <f>VLOOKUP(C186,всецены,2,FALSE)</f>
        <v>TBX-A, Вставка "intivo" мат, 500 мм прав</v>
      </c>
      <c r="E186" s="1194">
        <v>2</v>
      </c>
      <c r="F186" s="1178">
        <f>VLOOKUP(C186,всецены,4,FALSE)</f>
        <v>1196.2354404000002</v>
      </c>
      <c r="G186" s="1175">
        <f>F186*E186</f>
        <v>2392.4708808000005</v>
      </c>
      <c r="H186" s="2169"/>
    </row>
    <row r="187" spans="2:8" x14ac:dyDescent="0.2">
      <c r="B187" s="1170" t="s">
        <v>1408</v>
      </c>
      <c r="C187" s="1186"/>
      <c r="D187" s="2170"/>
      <c r="E187" s="2170"/>
      <c r="F187" s="2170"/>
      <c r="G187" s="2170"/>
      <c r="H187" s="2169"/>
    </row>
    <row r="188" spans="2:8" x14ac:dyDescent="0.2">
      <c r="B188" s="2147" t="s">
        <v>880</v>
      </c>
      <c r="C188" s="2148"/>
      <c r="D188" s="2148"/>
      <c r="E188" s="2148"/>
      <c r="F188" s="2148"/>
      <c r="G188" s="2149"/>
      <c r="H188" s="2169"/>
    </row>
    <row r="189" spans="2:8" ht="20.100000000000001" customHeight="1" x14ac:dyDescent="0.2">
      <c r="B189" s="1195"/>
      <c r="C189" s="1196" t="s">
        <v>884</v>
      </c>
      <c r="D189" s="1193" t="str">
        <f t="shared" ref="D189:D197" si="25">VLOOKUP(C189,всецены,2,FALSE)</f>
        <v xml:space="preserve">TBX-A, Вставка кожа, черн крок, 500 мм  </v>
      </c>
      <c r="E189" s="1197">
        <v>1</v>
      </c>
      <c r="F189" s="1178">
        <f t="shared" ref="F189:F197" si="26">VLOOKUP(C189,всецены,4,FALSE)</f>
        <v>2046.8556108000002</v>
      </c>
      <c r="G189" s="1175">
        <f>F189*E189</f>
        <v>2046.8556108000002</v>
      </c>
      <c r="H189" s="2169"/>
    </row>
    <row r="190" spans="2:8" ht="20.100000000000001" customHeight="1" x14ac:dyDescent="0.2">
      <c r="B190" s="1195"/>
      <c r="C190" s="1196" t="s">
        <v>1823</v>
      </c>
      <c r="D190" s="1193" t="str">
        <f t="shared" si="25"/>
        <v>TBX-A, Вставка кожа, коричн крок, 500 мм</v>
      </c>
      <c r="E190" s="1197">
        <v>1</v>
      </c>
      <c r="F190" s="1178">
        <f t="shared" si="26"/>
        <v>2105.4069036000001</v>
      </c>
      <c r="G190" s="1175">
        <f t="shared" ref="G190:G197" si="27">F190*E190</f>
        <v>2105.4069036000001</v>
      </c>
      <c r="H190" s="2169"/>
    </row>
    <row r="191" spans="2:8" ht="39.950000000000003" customHeight="1" x14ac:dyDescent="0.2">
      <c r="B191" s="1195"/>
      <c r="C191" s="1196" t="s">
        <v>1824</v>
      </c>
      <c r="D191" s="1193" t="str">
        <f t="shared" si="25"/>
        <v xml:space="preserve">TBX-A, Вставка кожа, сер крок, 500 мм   </v>
      </c>
      <c r="E191" s="1197">
        <v>1</v>
      </c>
      <c r="F191" s="1178">
        <f t="shared" si="26"/>
        <v>2046.8556108000002</v>
      </c>
      <c r="G191" s="1175">
        <f t="shared" si="27"/>
        <v>2046.8556108000002</v>
      </c>
      <c r="H191" s="2169"/>
    </row>
    <row r="192" spans="2:8" ht="39.950000000000003" customHeight="1" x14ac:dyDescent="0.2">
      <c r="B192" s="1195"/>
      <c r="C192" s="1196" t="s">
        <v>885</v>
      </c>
      <c r="D192" s="1193" t="str">
        <f t="shared" si="25"/>
        <v xml:space="preserve">TBX-A, Вставка кожа, черн лен, 500 мм   </v>
      </c>
      <c r="E192" s="1197">
        <v>1</v>
      </c>
      <c r="F192" s="1178">
        <f t="shared" si="26"/>
        <v>2046.8556108000002</v>
      </c>
      <c r="G192" s="1175">
        <f t="shared" si="27"/>
        <v>2046.8556108000002</v>
      </c>
      <c r="H192" s="2169"/>
    </row>
    <row r="193" spans="2:8" ht="39.950000000000003" customHeight="1" x14ac:dyDescent="0.2">
      <c r="B193" s="1195"/>
      <c r="C193" s="1196" t="s">
        <v>886</v>
      </c>
      <c r="D193" s="1193" t="str">
        <f t="shared" si="25"/>
        <v xml:space="preserve">TBX-A, Вставка кожа, беж, 500 мм        </v>
      </c>
      <c r="E193" s="1197">
        <v>1</v>
      </c>
      <c r="F193" s="1178">
        <f t="shared" si="26"/>
        <v>2105.4069036000001</v>
      </c>
      <c r="G193" s="1175">
        <f t="shared" si="27"/>
        <v>2105.4069036000001</v>
      </c>
      <c r="H193" s="2169"/>
    </row>
    <row r="194" spans="2:8" ht="39.950000000000003" customHeight="1" x14ac:dyDescent="0.2">
      <c r="B194" s="1195"/>
      <c r="C194" s="1196" t="s">
        <v>1822</v>
      </c>
      <c r="D194" s="1193" t="str">
        <f t="shared" si="25"/>
        <v xml:space="preserve">TBX-A, Вставка кожа, перл, 500 мм       </v>
      </c>
      <c r="E194" s="1197">
        <v>1</v>
      </c>
      <c r="F194" s="1178">
        <f t="shared" si="26"/>
        <v>2046.8556108000002</v>
      </c>
      <c r="G194" s="1175">
        <f t="shared" si="27"/>
        <v>2046.8556108000002</v>
      </c>
      <c r="H194" s="2169"/>
    </row>
    <row r="195" spans="2:8" ht="39.950000000000003" customHeight="1" x14ac:dyDescent="0.2">
      <c r="B195" s="1195"/>
      <c r="C195" s="1196" t="s">
        <v>883</v>
      </c>
      <c r="D195" s="1193" t="str">
        <f t="shared" si="25"/>
        <v xml:space="preserve">TBX-A, Вставка кожа, черн кл, 500 мм    </v>
      </c>
      <c r="E195" s="1197">
        <v>1</v>
      </c>
      <c r="F195" s="1178">
        <f t="shared" si="26"/>
        <v>2046.8556108000002</v>
      </c>
      <c r="G195" s="1175">
        <f t="shared" si="27"/>
        <v>2046.8556108000002</v>
      </c>
      <c r="H195" s="2169"/>
    </row>
    <row r="196" spans="2:8" ht="39.950000000000003" customHeight="1" x14ac:dyDescent="0.2">
      <c r="B196" s="1195"/>
      <c r="C196" s="1196" t="s">
        <v>1821</v>
      </c>
      <c r="D196" s="1193" t="str">
        <f t="shared" si="25"/>
        <v xml:space="preserve">TBX-A, Вставка кожа, красн, 500 мм      </v>
      </c>
      <c r="E196" s="1197">
        <v>1</v>
      </c>
      <c r="F196" s="1178">
        <f t="shared" si="26"/>
        <v>2105.4069036000001</v>
      </c>
      <c r="G196" s="1175">
        <f t="shared" si="27"/>
        <v>2105.4069036000001</v>
      </c>
      <c r="H196" s="2169"/>
    </row>
    <row r="197" spans="2:8" ht="39.950000000000003" customHeight="1" x14ac:dyDescent="0.2">
      <c r="B197" s="1195"/>
      <c r="C197" s="1196" t="s">
        <v>887</v>
      </c>
      <c r="D197" s="1193" t="str">
        <f t="shared" si="25"/>
        <v xml:space="preserve">TBX-A, Вставка кожа, бел стр, 500 мм    </v>
      </c>
      <c r="E197" s="1197">
        <v>1</v>
      </c>
      <c r="F197" s="1178">
        <f t="shared" si="26"/>
        <v>2105.4069036000001</v>
      </c>
      <c r="G197" s="1175">
        <f t="shared" si="27"/>
        <v>2105.4069036000001</v>
      </c>
      <c r="H197" s="2169"/>
    </row>
    <row r="198" spans="2:8" x14ac:dyDescent="0.2">
      <c r="B198" s="1170" t="s">
        <v>635</v>
      </c>
      <c r="C198" s="1186"/>
      <c r="D198" s="2170"/>
      <c r="E198" s="2170"/>
      <c r="F198" s="2170"/>
      <c r="G198" s="2170"/>
      <c r="H198" s="2169"/>
    </row>
    <row r="199" spans="2:8" x14ac:dyDescent="0.2">
      <c r="B199" s="2147" t="s">
        <v>1406</v>
      </c>
      <c r="C199" s="2148"/>
      <c r="D199" s="2148"/>
      <c r="E199" s="2148"/>
      <c r="F199" s="2148"/>
      <c r="G199" s="2149"/>
      <c r="H199" s="2169"/>
    </row>
    <row r="200" spans="2:8" ht="39.950000000000003" customHeight="1" x14ac:dyDescent="0.2">
      <c r="B200" s="1195"/>
      <c r="C200" s="1196"/>
      <c r="D200" s="1198" t="s">
        <v>1407</v>
      </c>
      <c r="E200" s="1197">
        <v>1</v>
      </c>
      <c r="F200" s="1178"/>
      <c r="G200" s="1175"/>
      <c r="H200" s="2169"/>
    </row>
    <row r="201" spans="2:8" ht="39.950000000000003" customHeight="1" x14ac:dyDescent="0.2">
      <c r="B201" s="1195"/>
      <c r="C201" s="1196"/>
      <c r="D201" s="1198" t="s">
        <v>1407</v>
      </c>
      <c r="E201" s="1197">
        <v>1</v>
      </c>
      <c r="F201" s="1178"/>
      <c r="G201" s="1175"/>
      <c r="H201" s="2169"/>
    </row>
    <row r="202" spans="2:8" ht="39.950000000000003" customHeight="1" x14ac:dyDescent="0.2">
      <c r="B202" s="1195"/>
      <c r="C202" s="1196"/>
      <c r="D202" s="1198" t="s">
        <v>1407</v>
      </c>
      <c r="E202" s="1197">
        <v>1</v>
      </c>
      <c r="F202" s="1178"/>
      <c r="G202" s="1175"/>
      <c r="H202" s="2169"/>
    </row>
    <row r="203" spans="2:8" ht="39.950000000000003" customHeight="1" x14ac:dyDescent="0.2">
      <c r="B203" s="1195"/>
      <c r="C203" s="1196"/>
      <c r="D203" s="1198" t="s">
        <v>1407</v>
      </c>
      <c r="E203" s="1197">
        <v>1</v>
      </c>
      <c r="F203" s="1178"/>
      <c r="G203" s="1175"/>
      <c r="H203" s="2169"/>
    </row>
    <row r="204" spans="2:8" ht="39.950000000000003" customHeight="1" x14ac:dyDescent="0.2">
      <c r="B204" s="1195"/>
      <c r="C204" s="1196"/>
      <c r="D204" s="1198" t="s">
        <v>1407</v>
      </c>
      <c r="E204" s="1197">
        <v>1</v>
      </c>
      <c r="F204" s="1178"/>
      <c r="G204" s="1175"/>
      <c r="H204" s="2169"/>
    </row>
    <row r="205" spans="2:8" ht="39.950000000000003" customHeight="1" x14ac:dyDescent="0.2">
      <c r="B205" s="1195"/>
      <c r="C205" s="1196"/>
      <c r="D205" s="1198" t="s">
        <v>1407</v>
      </c>
      <c r="E205" s="1197">
        <v>1</v>
      </c>
      <c r="F205" s="1178"/>
      <c r="G205" s="1175"/>
      <c r="H205" s="2169"/>
    </row>
    <row r="206" spans="2:8" ht="39.950000000000003" customHeight="1" x14ac:dyDescent="0.2">
      <c r="B206" s="1195"/>
      <c r="C206" s="1196"/>
      <c r="D206" s="1198" t="s">
        <v>1407</v>
      </c>
      <c r="E206" s="1197">
        <v>1</v>
      </c>
      <c r="F206" s="1178"/>
      <c r="G206" s="1175"/>
      <c r="H206" s="2169"/>
    </row>
    <row r="207" spans="2:8" x14ac:dyDescent="0.2">
      <c r="B207" s="1170" t="s">
        <v>635</v>
      </c>
      <c r="C207" s="1186"/>
      <c r="D207" s="2170"/>
      <c r="E207" s="2170"/>
      <c r="F207" s="2170"/>
      <c r="G207" s="2170"/>
      <c r="H207" s="2169"/>
    </row>
    <row r="208" spans="2:8" x14ac:dyDescent="0.2">
      <c r="B208" s="2147" t="s">
        <v>882</v>
      </c>
      <c r="C208" s="2148"/>
      <c r="D208" s="2148"/>
      <c r="E208" s="2148"/>
      <c r="F208" s="2148"/>
      <c r="G208" s="2149"/>
      <c r="H208" s="2169"/>
    </row>
    <row r="209" spans="2:8" ht="39.950000000000003" customHeight="1" x14ac:dyDescent="0.2">
      <c r="B209" s="1195"/>
      <c r="C209" s="1196"/>
      <c r="D209" s="1198" t="s">
        <v>1407</v>
      </c>
      <c r="E209" s="1197">
        <v>1</v>
      </c>
      <c r="F209" s="1178"/>
      <c r="G209" s="1175"/>
      <c r="H209" s="2169"/>
    </row>
  </sheetData>
  <protectedRanges>
    <protectedRange sqref="C7 C21 C33 C48 C61 C80 C96 C111 C130" name="Диапазон1"/>
  </protectedRanges>
  <customSheetViews>
    <customSheetView guid="{788B8383-784A-4263-9D04-45657AC129FF}" hiddenColumns="1">
      <pageMargins left="0.75" right="0.75" top="1" bottom="1" header="0.5" footer="0.5"/>
      <pageSetup paperSize="9" orientation="portrait" r:id="rId1"/>
      <headerFooter alignWithMargins="0"/>
    </customSheetView>
  </customSheetViews>
  <mergeCells count="42">
    <mergeCell ref="B4:G5"/>
    <mergeCell ref="D6:G6"/>
    <mergeCell ref="B8:B16"/>
    <mergeCell ref="B62:B77"/>
    <mergeCell ref="D79:G79"/>
    <mergeCell ref="B46:G46"/>
    <mergeCell ref="D47:G47"/>
    <mergeCell ref="B49:B58"/>
    <mergeCell ref="D60:G60"/>
    <mergeCell ref="B34:B44"/>
    <mergeCell ref="H63:H77"/>
    <mergeCell ref="D32:G32"/>
    <mergeCell ref="H35:H44"/>
    <mergeCell ref="B81:B93"/>
    <mergeCell ref="B181:G181"/>
    <mergeCell ref="D95:G95"/>
    <mergeCell ref="B97:B108"/>
    <mergeCell ref="H82:H93"/>
    <mergeCell ref="H185:H209"/>
    <mergeCell ref="D187:G187"/>
    <mergeCell ref="B188:G188"/>
    <mergeCell ref="D198:G198"/>
    <mergeCell ref="B199:G199"/>
    <mergeCell ref="D207:G207"/>
    <mergeCell ref="B208:G208"/>
    <mergeCell ref="B185:B186"/>
    <mergeCell ref="S7:T8"/>
    <mergeCell ref="D182:G182"/>
    <mergeCell ref="B183:G183"/>
    <mergeCell ref="D110:G110"/>
    <mergeCell ref="H98:H108"/>
    <mergeCell ref="H113:H127"/>
    <mergeCell ref="B112:B127"/>
    <mergeCell ref="D129:G129"/>
    <mergeCell ref="B131:B140"/>
    <mergeCell ref="H132:H145"/>
    <mergeCell ref="H9:H16"/>
    <mergeCell ref="B18:G19"/>
    <mergeCell ref="D20:G20"/>
    <mergeCell ref="B22:B30"/>
    <mergeCell ref="H23:H30"/>
    <mergeCell ref="H50:H58"/>
  </mergeCells>
  <phoneticPr fontId="2" type="noConversion"/>
  <dataValidations count="5">
    <dataValidation type="list" allowBlank="1" showInputMessage="1" showErrorMessage="1" sqref="C130 C61 C48 C111" xr:uid="{00000000-0002-0000-0C00-000000000000}">
      <formula1>$J$52:$J$55</formula1>
    </dataValidation>
    <dataValidation type="list" allowBlank="1" showInputMessage="1" showErrorMessage="1" sqref="C96" xr:uid="{00000000-0002-0000-0C00-000001000000}">
      <formula1>$J$27:$J$45</formula1>
    </dataValidation>
    <dataValidation type="list" allowBlank="1" showInputMessage="1" showErrorMessage="1" sqref="C80" xr:uid="{00000000-0002-0000-0C00-000002000000}">
      <formula1>$J$54:$J$55</formula1>
    </dataValidation>
    <dataValidation type="list" allowBlank="1" showInputMessage="1" showErrorMessage="1" sqref="C21 C33" xr:uid="{00000000-0002-0000-0C00-000003000000}">
      <formula1>$J$25:$J$29</formula1>
    </dataValidation>
    <dataValidation type="list" allowBlank="1" showInputMessage="1" showErrorMessage="1" sqref="C7" xr:uid="{00000000-0002-0000-0C00-000004000000}">
      <formula1>$J$12:$J$13</formula1>
    </dataValidation>
  </dataValidations>
  <hyperlinks>
    <hyperlink ref="R11:T11" location="'3.3'!A1" display="→" xr:uid="{00000000-0004-0000-0C00-000000000000}"/>
    <hyperlink ref="R12:T12" location="'3.4'!A1" display="→" xr:uid="{00000000-0004-0000-0C00-000001000000}"/>
    <hyperlink ref="R14:T14" location="'3.6'!A1" display="→" xr:uid="{00000000-0004-0000-0C00-000002000000}"/>
    <hyperlink ref="R16:T16" location="'3.8'!A1" display="→" xr:uid="{00000000-0004-0000-0C00-000003000000}"/>
    <hyperlink ref="R9" location="'3.3'!A1" display="→" xr:uid="{00000000-0004-0000-0C00-000004000000}"/>
    <hyperlink ref="R9:T9" location="'3.1'!A1" display="→" xr:uid="{00000000-0004-0000-0C00-000005000000}"/>
    <hyperlink ref="R18:T18" location="СОДЕРЖАНИЕ!A1" display="←" xr:uid="{00000000-0004-0000-0C00-000006000000}"/>
    <hyperlink ref="R10:T10" location="'3.2'!A1" display="→" xr:uid="{00000000-0004-0000-0C00-000007000000}"/>
    <hyperlink ref="R13" location="'3.4'!A1" display="→" xr:uid="{00000000-0004-0000-0C00-000008000000}"/>
  </hyperlinks>
  <pageMargins left="0.75" right="0.75" top="1" bottom="1" header="0.5" footer="0.5"/>
  <pageSetup paperSize="9" orientation="portrait" r:id="rId2"/>
  <headerFooter alignWithMargins="0"/>
  <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Лист13"/>
  <dimension ref="A1:AW84"/>
  <sheetViews>
    <sheetView workbookViewId="0">
      <selection activeCell="C30" sqref="C30"/>
    </sheetView>
  </sheetViews>
  <sheetFormatPr defaultRowHeight="12.75" x14ac:dyDescent="0.2"/>
  <cols>
    <col min="1" max="1" width="21" style="8" customWidth="1"/>
    <col min="2" max="2" width="8.28515625" style="8" customWidth="1"/>
    <col min="3" max="3" width="31.140625" style="8" customWidth="1"/>
    <col min="4" max="4" width="1.85546875" style="8" hidden="1" customWidth="1"/>
    <col min="5" max="5" width="3.85546875" style="91" customWidth="1"/>
    <col min="6" max="7" width="11.140625" style="8" hidden="1" customWidth="1"/>
    <col min="8" max="8" width="0.85546875" style="8" customWidth="1"/>
    <col min="9" max="9" width="7.42578125" style="8" customWidth="1"/>
    <col min="10" max="10" width="30.7109375" style="8" customWidth="1"/>
    <col min="11" max="11" width="3.42578125" style="8" hidden="1" customWidth="1"/>
    <col min="12" max="12" width="3.42578125" style="8" customWidth="1"/>
    <col min="13" max="14" width="9.140625" style="8" hidden="1" customWidth="1"/>
    <col min="15" max="15" width="0.85546875" style="8" customWidth="1"/>
    <col min="16" max="16" width="7.85546875" style="8" customWidth="1"/>
    <col min="17" max="17" width="30.7109375" style="8" customWidth="1"/>
    <col min="18" max="18" width="3.42578125" style="8" hidden="1" customWidth="1"/>
    <col min="19" max="19" width="3.42578125" style="8" customWidth="1"/>
    <col min="20" max="20" width="9.140625" style="8" hidden="1" customWidth="1"/>
    <col min="21" max="21" width="7" style="8" hidden="1" customWidth="1"/>
    <col min="22" max="22" width="0.85546875" style="8" customWidth="1"/>
    <col min="23" max="23" width="7.42578125" style="8" customWidth="1"/>
    <col min="24" max="24" width="30.7109375" style="8" customWidth="1"/>
    <col min="25" max="25" width="3.42578125" style="8" hidden="1" customWidth="1"/>
    <col min="26" max="26" width="3.42578125" style="8" customWidth="1"/>
    <col min="27" max="27" width="9.140625" style="8" hidden="1" customWidth="1"/>
    <col min="28" max="28" width="7.85546875" style="8" hidden="1" customWidth="1"/>
    <col min="29" max="29" width="4.28515625" hidden="1" customWidth="1"/>
    <col min="30" max="30" width="3.5703125" style="8" hidden="1" customWidth="1"/>
    <col min="31" max="31" width="1.5703125" style="8" customWidth="1"/>
    <col min="33" max="49" width="9.140625" style="8"/>
  </cols>
  <sheetData>
    <row r="1" spans="1:49" ht="20.100000000000001" customHeight="1" x14ac:dyDescent="0.2">
      <c r="A1" s="2179" t="s">
        <v>2206</v>
      </c>
      <c r="B1" s="2179"/>
      <c r="C1" s="2179"/>
      <c r="D1" s="2179"/>
      <c r="E1" s="2179"/>
      <c r="F1" s="2179"/>
      <c r="G1" s="2179"/>
      <c r="H1" s="2179"/>
      <c r="I1" s="2179"/>
      <c r="J1" s="2179"/>
      <c r="K1" s="2179"/>
      <c r="L1" s="2179"/>
      <c r="M1" s="2179"/>
      <c r="N1" s="2179"/>
      <c r="O1" s="2179"/>
      <c r="P1" s="2179"/>
      <c r="Q1" s="2179"/>
      <c r="R1" s="2179"/>
      <c r="S1" s="2179"/>
      <c r="T1" s="2179"/>
      <c r="U1" s="2179"/>
      <c r="V1" s="2179"/>
      <c r="W1" s="2179"/>
      <c r="X1" s="2179"/>
      <c r="Y1" s="2179"/>
      <c r="Z1" s="2179"/>
      <c r="AA1" s="2179"/>
      <c r="AB1" s="2179"/>
      <c r="AD1" s="17"/>
      <c r="AE1" s="17"/>
      <c r="AF1" s="17"/>
    </row>
    <row r="2" spans="1:49" ht="20.100000000000001" customHeight="1" x14ac:dyDescent="0.2">
      <c r="A2" s="2179"/>
      <c r="B2" s="2179"/>
      <c r="C2" s="2179"/>
      <c r="D2" s="2179"/>
      <c r="E2" s="2179"/>
      <c r="F2" s="2179"/>
      <c r="G2" s="2179"/>
      <c r="H2" s="2179"/>
      <c r="I2" s="2179"/>
      <c r="J2" s="2179"/>
      <c r="K2" s="2179"/>
      <c r="L2" s="2179"/>
      <c r="M2" s="2179"/>
      <c r="N2" s="2179"/>
      <c r="O2" s="2179"/>
      <c r="P2" s="2179"/>
      <c r="Q2" s="2179"/>
      <c r="R2" s="2179"/>
      <c r="S2" s="2179"/>
      <c r="T2" s="2179"/>
      <c r="U2" s="2179"/>
      <c r="V2" s="2179"/>
      <c r="W2" s="2179"/>
      <c r="X2" s="2179"/>
      <c r="Y2" s="2179"/>
      <c r="Z2" s="2179"/>
      <c r="AA2" s="2179"/>
      <c r="AB2" s="2179"/>
      <c r="AD2" s="17"/>
      <c r="AE2" s="17"/>
      <c r="AF2" s="17"/>
    </row>
    <row r="3" spans="1:49" ht="15.75" x14ac:dyDescent="0.2">
      <c r="A3" s="2183" t="s">
        <v>1296</v>
      </c>
      <c r="B3" s="225"/>
      <c r="C3" s="225"/>
      <c r="D3" s="225"/>
      <c r="E3" s="281"/>
      <c r="F3" s="225"/>
      <c r="G3" s="225"/>
      <c r="H3" s="225"/>
      <c r="AF3" s="17"/>
    </row>
    <row r="4" spans="1:49" ht="15.75" x14ac:dyDescent="0.2">
      <c r="A4" s="2183"/>
      <c r="B4" s="225"/>
      <c r="C4" s="225"/>
      <c r="D4" s="225"/>
      <c r="E4" s="281"/>
      <c r="F4" s="225"/>
      <c r="G4" s="225"/>
      <c r="H4" s="225"/>
      <c r="AF4" s="17"/>
    </row>
    <row r="5" spans="1:49" s="277" customFormat="1" ht="15" customHeight="1" thickBot="1" x14ac:dyDescent="0.3">
      <c r="A5" s="185" t="s">
        <v>1441</v>
      </c>
      <c r="B5" s="185"/>
      <c r="C5" s="308" t="s">
        <v>1439</v>
      </c>
      <c r="D5" s="294"/>
      <c r="E5" s="293">
        <v>1</v>
      </c>
      <c r="F5" s="294"/>
      <c r="G5" s="294"/>
      <c r="H5" s="305"/>
      <c r="I5" s="293"/>
      <c r="J5" s="308" t="s">
        <v>1440</v>
      </c>
      <c r="K5" s="293"/>
      <c r="L5" s="293">
        <v>1</v>
      </c>
      <c r="M5" s="293"/>
      <c r="N5" s="293"/>
      <c r="O5" s="306"/>
      <c r="P5" s="295"/>
      <c r="Q5" s="296"/>
      <c r="R5" s="295"/>
      <c r="S5" s="293">
        <v>2</v>
      </c>
      <c r="T5" s="295"/>
      <c r="U5" s="295"/>
      <c r="V5" s="307"/>
      <c r="W5" s="295"/>
      <c r="X5" s="296"/>
      <c r="Y5" s="296"/>
      <c r="Z5" s="293">
        <v>3</v>
      </c>
      <c r="AA5" s="296"/>
      <c r="AB5" s="296"/>
      <c r="AC5" s="304">
        <f>Z5+S5+L5+E5</f>
        <v>7</v>
      </c>
      <c r="AD5" s="317">
        <f>Z5*Q8+S5*X8</f>
        <v>0</v>
      </c>
      <c r="AE5" s="317"/>
      <c r="AF5" s="276"/>
      <c r="AG5" s="236"/>
      <c r="AH5" s="236"/>
      <c r="AI5" s="236"/>
      <c r="AJ5" s="236"/>
      <c r="AK5" s="236"/>
      <c r="AL5" s="236"/>
      <c r="AM5" s="236"/>
      <c r="AN5" s="236"/>
      <c r="AO5" s="236"/>
      <c r="AP5" s="236"/>
      <c r="AQ5" s="236"/>
      <c r="AR5" s="236"/>
      <c r="AS5" s="236"/>
      <c r="AT5" s="236"/>
      <c r="AU5" s="236"/>
      <c r="AV5" s="236"/>
      <c r="AW5" s="236"/>
    </row>
    <row r="6" spans="1:49" ht="105" customHeight="1" x14ac:dyDescent="0.2">
      <c r="I6" s="2180"/>
      <c r="J6" s="2180"/>
      <c r="K6" s="2180"/>
      <c r="L6" s="53"/>
      <c r="AD6" s="28"/>
      <c r="AE6" s="28"/>
      <c r="AF6" s="17"/>
    </row>
    <row r="7" spans="1:49" s="277" customFormat="1" ht="15" customHeight="1" thickBot="1" x14ac:dyDescent="0.25">
      <c r="A7" s="210"/>
      <c r="B7" s="210"/>
      <c r="C7" s="284">
        <f>F15+G28</f>
        <v>14245.041610800001</v>
      </c>
      <c r="D7" s="284"/>
      <c r="E7" s="290" t="str">
        <f>IF(СОДЕРЖАНИЕ!P2=1,"EUR","RUB")</f>
        <v>RUB</v>
      </c>
      <c r="F7" s="284"/>
      <c r="G7" s="284"/>
      <c r="H7" s="284"/>
      <c r="I7" s="35"/>
      <c r="J7" s="284">
        <f>M15+N28</f>
        <v>13264.307456400002</v>
      </c>
      <c r="K7" s="35"/>
      <c r="L7" s="290" t="str">
        <f>IF(СОДЕРЖАНИЕ!P2=1,"EUR","RUB")</f>
        <v>RUB</v>
      </c>
      <c r="M7" s="35"/>
      <c r="N7" s="35"/>
      <c r="O7" s="35"/>
      <c r="P7" s="291"/>
      <c r="Q7" s="284">
        <f>T18+U28</f>
        <v>18553.051341600003</v>
      </c>
      <c r="R7" s="236"/>
      <c r="S7" s="290" t="str">
        <f>IF(СОДЕРЖАНИЕ!P2=1,"EUR","RUB")</f>
        <v>RUB</v>
      </c>
      <c r="T7" s="236"/>
      <c r="U7" s="236"/>
      <c r="V7" s="236"/>
      <c r="W7" s="236"/>
      <c r="X7" s="284">
        <f>AA18+AB28</f>
        <v>23155.020313200002</v>
      </c>
      <c r="Y7" s="236"/>
      <c r="Z7" s="290" t="str">
        <f>IF(СОДЕРЖАНИЕ!P2=1,"EUR","RUB")</f>
        <v>RUB</v>
      </c>
      <c r="AA7" s="276"/>
      <c r="AB7" s="276"/>
      <c r="AC7" s="92"/>
      <c r="AD7" s="236"/>
      <c r="AE7" s="236"/>
      <c r="AF7" s="276"/>
      <c r="AG7" s="236"/>
      <c r="AH7" s="236"/>
      <c r="AI7" s="236"/>
      <c r="AJ7" s="236"/>
      <c r="AK7" s="236"/>
      <c r="AL7" s="236"/>
      <c r="AM7" s="236"/>
      <c r="AN7" s="236"/>
      <c r="AO7" s="236"/>
      <c r="AP7" s="236"/>
      <c r="AQ7" s="236"/>
      <c r="AR7" s="236"/>
      <c r="AS7" s="236"/>
      <c r="AT7" s="236"/>
      <c r="AU7" s="236"/>
      <c r="AV7" s="236"/>
      <c r="AW7" s="236"/>
    </row>
    <row r="8" spans="1:49" s="277" customFormat="1" ht="20.100000000000001" customHeight="1" thickBot="1" x14ac:dyDescent="0.3">
      <c r="A8" s="185" t="s">
        <v>2205</v>
      </c>
      <c r="B8" s="185"/>
      <c r="C8" s="199">
        <v>0</v>
      </c>
      <c r="D8" s="297"/>
      <c r="E8" s="297"/>
      <c r="F8" s="297"/>
      <c r="G8" s="297"/>
      <c r="H8" s="311"/>
      <c r="I8" s="298"/>
      <c r="J8" s="199">
        <v>0</v>
      </c>
      <c r="K8" s="299"/>
      <c r="L8" s="299"/>
      <c r="M8" s="299"/>
      <c r="N8" s="299"/>
      <c r="O8" s="313"/>
      <c r="P8" s="299"/>
      <c r="Q8" s="199">
        <v>0</v>
      </c>
      <c r="R8" s="300"/>
      <c r="S8" s="300"/>
      <c r="T8" s="300"/>
      <c r="U8" s="300"/>
      <c r="V8" s="315"/>
      <c r="W8" s="300"/>
      <c r="X8" s="199">
        <v>0</v>
      </c>
      <c r="Y8" s="301"/>
      <c r="Z8" s="301"/>
      <c r="AA8" s="301"/>
      <c r="AB8" s="301"/>
      <c r="AC8" s="302">
        <f>X8+Q8</f>
        <v>0</v>
      </c>
      <c r="AD8" s="317">
        <f>X8+Q8+J8+C8</f>
        <v>0</v>
      </c>
      <c r="AE8" s="317"/>
      <c r="AF8" s="276"/>
      <c r="AG8" s="236"/>
      <c r="AH8" s="236"/>
      <c r="AI8" s="236"/>
      <c r="AJ8" s="236"/>
      <c r="AK8" s="236"/>
      <c r="AL8" s="236"/>
      <c r="AM8" s="236"/>
      <c r="AN8" s="236"/>
      <c r="AO8" s="236"/>
      <c r="AP8" s="236"/>
      <c r="AQ8" s="236"/>
      <c r="AR8" s="236"/>
      <c r="AS8" s="236"/>
      <c r="AT8" s="236"/>
      <c r="AU8" s="236"/>
      <c r="AV8" s="236"/>
      <c r="AW8" s="236"/>
    </row>
    <row r="9" spans="1:49" s="277" customFormat="1" ht="15" customHeight="1" x14ac:dyDescent="0.25">
      <c r="A9" s="2182" t="s">
        <v>1267</v>
      </c>
      <c r="B9" s="185"/>
      <c r="C9" s="274"/>
      <c r="D9" s="181"/>
      <c r="E9" s="181"/>
      <c r="F9" s="181"/>
      <c r="G9" s="181"/>
      <c r="H9" s="312"/>
      <c r="I9" s="273"/>
      <c r="J9" s="275"/>
      <c r="K9" s="274"/>
      <c r="L9" s="274"/>
      <c r="M9" s="274"/>
      <c r="N9" s="274"/>
      <c r="O9" s="314"/>
      <c r="P9" s="274"/>
      <c r="Q9" s="275"/>
      <c r="R9" s="292"/>
      <c r="S9" s="292"/>
      <c r="T9" s="292"/>
      <c r="U9" s="292"/>
      <c r="V9" s="316"/>
      <c r="W9" s="292"/>
      <c r="X9" s="275"/>
      <c r="Y9" s="276"/>
      <c r="Z9" s="276"/>
      <c r="AA9" s="276"/>
      <c r="AB9" s="276"/>
      <c r="AD9" s="236"/>
      <c r="AE9" s="236"/>
      <c r="AF9" s="276"/>
      <c r="AG9" s="236"/>
      <c r="AH9" s="236"/>
      <c r="AI9" s="236"/>
      <c r="AJ9" s="236"/>
      <c r="AK9" s="236"/>
      <c r="AL9" s="236"/>
      <c r="AM9" s="236"/>
      <c r="AN9" s="236"/>
      <c r="AO9" s="236"/>
      <c r="AP9" s="236"/>
      <c r="AQ9" s="236"/>
      <c r="AR9" s="236"/>
      <c r="AS9" s="236"/>
      <c r="AT9" s="236"/>
      <c r="AU9" s="236"/>
      <c r="AV9" s="236"/>
      <c r="AW9" s="236"/>
    </row>
    <row r="10" spans="1:49" s="277" customFormat="1" ht="15" customHeight="1" x14ac:dyDescent="0.25">
      <c r="A10" s="2182"/>
      <c r="B10" s="185"/>
      <c r="C10" s="303">
        <f>'3.8'!E5*'3.8'!C8+'3.8'!L5*'3.8'!J8+'3.8'!S5*'3.8'!Q8+'3.8'!Z5*'3.8'!X8</f>
        <v>0</v>
      </c>
      <c r="D10" s="181"/>
      <c r="E10" s="181"/>
      <c r="F10" s="181"/>
      <c r="G10" s="181"/>
      <c r="H10" s="312"/>
      <c r="I10" s="273"/>
      <c r="J10" s="275"/>
      <c r="K10" s="274"/>
      <c r="L10" s="274"/>
      <c r="M10" s="274"/>
      <c r="N10" s="274"/>
      <c r="O10" s="314"/>
      <c r="P10" s="274"/>
      <c r="Q10" s="275"/>
      <c r="R10" s="292"/>
      <c r="S10" s="292"/>
      <c r="T10" s="292"/>
      <c r="U10" s="292"/>
      <c r="V10" s="316"/>
      <c r="W10" s="292"/>
      <c r="X10" s="275"/>
      <c r="Y10" s="276"/>
      <c r="Z10" s="276"/>
      <c r="AA10" s="276"/>
      <c r="AB10" s="276"/>
      <c r="AD10" s="236"/>
      <c r="AE10" s="236"/>
      <c r="AF10" s="276"/>
      <c r="AG10" s="236"/>
      <c r="AH10" s="236"/>
      <c r="AI10" s="236"/>
      <c r="AJ10" s="236"/>
      <c r="AK10" s="236"/>
      <c r="AL10" s="236"/>
      <c r="AM10" s="236"/>
      <c r="AN10" s="236"/>
      <c r="AO10" s="236"/>
      <c r="AP10" s="236"/>
      <c r="AQ10" s="236"/>
      <c r="AR10" s="236"/>
      <c r="AS10" s="236"/>
      <c r="AT10" s="236"/>
      <c r="AU10" s="236"/>
      <c r="AV10" s="236"/>
      <c r="AW10" s="236"/>
    </row>
    <row r="11" spans="1:49" x14ac:dyDescent="0.2">
      <c r="A11" s="210"/>
      <c r="B11" s="210"/>
      <c r="C11" s="210"/>
      <c r="D11" s="210"/>
      <c r="E11" s="210"/>
      <c r="F11" s="210"/>
      <c r="G11" s="210"/>
      <c r="H11" s="210"/>
      <c r="I11" s="31"/>
      <c r="AF11" s="17"/>
    </row>
    <row r="12" spans="1:49" ht="15.75" thickBot="1" x14ac:dyDescent="0.25">
      <c r="A12" s="2181" t="s">
        <v>1297</v>
      </c>
      <c r="B12" s="2181"/>
      <c r="C12" s="2181"/>
      <c r="D12" s="2181"/>
      <c r="E12" s="2181"/>
      <c r="F12" s="2181"/>
      <c r="G12" s="2181"/>
      <c r="H12" s="2181"/>
      <c r="I12" s="2181"/>
      <c r="J12" s="2181"/>
      <c r="K12" s="2181"/>
      <c r="L12" s="2181"/>
      <c r="M12" s="2181"/>
      <c r="N12" s="2181"/>
      <c r="O12" s="2181"/>
      <c r="P12" s="2181"/>
      <c r="Q12" s="2181"/>
      <c r="R12" s="2181"/>
      <c r="S12" s="2181"/>
      <c r="T12" s="2181"/>
      <c r="U12" s="2181"/>
      <c r="V12" s="2181"/>
      <c r="W12" s="2181"/>
      <c r="X12" s="2181"/>
      <c r="Y12" s="2181"/>
      <c r="Z12" s="2181"/>
      <c r="AA12" s="2181"/>
      <c r="AB12" s="2181"/>
      <c r="AF12" s="17"/>
    </row>
    <row r="13" spans="1:49" x14ac:dyDescent="0.2">
      <c r="A13" s="185"/>
      <c r="B13" s="185"/>
      <c r="C13" s="498"/>
      <c r="D13" s="499"/>
      <c r="E13" s="499"/>
      <c r="F13" s="499"/>
      <c r="G13" s="499"/>
      <c r="H13" s="500"/>
      <c r="I13" s="501"/>
      <c r="J13" s="502"/>
      <c r="K13" s="502"/>
      <c r="L13" s="502"/>
      <c r="M13" s="502"/>
      <c r="N13" s="502"/>
      <c r="O13" s="392"/>
      <c r="P13" s="502"/>
      <c r="Q13" s="502"/>
      <c r="R13" s="502"/>
      <c r="S13" s="502"/>
      <c r="T13" s="502"/>
      <c r="U13" s="502"/>
      <c r="V13" s="392"/>
      <c r="W13" s="502"/>
      <c r="X13" s="502"/>
      <c r="Y13" s="502"/>
      <c r="Z13" s="503"/>
      <c r="AA13" s="17"/>
      <c r="AB13" s="17"/>
      <c r="AF13" s="17"/>
    </row>
    <row r="14" spans="1:49" s="269" customFormat="1" ht="9" customHeight="1" x14ac:dyDescent="0.2">
      <c r="A14" s="268"/>
      <c r="B14" s="270" t="s">
        <v>1301</v>
      </c>
      <c r="C14" s="504" t="s">
        <v>784</v>
      </c>
      <c r="D14" s="283"/>
      <c r="E14" s="271" t="s">
        <v>2117</v>
      </c>
      <c r="F14" s="283"/>
      <c r="G14" s="272" t="s">
        <v>2116</v>
      </c>
      <c r="H14" s="283"/>
      <c r="I14" s="270" t="s">
        <v>1301</v>
      </c>
      <c r="J14" s="136" t="s">
        <v>784</v>
      </c>
      <c r="K14" s="283"/>
      <c r="L14" s="271" t="s">
        <v>2117</v>
      </c>
      <c r="M14" s="283"/>
      <c r="N14" s="136" t="s">
        <v>2116</v>
      </c>
      <c r="O14" s="283"/>
      <c r="P14" s="271" t="s">
        <v>1301</v>
      </c>
      <c r="Q14" s="144" t="s">
        <v>784</v>
      </c>
      <c r="R14" s="289"/>
      <c r="S14" s="271" t="s">
        <v>2117</v>
      </c>
      <c r="T14" s="136"/>
      <c r="U14" s="136" t="s">
        <v>2116</v>
      </c>
      <c r="V14" s="283"/>
      <c r="W14" s="271" t="s">
        <v>1301</v>
      </c>
      <c r="X14" s="144" t="s">
        <v>784</v>
      </c>
      <c r="Y14" s="283"/>
      <c r="Z14" s="505" t="s">
        <v>2117</v>
      </c>
      <c r="AA14" s="136"/>
      <c r="AB14" s="272" t="s">
        <v>2116</v>
      </c>
      <c r="AD14" s="268"/>
      <c r="AE14" s="268"/>
      <c r="AF14" s="285"/>
      <c r="AG14" s="268"/>
      <c r="AH14" s="268"/>
      <c r="AI14" s="268"/>
      <c r="AJ14" s="268"/>
      <c r="AK14" s="268"/>
      <c r="AL14" s="268"/>
      <c r="AM14" s="268"/>
      <c r="AN14" s="268"/>
      <c r="AO14" s="268"/>
      <c r="AP14" s="268"/>
      <c r="AQ14" s="268"/>
      <c r="AR14" s="268"/>
      <c r="AS14" s="268"/>
      <c r="AT14" s="268"/>
      <c r="AU14" s="268"/>
      <c r="AV14" s="268"/>
      <c r="AW14" s="268"/>
    </row>
    <row r="15" spans="1:49" x14ac:dyDescent="0.2">
      <c r="A15" s="2178" t="s">
        <v>1442</v>
      </c>
      <c r="B15" s="219" t="s">
        <v>1571</v>
      </c>
      <c r="C15" s="506" t="str">
        <f>IF(C8=0," ",VLOOKUP(B15,всецены,2,FALSE))</f>
        <v xml:space="preserve"> </v>
      </c>
      <c r="D15" s="333">
        <v>1</v>
      </c>
      <c r="E15" s="334">
        <f>D15*C8</f>
        <v>0</v>
      </c>
      <c r="F15" s="266">
        <f>VLOOKUP(B15,всецены,4,FALSE)</f>
        <v>1497.9372408000004</v>
      </c>
      <c r="G15" s="266">
        <f>F15*E15</f>
        <v>0</v>
      </c>
      <c r="H15" s="28"/>
      <c r="I15" s="266" t="s">
        <v>135</v>
      </c>
      <c r="J15" s="266" t="str">
        <f>IF(J8=0," ",VLOOKUP(I15,всецены,2,FALSE))</f>
        <v xml:space="preserve"> </v>
      </c>
      <c r="K15" s="333">
        <v>1</v>
      </c>
      <c r="L15" s="334">
        <f>K15*J8</f>
        <v>0</v>
      </c>
      <c r="M15" s="266">
        <f>VLOOKUP(I15,всецены,4,FALSE)</f>
        <v>517.20308639999996</v>
      </c>
      <c r="N15" s="266">
        <f>M15*L15</f>
        <v>0</v>
      </c>
      <c r="O15" s="192"/>
      <c r="P15" s="266" t="s">
        <v>569</v>
      </c>
      <c r="Q15" s="266" t="str">
        <f>IF($Q$8=0," ",VLOOKUP(P15,всецены,2,FALSE))</f>
        <v xml:space="preserve"> </v>
      </c>
      <c r="R15" s="333">
        <v>1</v>
      </c>
      <c r="S15" s="334">
        <f>R15*$Q$8</f>
        <v>0</v>
      </c>
      <c r="T15" s="335">
        <f>VLOOKUP(P15,всецены,4,FALSE)</f>
        <v>3309.7744680000005</v>
      </c>
      <c r="U15" s="336">
        <f>T15*S15</f>
        <v>0</v>
      </c>
      <c r="V15" s="28"/>
      <c r="W15" s="266" t="s">
        <v>569</v>
      </c>
      <c r="X15" s="266" t="str">
        <f>IF($X$8=0," ",VLOOKUP(W15,всецены,2,FALSE))</f>
        <v xml:space="preserve"> </v>
      </c>
      <c r="Y15" s="333">
        <v>1</v>
      </c>
      <c r="Z15" s="507">
        <f>Y15*$X$8</f>
        <v>0</v>
      </c>
      <c r="AA15" s="287">
        <f>VLOOKUP(W15,всецены,4,FALSE)</f>
        <v>3309.7744680000005</v>
      </c>
      <c r="AB15" s="267">
        <f>AA15*Z15</f>
        <v>0</v>
      </c>
      <c r="AF15" s="17"/>
    </row>
    <row r="16" spans="1:49" x14ac:dyDescent="0.2">
      <c r="A16" s="2178"/>
      <c r="B16" s="192"/>
      <c r="C16" s="508"/>
      <c r="D16" s="135"/>
      <c r="E16" s="193"/>
      <c r="F16" s="192"/>
      <c r="G16" s="192"/>
      <c r="H16" s="28"/>
      <c r="I16" s="192"/>
      <c r="J16" s="192"/>
      <c r="K16" s="135"/>
      <c r="L16" s="135"/>
      <c r="M16" s="192"/>
      <c r="N16" s="192"/>
      <c r="O16" s="192"/>
      <c r="P16" s="266" t="s">
        <v>897</v>
      </c>
      <c r="Q16" s="266" t="str">
        <f>IF($Q$8=0," ",VLOOKUP(P16,всецены,2,FALSE))</f>
        <v xml:space="preserve"> </v>
      </c>
      <c r="R16" s="333">
        <v>1</v>
      </c>
      <c r="S16" s="334">
        <f>R16*$Q$8</f>
        <v>0</v>
      </c>
      <c r="T16" s="335">
        <f>VLOOKUP(P16,всецены,4,FALSE)</f>
        <v>92.706213599999998</v>
      </c>
      <c r="U16" s="336">
        <f>T16*S16</f>
        <v>0</v>
      </c>
      <c r="V16" s="28"/>
      <c r="W16" s="266" t="s">
        <v>897</v>
      </c>
      <c r="X16" s="266" t="str">
        <f>IF($X$8=0," ",VLOOKUP(W16,всецены,2,FALSE))</f>
        <v xml:space="preserve"> </v>
      </c>
      <c r="Y16" s="333">
        <v>1</v>
      </c>
      <c r="Z16" s="507">
        <f>Y16*$X$8</f>
        <v>0</v>
      </c>
      <c r="AA16" s="287">
        <f>VLOOKUP(W16,всецены,4,FALSE)</f>
        <v>92.706213599999998</v>
      </c>
      <c r="AB16" s="267">
        <f>AA16*Z16</f>
        <v>0</v>
      </c>
      <c r="AF16" s="17"/>
    </row>
    <row r="17" spans="1:32" x14ac:dyDescent="0.2">
      <c r="B17" s="192"/>
      <c r="C17" s="508"/>
      <c r="D17" s="135"/>
      <c r="E17" s="193"/>
      <c r="F17" s="192"/>
      <c r="G17" s="192"/>
      <c r="H17" s="28"/>
      <c r="I17" s="192"/>
      <c r="J17" s="192"/>
      <c r="K17" s="135"/>
      <c r="L17" s="135"/>
      <c r="M17" s="192"/>
      <c r="N17" s="192"/>
      <c r="O17" s="192"/>
      <c r="P17" s="266" t="s">
        <v>570</v>
      </c>
      <c r="Q17" s="266" t="str">
        <f>IF($Q$8=0," ",VLOOKUP(P17,всецены,2,FALSE))</f>
        <v xml:space="preserve"> </v>
      </c>
      <c r="R17" s="333">
        <v>1</v>
      </c>
      <c r="S17" s="334">
        <f>R17*$Q$8</f>
        <v>0</v>
      </c>
      <c r="T17" s="335">
        <f>VLOOKUP(P17,всецены,4,FALSE)</f>
        <v>46.353106799999999</v>
      </c>
      <c r="U17" s="336">
        <f>T17*S17</f>
        <v>0</v>
      </c>
      <c r="V17" s="28"/>
      <c r="W17" s="266" t="s">
        <v>570</v>
      </c>
      <c r="X17" s="266" t="str">
        <f>IF($X$8=0," ",VLOOKUP(W17,всецены,2,FALSE))</f>
        <v xml:space="preserve"> </v>
      </c>
      <c r="Y17" s="333">
        <v>1</v>
      </c>
      <c r="Z17" s="507">
        <f>Y17*$X$8</f>
        <v>0</v>
      </c>
      <c r="AA17" s="287">
        <f>VLOOKUP(W17,всецены,4,FALSE)</f>
        <v>46.353106799999999</v>
      </c>
      <c r="AB17" s="267">
        <f>AA17*Z17</f>
        <v>0</v>
      </c>
      <c r="AF17" s="17"/>
    </row>
    <row r="18" spans="1:32" x14ac:dyDescent="0.2">
      <c r="B18" s="192"/>
      <c r="C18" s="508"/>
      <c r="D18" s="135"/>
      <c r="E18" s="193"/>
      <c r="F18" s="192"/>
      <c r="G18" s="192"/>
      <c r="H18" s="28"/>
      <c r="I18" s="192"/>
      <c r="J18" s="192"/>
      <c r="K18" s="135"/>
      <c r="L18" s="135"/>
      <c r="M18" s="192"/>
      <c r="N18" s="192"/>
      <c r="O18" s="192"/>
      <c r="P18" s="192"/>
      <c r="Q18" s="192"/>
      <c r="R18" s="135"/>
      <c r="S18" s="135"/>
      <c r="T18" s="280">
        <v>1203.9779999999998</v>
      </c>
      <c r="U18" s="286">
        <f>SUM(U15:U17)</f>
        <v>0</v>
      </c>
      <c r="V18" s="28"/>
      <c r="W18" s="192"/>
      <c r="X18" s="192"/>
      <c r="Y18" s="135"/>
      <c r="Z18" s="509"/>
      <c r="AA18" s="279">
        <v>1203.9779999999998</v>
      </c>
      <c r="AB18" s="282">
        <f>SUM(AB15:AB17)</f>
        <v>0</v>
      </c>
      <c r="AF18" s="17"/>
    </row>
    <row r="19" spans="1:32" hidden="1" x14ac:dyDescent="0.2">
      <c r="B19" s="192"/>
      <c r="C19" s="508"/>
      <c r="D19" s="135"/>
      <c r="E19" s="193"/>
      <c r="F19" s="192"/>
      <c r="G19" s="192"/>
      <c r="H19" s="28"/>
      <c r="I19" s="192"/>
      <c r="J19" s="192"/>
      <c r="K19" s="135"/>
      <c r="L19" s="135"/>
      <c r="M19" s="192"/>
      <c r="N19" s="192"/>
      <c r="O19" s="192"/>
      <c r="P19" s="192"/>
      <c r="Q19" s="192"/>
      <c r="R19" s="135"/>
      <c r="S19" s="135"/>
      <c r="T19" s="280"/>
      <c r="U19" s="286"/>
      <c r="V19" s="28"/>
      <c r="W19" s="192"/>
      <c r="X19" s="192"/>
      <c r="Y19" s="135"/>
      <c r="Z19" s="509"/>
      <c r="AA19" s="279"/>
      <c r="AB19" s="282"/>
      <c r="AF19" s="17"/>
    </row>
    <row r="20" spans="1:32" hidden="1" x14ac:dyDescent="0.2">
      <c r="A20" s="106" t="s">
        <v>1268</v>
      </c>
      <c r="B20" s="219" t="s">
        <v>138</v>
      </c>
      <c r="C20" s="506" t="str">
        <f t="shared" ref="C20:C27" si="0">VLOOKUP(B20,всецены,2,FALSE)</f>
        <v>SD, Дистанционный аморт,Ф8мм,993.0830.01</v>
      </c>
      <c r="D20" s="333">
        <v>2</v>
      </c>
      <c r="E20" s="334">
        <v>2</v>
      </c>
      <c r="F20" s="266">
        <f t="shared" ref="F20:F27" si="1">VLOOKUP(B20,всецены,4,FALSE)</f>
        <v>46.353106799999999</v>
      </c>
      <c r="G20" s="266">
        <f>F20*E20</f>
        <v>92.706213599999998</v>
      </c>
      <c r="H20" s="28"/>
      <c r="I20" s="266" t="s">
        <v>138</v>
      </c>
      <c r="J20" s="266" t="str">
        <f t="shared" ref="J20:J27" si="2">VLOOKUP(I20,всецены,2,FALSE)</f>
        <v>SD, Дистанционный аморт,Ф8мм,993.0830.01</v>
      </c>
      <c r="K20" s="333"/>
      <c r="L20" s="334">
        <v>2</v>
      </c>
      <c r="M20" s="266">
        <f t="shared" ref="M20:M27" si="3">VLOOKUP(I20,всецены,4,FALSE)</f>
        <v>46.353106799999999</v>
      </c>
      <c r="N20" s="266">
        <f>M20*L20</f>
        <v>92.706213599999998</v>
      </c>
      <c r="O20" s="192"/>
      <c r="P20" s="266" t="s">
        <v>138</v>
      </c>
      <c r="Q20" s="266" t="str">
        <f t="shared" ref="Q20:Q27" si="4">VLOOKUP(P20,всецены,2,FALSE)</f>
        <v>SD, Дистанционный аморт,Ф8мм,993.0830.01</v>
      </c>
      <c r="R20" s="333"/>
      <c r="S20" s="334">
        <v>4</v>
      </c>
      <c r="T20" s="266">
        <f t="shared" ref="T20:T27" si="5">VLOOKUP(P20,всецены,4,FALSE)</f>
        <v>46.353106799999999</v>
      </c>
      <c r="U20" s="266">
        <f>T20*S20</f>
        <v>185.4124272</v>
      </c>
      <c r="V20" s="28"/>
      <c r="W20" s="266" t="s">
        <v>138</v>
      </c>
      <c r="X20" s="266" t="str">
        <f t="shared" ref="X20:X27" si="6">VLOOKUP(W20,всецены,2,FALSE)</f>
        <v>SD, Дистанционный аморт,Ф8мм,993.0830.01</v>
      </c>
      <c r="Y20" s="333"/>
      <c r="Z20" s="507">
        <v>6</v>
      </c>
      <c r="AA20" s="288">
        <f t="shared" ref="AA20:AA27" si="7">VLOOKUP(W20,всецены,4,FALSE)</f>
        <v>46.353106799999999</v>
      </c>
      <c r="AB20" s="266">
        <f>AA20*Z20</f>
        <v>278.11864079999998</v>
      </c>
      <c r="AF20" s="17"/>
    </row>
    <row r="21" spans="1:32" hidden="1" x14ac:dyDescent="0.2">
      <c r="B21" s="219" t="s">
        <v>1804</v>
      </c>
      <c r="C21" s="506" t="str">
        <f t="shared" si="0"/>
        <v xml:space="preserve">SD, Блок привода оптимиз,Z10A3000.02    </v>
      </c>
      <c r="D21" s="333"/>
      <c r="E21" s="334">
        <v>1</v>
      </c>
      <c r="F21" s="266">
        <f t="shared" si="1"/>
        <v>4509.2627580000008</v>
      </c>
      <c r="G21" s="266">
        <f t="shared" ref="G21:G27" si="8">F21*E21</f>
        <v>4509.2627580000008</v>
      </c>
      <c r="H21" s="28"/>
      <c r="I21" s="219" t="s">
        <v>1804</v>
      </c>
      <c r="J21" s="266" t="str">
        <f t="shared" si="2"/>
        <v xml:space="preserve">SD, Блок привода оптимиз,Z10A3000.02    </v>
      </c>
      <c r="K21" s="333"/>
      <c r="L21" s="334">
        <v>1</v>
      </c>
      <c r="M21" s="266">
        <f t="shared" si="3"/>
        <v>4509.2627580000008</v>
      </c>
      <c r="N21" s="266">
        <f t="shared" ref="N21:N27" si="9">M21*L21</f>
        <v>4509.2627580000008</v>
      </c>
      <c r="O21" s="192"/>
      <c r="P21" s="219" t="s">
        <v>1804</v>
      </c>
      <c r="Q21" s="266" t="str">
        <f t="shared" si="4"/>
        <v xml:space="preserve">SD, Блок привода оптимиз,Z10A3000.02    </v>
      </c>
      <c r="R21" s="333"/>
      <c r="S21" s="334">
        <v>2</v>
      </c>
      <c r="T21" s="266">
        <f t="shared" si="5"/>
        <v>4509.2627580000008</v>
      </c>
      <c r="U21" s="266">
        <f t="shared" ref="U21:U27" si="10">T21*S21</f>
        <v>9018.5255160000015</v>
      </c>
      <c r="V21" s="28"/>
      <c r="W21" s="219" t="s">
        <v>1804</v>
      </c>
      <c r="X21" s="266" t="str">
        <f t="shared" si="6"/>
        <v xml:space="preserve">SD, Блок привода оптимиз,Z10A3000.02    </v>
      </c>
      <c r="Y21" s="333"/>
      <c r="Z21" s="507">
        <v>3</v>
      </c>
      <c r="AA21" s="288">
        <f t="shared" si="7"/>
        <v>4509.2627580000008</v>
      </c>
      <c r="AB21" s="266">
        <f t="shared" ref="AB21:AB27" si="11">AA21*Z21</f>
        <v>13527.788274000002</v>
      </c>
      <c r="AF21" s="17"/>
    </row>
    <row r="22" spans="1:32" hidden="1" x14ac:dyDescent="0.2">
      <c r="B22" s="219" t="s">
        <v>2207</v>
      </c>
      <c r="C22" s="506" t="str">
        <f t="shared" si="0"/>
        <v xml:space="preserve">SD, Блок питания 72Вт,Z10NE020F         </v>
      </c>
      <c r="D22" s="333"/>
      <c r="E22" s="334">
        <v>1</v>
      </c>
      <c r="F22" s="266">
        <f t="shared" si="1"/>
        <v>6887.9090280000009</v>
      </c>
      <c r="G22" s="266">
        <f t="shared" si="8"/>
        <v>6887.9090280000009</v>
      </c>
      <c r="H22" s="28"/>
      <c r="I22" s="309" t="s">
        <v>2207</v>
      </c>
      <c r="J22" s="266" t="str">
        <f t="shared" si="2"/>
        <v xml:space="preserve">SD, Блок питания 72Вт,Z10NE020F         </v>
      </c>
      <c r="K22" s="333"/>
      <c r="L22" s="334">
        <v>1</v>
      </c>
      <c r="M22" s="266">
        <f t="shared" si="3"/>
        <v>6887.9090280000009</v>
      </c>
      <c r="N22" s="266">
        <f t="shared" si="9"/>
        <v>6887.9090280000009</v>
      </c>
      <c r="O22" s="192"/>
      <c r="P22" s="309" t="s">
        <v>2207</v>
      </c>
      <c r="Q22" s="266" t="str">
        <f t="shared" si="4"/>
        <v xml:space="preserve">SD, Блок питания 72Вт,Z10NE020F         </v>
      </c>
      <c r="R22" s="333"/>
      <c r="S22" s="334">
        <v>1</v>
      </c>
      <c r="T22" s="266">
        <f t="shared" si="5"/>
        <v>6887.9090280000009</v>
      </c>
      <c r="U22" s="266">
        <f t="shared" si="10"/>
        <v>6887.9090280000009</v>
      </c>
      <c r="V22" s="28"/>
      <c r="W22" s="309" t="s">
        <v>2207</v>
      </c>
      <c r="X22" s="266" t="str">
        <f t="shared" si="6"/>
        <v xml:space="preserve">SD, Блок питания 72Вт,Z10NE020F         </v>
      </c>
      <c r="Y22" s="333"/>
      <c r="Z22" s="507">
        <v>1</v>
      </c>
      <c r="AA22" s="288">
        <f t="shared" si="7"/>
        <v>6887.9090280000009</v>
      </c>
      <c r="AB22" s="266">
        <f t="shared" si="11"/>
        <v>6887.9090280000009</v>
      </c>
      <c r="AF22" s="17"/>
    </row>
    <row r="23" spans="1:32" hidden="1" x14ac:dyDescent="0.2">
      <c r="B23" s="219" t="s">
        <v>137</v>
      </c>
      <c r="C23" s="506" t="str">
        <f t="shared" si="0"/>
        <v>SD, Держ блока пит к дну с крыш,Z10NG000</v>
      </c>
      <c r="D23" s="333"/>
      <c r="E23" s="334">
        <v>1</v>
      </c>
      <c r="F23" s="266">
        <f t="shared" si="1"/>
        <v>518.82951120000007</v>
      </c>
      <c r="G23" s="266">
        <f t="shared" si="8"/>
        <v>518.82951120000007</v>
      </c>
      <c r="H23" s="28"/>
      <c r="I23" s="266" t="s">
        <v>137</v>
      </c>
      <c r="J23" s="266" t="str">
        <f t="shared" si="2"/>
        <v>SD, Держ блока пит к дну с крыш,Z10NG000</v>
      </c>
      <c r="K23" s="333"/>
      <c r="L23" s="334">
        <v>1</v>
      </c>
      <c r="M23" s="266">
        <f t="shared" si="3"/>
        <v>518.82951120000007</v>
      </c>
      <c r="N23" s="266">
        <f t="shared" si="9"/>
        <v>518.82951120000007</v>
      </c>
      <c r="O23" s="192"/>
      <c r="P23" s="266" t="s">
        <v>137</v>
      </c>
      <c r="Q23" s="266" t="str">
        <f t="shared" si="4"/>
        <v>SD, Держ блока пит к дну с крыш,Z10NG000</v>
      </c>
      <c r="R23" s="333"/>
      <c r="S23" s="334">
        <v>1</v>
      </c>
      <c r="T23" s="266">
        <f t="shared" si="5"/>
        <v>518.82951120000007</v>
      </c>
      <c r="U23" s="266">
        <f t="shared" si="10"/>
        <v>518.82951120000007</v>
      </c>
      <c r="V23" s="28"/>
      <c r="W23" s="266" t="s">
        <v>137</v>
      </c>
      <c r="X23" s="266" t="str">
        <f t="shared" si="6"/>
        <v>SD, Держ блока пит к дну с крыш,Z10NG000</v>
      </c>
      <c r="Y23" s="333"/>
      <c r="Z23" s="507">
        <v>1</v>
      </c>
      <c r="AA23" s="288">
        <f t="shared" si="7"/>
        <v>518.82951120000007</v>
      </c>
      <c r="AB23" s="266">
        <f t="shared" si="11"/>
        <v>518.82951120000007</v>
      </c>
      <c r="AF23" s="17"/>
    </row>
    <row r="24" spans="1:32" hidden="1" x14ac:dyDescent="0.2">
      <c r="B24" s="219" t="s">
        <v>571</v>
      </c>
      <c r="C24" s="506" t="str">
        <f t="shared" si="0"/>
        <v xml:space="preserve">SD, Соединительный узел,(6803145)       </v>
      </c>
      <c r="D24" s="333"/>
      <c r="E24" s="334">
        <v>1</v>
      </c>
      <c r="F24" s="266">
        <f t="shared" si="1"/>
        <v>145.56501960000003</v>
      </c>
      <c r="G24" s="266">
        <f t="shared" si="8"/>
        <v>145.56501960000003</v>
      </c>
      <c r="H24" s="28"/>
      <c r="I24" s="266" t="s">
        <v>571</v>
      </c>
      <c r="J24" s="266" t="str">
        <f t="shared" si="2"/>
        <v xml:space="preserve">SD, Соединительный узел,(6803145)       </v>
      </c>
      <c r="K24" s="333"/>
      <c r="L24" s="334">
        <v>1</v>
      </c>
      <c r="M24" s="266">
        <f t="shared" si="3"/>
        <v>145.56501960000003</v>
      </c>
      <c r="N24" s="266">
        <f t="shared" si="9"/>
        <v>145.56501960000003</v>
      </c>
      <c r="O24" s="192"/>
      <c r="P24" s="266" t="s">
        <v>571</v>
      </c>
      <c r="Q24" s="266" t="str">
        <f t="shared" si="4"/>
        <v xml:space="preserve">SD, Соединительный узел,(6803145)       </v>
      </c>
      <c r="R24" s="333"/>
      <c r="S24" s="334">
        <v>1</v>
      </c>
      <c r="T24" s="266">
        <f t="shared" si="5"/>
        <v>145.56501960000003</v>
      </c>
      <c r="U24" s="266">
        <f t="shared" si="10"/>
        <v>145.56501960000003</v>
      </c>
      <c r="V24" s="28"/>
      <c r="W24" s="266" t="s">
        <v>571</v>
      </c>
      <c r="X24" s="266" t="str">
        <f t="shared" si="6"/>
        <v xml:space="preserve">SD, Соединительный узел,(6803145)       </v>
      </c>
      <c r="Y24" s="333"/>
      <c r="Z24" s="507">
        <v>1</v>
      </c>
      <c r="AA24" s="288">
        <f t="shared" si="7"/>
        <v>145.56501960000003</v>
      </c>
      <c r="AB24" s="266">
        <f t="shared" si="11"/>
        <v>145.56501960000003</v>
      </c>
      <c r="AF24" s="17"/>
    </row>
    <row r="25" spans="1:32" hidden="1" x14ac:dyDescent="0.2">
      <c r="B25" s="219" t="s">
        <v>326</v>
      </c>
      <c r="C25" s="506" t="str">
        <f t="shared" si="0"/>
        <v xml:space="preserve">SD, Кабель сетевой д/Европы,Z10M200E    </v>
      </c>
      <c r="D25" s="333"/>
      <c r="E25" s="334">
        <v>1</v>
      </c>
      <c r="F25" s="266">
        <f t="shared" si="1"/>
        <v>531.02769720000003</v>
      </c>
      <c r="G25" s="266">
        <f t="shared" si="8"/>
        <v>531.02769720000003</v>
      </c>
      <c r="H25" s="28"/>
      <c r="I25" s="266" t="s">
        <v>326</v>
      </c>
      <c r="J25" s="266" t="str">
        <f t="shared" si="2"/>
        <v xml:space="preserve">SD, Кабель сетевой д/Европы,Z10M200E    </v>
      </c>
      <c r="K25" s="333"/>
      <c r="L25" s="334">
        <v>1</v>
      </c>
      <c r="M25" s="266">
        <f t="shared" si="3"/>
        <v>531.02769720000003</v>
      </c>
      <c r="N25" s="266">
        <f t="shared" si="9"/>
        <v>531.02769720000003</v>
      </c>
      <c r="O25" s="192"/>
      <c r="P25" s="266" t="s">
        <v>326</v>
      </c>
      <c r="Q25" s="266" t="str">
        <f t="shared" si="4"/>
        <v xml:space="preserve">SD, Кабель сетевой д/Европы,Z10M200E    </v>
      </c>
      <c r="R25" s="333"/>
      <c r="S25" s="334">
        <v>1</v>
      </c>
      <c r="T25" s="266">
        <f t="shared" si="5"/>
        <v>531.02769720000003</v>
      </c>
      <c r="U25" s="266">
        <f t="shared" si="10"/>
        <v>531.02769720000003</v>
      </c>
      <c r="V25" s="28"/>
      <c r="W25" s="266" t="s">
        <v>326</v>
      </c>
      <c r="X25" s="266" t="str">
        <f t="shared" si="6"/>
        <v xml:space="preserve">SD, Кабель сетевой д/Европы,Z10M200E    </v>
      </c>
      <c r="Y25" s="333"/>
      <c r="Z25" s="507">
        <v>1</v>
      </c>
      <c r="AA25" s="288">
        <f t="shared" si="7"/>
        <v>531.02769720000003</v>
      </c>
      <c r="AB25" s="266">
        <f t="shared" si="11"/>
        <v>531.02769720000003</v>
      </c>
      <c r="AF25" s="17"/>
    </row>
    <row r="26" spans="1:32" hidden="1" x14ac:dyDescent="0.2">
      <c r="B26" s="219" t="s">
        <v>139</v>
      </c>
      <c r="C26" s="506" t="str">
        <f t="shared" si="0"/>
        <v xml:space="preserve">SD, Защита концов кабеля,Z10K0008       </v>
      </c>
      <c r="D26" s="333"/>
      <c r="E26" s="334">
        <v>2</v>
      </c>
      <c r="F26" s="266">
        <f t="shared" si="1"/>
        <v>30.902071199999998</v>
      </c>
      <c r="G26" s="266">
        <f t="shared" si="8"/>
        <v>61.804142399999996</v>
      </c>
      <c r="H26" s="28"/>
      <c r="I26" s="266" t="s">
        <v>139</v>
      </c>
      <c r="J26" s="266" t="str">
        <f t="shared" si="2"/>
        <v xml:space="preserve">SD, Защита концов кабеля,Z10K0008       </v>
      </c>
      <c r="K26" s="333"/>
      <c r="L26" s="334">
        <v>2</v>
      </c>
      <c r="M26" s="266">
        <f t="shared" si="3"/>
        <v>30.902071199999998</v>
      </c>
      <c r="N26" s="266">
        <f t="shared" si="9"/>
        <v>61.804142399999996</v>
      </c>
      <c r="O26" s="192"/>
      <c r="P26" s="266" t="s">
        <v>139</v>
      </c>
      <c r="Q26" s="266" t="str">
        <f t="shared" si="4"/>
        <v xml:space="preserve">SD, Защита концов кабеля,Z10K0008       </v>
      </c>
      <c r="R26" s="333"/>
      <c r="S26" s="334">
        <v>2</v>
      </c>
      <c r="T26" s="266">
        <f t="shared" si="5"/>
        <v>30.902071199999998</v>
      </c>
      <c r="U26" s="266">
        <f t="shared" si="10"/>
        <v>61.804142399999996</v>
      </c>
      <c r="V26" s="28"/>
      <c r="W26" s="266" t="s">
        <v>139</v>
      </c>
      <c r="X26" s="266" t="str">
        <f t="shared" si="6"/>
        <v xml:space="preserve">SD, Защита концов кабеля,Z10K0008       </v>
      </c>
      <c r="Y26" s="333"/>
      <c r="Z26" s="507">
        <v>2</v>
      </c>
      <c r="AA26" s="288">
        <f t="shared" si="7"/>
        <v>30.902071199999998</v>
      </c>
      <c r="AB26" s="266">
        <f t="shared" si="11"/>
        <v>61.804142399999996</v>
      </c>
      <c r="AF26" s="17"/>
    </row>
    <row r="27" spans="1:32" hidden="1" x14ac:dyDescent="0.2">
      <c r="B27" s="219" t="s">
        <v>327</v>
      </c>
      <c r="C27" s="506" t="str">
        <f t="shared" si="0"/>
        <v xml:space="preserve">SD, Кабель электрический, 6м,Z10K600A   </v>
      </c>
      <c r="D27" s="333"/>
      <c r="E27" s="334">
        <v>0</v>
      </c>
      <c r="F27" s="266">
        <f t="shared" si="1"/>
        <v>1440.1991604</v>
      </c>
      <c r="G27" s="266">
        <f t="shared" si="8"/>
        <v>0</v>
      </c>
      <c r="H27" s="28"/>
      <c r="I27" s="266" t="s">
        <v>327</v>
      </c>
      <c r="J27" s="266" t="str">
        <f t="shared" si="2"/>
        <v xml:space="preserve">SD, Кабель электрический, 6м,Z10K600A   </v>
      </c>
      <c r="K27" s="333"/>
      <c r="L27" s="334">
        <v>0</v>
      </c>
      <c r="M27" s="266">
        <f t="shared" si="3"/>
        <v>1440.1991604</v>
      </c>
      <c r="N27" s="266">
        <f t="shared" si="9"/>
        <v>0</v>
      </c>
      <c r="O27" s="192"/>
      <c r="P27" s="266" t="s">
        <v>327</v>
      </c>
      <c r="Q27" s="266" t="str">
        <f t="shared" si="4"/>
        <v xml:space="preserve">SD, Кабель электрический, 6м,Z10K600A   </v>
      </c>
      <c r="R27" s="333"/>
      <c r="S27" s="334">
        <v>0</v>
      </c>
      <c r="T27" s="266">
        <f t="shared" si="5"/>
        <v>1440.1991604</v>
      </c>
      <c r="U27" s="266">
        <f t="shared" si="10"/>
        <v>0</v>
      </c>
      <c r="V27" s="28"/>
      <c r="W27" s="266" t="s">
        <v>327</v>
      </c>
      <c r="X27" s="266" t="str">
        <f t="shared" si="6"/>
        <v xml:space="preserve">SD, Кабель электрический, 6м,Z10K600A   </v>
      </c>
      <c r="Y27" s="333"/>
      <c r="Z27" s="507">
        <v>0</v>
      </c>
      <c r="AA27" s="288">
        <f t="shared" si="7"/>
        <v>1440.1991604</v>
      </c>
      <c r="AB27" s="266">
        <f t="shared" si="11"/>
        <v>0</v>
      </c>
      <c r="AF27" s="17"/>
    </row>
    <row r="28" spans="1:32" hidden="1" x14ac:dyDescent="0.2">
      <c r="B28" s="192"/>
      <c r="C28" s="508"/>
      <c r="D28" s="135"/>
      <c r="E28" s="193"/>
      <c r="F28" s="192"/>
      <c r="G28" s="192">
        <f>SUM(G20:G27)</f>
        <v>12747.104370000001</v>
      </c>
      <c r="H28" s="28"/>
      <c r="I28" s="192"/>
      <c r="J28" s="192"/>
      <c r="K28" s="135"/>
      <c r="L28" s="135"/>
      <c r="M28" s="192"/>
      <c r="N28" s="192">
        <f>SUM(N20:N27)</f>
        <v>12747.104370000001</v>
      </c>
      <c r="O28" s="192"/>
      <c r="P28" s="192"/>
      <c r="Q28" s="192"/>
      <c r="R28" s="135"/>
      <c r="S28" s="135"/>
      <c r="T28" s="280"/>
      <c r="U28" s="286">
        <f>SUM(U20:U27)</f>
        <v>17349.073341600004</v>
      </c>
      <c r="V28" s="28"/>
      <c r="W28" s="192"/>
      <c r="X28" s="192"/>
      <c r="Y28" s="135"/>
      <c r="Z28" s="509"/>
      <c r="AA28" s="279"/>
      <c r="AB28" s="282">
        <f>SUM(AB20:AB27)</f>
        <v>21951.042313200003</v>
      </c>
      <c r="AF28" s="17"/>
    </row>
    <row r="29" spans="1:32" x14ac:dyDescent="0.2">
      <c r="A29" s="2178" t="s">
        <v>1266</v>
      </c>
      <c r="B29" s="219" t="s">
        <v>138</v>
      </c>
      <c r="C29" s="506" t="str">
        <f t="shared" ref="C29:C36" si="12">VLOOKUP(B29,всецены,2,FALSE)</f>
        <v>SD, Дистанционный аморт,Ф8мм,993.0830.01</v>
      </c>
      <c r="D29" s="333">
        <v>2</v>
      </c>
      <c r="E29" s="334">
        <f>D29*C10</f>
        <v>0</v>
      </c>
      <c r="F29" s="266">
        <f>VLOOKUP(B29,всецены,4,FALSE)</f>
        <v>46.353106799999999</v>
      </c>
      <c r="G29" s="266">
        <f>F29*E29</f>
        <v>0</v>
      </c>
      <c r="H29" s="28"/>
      <c r="I29" s="28"/>
      <c r="J29" s="28"/>
      <c r="K29" s="28"/>
      <c r="L29" s="28"/>
      <c r="M29" s="28"/>
      <c r="N29" s="28"/>
      <c r="O29" s="192"/>
      <c r="P29" s="192"/>
      <c r="Q29" s="192"/>
      <c r="R29" s="192"/>
      <c r="S29" s="192"/>
      <c r="T29" s="192"/>
      <c r="U29" s="192"/>
      <c r="V29" s="28"/>
      <c r="W29" s="28"/>
      <c r="X29" s="28"/>
      <c r="Y29" s="28"/>
      <c r="Z29" s="452"/>
      <c r="AF29" s="17"/>
    </row>
    <row r="30" spans="1:32" x14ac:dyDescent="0.2">
      <c r="A30" s="2178"/>
      <c r="B30" s="219" t="s">
        <v>1804</v>
      </c>
      <c r="C30" s="506" t="str">
        <f t="shared" si="12"/>
        <v xml:space="preserve">SD, Блок привода оптимиз,Z10A3000.02    </v>
      </c>
      <c r="D30" s="333"/>
      <c r="E30" s="334">
        <f>C10</f>
        <v>0</v>
      </c>
      <c r="F30" s="266">
        <f t="shared" ref="F30:F36" si="13">VLOOKUP(B30,всецены,4,FALSE)</f>
        <v>4509.2627580000008</v>
      </c>
      <c r="G30" s="266">
        <f t="shared" ref="G30:G36" si="14">F30*E30</f>
        <v>0</v>
      </c>
      <c r="H30" s="28"/>
      <c r="I30" s="28"/>
      <c r="J30" s="28"/>
      <c r="K30" s="28"/>
      <c r="L30" s="28"/>
      <c r="M30" s="28"/>
      <c r="N30" s="28"/>
      <c r="O30" s="192"/>
      <c r="P30" s="192"/>
      <c r="Q30" s="192"/>
      <c r="R30" s="192"/>
      <c r="S30" s="192"/>
      <c r="T30" s="192"/>
      <c r="U30" s="192"/>
      <c r="V30" s="28"/>
      <c r="W30" s="28"/>
      <c r="X30" s="28"/>
      <c r="Y30" s="28"/>
      <c r="Z30" s="452"/>
      <c r="AF30" s="17"/>
    </row>
    <row r="31" spans="1:32" x14ac:dyDescent="0.2">
      <c r="B31" s="219" t="s">
        <v>2207</v>
      </c>
      <c r="C31" s="506" t="str">
        <f t="shared" si="12"/>
        <v xml:space="preserve">SD, Блок питания 72Вт,Z10NE020F         </v>
      </c>
      <c r="D31" s="333"/>
      <c r="E31" s="334">
        <f>IF(C8+J8+Q8+X8=0,0,1)</f>
        <v>0</v>
      </c>
      <c r="F31" s="266">
        <f t="shared" si="13"/>
        <v>6887.9090280000009</v>
      </c>
      <c r="G31" s="266">
        <f t="shared" si="14"/>
        <v>0</v>
      </c>
      <c r="H31" s="28"/>
      <c r="I31" s="192"/>
      <c r="J31" s="192"/>
      <c r="K31" s="135"/>
      <c r="L31" s="135"/>
      <c r="M31" s="192"/>
      <c r="N31" s="192"/>
      <c r="O31" s="192"/>
      <c r="P31" s="192"/>
      <c r="Q31" s="192"/>
      <c r="R31" s="192"/>
      <c r="S31" s="192"/>
      <c r="T31" s="192"/>
      <c r="U31" s="192"/>
      <c r="V31" s="28"/>
      <c r="W31" s="28"/>
      <c r="X31" s="28"/>
      <c r="Y31" s="28"/>
      <c r="Z31" s="452"/>
      <c r="AF31" s="17"/>
    </row>
    <row r="32" spans="1:32" x14ac:dyDescent="0.2">
      <c r="B32" s="219" t="s">
        <v>137</v>
      </c>
      <c r="C32" s="506" t="str">
        <f t="shared" si="12"/>
        <v>SD, Держ блока пит к дну с крыш,Z10NG000</v>
      </c>
      <c r="D32" s="333"/>
      <c r="E32" s="334">
        <f>IF(C8+J8+Q8+X8=0,0,1)</f>
        <v>0</v>
      </c>
      <c r="F32" s="266">
        <f t="shared" si="13"/>
        <v>518.82951120000007</v>
      </c>
      <c r="G32" s="266">
        <f t="shared" si="14"/>
        <v>0</v>
      </c>
      <c r="H32" s="28"/>
      <c r="I32" s="192"/>
      <c r="J32" s="192"/>
      <c r="K32" s="135"/>
      <c r="L32" s="135"/>
      <c r="M32" s="192"/>
      <c r="N32" s="192"/>
      <c r="O32" s="192"/>
      <c r="P32" s="192"/>
      <c r="Q32" s="192"/>
      <c r="R32" s="192"/>
      <c r="S32" s="192"/>
      <c r="T32" s="192"/>
      <c r="U32" s="192"/>
      <c r="V32" s="28"/>
      <c r="W32" s="28"/>
      <c r="X32" s="28"/>
      <c r="Y32" s="28"/>
      <c r="Z32" s="452"/>
      <c r="AF32" s="17"/>
    </row>
    <row r="33" spans="1:49" x14ac:dyDescent="0.2">
      <c r="B33" s="219" t="s">
        <v>1394</v>
      </c>
      <c r="C33" s="506" t="str">
        <f t="shared" si="12"/>
        <v xml:space="preserve">SD, Соединительный узел,Z10V1000.01     </v>
      </c>
      <c r="D33" s="333"/>
      <c r="E33" s="334">
        <f>IF((C8+J8+Q8+X8)=0,0,IF(AD8=1,1,AC8+1))</f>
        <v>0</v>
      </c>
      <c r="F33" s="266">
        <f t="shared" si="13"/>
        <v>368.3852172</v>
      </c>
      <c r="G33" s="266">
        <f t="shared" si="14"/>
        <v>0</v>
      </c>
      <c r="H33" s="28"/>
      <c r="I33" s="192"/>
      <c r="J33" s="192"/>
      <c r="K33" s="135"/>
      <c r="L33" s="135"/>
      <c r="M33" s="192"/>
      <c r="N33" s="192"/>
      <c r="O33" s="192"/>
      <c r="P33" s="192"/>
      <c r="Q33" s="192"/>
      <c r="R33" s="192"/>
      <c r="S33" s="192"/>
      <c r="T33" s="192"/>
      <c r="U33" s="192"/>
      <c r="V33" s="28"/>
      <c r="W33" s="28"/>
      <c r="X33" s="28"/>
      <c r="Y33" s="28"/>
      <c r="Z33" s="452"/>
      <c r="AF33" s="17"/>
    </row>
    <row r="34" spans="1:49" x14ac:dyDescent="0.2">
      <c r="B34" s="219" t="s">
        <v>326</v>
      </c>
      <c r="C34" s="506" t="str">
        <f t="shared" si="12"/>
        <v xml:space="preserve">SD, Кабель сетевой д/Европы,Z10M200E    </v>
      </c>
      <c r="D34" s="333"/>
      <c r="E34" s="334">
        <f>IF(C8+J8+Q8+X8=0,0,1)</f>
        <v>0</v>
      </c>
      <c r="F34" s="266">
        <f t="shared" si="13"/>
        <v>531.02769720000003</v>
      </c>
      <c r="G34" s="266">
        <f t="shared" si="14"/>
        <v>0</v>
      </c>
      <c r="H34" s="28"/>
      <c r="I34" s="192"/>
      <c r="J34" s="192"/>
      <c r="K34" s="135"/>
      <c r="L34" s="135"/>
      <c r="M34" s="192"/>
      <c r="N34" s="192"/>
      <c r="O34" s="310"/>
      <c r="P34" s="192"/>
      <c r="Q34" s="192"/>
      <c r="R34" s="192"/>
      <c r="S34" s="192"/>
      <c r="T34" s="192"/>
      <c r="U34" s="192"/>
      <c r="V34" s="28"/>
      <c r="W34" s="28"/>
      <c r="X34" s="28"/>
      <c r="Y34" s="28"/>
      <c r="Z34" s="452"/>
      <c r="AC34" s="8"/>
      <c r="AF34" s="17"/>
    </row>
    <row r="35" spans="1:49" x14ac:dyDescent="0.2">
      <c r="B35" s="219" t="s">
        <v>139</v>
      </c>
      <c r="C35" s="506" t="str">
        <f t="shared" si="12"/>
        <v xml:space="preserve">SD, Защита концов кабеля,Z10K0008       </v>
      </c>
      <c r="D35" s="333"/>
      <c r="E35" s="334">
        <f>IF((C8+J8+Q8+X8)=0,0,IF(AD8=1,E33+1,E33+2))</f>
        <v>0</v>
      </c>
      <c r="F35" s="266">
        <f t="shared" si="13"/>
        <v>30.902071199999998</v>
      </c>
      <c r="G35" s="266">
        <f t="shared" si="14"/>
        <v>0</v>
      </c>
      <c r="H35" s="152"/>
      <c r="I35" s="192"/>
      <c r="J35" s="192"/>
      <c r="K35" s="135"/>
      <c r="L35" s="135"/>
      <c r="M35" s="192"/>
      <c r="N35" s="192"/>
      <c r="O35" s="28"/>
      <c r="P35" s="28"/>
      <c r="Q35" s="28"/>
      <c r="R35" s="28"/>
      <c r="S35" s="28"/>
      <c r="T35" s="28"/>
      <c r="U35" s="28"/>
      <c r="V35" s="28"/>
      <c r="W35" s="28"/>
      <c r="X35" s="28"/>
      <c r="Y35" s="28"/>
      <c r="Z35" s="452"/>
      <c r="AF35" s="17"/>
    </row>
    <row r="36" spans="1:49" ht="13.5" thickBot="1" x14ac:dyDescent="0.25">
      <c r="B36" s="219" t="s">
        <v>327</v>
      </c>
      <c r="C36" s="510" t="str">
        <f t="shared" si="12"/>
        <v xml:space="preserve">SD, Кабель электрический, 6м,Z10K600A   </v>
      </c>
      <c r="D36" s="511"/>
      <c r="E36" s="512">
        <f>IF((C8+J8+Q8+X8)=0,0,IF(AD8=1,0,1))</f>
        <v>0</v>
      </c>
      <c r="F36" s="513">
        <f t="shared" si="13"/>
        <v>1440.1991604</v>
      </c>
      <c r="G36" s="513">
        <f t="shared" si="14"/>
        <v>0</v>
      </c>
      <c r="H36" s="413"/>
      <c r="I36" s="514"/>
      <c r="J36" s="514"/>
      <c r="K36" s="515"/>
      <c r="L36" s="515"/>
      <c r="M36" s="514"/>
      <c r="N36" s="514"/>
      <c r="O36" s="126"/>
      <c r="P36" s="126"/>
      <c r="Q36" s="126"/>
      <c r="R36" s="126"/>
      <c r="S36" s="126"/>
      <c r="T36" s="126"/>
      <c r="U36" s="126"/>
      <c r="V36" s="126"/>
      <c r="W36" s="126"/>
      <c r="X36" s="126"/>
      <c r="Y36" s="126"/>
      <c r="Z36" s="516"/>
      <c r="AF36" s="17"/>
    </row>
    <row r="37" spans="1:49" hidden="1" x14ac:dyDescent="0.2">
      <c r="B37" s="278"/>
      <c r="C37" s="192"/>
      <c r="D37" s="135"/>
      <c r="E37" s="193"/>
      <c r="F37" s="192"/>
      <c r="G37" s="192">
        <f>SUM(G29:G36)</f>
        <v>0</v>
      </c>
      <c r="H37" s="28"/>
      <c r="I37" s="192"/>
      <c r="J37" s="192"/>
      <c r="K37" s="135"/>
      <c r="L37" s="135"/>
      <c r="M37" s="192"/>
      <c r="N37" s="192"/>
      <c r="O37" s="28"/>
      <c r="P37" s="28"/>
      <c r="Q37" s="28"/>
      <c r="R37" s="28"/>
      <c r="S37" s="28"/>
      <c r="T37" s="28"/>
      <c r="U37" s="28"/>
      <c r="V37" s="28"/>
      <c r="W37" s="28"/>
      <c r="X37" s="28"/>
      <c r="Y37" s="28"/>
      <c r="Z37" s="28"/>
      <c r="AF37" s="17"/>
    </row>
    <row r="38" spans="1:49" x14ac:dyDescent="0.2">
      <c r="F38" s="192"/>
      <c r="G38" s="192"/>
      <c r="H38" s="28"/>
      <c r="I38" s="192"/>
      <c r="K38" s="135"/>
      <c r="L38" s="135"/>
      <c r="M38" s="192"/>
      <c r="N38" s="192"/>
      <c r="O38" s="28"/>
      <c r="P38" s="28"/>
      <c r="Q38" s="28"/>
      <c r="R38" s="28"/>
      <c r="S38" s="28"/>
      <c r="T38" s="28"/>
      <c r="U38" s="28"/>
      <c r="V38" s="28"/>
      <c r="W38" s="28"/>
      <c r="X38" s="28"/>
      <c r="Y38" s="28"/>
      <c r="Z38" s="28"/>
      <c r="AF38" s="17"/>
    </row>
    <row r="39" spans="1:49" ht="17.100000000000001" customHeight="1" x14ac:dyDescent="0.25">
      <c r="A39" s="181" t="s">
        <v>1779</v>
      </c>
      <c r="B39" s="253"/>
      <c r="C39" s="318">
        <f>G15+N15+U18+AB18+G37</f>
        <v>0</v>
      </c>
      <c r="D39" s="319"/>
      <c r="E39" s="320"/>
      <c r="F39" s="320"/>
      <c r="G39" s="320"/>
      <c r="H39" s="321"/>
      <c r="I39" s="321"/>
      <c r="J39" s="86" t="str">
        <f>IF(СОДЕРЖАНИЕ!P2=1,"EUR","RUB")</f>
        <v>RUB</v>
      </c>
      <c r="K39" s="134"/>
      <c r="L39" s="330"/>
      <c r="M39" s="330"/>
      <c r="N39" s="330"/>
      <c r="O39" s="330"/>
      <c r="P39" s="330"/>
      <c r="Q39" s="23"/>
      <c r="R39" s="23"/>
      <c r="S39" s="23"/>
      <c r="T39" s="23"/>
      <c r="U39" s="23"/>
      <c r="V39" s="337"/>
      <c r="W39" s="337"/>
      <c r="X39" s="23"/>
      <c r="Y39" s="23"/>
      <c r="Z39" s="23"/>
      <c r="AA39" s="26"/>
      <c r="AB39" s="26"/>
      <c r="AC39" s="78"/>
      <c r="AD39" s="182"/>
      <c r="AE39" s="182"/>
      <c r="AF39" s="17"/>
      <c r="AT39"/>
      <c r="AU39"/>
      <c r="AV39"/>
      <c r="AW39"/>
    </row>
    <row r="40" spans="1:49" ht="8.1" customHeight="1" x14ac:dyDescent="0.25">
      <c r="A40" s="314"/>
      <c r="B40" s="192"/>
      <c r="C40" s="322"/>
      <c r="D40" s="323"/>
      <c r="E40" s="324"/>
      <c r="F40" s="324"/>
      <c r="G40" s="324"/>
      <c r="H40" s="325"/>
      <c r="I40" s="325"/>
      <c r="J40" s="87"/>
      <c r="K40" s="134"/>
      <c r="L40" s="134"/>
      <c r="M40" s="134"/>
      <c r="N40" s="134"/>
      <c r="O40" s="134"/>
      <c r="P40" s="134"/>
      <c r="Q40" s="26"/>
      <c r="R40" s="26"/>
      <c r="S40" s="26"/>
      <c r="T40" s="26"/>
      <c r="U40" s="26"/>
      <c r="V40" s="216"/>
      <c r="W40" s="216"/>
      <c r="X40" s="26"/>
      <c r="Y40" s="26"/>
      <c r="Z40" s="26"/>
      <c r="AA40" s="26"/>
      <c r="AB40" s="26"/>
      <c r="AC40" s="78"/>
      <c r="AD40" s="182"/>
      <c r="AE40" s="182"/>
      <c r="AF40" s="17"/>
      <c r="AT40"/>
      <c r="AU40"/>
      <c r="AV40"/>
      <c r="AW40"/>
    </row>
    <row r="41" spans="1:49" s="262" customFormat="1" ht="17.100000000000001" customHeight="1" x14ac:dyDescent="0.25">
      <c r="A41" s="2177" t="s">
        <v>1438</v>
      </c>
      <c r="B41" s="2177"/>
      <c r="C41" s="2177"/>
      <c r="D41" s="2177"/>
      <c r="E41" s="2177"/>
      <c r="F41" s="2177"/>
      <c r="G41" s="2177"/>
      <c r="H41" s="2177"/>
      <c r="I41" s="321"/>
      <c r="J41" s="318">
        <f>IF(AC8=0,G31+G34+G32-G36,G31+G34+G32-G36+AB18*(AD5-1))</f>
        <v>0</v>
      </c>
      <c r="K41" s="319"/>
      <c r="L41" s="86" t="str">
        <f>IF(СОДЕРЖАНИЕ!P2=1,"EUR","RUB")</f>
        <v>RUB</v>
      </c>
      <c r="M41" s="320"/>
      <c r="N41" s="320"/>
      <c r="O41" s="321"/>
      <c r="P41" s="321"/>
      <c r="Q41" s="331"/>
      <c r="R41" s="255"/>
      <c r="S41" s="329"/>
      <c r="T41" s="329"/>
      <c r="U41" s="329"/>
      <c r="V41" s="338"/>
      <c r="W41" s="338"/>
      <c r="X41" s="329"/>
      <c r="Y41" s="329"/>
      <c r="Z41" s="329"/>
      <c r="AA41" s="255"/>
      <c r="AB41" s="255"/>
      <c r="AC41" s="257"/>
      <c r="AD41" s="258"/>
      <c r="AE41" s="258"/>
      <c r="AF41" s="331"/>
      <c r="AG41" s="259"/>
      <c r="AH41" s="259"/>
      <c r="AI41" s="259"/>
      <c r="AJ41" s="259"/>
      <c r="AK41" s="259"/>
      <c r="AL41" s="259"/>
      <c r="AM41" s="259"/>
      <c r="AN41" s="259"/>
      <c r="AO41" s="259"/>
      <c r="AP41" s="259"/>
      <c r="AQ41" s="259"/>
      <c r="AR41" s="259"/>
      <c r="AS41" s="259"/>
    </row>
    <row r="42" spans="1:49" x14ac:dyDescent="0.2">
      <c r="AF42" s="8"/>
    </row>
    <row r="43" spans="1:49" x14ac:dyDescent="0.2">
      <c r="AF43" s="8"/>
    </row>
    <row r="44" spans="1:49" x14ac:dyDescent="0.2">
      <c r="AF44" s="8"/>
    </row>
    <row r="45" spans="1:49" x14ac:dyDescent="0.2">
      <c r="AF45" s="8"/>
    </row>
    <row r="46" spans="1:49" x14ac:dyDescent="0.2">
      <c r="AF46" s="8"/>
    </row>
    <row r="47" spans="1:49" x14ac:dyDescent="0.2">
      <c r="AF47" s="8"/>
    </row>
    <row r="48" spans="1:49" x14ac:dyDescent="0.2">
      <c r="AF48" s="8"/>
    </row>
    <row r="49" spans="32:32" x14ac:dyDescent="0.2">
      <c r="AF49" s="8"/>
    </row>
    <row r="50" spans="32:32" x14ac:dyDescent="0.2">
      <c r="AF50" s="8"/>
    </row>
    <row r="51" spans="32:32" x14ac:dyDescent="0.2">
      <c r="AF51" s="8"/>
    </row>
    <row r="52" spans="32:32" x14ac:dyDescent="0.2">
      <c r="AF52" s="8"/>
    </row>
    <row r="53" spans="32:32" x14ac:dyDescent="0.2">
      <c r="AF53" s="8"/>
    </row>
    <row r="54" spans="32:32" x14ac:dyDescent="0.2">
      <c r="AF54" s="8"/>
    </row>
    <row r="55" spans="32:32" x14ac:dyDescent="0.2">
      <c r="AF55" s="8"/>
    </row>
    <row r="56" spans="32:32" x14ac:dyDescent="0.2">
      <c r="AF56" s="8"/>
    </row>
    <row r="57" spans="32:32" x14ac:dyDescent="0.2">
      <c r="AF57" s="8"/>
    </row>
    <row r="58" spans="32:32" x14ac:dyDescent="0.2">
      <c r="AF58" s="8"/>
    </row>
    <row r="59" spans="32:32" x14ac:dyDescent="0.2">
      <c r="AF59" s="8"/>
    </row>
    <row r="60" spans="32:32" x14ac:dyDescent="0.2">
      <c r="AF60" s="8"/>
    </row>
    <row r="61" spans="32:32" x14ac:dyDescent="0.2">
      <c r="AF61" s="8"/>
    </row>
    <row r="62" spans="32:32" x14ac:dyDescent="0.2">
      <c r="AF62" s="8"/>
    </row>
    <row r="63" spans="32:32" x14ac:dyDescent="0.2">
      <c r="AF63" s="8"/>
    </row>
    <row r="64" spans="32:32" x14ac:dyDescent="0.2">
      <c r="AF64" s="8"/>
    </row>
    <row r="65" spans="32:32" x14ac:dyDescent="0.2">
      <c r="AF65" s="8"/>
    </row>
    <row r="66" spans="32:32" x14ac:dyDescent="0.2">
      <c r="AF66" s="8"/>
    </row>
    <row r="67" spans="32:32" x14ac:dyDescent="0.2">
      <c r="AF67" s="8"/>
    </row>
    <row r="68" spans="32:32" x14ac:dyDescent="0.2">
      <c r="AF68" s="8"/>
    </row>
    <row r="69" spans="32:32" x14ac:dyDescent="0.2">
      <c r="AF69" s="8"/>
    </row>
    <row r="70" spans="32:32" x14ac:dyDescent="0.2">
      <c r="AF70" s="8"/>
    </row>
    <row r="71" spans="32:32" x14ac:dyDescent="0.2">
      <c r="AF71" s="8"/>
    </row>
    <row r="72" spans="32:32" x14ac:dyDescent="0.2">
      <c r="AF72" s="8"/>
    </row>
    <row r="73" spans="32:32" x14ac:dyDescent="0.2">
      <c r="AF73" s="8"/>
    </row>
    <row r="74" spans="32:32" x14ac:dyDescent="0.2">
      <c r="AF74" s="8"/>
    </row>
    <row r="75" spans="32:32" x14ac:dyDescent="0.2">
      <c r="AF75" s="8"/>
    </row>
    <row r="76" spans="32:32" x14ac:dyDescent="0.2">
      <c r="AF76" s="8"/>
    </row>
    <row r="77" spans="32:32" x14ac:dyDescent="0.2">
      <c r="AF77" s="8"/>
    </row>
    <row r="78" spans="32:32" x14ac:dyDescent="0.2">
      <c r="AF78" s="8"/>
    </row>
    <row r="79" spans="32:32" x14ac:dyDescent="0.2">
      <c r="AF79" s="8"/>
    </row>
    <row r="80" spans="32:32" x14ac:dyDescent="0.2">
      <c r="AF80" s="8"/>
    </row>
    <row r="81" spans="32:32" x14ac:dyDescent="0.2">
      <c r="AF81" s="8"/>
    </row>
    <row r="82" spans="32:32" x14ac:dyDescent="0.2">
      <c r="AF82" s="8"/>
    </row>
    <row r="83" spans="32:32" x14ac:dyDescent="0.2">
      <c r="AF83" s="8"/>
    </row>
    <row r="84" spans="32:32" x14ac:dyDescent="0.2">
      <c r="AF84" s="8"/>
    </row>
  </sheetData>
  <protectedRanges>
    <protectedRange sqref="C8 J8 Q8 X8" name="Диапазон1"/>
  </protectedRanges>
  <customSheetViews>
    <customSheetView guid="{788B8383-784A-4263-9D04-45657AC129FF}" hiddenRows="1" hiddenColumns="1">
      <selection activeCell="X44" sqref="X44"/>
      <pageMargins left="0.75" right="0.75" top="1" bottom="1" header="0.5" footer="0.5"/>
      <pageSetup paperSize="9" orientation="portrait" r:id="rId1"/>
      <headerFooter alignWithMargins="0"/>
    </customSheetView>
  </customSheetViews>
  <mergeCells count="8">
    <mergeCell ref="A41:H41"/>
    <mergeCell ref="A29:A30"/>
    <mergeCell ref="A1:AB2"/>
    <mergeCell ref="I6:K6"/>
    <mergeCell ref="A12:AB12"/>
    <mergeCell ref="A9:A10"/>
    <mergeCell ref="A3:A4"/>
    <mergeCell ref="A15:A16"/>
  </mergeCells>
  <phoneticPr fontId="2" type="noConversion"/>
  <pageMargins left="0.75" right="0.75" top="1" bottom="1" header="0.5" footer="0.5"/>
  <pageSetup paperSize="9" orientation="portrait" r:id="rId2"/>
  <headerFooter alignWithMargins="0"/>
  <drawing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Лист14"/>
  <dimension ref="A1:AP201"/>
  <sheetViews>
    <sheetView workbookViewId="0">
      <selection activeCell="C11" sqref="C11"/>
    </sheetView>
  </sheetViews>
  <sheetFormatPr defaultRowHeight="12.75" x14ac:dyDescent="0.2"/>
  <cols>
    <col min="1" max="1" width="2.42578125" style="8" customWidth="1"/>
    <col min="2" max="2" width="36.42578125" customWidth="1"/>
    <col min="3" max="3" width="15" style="48" bestFit="1" customWidth="1"/>
    <col min="4" max="4" width="41.85546875" style="48" bestFit="1" customWidth="1"/>
    <col min="5" max="5" width="8.140625" style="27" hidden="1" customWidth="1"/>
    <col min="6" max="6" width="6.7109375" style="53" customWidth="1"/>
    <col min="7" max="7" width="9.140625" style="8"/>
    <col min="8" max="8" width="9.5703125" style="37" bestFit="1" customWidth="1"/>
    <col min="9" max="9" width="9.140625" style="8"/>
    <col min="10" max="10" width="5" style="8" hidden="1" customWidth="1"/>
    <col min="11" max="11" width="8.5703125" style="8" hidden="1" customWidth="1"/>
    <col min="12" max="12" width="7.42578125" style="8" hidden="1" customWidth="1"/>
    <col min="13" max="13" width="2" style="8" hidden="1" customWidth="1"/>
    <col min="14" max="14" width="7.42578125" style="8" hidden="1" customWidth="1"/>
    <col min="15" max="16" width="2" style="8" hidden="1" customWidth="1"/>
    <col min="17" max="18" width="9.140625" style="8" hidden="1" customWidth="1"/>
    <col min="19" max="19" width="2" style="8" hidden="1" customWidth="1"/>
    <col min="20" max="20" width="3.28515625" style="8" hidden="1" customWidth="1"/>
    <col min="21" max="23" width="9.140625" style="8" hidden="1" customWidth="1"/>
    <col min="24" max="24" width="4.85546875" style="8" hidden="1" customWidth="1"/>
    <col min="25" max="27" width="9.140625" style="8" hidden="1" customWidth="1"/>
    <col min="28" max="42" width="9.140625" style="8"/>
  </cols>
  <sheetData>
    <row r="1" spans="1:42" s="771" customFormat="1" ht="6" customHeight="1" thickBot="1" x14ac:dyDescent="0.25">
      <c r="C1" s="802"/>
      <c r="D1" s="802"/>
      <c r="E1" s="803"/>
      <c r="F1" s="774"/>
      <c r="H1" s="801"/>
    </row>
    <row r="2" spans="1:42" ht="20.100000000000001" customHeight="1" x14ac:dyDescent="0.2">
      <c r="B2" s="2015" t="s">
        <v>2255</v>
      </c>
      <c r="C2" s="2016"/>
      <c r="D2" s="2016"/>
      <c r="E2" s="2016"/>
      <c r="F2" s="2016"/>
      <c r="G2" s="2016"/>
      <c r="H2" s="751"/>
    </row>
    <row r="3" spans="1:42" ht="20.100000000000001" customHeight="1" x14ac:dyDescent="0.2">
      <c r="B3" s="2018"/>
      <c r="C3" s="2019"/>
      <c r="D3" s="2019"/>
      <c r="E3" s="2019"/>
      <c r="F3" s="2019"/>
      <c r="G3" s="2019"/>
      <c r="H3" s="747"/>
    </row>
    <row r="4" spans="1:42" x14ac:dyDescent="0.2">
      <c r="A4" s="804"/>
      <c r="B4" s="364"/>
      <c r="C4" s="32"/>
      <c r="D4" s="32"/>
      <c r="E4" s="110"/>
      <c r="F4" s="32"/>
      <c r="G4" s="794" t="s">
        <v>1700</v>
      </c>
      <c r="H4" s="747"/>
    </row>
    <row r="5" spans="1:42" s="793" customFormat="1" ht="15.75" thickBot="1" x14ac:dyDescent="0.25">
      <c r="A5" s="804"/>
      <c r="B5" s="798" t="s">
        <v>2250</v>
      </c>
      <c r="C5" s="98" t="s">
        <v>2251</v>
      </c>
      <c r="D5" s="95"/>
      <c r="E5" s="115"/>
      <c r="F5" s="797"/>
      <c r="G5" s="75"/>
      <c r="H5" s="747"/>
      <c r="I5" s="8"/>
      <c r="J5" s="8"/>
      <c r="K5" s="8"/>
      <c r="L5" s="8"/>
      <c r="M5" s="8"/>
      <c r="N5" s="8"/>
      <c r="O5" s="8"/>
      <c r="P5" s="8"/>
      <c r="Q5" s="8"/>
      <c r="R5" s="8"/>
      <c r="S5" s="8"/>
      <c r="U5" s="8"/>
      <c r="V5" s="8"/>
      <c r="W5" s="8"/>
      <c r="X5" s="8"/>
      <c r="Y5" s="8"/>
      <c r="Z5" s="8"/>
      <c r="AA5" s="8"/>
      <c r="AB5" s="8"/>
      <c r="AC5" s="8"/>
      <c r="AD5" s="8"/>
      <c r="AE5" s="8"/>
      <c r="AF5" s="8"/>
      <c r="AG5" s="8"/>
      <c r="AH5" s="8"/>
      <c r="AI5" s="8"/>
      <c r="AJ5" s="8"/>
      <c r="AK5" s="8"/>
      <c r="AL5" s="8"/>
      <c r="AM5" s="8"/>
      <c r="AN5" s="8"/>
      <c r="AO5" s="8"/>
      <c r="AP5" s="8"/>
    </row>
    <row r="6" spans="1:42" ht="15.75" thickBot="1" x14ac:dyDescent="0.25">
      <c r="A6" s="804"/>
      <c r="B6" s="796" t="s">
        <v>1639</v>
      </c>
      <c r="C6" s="98">
        <v>450</v>
      </c>
      <c r="D6" s="95" t="str">
        <f>IF(C6=450,"мм","мм   и более")</f>
        <v>мм</v>
      </c>
      <c r="E6" s="115"/>
      <c r="F6" s="797"/>
      <c r="G6" s="75"/>
      <c r="H6" s="747"/>
      <c r="T6"/>
    </row>
    <row r="7" spans="1:42" ht="15.75" thickBot="1" x14ac:dyDescent="0.25">
      <c r="A7" s="804"/>
      <c r="B7" s="796" t="s">
        <v>1336</v>
      </c>
      <c r="C7" s="111">
        <v>1200</v>
      </c>
      <c r="D7" s="73" t="s">
        <v>1689</v>
      </c>
      <c r="E7" s="93"/>
      <c r="F7" s="69"/>
      <c r="G7" s="73"/>
      <c r="H7" s="795"/>
      <c r="Z7" s="8" t="s">
        <v>2254</v>
      </c>
    </row>
    <row r="8" spans="1:42" ht="10.5" customHeight="1" x14ac:dyDescent="0.2">
      <c r="A8" s="804"/>
      <c r="B8" s="364"/>
      <c r="C8" s="811" t="s">
        <v>1301</v>
      </c>
      <c r="D8" s="811" t="s">
        <v>784</v>
      </c>
      <c r="E8" s="812"/>
      <c r="F8" s="811" t="s">
        <v>368</v>
      </c>
      <c r="G8" s="813"/>
      <c r="H8" s="795"/>
      <c r="K8" s="53" t="s">
        <v>2076</v>
      </c>
      <c r="L8" s="2180" t="s">
        <v>2077</v>
      </c>
      <c r="M8" s="2180"/>
      <c r="N8" s="112"/>
      <c r="Q8" s="8" t="s">
        <v>1699</v>
      </c>
      <c r="R8" s="8" t="s">
        <v>1701</v>
      </c>
      <c r="Z8" s="28" t="s">
        <v>2252</v>
      </c>
      <c r="AA8" s="28" t="s">
        <v>2251</v>
      </c>
    </row>
    <row r="9" spans="1:42" x14ac:dyDescent="0.2">
      <c r="A9" s="804"/>
      <c r="B9" s="364"/>
      <c r="C9" s="5" t="str">
        <f>IF(C5=U10," ",IF(C5=U11,VLOOKUP(C6,X10:Y11,2,FALSE),VLOOKUP(C6,J10:K11,2,FALSE)))</f>
        <v xml:space="preserve"> </v>
      </c>
      <c r="D9" s="5" t="str">
        <f>IF(C9=" "," ",VLOOKUP(C9,всецены,2,FALSE))</f>
        <v xml:space="preserve"> </v>
      </c>
      <c r="E9" s="116">
        <f>IF(D9=" ",0,VLOOKUP(C9,всецены,4,FALSE))</f>
        <v>0</v>
      </c>
      <c r="F9" s="80">
        <f>IF(C5=U10,0,IF(C5=U11,2,1))</f>
        <v>0</v>
      </c>
      <c r="G9" s="810">
        <f>F9*E9</f>
        <v>0</v>
      </c>
      <c r="H9" s="2207">
        <f>SUM(G9:G12)</f>
        <v>5050.0490040000004</v>
      </c>
      <c r="J9" s="8">
        <v>400</v>
      </c>
      <c r="L9" s="44" t="s">
        <v>2145</v>
      </c>
      <c r="M9" s="8">
        <v>1</v>
      </c>
      <c r="N9" s="44" t="s">
        <v>2146</v>
      </c>
      <c r="O9" s="8">
        <v>4</v>
      </c>
      <c r="P9" s="8">
        <v>1</v>
      </c>
      <c r="S9" s="8">
        <v>0</v>
      </c>
      <c r="U9" s="8" t="s">
        <v>2253</v>
      </c>
      <c r="V9" s="5" t="s">
        <v>936</v>
      </c>
      <c r="W9" s="809" t="s">
        <v>2146</v>
      </c>
      <c r="X9" s="8">
        <v>400</v>
      </c>
      <c r="Z9" s="43" t="s">
        <v>1087</v>
      </c>
      <c r="AA9" s="43" t="s">
        <v>1087</v>
      </c>
    </row>
    <row r="10" spans="1:42" x14ac:dyDescent="0.2">
      <c r="A10" s="804"/>
      <c r="B10" s="364"/>
      <c r="C10" s="5" t="str">
        <f>IF(C5=U9,VLOOKUP(C7,J9:M16,3,FALSE),IF(C5=U10,VLOOKUP(C7,razd,4,FALSE),VLOOKUP(C7,razd,3,FALSE)))</f>
        <v>8113612/</v>
      </c>
      <c r="D10" s="5" t="str">
        <f>VLOOKUP(C10,всецены,2,FALSE)</f>
        <v xml:space="preserve">TBX-A, Раздел поп 1077мм, бел Z40L1077A </v>
      </c>
      <c r="E10" s="116">
        <f>VLOOKUP(C10,всецены,4,FALSE)</f>
        <v>1391.4064164000001</v>
      </c>
      <c r="F10" s="80">
        <f>VLOOKUP(C7,J9:M16,4,FALSE)</f>
        <v>2</v>
      </c>
      <c r="G10" s="810">
        <f>F10*E10</f>
        <v>2782.8128328000003</v>
      </c>
      <c r="H10" s="2208"/>
      <c r="J10" s="8">
        <v>450</v>
      </c>
      <c r="K10" s="44" t="s">
        <v>1627</v>
      </c>
      <c r="L10" s="44" t="s">
        <v>2145</v>
      </c>
      <c r="M10" s="8">
        <v>1</v>
      </c>
      <c r="N10" s="44" t="s">
        <v>2146</v>
      </c>
      <c r="O10" s="8">
        <v>4</v>
      </c>
      <c r="P10" s="8">
        <v>3</v>
      </c>
      <c r="R10" s="8" t="s">
        <v>944</v>
      </c>
      <c r="S10" s="8">
        <v>0</v>
      </c>
      <c r="U10" s="8" t="s">
        <v>2251</v>
      </c>
      <c r="V10" s="8" t="s">
        <v>291</v>
      </c>
      <c r="W10" s="8" t="s">
        <v>2485</v>
      </c>
      <c r="X10" s="8">
        <v>450</v>
      </c>
      <c r="Y10" s="808" t="s">
        <v>1081</v>
      </c>
      <c r="Z10" s="43" t="s">
        <v>1087</v>
      </c>
      <c r="AA10" s="43" t="s">
        <v>1087</v>
      </c>
    </row>
    <row r="11" spans="1:42" x14ac:dyDescent="0.2">
      <c r="A11" s="804"/>
      <c r="B11" s="364"/>
      <c r="C11" s="5" t="str">
        <f>VLOOKUP(C5,U9:V11,2,FALSE)</f>
        <v>7952582/</v>
      </c>
      <c r="D11" s="5" t="str">
        <f>VLOOKUP(C11,всецены,2,FALSE)</f>
        <v xml:space="preserve">TBX-A, Раздел прод 100 мм, бел Z43L100S </v>
      </c>
      <c r="E11" s="116">
        <f>VLOOKUP(C11,всецены,4,FALSE)</f>
        <v>286.25076480000001</v>
      </c>
      <c r="F11" s="80">
        <f>VLOOKUP(C7,J9:P16,7,FALSE)</f>
        <v>6</v>
      </c>
      <c r="G11" s="810">
        <f>F11*E11</f>
        <v>1717.5045888</v>
      </c>
      <c r="H11" s="2208"/>
      <c r="J11" s="8">
        <v>500</v>
      </c>
      <c r="K11" s="44" t="s">
        <v>1626</v>
      </c>
      <c r="L11" s="44" t="s">
        <v>2145</v>
      </c>
      <c r="M11" s="8">
        <v>1</v>
      </c>
      <c r="N11" s="44" t="s">
        <v>2146</v>
      </c>
      <c r="O11" s="8">
        <v>4</v>
      </c>
      <c r="P11" s="8">
        <v>3</v>
      </c>
      <c r="R11" s="8" t="s">
        <v>945</v>
      </c>
      <c r="S11" s="8">
        <v>1</v>
      </c>
      <c r="U11" s="8" t="s">
        <v>2252</v>
      </c>
      <c r="V11" s="8" t="s">
        <v>291</v>
      </c>
      <c r="W11" s="8" t="s">
        <v>799</v>
      </c>
      <c r="X11" s="8">
        <v>500</v>
      </c>
      <c r="Y11" s="808" t="s">
        <v>1085</v>
      </c>
      <c r="Z11" s="43" t="s">
        <v>1087</v>
      </c>
      <c r="AA11" s="43" t="s">
        <v>1087</v>
      </c>
    </row>
    <row r="12" spans="1:42" x14ac:dyDescent="0.2">
      <c r="A12" s="804"/>
      <c r="B12" s="364"/>
      <c r="C12" s="5" t="str">
        <f>IF(F12=0," ",VLOOKUP(C5,U9:W11,3,FALSE))</f>
        <v>5738648/</v>
      </c>
      <c r="D12" s="5" t="str">
        <f>IF(C12=" "," ",VLOOKUP(C12,всецены,2,FALSE))</f>
        <v xml:space="preserve">TBX-AA, Держат поп разд, бел, Z40D0002Z </v>
      </c>
      <c r="E12" s="116">
        <f>IF(D12=" ",0,VLOOKUP(C12,всецены,4,FALSE))</f>
        <v>137.43289560000002</v>
      </c>
      <c r="F12" s="80">
        <f>VLOOKUP(C7,J9:O16,6,FALSE)</f>
        <v>4</v>
      </c>
      <c r="G12" s="810">
        <f>F12*E12</f>
        <v>549.73158240000009</v>
      </c>
      <c r="H12" s="2209"/>
      <c r="J12" s="8">
        <v>600</v>
      </c>
      <c r="L12" s="44" t="s">
        <v>1269</v>
      </c>
      <c r="M12" s="8">
        <v>2</v>
      </c>
      <c r="N12" s="44" t="s">
        <v>2146</v>
      </c>
      <c r="O12" s="8">
        <v>0</v>
      </c>
      <c r="P12" s="8">
        <v>3</v>
      </c>
      <c r="S12" s="8">
        <v>2</v>
      </c>
      <c r="X12" s="8">
        <v>600</v>
      </c>
      <c r="Z12" s="808" t="s">
        <v>287</v>
      </c>
      <c r="AA12" s="808" t="s">
        <v>3247</v>
      </c>
    </row>
    <row r="13" spans="1:42" x14ac:dyDescent="0.2">
      <c r="A13" s="804"/>
      <c r="B13" s="364"/>
      <c r="C13" s="39"/>
      <c r="D13" s="39"/>
      <c r="E13" s="117"/>
      <c r="F13" s="32"/>
      <c r="G13" s="28"/>
      <c r="H13" s="752"/>
      <c r="J13" s="8">
        <v>700</v>
      </c>
      <c r="L13" s="44" t="s">
        <v>2145</v>
      </c>
      <c r="M13" s="8">
        <v>2</v>
      </c>
      <c r="N13" s="44" t="s">
        <v>2146</v>
      </c>
      <c r="O13" s="8">
        <v>4</v>
      </c>
      <c r="P13" s="8">
        <v>5</v>
      </c>
      <c r="X13" s="8">
        <v>700</v>
      </c>
      <c r="Z13" s="43" t="s">
        <v>1087</v>
      </c>
      <c r="AA13" s="43" t="s">
        <v>1087</v>
      </c>
    </row>
    <row r="14" spans="1:42" x14ac:dyDescent="0.2">
      <c r="A14" s="804"/>
      <c r="B14" s="364"/>
      <c r="C14" s="39"/>
      <c r="D14" s="39"/>
      <c r="E14" s="117"/>
      <c r="F14" s="32"/>
      <c r="G14" s="28"/>
      <c r="H14" s="752"/>
      <c r="J14" s="8">
        <v>800</v>
      </c>
      <c r="L14" s="44" t="s">
        <v>1272</v>
      </c>
      <c r="M14" s="8">
        <v>2</v>
      </c>
      <c r="N14" s="44" t="s">
        <v>2146</v>
      </c>
      <c r="O14" s="8">
        <v>0</v>
      </c>
      <c r="P14" s="8">
        <v>6</v>
      </c>
      <c r="X14" s="8">
        <v>800</v>
      </c>
      <c r="Z14" s="808" t="s">
        <v>1862</v>
      </c>
      <c r="AA14" s="808" t="s">
        <v>3252</v>
      </c>
    </row>
    <row r="15" spans="1:42" x14ac:dyDescent="0.2">
      <c r="A15" s="804"/>
      <c r="B15" s="364"/>
      <c r="C15" s="39"/>
      <c r="D15" s="39"/>
      <c r="E15" s="117"/>
      <c r="F15" s="32"/>
      <c r="G15" s="28"/>
      <c r="H15" s="752"/>
      <c r="J15" s="8">
        <v>900</v>
      </c>
      <c r="L15" s="44" t="s">
        <v>1270</v>
      </c>
      <c r="M15" s="8">
        <v>2</v>
      </c>
      <c r="N15" s="44" t="s">
        <v>2146</v>
      </c>
      <c r="O15" s="8">
        <v>0</v>
      </c>
      <c r="P15" s="8">
        <v>6</v>
      </c>
      <c r="X15" s="8">
        <v>900</v>
      </c>
      <c r="Z15" s="808" t="s">
        <v>289</v>
      </c>
      <c r="AA15" s="808" t="s">
        <v>3256</v>
      </c>
    </row>
    <row r="16" spans="1:42" ht="13.5" thickBot="1" x14ac:dyDescent="0.25">
      <c r="A16" s="804"/>
      <c r="B16" s="790"/>
      <c r="C16" s="753"/>
      <c r="D16" s="753"/>
      <c r="E16" s="754"/>
      <c r="F16" s="791"/>
      <c r="G16" s="126"/>
      <c r="H16" s="755"/>
      <c r="J16" s="8">
        <v>1200</v>
      </c>
      <c r="L16" s="44" t="s">
        <v>1271</v>
      </c>
      <c r="M16" s="8">
        <v>2</v>
      </c>
      <c r="N16" s="44" t="s">
        <v>2146</v>
      </c>
      <c r="O16" s="8">
        <f>IF(C5=U9,0,4)</f>
        <v>4</v>
      </c>
      <c r="P16" s="8">
        <v>6</v>
      </c>
      <c r="X16" s="8">
        <v>1200</v>
      </c>
      <c r="Z16" s="43" t="s">
        <v>1087</v>
      </c>
      <c r="AA16" s="43" t="s">
        <v>1087</v>
      </c>
    </row>
    <row r="17" spans="1:42" s="793" customFormat="1" ht="13.5" thickBot="1" x14ac:dyDescent="0.25">
      <c r="A17" s="804"/>
      <c r="B17" s="32"/>
      <c r="C17" s="39"/>
      <c r="D17" s="39"/>
      <c r="E17" s="117"/>
      <c r="F17" s="32"/>
      <c r="G17" s="28"/>
      <c r="H17" s="804"/>
      <c r="I17" s="8"/>
      <c r="J17" s="8"/>
      <c r="K17" s="8"/>
      <c r="L17" s="112"/>
      <c r="M17" s="8"/>
      <c r="N17" s="112"/>
      <c r="O17" s="8"/>
      <c r="P17" s="8"/>
      <c r="Q17" s="8"/>
      <c r="R17" s="8"/>
      <c r="S17" s="8"/>
      <c r="T17" s="8"/>
      <c r="U17" s="8"/>
      <c r="V17" s="8"/>
      <c r="W17" s="8"/>
      <c r="X17" s="8"/>
      <c r="Z17" s="28"/>
      <c r="AA17" s="28"/>
      <c r="AB17" s="8"/>
      <c r="AC17" s="8"/>
      <c r="AD17" s="8"/>
      <c r="AE17" s="8"/>
      <c r="AF17" s="8"/>
      <c r="AG17" s="8"/>
      <c r="AH17" s="8"/>
      <c r="AI17" s="8"/>
      <c r="AJ17" s="8"/>
      <c r="AK17" s="8"/>
      <c r="AL17" s="8"/>
      <c r="AM17" s="8"/>
      <c r="AN17" s="8"/>
      <c r="AO17" s="8"/>
      <c r="AP17" s="8"/>
    </row>
    <row r="18" spans="1:42" s="793" customFormat="1" x14ac:dyDescent="0.2">
      <c r="A18" s="804"/>
      <c r="B18" s="805"/>
      <c r="C18" s="806"/>
      <c r="D18" s="806"/>
      <c r="E18" s="806"/>
      <c r="F18" s="806"/>
      <c r="G18" s="806"/>
      <c r="H18" s="807"/>
      <c r="I18" s="8"/>
      <c r="J18" s="8"/>
      <c r="K18" s="8"/>
      <c r="L18" s="112"/>
      <c r="M18" s="8"/>
      <c r="N18" s="112"/>
      <c r="O18" s="8"/>
      <c r="P18" s="8"/>
      <c r="Q18" s="8"/>
      <c r="R18" s="8"/>
      <c r="S18" s="8"/>
      <c r="T18" s="8"/>
      <c r="U18" s="8"/>
      <c r="V18" s="8"/>
      <c r="W18" s="8"/>
      <c r="X18" s="8"/>
      <c r="Y18" s="28"/>
      <c r="Z18" s="28"/>
      <c r="AA18" s="28"/>
      <c r="AB18" s="8"/>
      <c r="AC18" s="8"/>
      <c r="AD18" s="8"/>
      <c r="AE18" s="8"/>
      <c r="AF18" s="8"/>
      <c r="AG18" s="8"/>
      <c r="AH18" s="8"/>
      <c r="AI18" s="8"/>
      <c r="AJ18" s="8"/>
      <c r="AK18" s="8"/>
      <c r="AL18" s="8"/>
      <c r="AM18" s="8"/>
      <c r="AN18" s="8"/>
      <c r="AO18" s="8"/>
      <c r="AP18" s="8"/>
    </row>
    <row r="19" spans="1:42" x14ac:dyDescent="0.2">
      <c r="A19" s="804"/>
      <c r="B19" s="364"/>
      <c r="C19" s="32"/>
      <c r="D19" s="39"/>
      <c r="E19" s="117"/>
      <c r="F19" s="32"/>
      <c r="G19" s="794" t="s">
        <v>1698</v>
      </c>
      <c r="H19" s="747"/>
    </row>
    <row r="20" spans="1:42" s="793" customFormat="1" ht="15.75" thickBot="1" x14ac:dyDescent="0.25">
      <c r="A20" s="804"/>
      <c r="B20" s="798" t="s">
        <v>2250</v>
      </c>
      <c r="C20" s="98" t="s">
        <v>2251</v>
      </c>
      <c r="D20" s="95"/>
      <c r="E20" s="115"/>
      <c r="F20" s="797"/>
      <c r="G20" s="75"/>
      <c r="H20" s="747"/>
      <c r="I20" s="8"/>
      <c r="J20" s="8"/>
      <c r="K20" s="8"/>
      <c r="L20" s="8"/>
      <c r="M20" s="8"/>
      <c r="N20" s="8"/>
      <c r="O20" s="8"/>
      <c r="P20" s="8"/>
      <c r="Q20" s="8"/>
      <c r="R20" s="8"/>
      <c r="S20" s="8"/>
      <c r="U20" s="8"/>
      <c r="V20" s="8"/>
      <c r="W20" s="8"/>
      <c r="X20" s="8"/>
      <c r="Y20" s="8"/>
      <c r="Z20" s="8"/>
      <c r="AA20" s="8"/>
      <c r="AB20" s="8"/>
      <c r="AC20" s="8"/>
      <c r="AD20" s="8"/>
      <c r="AE20" s="8"/>
      <c r="AF20" s="8"/>
      <c r="AG20" s="8"/>
      <c r="AH20" s="8"/>
      <c r="AI20" s="8"/>
      <c r="AJ20" s="8"/>
      <c r="AK20" s="8"/>
      <c r="AL20" s="8"/>
      <c r="AM20" s="8"/>
      <c r="AN20" s="8"/>
      <c r="AO20" s="8"/>
      <c r="AP20" s="8"/>
    </row>
    <row r="21" spans="1:42" ht="15.75" thickBot="1" x14ac:dyDescent="0.25">
      <c r="A21" s="804"/>
      <c r="B21" s="796" t="s">
        <v>1639</v>
      </c>
      <c r="C21" s="98">
        <v>500</v>
      </c>
      <c r="D21" s="95" t="str">
        <f>IF(C21=450,"мм","мм и более")</f>
        <v>мм и более</v>
      </c>
      <c r="E21" s="115"/>
      <c r="F21" s="797"/>
      <c r="G21" s="75"/>
      <c r="H21" s="747"/>
    </row>
    <row r="22" spans="1:42" ht="15.75" thickBot="1" x14ac:dyDescent="0.25">
      <c r="A22" s="804"/>
      <c r="B22" s="796" t="s">
        <v>1336</v>
      </c>
      <c r="C22" s="111">
        <v>600</v>
      </c>
      <c r="D22" s="73" t="s">
        <v>1689</v>
      </c>
      <c r="E22" s="93"/>
      <c r="F22" s="69"/>
      <c r="G22" s="73"/>
      <c r="H22" s="795"/>
    </row>
    <row r="23" spans="1:42" x14ac:dyDescent="0.2">
      <c r="A23" s="804"/>
      <c r="B23" s="792"/>
      <c r="C23" s="756" t="s">
        <v>1301</v>
      </c>
      <c r="D23" s="1" t="s">
        <v>784</v>
      </c>
      <c r="E23" s="113"/>
      <c r="F23" s="1" t="s">
        <v>368</v>
      </c>
      <c r="G23" s="1"/>
      <c r="H23" s="757" t="str">
        <f>IF(СОДЕРЖАНИЕ!P2=1,"EUR","RUB")</f>
        <v>RUB</v>
      </c>
      <c r="K23" s="8" t="s">
        <v>2256</v>
      </c>
      <c r="L23" s="8" t="s">
        <v>2258</v>
      </c>
    </row>
    <row r="24" spans="1:42" x14ac:dyDescent="0.2">
      <c r="A24" s="804"/>
      <c r="B24" s="792"/>
      <c r="C24" s="5" t="str">
        <f>IF(C20=U10," ",IF(C20=U11,VLOOKUP(C21,X10:Y11,2,FALSE),VLOOKUP(C21,J10:K11,2,FALSE)))</f>
        <v xml:space="preserve"> </v>
      </c>
      <c r="D24" s="5" t="str">
        <f>IF(C24=" "," ",VLOOKUP(C24,всецены,2,FALSE))</f>
        <v xml:space="preserve"> </v>
      </c>
      <c r="E24" s="116">
        <f>IF(D24=" ",0,VLOOKUP(C24,всецены,4,FALSE))</f>
        <v>0</v>
      </c>
      <c r="F24" s="80">
        <f>IF(C20=U10,0,IF(C20=U11,2,1))</f>
        <v>0</v>
      </c>
      <c r="G24" s="43">
        <f>F24*E24</f>
        <v>0</v>
      </c>
      <c r="H24" s="2210">
        <f>SUM(G24:G26)</f>
        <v>14192.182804800001</v>
      </c>
      <c r="J24" s="8">
        <v>450</v>
      </c>
      <c r="K24" s="8" t="s">
        <v>2257</v>
      </c>
      <c r="L24" s="44" t="s">
        <v>1206</v>
      </c>
      <c r="N24" s="8" t="s">
        <v>1606</v>
      </c>
    </row>
    <row r="25" spans="1:42" x14ac:dyDescent="0.2">
      <c r="A25" s="804"/>
      <c r="B25" s="792"/>
      <c r="C25" s="5" t="str">
        <f>IF(C20=U9,VLOOKUP(C21,J24:L25,3,FALSE),VLOOKUP(C21,J24:L25,2,FALSE))</f>
        <v>8454582/</v>
      </c>
      <c r="D25" s="5" t="str">
        <f>IF(C25=" "," ",VLOOKUP(C25,всецены,2,FALSE))</f>
        <v>TBX-A, ORG 300/500 с МС, набор д/бут,бел</v>
      </c>
      <c r="E25" s="116">
        <f>IF(D25=" ",0,VLOOKUP(C25,всецены,4,FALSE))</f>
        <v>9426.7581408000005</v>
      </c>
      <c r="F25" s="80">
        <v>1</v>
      </c>
      <c r="G25" s="43">
        <f>F25*E25</f>
        <v>9426.7581408000005</v>
      </c>
      <c r="H25" s="2210"/>
      <c r="J25" s="8">
        <v>500</v>
      </c>
      <c r="K25" s="8" t="s">
        <v>713</v>
      </c>
      <c r="L25" s="44" t="s">
        <v>1064</v>
      </c>
      <c r="N25" s="8" t="s">
        <v>1608</v>
      </c>
    </row>
    <row r="26" spans="1:42" x14ac:dyDescent="0.2">
      <c r="A26" s="804"/>
      <c r="B26" s="364"/>
      <c r="C26" s="5" t="str">
        <f>IF(C20=U9,VLOOKUP(C21,J10:R11,9,FALSE),VLOOKUP(C21,J24:N25,5,FALSE))</f>
        <v>7934760/</v>
      </c>
      <c r="D26" s="5" t="str">
        <f>VLOOKUP(C26,всецены,2,FALSE)</f>
        <v xml:space="preserve">TBX-A, Межсекц. ст. 500, бел, Z46L470S  </v>
      </c>
      <c r="E26" s="116">
        <f>VLOOKUP(C26,всецены,4,FALSE)</f>
        <v>2382.7123320000001</v>
      </c>
      <c r="F26" s="80">
        <f>VLOOKUP(C22,J9:S12,10,FALSE)</f>
        <v>2</v>
      </c>
      <c r="G26" s="43">
        <f>F26*E26</f>
        <v>4765.4246640000001</v>
      </c>
      <c r="H26" s="2210"/>
    </row>
    <row r="27" spans="1:42" x14ac:dyDescent="0.2">
      <c r="A27" s="804"/>
      <c r="B27" s="364"/>
      <c r="C27" s="47"/>
      <c r="D27" s="47"/>
      <c r="E27" s="41"/>
      <c r="F27" s="32"/>
      <c r="G27" s="28"/>
      <c r="H27" s="747"/>
    </row>
    <row r="28" spans="1:42" x14ac:dyDescent="0.2">
      <c r="A28" s="804"/>
      <c r="B28" s="364"/>
      <c r="C28" s="47"/>
      <c r="D28" s="47"/>
      <c r="E28" s="41"/>
      <c r="F28" s="32"/>
      <c r="G28" s="28"/>
      <c r="H28" s="747"/>
    </row>
    <row r="29" spans="1:42" x14ac:dyDescent="0.2">
      <c r="A29" s="804"/>
      <c r="B29" s="364"/>
      <c r="C29" s="47"/>
      <c r="D29" s="47"/>
      <c r="E29" s="41"/>
      <c r="F29" s="32"/>
      <c r="G29" s="28"/>
      <c r="H29" s="747"/>
    </row>
    <row r="30" spans="1:42" x14ac:dyDescent="0.2">
      <c r="A30" s="804"/>
      <c r="B30" s="364"/>
      <c r="C30" s="47"/>
      <c r="D30" s="47"/>
      <c r="E30" s="41"/>
      <c r="F30" s="32"/>
      <c r="G30" s="28"/>
      <c r="H30" s="747"/>
    </row>
    <row r="31" spans="1:42" ht="13.5" thickBot="1" x14ac:dyDescent="0.25">
      <c r="A31" s="804"/>
      <c r="B31" s="790"/>
      <c r="C31" s="748"/>
      <c r="D31" s="748"/>
      <c r="E31" s="749"/>
      <c r="F31" s="791"/>
      <c r="G31" s="126"/>
      <c r="H31" s="750"/>
    </row>
    <row r="32" spans="1:42" s="793" customFormat="1" x14ac:dyDescent="0.2">
      <c r="A32" s="804"/>
      <c r="B32" s="804"/>
      <c r="C32" s="804"/>
      <c r="D32" s="804"/>
      <c r="E32" s="804"/>
      <c r="F32" s="804"/>
      <c r="G32" s="804"/>
      <c r="H32" s="799"/>
      <c r="I32" s="8"/>
      <c r="J32" s="8"/>
      <c r="K32" s="8"/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  <c r="AC32" s="8"/>
      <c r="AD32" s="8"/>
      <c r="AE32" s="8"/>
      <c r="AF32" s="8"/>
      <c r="AG32" s="8"/>
      <c r="AH32" s="8"/>
      <c r="AI32" s="8"/>
      <c r="AJ32" s="8"/>
      <c r="AK32" s="8"/>
      <c r="AL32" s="8"/>
      <c r="AM32" s="8"/>
      <c r="AN32" s="8"/>
      <c r="AO32" s="8"/>
      <c r="AP32" s="8"/>
    </row>
    <row r="33" spans="1:42" s="771" customFormat="1" ht="13.5" thickBot="1" x14ac:dyDescent="0.25">
      <c r="B33" s="774"/>
      <c r="C33" s="774"/>
      <c r="D33" s="781"/>
      <c r="E33" s="800"/>
      <c r="F33" s="774"/>
      <c r="H33" s="801"/>
    </row>
    <row r="34" spans="1:42" ht="20.100000000000001" customHeight="1" x14ac:dyDescent="0.2">
      <c r="B34" s="2015" t="s">
        <v>381</v>
      </c>
      <c r="C34" s="2016"/>
      <c r="D34" s="2016"/>
      <c r="E34" s="2016"/>
      <c r="F34" s="2016"/>
      <c r="G34" s="2016"/>
      <c r="H34" s="751"/>
    </row>
    <row r="35" spans="1:42" ht="20.100000000000001" customHeight="1" x14ac:dyDescent="0.2">
      <c r="B35" s="2018"/>
      <c r="C35" s="2019"/>
      <c r="D35" s="2019"/>
      <c r="E35" s="2019"/>
      <c r="F35" s="2019"/>
      <c r="G35" s="2019"/>
      <c r="H35" s="747"/>
    </row>
    <row r="36" spans="1:42" x14ac:dyDescent="0.2">
      <c r="A36" s="804"/>
      <c r="B36" s="2213"/>
      <c r="C36" s="2214"/>
      <c r="D36" s="2214"/>
      <c r="E36" s="41"/>
      <c r="F36" s="32"/>
      <c r="G36" s="28"/>
      <c r="H36" s="758" t="str">
        <f>IF(СОДЕРЖАНИЕ!P2=1,"EUR","RUB")</f>
        <v>RUB</v>
      </c>
    </row>
    <row r="37" spans="1:42" ht="69" customHeight="1" x14ac:dyDescent="0.2">
      <c r="A37" s="804"/>
      <c r="B37" s="418"/>
      <c r="C37" s="44" t="s">
        <v>501</v>
      </c>
      <c r="D37" s="44" t="s">
        <v>101</v>
      </c>
      <c r="E37" s="113"/>
      <c r="F37" s="80"/>
      <c r="G37" s="43"/>
      <c r="H37" s="493">
        <f t="shared" ref="H37:H43" si="0">VLOOKUP(C37,всецены,4,FALSE)</f>
        <v>2100.5276291999999</v>
      </c>
    </row>
    <row r="38" spans="1:42" ht="23.1" customHeight="1" x14ac:dyDescent="0.2">
      <c r="A38" s="804"/>
      <c r="B38" s="2028"/>
      <c r="C38" s="44" t="s">
        <v>1198</v>
      </c>
      <c r="D38" s="44" t="s">
        <v>1199</v>
      </c>
      <c r="E38" s="113"/>
      <c r="F38" s="80"/>
      <c r="G38" s="43"/>
      <c r="H38" s="493">
        <f t="shared" si="0"/>
        <v>1314.9644508000001</v>
      </c>
    </row>
    <row r="39" spans="1:42" ht="23.1" customHeight="1" x14ac:dyDescent="0.2">
      <c r="A39" s="804"/>
      <c r="B39" s="2024"/>
      <c r="C39" s="44" t="s">
        <v>1200</v>
      </c>
      <c r="D39" s="44" t="s">
        <v>1201</v>
      </c>
      <c r="E39" s="113"/>
      <c r="F39" s="80"/>
      <c r="G39" s="43"/>
      <c r="H39" s="493">
        <f t="shared" si="0"/>
        <v>1689.8553672</v>
      </c>
    </row>
    <row r="40" spans="1:42" ht="23.1" customHeight="1" x14ac:dyDescent="0.2">
      <c r="A40" s="804"/>
      <c r="B40" s="2197"/>
      <c r="C40" s="44" t="s">
        <v>1202</v>
      </c>
      <c r="D40" s="44" t="s">
        <v>1203</v>
      </c>
      <c r="E40" s="113"/>
      <c r="F40" s="80"/>
      <c r="G40" s="43"/>
      <c r="H40" s="493">
        <f t="shared" si="0"/>
        <v>1965.5343708000003</v>
      </c>
    </row>
    <row r="41" spans="1:42" ht="69" customHeight="1" x14ac:dyDescent="0.2">
      <c r="A41" s="804"/>
      <c r="B41" s="418"/>
      <c r="C41" s="44" t="s">
        <v>115</v>
      </c>
      <c r="D41" s="44" t="s">
        <v>1197</v>
      </c>
      <c r="E41" s="113"/>
      <c r="F41" s="80"/>
      <c r="G41" s="43"/>
      <c r="H41" s="493">
        <f t="shared" si="0"/>
        <v>1954.9626096000002</v>
      </c>
    </row>
    <row r="42" spans="1:42" ht="69" customHeight="1" x14ac:dyDescent="0.2">
      <c r="A42" s="804"/>
      <c r="B42" s="378"/>
      <c r="C42" s="44" t="s">
        <v>1706</v>
      </c>
      <c r="D42" s="44" t="str">
        <f>VLOOKUP(C42,всецены,2,FALSE)</f>
        <v xml:space="preserve">ORG, Присп д/резки фольги, ZSZ.02F0     </v>
      </c>
      <c r="E42" s="113"/>
      <c r="F42" s="80"/>
      <c r="G42" s="43"/>
      <c r="H42" s="493">
        <f t="shared" si="0"/>
        <v>2960.9063483999998</v>
      </c>
    </row>
    <row r="43" spans="1:42" ht="69" customHeight="1" thickBot="1" x14ac:dyDescent="0.25">
      <c r="A43" s="804"/>
      <c r="B43" s="379"/>
      <c r="C43" s="49" t="s">
        <v>2197</v>
      </c>
      <c r="D43" s="49" t="str">
        <f>VLOOKUP(C43,всецены,2,FALSE)</f>
        <v xml:space="preserve">ORG, Присп д/резки пленки, ZSZ.01F0     </v>
      </c>
      <c r="E43" s="743"/>
      <c r="F43" s="381"/>
      <c r="G43" s="404"/>
      <c r="H43" s="744">
        <f t="shared" si="0"/>
        <v>3157.7037491999999</v>
      </c>
    </row>
    <row r="44" spans="1:42" s="793" customFormat="1" x14ac:dyDescent="0.2">
      <c r="A44" s="804"/>
      <c r="B44" s="804"/>
      <c r="C44" s="804"/>
      <c r="D44" s="804"/>
      <c r="E44" s="804"/>
      <c r="F44" s="804"/>
      <c r="G44" s="804"/>
      <c r="H44" s="37"/>
      <c r="I44" s="8"/>
      <c r="J44" s="8"/>
      <c r="K44" s="8"/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  <c r="AC44" s="8"/>
      <c r="AD44" s="8"/>
      <c r="AE44" s="8"/>
      <c r="AF44" s="8"/>
      <c r="AG44" s="8"/>
      <c r="AH44" s="8"/>
      <c r="AI44" s="8"/>
      <c r="AJ44" s="8"/>
      <c r="AK44" s="8"/>
      <c r="AL44" s="8"/>
      <c r="AM44" s="8"/>
      <c r="AN44" s="8"/>
      <c r="AO44" s="8"/>
      <c r="AP44" s="8"/>
    </row>
    <row r="45" spans="1:42" ht="13.5" thickBot="1" x14ac:dyDescent="0.25">
      <c r="B45" s="8"/>
      <c r="C45" s="47"/>
      <c r="D45" s="47"/>
      <c r="E45" s="41"/>
    </row>
    <row r="46" spans="1:42" ht="20.100000000000001" customHeight="1" x14ac:dyDescent="0.2">
      <c r="B46" s="2015" t="s">
        <v>678</v>
      </c>
      <c r="C46" s="2016"/>
      <c r="D46" s="2016"/>
      <c r="E46" s="2016"/>
      <c r="F46" s="2016"/>
      <c r="G46" s="2016"/>
      <c r="H46" s="751"/>
    </row>
    <row r="47" spans="1:42" ht="20.100000000000001" customHeight="1" x14ac:dyDescent="0.2">
      <c r="A47" s="15"/>
      <c r="B47" s="2018"/>
      <c r="C47" s="2019"/>
      <c r="D47" s="2019"/>
      <c r="E47" s="2019"/>
      <c r="F47" s="2019"/>
      <c r="G47" s="2019"/>
      <c r="H47" s="747"/>
    </row>
    <row r="48" spans="1:42" x14ac:dyDescent="0.2">
      <c r="A48" s="817"/>
      <c r="B48" s="433"/>
      <c r="C48" s="47"/>
      <c r="D48" s="47"/>
      <c r="E48" s="118"/>
      <c r="F48" s="32"/>
      <c r="G48" s="28"/>
      <c r="H48" s="2193" t="str">
        <f>IF(СОДЕРЖАНИЕ!P2=1,"EUR","RUB")</f>
        <v>RUB</v>
      </c>
    </row>
    <row r="49" spans="1:8" x14ac:dyDescent="0.2">
      <c r="A49" s="817"/>
      <c r="B49" s="2215" t="s">
        <v>307</v>
      </c>
      <c r="C49" s="2216"/>
      <c r="D49" s="2216"/>
      <c r="E49" s="2216"/>
      <c r="F49" s="2216"/>
      <c r="G49" s="2217"/>
      <c r="H49" s="2193"/>
    </row>
    <row r="50" spans="1:8" ht="41.45" customHeight="1" x14ac:dyDescent="0.2">
      <c r="A50" s="817"/>
      <c r="B50" s="2085"/>
      <c r="C50" s="44" t="s">
        <v>667</v>
      </c>
      <c r="D50" s="44" t="s">
        <v>1258</v>
      </c>
      <c r="E50" s="118"/>
      <c r="F50" s="127"/>
      <c r="G50" s="128"/>
      <c r="H50" s="119">
        <f t="shared" ref="H50:H65" si="1">VLOOKUP(C50,всецены,4,FALSE)</f>
        <v>2815.3413288000002</v>
      </c>
    </row>
    <row r="51" spans="1:8" ht="41.45" customHeight="1" x14ac:dyDescent="0.2">
      <c r="A51" s="817"/>
      <c r="B51" s="2085"/>
      <c r="C51" s="44" t="s">
        <v>664</v>
      </c>
      <c r="D51" s="44" t="s">
        <v>1259</v>
      </c>
      <c r="E51" s="118"/>
      <c r="F51" s="127"/>
      <c r="G51" s="128"/>
      <c r="H51" s="493">
        <f t="shared" si="1"/>
        <v>2314.4024904000003</v>
      </c>
    </row>
    <row r="52" spans="1:8" ht="41.45" customHeight="1" x14ac:dyDescent="0.2">
      <c r="A52" s="817"/>
      <c r="B52" s="418"/>
      <c r="C52" s="44" t="s">
        <v>1065</v>
      </c>
      <c r="D52" s="44" t="s">
        <v>807</v>
      </c>
      <c r="E52" s="118"/>
      <c r="F52" s="127"/>
      <c r="G52" s="128"/>
      <c r="H52" s="493">
        <f t="shared" si="1"/>
        <v>3586.2666840000002</v>
      </c>
    </row>
    <row r="53" spans="1:8" ht="41.45" customHeight="1" x14ac:dyDescent="0.2">
      <c r="A53" s="817"/>
      <c r="B53" s="418"/>
      <c r="C53" s="44" t="s">
        <v>890</v>
      </c>
      <c r="D53" s="44" t="s">
        <v>1318</v>
      </c>
      <c r="E53" s="118"/>
      <c r="F53" s="127"/>
      <c r="G53" s="128"/>
      <c r="H53" s="493">
        <f t="shared" si="1"/>
        <v>3512.2643555999998</v>
      </c>
    </row>
    <row r="54" spans="1:8" ht="41.45" customHeight="1" x14ac:dyDescent="0.2">
      <c r="A54" s="817"/>
      <c r="B54" s="418"/>
      <c r="C54" s="44" t="s">
        <v>662</v>
      </c>
      <c r="D54" s="44" t="s">
        <v>663</v>
      </c>
      <c r="E54" s="118"/>
      <c r="F54" s="127"/>
      <c r="G54" s="128"/>
      <c r="H54" s="493">
        <f t="shared" si="1"/>
        <v>3983.9275476000003</v>
      </c>
    </row>
    <row r="55" spans="1:8" ht="41.45" customHeight="1" x14ac:dyDescent="0.2">
      <c r="A55" s="817"/>
      <c r="B55" s="418"/>
      <c r="C55" s="44" t="s">
        <v>1209</v>
      </c>
      <c r="D55" s="44" t="s">
        <v>661</v>
      </c>
      <c r="E55" s="118"/>
      <c r="F55" s="127"/>
      <c r="G55" s="128"/>
      <c r="H55" s="493">
        <f t="shared" si="1"/>
        <v>3391.9089204000002</v>
      </c>
    </row>
    <row r="56" spans="1:8" ht="83.1" customHeight="1" x14ac:dyDescent="0.2">
      <c r="A56" s="817"/>
      <c r="B56" s="418"/>
      <c r="C56" s="44" t="s">
        <v>665</v>
      </c>
      <c r="D56" s="44" t="s">
        <v>1260</v>
      </c>
      <c r="E56" s="118"/>
      <c r="F56" s="127"/>
      <c r="G56" s="128"/>
      <c r="H56" s="493">
        <f t="shared" si="1"/>
        <v>3477.2962224000003</v>
      </c>
    </row>
    <row r="57" spans="1:8" ht="41.45" customHeight="1" x14ac:dyDescent="0.2">
      <c r="A57" s="817"/>
      <c r="B57" s="418"/>
      <c r="C57" s="44" t="s">
        <v>666</v>
      </c>
      <c r="D57" s="44" t="s">
        <v>1049</v>
      </c>
      <c r="E57" s="118"/>
      <c r="F57" s="127"/>
      <c r="G57" s="128"/>
      <c r="H57" s="493">
        <f t="shared" si="1"/>
        <v>4736.1490176000007</v>
      </c>
    </row>
    <row r="58" spans="1:8" ht="41.45" customHeight="1" x14ac:dyDescent="0.2">
      <c r="A58" s="817"/>
      <c r="B58" s="418"/>
      <c r="C58" s="44" t="s">
        <v>1384</v>
      </c>
      <c r="D58" s="44" t="s">
        <v>1051</v>
      </c>
      <c r="E58" s="118"/>
      <c r="F58" s="127"/>
      <c r="G58" s="128"/>
      <c r="H58" s="493">
        <f t="shared" si="1"/>
        <v>4496.2513595999999</v>
      </c>
    </row>
    <row r="59" spans="1:8" ht="41.45" customHeight="1" x14ac:dyDescent="0.2">
      <c r="A59" s="817"/>
      <c r="B59" s="2085"/>
      <c r="C59" s="44" t="s">
        <v>1326</v>
      </c>
      <c r="D59" s="44" t="s">
        <v>1050</v>
      </c>
      <c r="E59" s="118"/>
      <c r="F59" s="127"/>
      <c r="G59" s="128"/>
      <c r="H59" s="493">
        <f t="shared" si="1"/>
        <v>5410.3020972000004</v>
      </c>
    </row>
    <row r="60" spans="1:8" ht="41.45" customHeight="1" x14ac:dyDescent="0.2">
      <c r="A60" s="817"/>
      <c r="B60" s="2085"/>
      <c r="C60" s="44" t="s">
        <v>1327</v>
      </c>
      <c r="D60" s="44" t="s">
        <v>1052</v>
      </c>
      <c r="E60" s="118"/>
      <c r="F60" s="127"/>
      <c r="G60" s="128"/>
      <c r="H60" s="493">
        <f t="shared" si="1"/>
        <v>6093.4005132000011</v>
      </c>
    </row>
    <row r="61" spans="1:8" ht="83.1" customHeight="1" x14ac:dyDescent="0.2">
      <c r="A61" s="817"/>
      <c r="B61" s="418"/>
      <c r="C61" s="44" t="s">
        <v>1207</v>
      </c>
      <c r="D61" s="44" t="s">
        <v>1208</v>
      </c>
      <c r="E61" s="118"/>
      <c r="F61" s="127"/>
      <c r="G61" s="128"/>
      <c r="H61" s="493">
        <f t="shared" si="1"/>
        <v>1876.8942192</v>
      </c>
    </row>
    <row r="62" spans="1:8" ht="41.45" customHeight="1" x14ac:dyDescent="0.2">
      <c r="A62" s="817"/>
      <c r="B62" s="2085"/>
      <c r="C62" s="44" t="s">
        <v>668</v>
      </c>
      <c r="D62" s="44" t="s">
        <v>1261</v>
      </c>
      <c r="E62" s="118"/>
      <c r="F62" s="127"/>
      <c r="G62" s="128"/>
      <c r="H62" s="493">
        <f t="shared" si="1"/>
        <v>2094.0219299999999</v>
      </c>
    </row>
    <row r="63" spans="1:8" ht="41.45" customHeight="1" x14ac:dyDescent="0.2">
      <c r="A63" s="817"/>
      <c r="B63" s="2085"/>
      <c r="C63" s="44" t="s">
        <v>1739</v>
      </c>
      <c r="D63" s="44" t="s">
        <v>1385</v>
      </c>
      <c r="E63" s="118"/>
      <c r="F63" s="127"/>
      <c r="G63" s="128"/>
      <c r="H63" s="493">
        <f t="shared" si="1"/>
        <v>2276.1815075999998</v>
      </c>
    </row>
    <row r="64" spans="1:8" ht="41.45" customHeight="1" x14ac:dyDescent="0.2">
      <c r="A64" s="817"/>
      <c r="B64" s="418"/>
      <c r="C64" s="44" t="s">
        <v>1319</v>
      </c>
      <c r="D64" s="44" t="s">
        <v>1320</v>
      </c>
      <c r="E64" s="118"/>
      <c r="F64" s="127"/>
      <c r="G64" s="128"/>
      <c r="H64" s="493">
        <f t="shared" si="1"/>
        <v>3051.1729248000001</v>
      </c>
    </row>
    <row r="65" spans="1:8" ht="41.45" customHeight="1" x14ac:dyDescent="0.2">
      <c r="A65" s="817"/>
      <c r="B65" s="418"/>
      <c r="C65" s="44" t="s">
        <v>500</v>
      </c>
      <c r="D65" s="44" t="s">
        <v>1386</v>
      </c>
      <c r="E65" s="118"/>
      <c r="F65" s="127"/>
      <c r="G65" s="128"/>
      <c r="H65" s="493">
        <f t="shared" si="1"/>
        <v>3325.2255036000001</v>
      </c>
    </row>
    <row r="66" spans="1:8" ht="13.5" customHeight="1" x14ac:dyDescent="0.2">
      <c r="A66" s="817"/>
      <c r="B66" s="2218" t="s">
        <v>307</v>
      </c>
      <c r="C66" s="2219"/>
      <c r="D66" s="2219"/>
      <c r="E66" s="2219"/>
      <c r="F66" s="2219"/>
      <c r="G66" s="2219"/>
      <c r="H66" s="485"/>
    </row>
    <row r="67" spans="1:8" ht="13.5" customHeight="1" x14ac:dyDescent="0.2">
      <c r="A67" s="817"/>
      <c r="B67" s="2211" t="s">
        <v>679</v>
      </c>
      <c r="C67" s="2212"/>
      <c r="D67" s="2212"/>
      <c r="E67" s="118"/>
      <c r="F67" s="32"/>
      <c r="G67" s="28"/>
      <c r="H67" s="485"/>
    </row>
    <row r="68" spans="1:8" ht="41.45" customHeight="1" x14ac:dyDescent="0.2">
      <c r="A68" s="817"/>
      <c r="B68" s="2028"/>
      <c r="C68" s="50" t="s">
        <v>1742</v>
      </c>
      <c r="D68" s="44" t="s">
        <v>1136</v>
      </c>
      <c r="E68" s="118"/>
      <c r="F68" s="122"/>
      <c r="G68" s="123"/>
      <c r="H68" s="493">
        <f>VLOOKUP(C68,всецены,4,FALSE)</f>
        <v>5283.4409628000003</v>
      </c>
    </row>
    <row r="69" spans="1:8" ht="41.45" customHeight="1" x14ac:dyDescent="0.2">
      <c r="A69" s="817"/>
      <c r="B69" s="2197"/>
      <c r="C69" s="51" t="s">
        <v>1743</v>
      </c>
      <c r="D69" s="45" t="s">
        <v>1137</v>
      </c>
      <c r="E69" s="118"/>
      <c r="F69" s="120"/>
      <c r="G69" s="121"/>
      <c r="H69" s="493">
        <f>VLOOKUP(C69,всецены,4,FALSE)</f>
        <v>6121.8629472000002</v>
      </c>
    </row>
    <row r="70" spans="1:8" ht="13.5" customHeight="1" x14ac:dyDescent="0.2">
      <c r="A70" s="817"/>
      <c r="B70" s="2211" t="s">
        <v>1277</v>
      </c>
      <c r="C70" s="2212"/>
      <c r="D70" s="2212"/>
      <c r="E70" s="118"/>
      <c r="F70" s="32"/>
      <c r="G70" s="28"/>
      <c r="H70" s="485"/>
    </row>
    <row r="71" spans="1:8" ht="41.45" customHeight="1" x14ac:dyDescent="0.2">
      <c r="A71" s="817"/>
      <c r="B71" s="2028"/>
      <c r="C71" s="50" t="s">
        <v>1744</v>
      </c>
      <c r="D71" s="44" t="s">
        <v>1124</v>
      </c>
      <c r="E71" s="118"/>
      <c r="F71" s="122"/>
      <c r="G71" s="123"/>
      <c r="H71" s="493">
        <f>VLOOKUP(C71,всецены,4,FALSE)</f>
        <v>5302.9580604000002</v>
      </c>
    </row>
    <row r="72" spans="1:8" ht="41.45" customHeight="1" x14ac:dyDescent="0.2">
      <c r="A72" s="817"/>
      <c r="B72" s="2197"/>
      <c r="C72" s="50" t="s">
        <v>1746</v>
      </c>
      <c r="D72" s="44" t="s">
        <v>1125</v>
      </c>
      <c r="E72" s="118"/>
      <c r="F72" s="122"/>
      <c r="G72" s="123"/>
      <c r="H72" s="493">
        <f>VLOOKUP(C72,всецены,4,FALSE)</f>
        <v>6142.1932572000005</v>
      </c>
    </row>
    <row r="73" spans="1:8" ht="13.5" customHeight="1" x14ac:dyDescent="0.2">
      <c r="A73" s="817"/>
      <c r="B73" s="2211" t="s">
        <v>1276</v>
      </c>
      <c r="C73" s="2212"/>
      <c r="D73" s="2212"/>
      <c r="E73" s="118"/>
      <c r="F73" s="32"/>
      <c r="G73" s="28"/>
      <c r="H73" s="485"/>
    </row>
    <row r="74" spans="1:8" ht="41.45" customHeight="1" x14ac:dyDescent="0.2">
      <c r="A74" s="817"/>
      <c r="B74" s="2028"/>
      <c r="C74" s="50" t="s">
        <v>1745</v>
      </c>
      <c r="D74" s="44" t="s">
        <v>1647</v>
      </c>
      <c r="E74" s="118"/>
      <c r="F74" s="122"/>
      <c r="G74" s="123"/>
      <c r="H74" s="493">
        <f>VLOOKUP(C74,всецены,4,FALSE)</f>
        <v>5751.0380927999995</v>
      </c>
    </row>
    <row r="75" spans="1:8" ht="41.45" customHeight="1" x14ac:dyDescent="0.2">
      <c r="A75" s="817"/>
      <c r="B75" s="2197"/>
      <c r="C75" s="50" t="s">
        <v>1747</v>
      </c>
      <c r="D75" s="44" t="s">
        <v>1648</v>
      </c>
      <c r="E75" s="118"/>
      <c r="F75" s="122"/>
      <c r="G75" s="123"/>
      <c r="H75" s="493">
        <f>VLOOKUP(C75,всецены,4,FALSE)</f>
        <v>7048.9250832000007</v>
      </c>
    </row>
    <row r="76" spans="1:8" ht="13.5" customHeight="1" x14ac:dyDescent="0.2">
      <c r="A76" s="817"/>
      <c r="B76" s="2211" t="s">
        <v>1274</v>
      </c>
      <c r="C76" s="2212"/>
      <c r="D76" s="2212"/>
      <c r="E76" s="118"/>
      <c r="F76" s="32"/>
      <c r="G76" s="28"/>
      <c r="H76" s="485"/>
    </row>
    <row r="77" spans="1:8" ht="41.45" customHeight="1" x14ac:dyDescent="0.2">
      <c r="A77" s="817"/>
      <c r="B77" s="2029"/>
      <c r="C77" s="50" t="s">
        <v>1741</v>
      </c>
      <c r="D77" s="44" t="s">
        <v>805</v>
      </c>
      <c r="E77" s="118"/>
      <c r="F77" s="122"/>
      <c r="G77" s="123"/>
      <c r="H77" s="493">
        <f>VLOOKUP(C77,всецены,4,FALSE)</f>
        <v>7010.7041003999993</v>
      </c>
    </row>
    <row r="78" spans="1:8" ht="41.45" customHeight="1" x14ac:dyDescent="0.2">
      <c r="A78" s="817"/>
      <c r="B78" s="2037"/>
      <c r="C78" s="50" t="s">
        <v>1740</v>
      </c>
      <c r="D78" s="44" t="s">
        <v>806</v>
      </c>
      <c r="E78" s="118"/>
      <c r="F78" s="122"/>
      <c r="G78" s="123"/>
      <c r="H78" s="493">
        <f>VLOOKUP(C78,всецены,4,FALSE)</f>
        <v>5917.7466348000007</v>
      </c>
    </row>
    <row r="79" spans="1:8" ht="13.5" customHeight="1" x14ac:dyDescent="0.2">
      <c r="A79" s="817"/>
      <c r="B79" s="2211" t="s">
        <v>1274</v>
      </c>
      <c r="C79" s="2212"/>
      <c r="D79" s="2212"/>
      <c r="E79" s="118"/>
      <c r="F79" s="32"/>
      <c r="G79" s="28"/>
      <c r="H79" s="485"/>
    </row>
    <row r="80" spans="1:8" ht="41.45" customHeight="1" x14ac:dyDescent="0.2">
      <c r="A80" s="817"/>
      <c r="B80" s="2028"/>
      <c r="C80" s="50" t="s">
        <v>1748</v>
      </c>
      <c r="D80" s="44" t="s">
        <v>1017</v>
      </c>
      <c r="E80" s="118"/>
      <c r="F80" s="122"/>
      <c r="G80" s="123"/>
      <c r="H80" s="493">
        <f>VLOOKUP(C80,всецены,4,FALSE)</f>
        <v>6072.2569908000005</v>
      </c>
    </row>
    <row r="81" spans="1:42" ht="41.45" customHeight="1" x14ac:dyDescent="0.2">
      <c r="A81" s="817"/>
      <c r="B81" s="2197"/>
      <c r="C81" s="50" t="s">
        <v>1749</v>
      </c>
      <c r="D81" s="44" t="s">
        <v>1018</v>
      </c>
      <c r="E81" s="118"/>
      <c r="F81" s="122"/>
      <c r="G81" s="123"/>
      <c r="H81" s="493">
        <f>VLOOKUP(C81,всецены,4,FALSE)</f>
        <v>5879.5256520000003</v>
      </c>
    </row>
    <row r="82" spans="1:42" ht="13.5" customHeight="1" x14ac:dyDescent="0.2">
      <c r="A82" s="817"/>
      <c r="B82" s="2211" t="s">
        <v>1275</v>
      </c>
      <c r="C82" s="2212"/>
      <c r="D82" s="2212"/>
      <c r="E82" s="118"/>
      <c r="F82" s="32"/>
      <c r="G82" s="28"/>
      <c r="H82" s="485"/>
    </row>
    <row r="83" spans="1:42" ht="41.45" customHeight="1" x14ac:dyDescent="0.2">
      <c r="A83" s="817"/>
      <c r="B83" s="2028"/>
      <c r="C83" s="50" t="s">
        <v>1750</v>
      </c>
      <c r="D83" s="44" t="s">
        <v>1019</v>
      </c>
      <c r="E83" s="118"/>
      <c r="F83" s="122"/>
      <c r="G83" s="123"/>
      <c r="H83" s="493">
        <f>VLOOKUP(C83,всецены,4,FALSE)</f>
        <v>6912.3054000000002</v>
      </c>
    </row>
    <row r="84" spans="1:42" ht="41.45" customHeight="1" x14ac:dyDescent="0.2">
      <c r="A84" s="817"/>
      <c r="B84" s="2197"/>
      <c r="C84" s="50" t="s">
        <v>1751</v>
      </c>
      <c r="D84" s="44" t="s">
        <v>1020</v>
      </c>
      <c r="E84" s="118"/>
      <c r="F84" s="122"/>
      <c r="G84" s="123"/>
      <c r="H84" s="493">
        <f>VLOOKUP(C84,всецены,4,FALSE)</f>
        <v>8589.149368800001</v>
      </c>
    </row>
    <row r="85" spans="1:42" ht="13.5" customHeight="1" x14ac:dyDescent="0.2">
      <c r="A85" s="817"/>
      <c r="B85" s="2211" t="s">
        <v>1273</v>
      </c>
      <c r="C85" s="2212"/>
      <c r="D85" s="2212"/>
      <c r="E85" s="118"/>
      <c r="F85" s="32"/>
      <c r="G85" s="28"/>
      <c r="H85" s="485"/>
    </row>
    <row r="86" spans="1:42" ht="41.45" customHeight="1" x14ac:dyDescent="0.2">
      <c r="A86" s="817"/>
      <c r="B86" s="2024"/>
      <c r="C86" s="51" t="s">
        <v>1066</v>
      </c>
      <c r="D86" s="45" t="s">
        <v>1848</v>
      </c>
      <c r="E86" s="118"/>
      <c r="F86" s="122"/>
      <c r="G86" s="123"/>
      <c r="H86" s="493">
        <f>VLOOKUP(C86,всецены,4,FALSE)</f>
        <v>8349.2517107999993</v>
      </c>
    </row>
    <row r="87" spans="1:42" ht="41.45" customHeight="1" thickBot="1" x14ac:dyDescent="0.25">
      <c r="A87" s="817"/>
      <c r="B87" s="2025"/>
      <c r="C87" s="759" t="s">
        <v>1752</v>
      </c>
      <c r="D87" s="49" t="s">
        <v>1849</v>
      </c>
      <c r="E87" s="124"/>
      <c r="F87" s="760"/>
      <c r="G87" s="745"/>
      <c r="H87" s="744">
        <f>VLOOKUP(C87,всецены,4,FALSE)</f>
        <v>10128.560442</v>
      </c>
    </row>
    <row r="88" spans="1:42" x14ac:dyDescent="0.2">
      <c r="A88" s="817"/>
      <c r="B88" s="2196"/>
      <c r="C88" s="2196"/>
      <c r="D88" s="2196"/>
      <c r="E88" s="2196"/>
      <c r="F88" s="2196"/>
      <c r="G88" s="2196"/>
      <c r="H88" s="801"/>
    </row>
    <row r="89" spans="1:42" s="814" customFormat="1" ht="13.5" thickBot="1" x14ac:dyDescent="0.25">
      <c r="A89" s="8"/>
      <c r="B89" s="8"/>
      <c r="C89" s="46"/>
      <c r="D89" s="46"/>
      <c r="E89" s="42"/>
      <c r="F89" s="815"/>
      <c r="G89" s="8"/>
      <c r="H89" s="37"/>
      <c r="I89" s="8"/>
      <c r="J89" s="8"/>
      <c r="K89" s="8"/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  <c r="AA89" s="8"/>
      <c r="AB89" s="8"/>
      <c r="AC89" s="8"/>
      <c r="AD89" s="8"/>
      <c r="AE89" s="8"/>
      <c r="AF89" s="8"/>
      <c r="AG89" s="8"/>
      <c r="AH89" s="8"/>
      <c r="AI89" s="8"/>
      <c r="AJ89" s="8"/>
      <c r="AK89" s="8"/>
      <c r="AL89" s="8"/>
      <c r="AM89" s="8"/>
      <c r="AN89" s="8"/>
      <c r="AO89" s="8"/>
      <c r="AP89" s="8"/>
    </row>
    <row r="90" spans="1:42" s="814" customFormat="1" ht="20.100000000000001" customHeight="1" x14ac:dyDescent="0.2">
      <c r="A90" s="771"/>
      <c r="B90" s="2015" t="s">
        <v>465</v>
      </c>
      <c r="C90" s="2016"/>
      <c r="D90" s="2016"/>
      <c r="E90" s="2016"/>
      <c r="F90" s="2016"/>
      <c r="G90" s="2016"/>
      <c r="H90" s="751"/>
      <c r="I90" s="771"/>
      <c r="J90" s="771"/>
      <c r="K90" s="771"/>
      <c r="L90" s="771"/>
      <c r="M90" s="771"/>
      <c r="N90" s="771"/>
      <c r="O90" s="771"/>
      <c r="P90" s="771"/>
      <c r="Q90" s="771"/>
      <c r="R90" s="771"/>
      <c r="S90" s="771"/>
      <c r="T90" s="771"/>
      <c r="U90" s="771"/>
      <c r="V90" s="771"/>
      <c r="W90" s="771"/>
      <c r="X90" s="771"/>
      <c r="Y90" s="771"/>
      <c r="Z90" s="771"/>
      <c r="AA90" s="771"/>
      <c r="AB90" s="771"/>
      <c r="AC90" s="771"/>
      <c r="AD90" s="771"/>
      <c r="AE90" s="771"/>
      <c r="AF90" s="771"/>
      <c r="AG90" s="771"/>
      <c r="AH90" s="771"/>
      <c r="AI90" s="771"/>
      <c r="AJ90" s="771"/>
      <c r="AK90" s="771"/>
      <c r="AL90" s="771"/>
      <c r="AM90" s="771"/>
      <c r="AN90" s="771"/>
      <c r="AO90" s="771"/>
      <c r="AP90" s="771"/>
    </row>
    <row r="91" spans="1:42" s="814" customFormat="1" ht="20.100000000000001" customHeight="1" x14ac:dyDescent="0.2">
      <c r="A91" s="771"/>
      <c r="B91" s="2018"/>
      <c r="C91" s="2019"/>
      <c r="D91" s="2019"/>
      <c r="E91" s="2019"/>
      <c r="F91" s="2019"/>
      <c r="G91" s="2019"/>
      <c r="H91" s="747"/>
      <c r="I91" s="771"/>
      <c r="J91" s="771"/>
      <c r="K91" s="771"/>
      <c r="L91" s="771"/>
      <c r="M91" s="771"/>
      <c r="N91" s="771"/>
      <c r="O91" s="771"/>
      <c r="P91" s="771"/>
      <c r="Q91" s="771"/>
      <c r="R91" s="771"/>
      <c r="S91" s="771"/>
      <c r="T91" s="771"/>
      <c r="U91" s="771"/>
      <c r="V91" s="771"/>
      <c r="W91" s="771"/>
      <c r="X91" s="771"/>
      <c r="Y91" s="771"/>
      <c r="Z91" s="771"/>
      <c r="AA91" s="771"/>
      <c r="AB91" s="771"/>
      <c r="AC91" s="771"/>
      <c r="AD91" s="771"/>
      <c r="AE91" s="771"/>
      <c r="AF91" s="771"/>
      <c r="AG91" s="771"/>
      <c r="AH91" s="771"/>
      <c r="AI91" s="771"/>
      <c r="AJ91" s="771"/>
      <c r="AK91" s="771"/>
      <c r="AL91" s="771"/>
      <c r="AM91" s="771"/>
      <c r="AN91" s="771"/>
      <c r="AO91" s="771"/>
      <c r="AP91" s="771"/>
    </row>
    <row r="92" spans="1:42" s="814" customFormat="1" ht="13.5" thickBot="1" x14ac:dyDescent="0.25">
      <c r="A92" s="817"/>
      <c r="B92" s="433"/>
      <c r="C92" s="47"/>
      <c r="D92" s="816"/>
      <c r="E92" s="41"/>
      <c r="F92" s="32"/>
      <c r="G92" s="28"/>
      <c r="H92" s="485"/>
      <c r="I92" s="771"/>
      <c r="J92" s="771"/>
      <c r="K92" s="771"/>
      <c r="L92" s="771"/>
      <c r="M92" s="771"/>
      <c r="N92" s="771"/>
      <c r="O92" s="771"/>
      <c r="P92" s="771"/>
      <c r="Q92" s="771"/>
      <c r="R92" s="771"/>
      <c r="S92" s="771"/>
      <c r="T92" s="771"/>
      <c r="U92" s="771"/>
      <c r="V92" s="771"/>
      <c r="W92" s="771"/>
      <c r="X92" s="771"/>
      <c r="Y92" s="771"/>
      <c r="Z92" s="771"/>
      <c r="AA92" s="771"/>
      <c r="AB92" s="771"/>
      <c r="AC92" s="771"/>
      <c r="AD92" s="771"/>
      <c r="AE92" s="771"/>
      <c r="AF92" s="771"/>
      <c r="AG92" s="771"/>
      <c r="AH92" s="771"/>
      <c r="AI92" s="771"/>
      <c r="AJ92" s="771"/>
      <c r="AK92" s="771"/>
      <c r="AL92" s="771"/>
      <c r="AM92" s="771"/>
      <c r="AN92" s="771"/>
      <c r="AO92" s="771"/>
      <c r="AP92" s="771"/>
    </row>
    <row r="93" spans="1:42" s="814" customFormat="1" ht="34.5" customHeight="1" x14ac:dyDescent="0.2">
      <c r="A93" s="817"/>
      <c r="B93" s="2220"/>
      <c r="C93" s="821" t="s">
        <v>423</v>
      </c>
      <c r="D93" s="2198" t="str">
        <f t="shared" ref="D93:D134" si="2">VLOOKUP(C93,всецены,2,FALSE)</f>
        <v xml:space="preserve">Trend II, 300/450, белый глянец         </v>
      </c>
      <c r="E93" s="2199"/>
      <c r="F93" s="2199"/>
      <c r="G93" s="2200"/>
      <c r="H93" s="822">
        <f t="shared" ref="H93:H117" si="3">VLOOKUP(C93,всецены,4,FALSE)</f>
        <v>403.35335040000001</v>
      </c>
      <c r="I93" s="771"/>
      <c r="J93" s="771"/>
      <c r="K93" s="771"/>
      <c r="L93" s="771"/>
      <c r="M93" s="771"/>
      <c r="N93" s="771"/>
      <c r="O93" s="771"/>
      <c r="P93" s="771"/>
      <c r="Q93" s="771"/>
      <c r="R93" s="771"/>
      <c r="S93" s="771"/>
      <c r="T93" s="771"/>
      <c r="U93" s="771"/>
      <c r="V93" s="771"/>
      <c r="W93" s="771"/>
      <c r="X93" s="771"/>
      <c r="Y93" s="771"/>
      <c r="Z93" s="771"/>
      <c r="AA93" s="771"/>
      <c r="AB93" s="771"/>
      <c r="AC93" s="771"/>
      <c r="AD93" s="771"/>
      <c r="AE93" s="771"/>
      <c r="AF93" s="771"/>
      <c r="AG93" s="771"/>
      <c r="AH93" s="771"/>
      <c r="AI93" s="771"/>
      <c r="AJ93" s="771"/>
      <c r="AK93" s="771"/>
      <c r="AL93" s="771"/>
      <c r="AM93" s="771"/>
      <c r="AN93" s="771"/>
      <c r="AO93" s="771"/>
      <c r="AP93" s="771"/>
    </row>
    <row r="94" spans="1:42" s="814" customFormat="1" ht="34.5" customHeight="1" x14ac:dyDescent="0.2">
      <c r="A94" s="817"/>
      <c r="B94" s="2030"/>
      <c r="C94" s="45" t="s">
        <v>424</v>
      </c>
      <c r="D94" s="2201" t="str">
        <f t="shared" si="2"/>
        <v xml:space="preserve">Trend II, 300/450, белый мат            </v>
      </c>
      <c r="E94" s="2202"/>
      <c r="F94" s="2202"/>
      <c r="G94" s="2203"/>
      <c r="H94" s="761">
        <f t="shared" si="3"/>
        <v>309.020712</v>
      </c>
      <c r="I94" s="771"/>
      <c r="J94" s="771"/>
      <c r="K94" s="771"/>
      <c r="L94" s="771"/>
      <c r="M94" s="771"/>
      <c r="N94" s="771"/>
      <c r="O94" s="771"/>
      <c r="P94" s="771"/>
      <c r="Q94" s="771"/>
      <c r="R94" s="771"/>
      <c r="S94" s="771"/>
      <c r="T94" s="771"/>
      <c r="U94" s="771"/>
      <c r="V94" s="771"/>
      <c r="W94" s="771"/>
      <c r="X94" s="771"/>
      <c r="Y94" s="771"/>
      <c r="Z94" s="771"/>
      <c r="AA94" s="771"/>
      <c r="AB94" s="771"/>
      <c r="AC94" s="771"/>
      <c r="AD94" s="771"/>
      <c r="AE94" s="771"/>
      <c r="AF94" s="771"/>
      <c r="AG94" s="771"/>
      <c r="AH94" s="771"/>
      <c r="AI94" s="771"/>
      <c r="AJ94" s="771"/>
      <c r="AK94" s="771"/>
      <c r="AL94" s="771"/>
      <c r="AM94" s="771"/>
      <c r="AN94" s="771"/>
      <c r="AO94" s="771"/>
      <c r="AP94" s="771"/>
    </row>
    <row r="95" spans="1:42" s="814" customFormat="1" ht="34.5" customHeight="1" thickBot="1" x14ac:dyDescent="0.25">
      <c r="A95" s="817"/>
      <c r="B95" s="2031"/>
      <c r="C95" s="49" t="s">
        <v>425</v>
      </c>
      <c r="D95" s="2221" t="str">
        <f t="shared" si="2"/>
        <v xml:space="preserve">Trend II, 300/450, cерый мат            </v>
      </c>
      <c r="E95" s="2222"/>
      <c r="F95" s="2222"/>
      <c r="G95" s="2223"/>
      <c r="H95" s="744">
        <f t="shared" si="3"/>
        <v>309.020712</v>
      </c>
      <c r="I95" s="771"/>
      <c r="J95" s="771"/>
      <c r="K95" s="771"/>
      <c r="L95" s="771"/>
      <c r="M95" s="771"/>
      <c r="N95" s="771"/>
      <c r="O95" s="771"/>
      <c r="P95" s="771"/>
      <c r="Q95" s="771"/>
      <c r="R95" s="771"/>
      <c r="S95" s="771"/>
      <c r="T95" s="771"/>
      <c r="U95" s="771"/>
      <c r="V95" s="771"/>
      <c r="W95" s="771"/>
      <c r="X95" s="771"/>
      <c r="Y95" s="771"/>
      <c r="Z95" s="771"/>
      <c r="AA95" s="771"/>
      <c r="AB95" s="771"/>
      <c r="AC95" s="771"/>
      <c r="AD95" s="771"/>
      <c r="AE95" s="771"/>
      <c r="AF95" s="771"/>
      <c r="AG95" s="771"/>
      <c r="AH95" s="771"/>
      <c r="AI95" s="771"/>
      <c r="AJ95" s="771"/>
      <c r="AK95" s="771"/>
      <c r="AL95" s="771"/>
      <c r="AM95" s="771"/>
      <c r="AN95" s="771"/>
      <c r="AO95" s="771"/>
      <c r="AP95" s="771"/>
    </row>
    <row r="96" spans="1:42" s="814" customFormat="1" ht="33.75" customHeight="1" x14ac:dyDescent="0.2">
      <c r="A96" s="817"/>
      <c r="B96" s="2220"/>
      <c r="C96" s="823" t="s">
        <v>426</v>
      </c>
      <c r="D96" s="2198" t="str">
        <f t="shared" si="2"/>
        <v xml:space="preserve">Trend II, 400/450, белый глянец         </v>
      </c>
      <c r="E96" s="2199"/>
      <c r="F96" s="2199"/>
      <c r="G96" s="2200"/>
      <c r="H96" s="822">
        <f t="shared" si="3"/>
        <v>474.91604160000003</v>
      </c>
      <c r="I96" s="771"/>
      <c r="J96" s="771"/>
      <c r="K96" s="771"/>
      <c r="L96" s="771"/>
      <c r="M96" s="771"/>
      <c r="N96" s="771"/>
      <c r="O96" s="771"/>
      <c r="P96" s="771"/>
      <c r="Q96" s="771"/>
      <c r="R96" s="771"/>
      <c r="S96" s="771"/>
      <c r="T96" s="771"/>
      <c r="U96" s="771"/>
      <c r="V96" s="771"/>
      <c r="W96" s="771"/>
      <c r="X96" s="771"/>
      <c r="Y96" s="771"/>
      <c r="Z96" s="771"/>
      <c r="AA96" s="771"/>
      <c r="AB96" s="771"/>
      <c r="AC96" s="771"/>
      <c r="AD96" s="771"/>
      <c r="AE96" s="771"/>
      <c r="AF96" s="771"/>
      <c r="AG96" s="771"/>
      <c r="AH96" s="771"/>
      <c r="AI96" s="771"/>
      <c r="AJ96" s="771"/>
      <c r="AK96" s="771"/>
      <c r="AL96" s="771"/>
      <c r="AM96" s="771"/>
      <c r="AN96" s="771"/>
      <c r="AO96" s="771"/>
      <c r="AP96" s="771"/>
    </row>
    <row r="97" spans="1:42" s="814" customFormat="1" ht="33.75" customHeight="1" x14ac:dyDescent="0.2">
      <c r="A97" s="817"/>
      <c r="B97" s="2030"/>
      <c r="C97" s="186" t="s">
        <v>427</v>
      </c>
      <c r="D97" s="2201" t="str">
        <f t="shared" si="2"/>
        <v xml:space="preserve">Trend II, 400/450, белый мат            </v>
      </c>
      <c r="E97" s="2202"/>
      <c r="F97" s="2202"/>
      <c r="G97" s="2203"/>
      <c r="H97" s="493">
        <f t="shared" si="3"/>
        <v>356.18703119999998</v>
      </c>
      <c r="I97" s="771"/>
      <c r="J97" s="771"/>
      <c r="K97" s="771"/>
      <c r="L97" s="771"/>
      <c r="M97" s="771"/>
      <c r="N97" s="771"/>
      <c r="O97" s="771"/>
      <c r="P97" s="771"/>
      <c r="Q97" s="771"/>
      <c r="R97" s="771"/>
      <c r="S97" s="771"/>
      <c r="T97" s="771"/>
      <c r="U97" s="771"/>
      <c r="V97" s="771"/>
      <c r="W97" s="771"/>
      <c r="X97" s="771"/>
      <c r="Y97" s="771"/>
      <c r="Z97" s="771"/>
      <c r="AA97" s="771"/>
      <c r="AB97" s="771"/>
      <c r="AC97" s="771"/>
      <c r="AD97" s="771"/>
      <c r="AE97" s="771"/>
      <c r="AF97" s="771"/>
      <c r="AG97" s="771"/>
      <c r="AH97" s="771"/>
      <c r="AI97" s="771"/>
      <c r="AJ97" s="771"/>
      <c r="AK97" s="771"/>
      <c r="AL97" s="771"/>
      <c r="AM97" s="771"/>
      <c r="AN97" s="771"/>
      <c r="AO97" s="771"/>
      <c r="AP97" s="771"/>
    </row>
    <row r="98" spans="1:42" s="814" customFormat="1" ht="33.75" customHeight="1" thickBot="1" x14ac:dyDescent="0.25">
      <c r="A98" s="817"/>
      <c r="B98" s="2031"/>
      <c r="C98" s="746" t="s">
        <v>428</v>
      </c>
      <c r="D98" s="2221" t="str">
        <f t="shared" si="2"/>
        <v xml:space="preserve">Trend II, 400/450, cерый мат            </v>
      </c>
      <c r="E98" s="2222"/>
      <c r="F98" s="2222"/>
      <c r="G98" s="2223"/>
      <c r="H98" s="744">
        <f t="shared" si="3"/>
        <v>356.18703119999998</v>
      </c>
      <c r="I98" s="771"/>
      <c r="J98" s="771"/>
      <c r="K98" s="771"/>
      <c r="L98" s="771"/>
      <c r="M98" s="771"/>
      <c r="N98" s="771"/>
      <c r="O98" s="771"/>
      <c r="P98" s="771"/>
      <c r="Q98" s="771"/>
      <c r="R98" s="771"/>
      <c r="S98" s="771"/>
      <c r="T98" s="771"/>
      <c r="U98" s="771"/>
      <c r="V98" s="771"/>
      <c r="W98" s="771"/>
      <c r="X98" s="771"/>
      <c r="Y98" s="771"/>
      <c r="Z98" s="771"/>
      <c r="AA98" s="771"/>
      <c r="AB98" s="771"/>
      <c r="AC98" s="771"/>
      <c r="AD98" s="771"/>
      <c r="AE98" s="771"/>
      <c r="AF98" s="771"/>
      <c r="AG98" s="771"/>
      <c r="AH98" s="771"/>
      <c r="AI98" s="771"/>
      <c r="AJ98" s="771"/>
      <c r="AK98" s="771"/>
      <c r="AL98" s="771"/>
      <c r="AM98" s="771"/>
      <c r="AN98" s="771"/>
      <c r="AO98" s="771"/>
      <c r="AP98" s="771"/>
    </row>
    <row r="99" spans="1:42" s="814" customFormat="1" ht="34.5" customHeight="1" x14ac:dyDescent="0.2">
      <c r="A99" s="817"/>
      <c r="B99" s="2220"/>
      <c r="C99" s="823" t="s">
        <v>429</v>
      </c>
      <c r="D99" s="2198" t="str">
        <f t="shared" si="2"/>
        <v xml:space="preserve">Trend II, 450/450, белый глянец         </v>
      </c>
      <c r="E99" s="2199"/>
      <c r="F99" s="2199"/>
      <c r="G99" s="2200"/>
      <c r="H99" s="822">
        <f t="shared" si="3"/>
        <v>522.08236080000006</v>
      </c>
      <c r="I99" s="771"/>
      <c r="J99" s="771"/>
      <c r="K99" s="771"/>
      <c r="L99" s="771"/>
      <c r="M99" s="771"/>
      <c r="N99" s="771"/>
      <c r="O99" s="771"/>
      <c r="P99" s="771"/>
      <c r="Q99" s="771"/>
      <c r="R99" s="771"/>
      <c r="S99" s="771"/>
      <c r="T99" s="771"/>
      <c r="U99" s="771"/>
      <c r="V99" s="771"/>
      <c r="W99" s="771"/>
      <c r="X99" s="771"/>
      <c r="Y99" s="771"/>
      <c r="Z99" s="771"/>
      <c r="AA99" s="771"/>
      <c r="AB99" s="771"/>
      <c r="AC99" s="771"/>
      <c r="AD99" s="771"/>
      <c r="AE99" s="771"/>
      <c r="AF99" s="771"/>
      <c r="AG99" s="771"/>
      <c r="AH99" s="771"/>
      <c r="AI99" s="771"/>
      <c r="AJ99" s="771"/>
      <c r="AK99" s="771"/>
      <c r="AL99" s="771"/>
      <c r="AM99" s="771"/>
      <c r="AN99" s="771"/>
      <c r="AO99" s="771"/>
      <c r="AP99" s="771"/>
    </row>
    <row r="100" spans="1:42" s="814" customFormat="1" ht="34.5" customHeight="1" x14ac:dyDescent="0.2">
      <c r="A100" s="817"/>
      <c r="B100" s="2030"/>
      <c r="C100" s="186" t="s">
        <v>430</v>
      </c>
      <c r="D100" s="2201" t="str">
        <f t="shared" si="2"/>
        <v xml:space="preserve">Trend II, 450/450, белый мат            </v>
      </c>
      <c r="E100" s="2202"/>
      <c r="F100" s="2202"/>
      <c r="G100" s="2203"/>
      <c r="H100" s="493">
        <f t="shared" si="3"/>
        <v>403.35335040000001</v>
      </c>
      <c r="I100" s="771"/>
      <c r="J100" s="771"/>
      <c r="K100" s="771"/>
      <c r="L100" s="771"/>
      <c r="M100" s="771"/>
      <c r="N100" s="771"/>
      <c r="O100" s="771"/>
      <c r="P100" s="771"/>
      <c r="Q100" s="771"/>
      <c r="R100" s="771"/>
      <c r="S100" s="771"/>
      <c r="T100" s="771"/>
      <c r="U100" s="771"/>
      <c r="V100" s="771"/>
      <c r="W100" s="771"/>
      <c r="X100" s="771"/>
      <c r="Y100" s="771"/>
      <c r="Z100" s="771"/>
      <c r="AA100" s="771"/>
      <c r="AB100" s="771"/>
      <c r="AC100" s="771"/>
      <c r="AD100" s="771"/>
      <c r="AE100" s="771"/>
      <c r="AF100" s="771"/>
      <c r="AG100" s="771"/>
      <c r="AH100" s="771"/>
      <c r="AI100" s="771"/>
      <c r="AJ100" s="771"/>
      <c r="AK100" s="771"/>
      <c r="AL100" s="771"/>
      <c r="AM100" s="771"/>
      <c r="AN100" s="771"/>
      <c r="AO100" s="771"/>
      <c r="AP100" s="771"/>
    </row>
    <row r="101" spans="1:42" s="814" customFormat="1" ht="34.5" customHeight="1" thickBot="1" x14ac:dyDescent="0.25">
      <c r="A101" s="817"/>
      <c r="B101" s="2030"/>
      <c r="C101" s="824" t="s">
        <v>431</v>
      </c>
      <c r="D101" s="2204" t="str">
        <f t="shared" si="2"/>
        <v xml:space="preserve">Trend II, 450/450, cерый мат            </v>
      </c>
      <c r="E101" s="2205"/>
      <c r="F101" s="2205"/>
      <c r="G101" s="2206"/>
      <c r="H101" s="825">
        <f t="shared" si="3"/>
        <v>403.35335040000001</v>
      </c>
      <c r="I101" s="771"/>
      <c r="J101" s="771"/>
      <c r="K101" s="771"/>
      <c r="L101" s="771"/>
      <c r="M101" s="771"/>
      <c r="N101" s="771"/>
      <c r="O101" s="771"/>
      <c r="P101" s="771"/>
      <c r="Q101" s="771"/>
      <c r="R101" s="771"/>
      <c r="S101" s="771"/>
      <c r="T101" s="771"/>
      <c r="U101" s="771"/>
      <c r="V101" s="771"/>
      <c r="W101" s="771"/>
      <c r="X101" s="771"/>
      <c r="Y101" s="771"/>
      <c r="Z101" s="771"/>
      <c r="AA101" s="771"/>
      <c r="AB101" s="771"/>
      <c r="AC101" s="771"/>
      <c r="AD101" s="771"/>
      <c r="AE101" s="771"/>
      <c r="AF101" s="771"/>
      <c r="AG101" s="771"/>
      <c r="AH101" s="771"/>
      <c r="AI101" s="771"/>
      <c r="AJ101" s="771"/>
      <c r="AK101" s="771"/>
      <c r="AL101" s="771"/>
      <c r="AM101" s="771"/>
      <c r="AN101" s="771"/>
      <c r="AO101" s="771"/>
      <c r="AP101" s="771"/>
    </row>
    <row r="102" spans="1:42" s="814" customFormat="1" ht="33.75" customHeight="1" x14ac:dyDescent="0.2">
      <c r="A102" s="817"/>
      <c r="B102" s="2220"/>
      <c r="C102" s="823" t="s">
        <v>432</v>
      </c>
      <c r="D102" s="2198" t="str">
        <f t="shared" si="2"/>
        <v xml:space="preserve">Trend II, 500/450, белый глянец         </v>
      </c>
      <c r="E102" s="2199"/>
      <c r="F102" s="2199"/>
      <c r="G102" s="2200"/>
      <c r="H102" s="822">
        <f t="shared" si="3"/>
        <v>545.66552039999999</v>
      </c>
      <c r="I102" s="771"/>
      <c r="J102" s="771"/>
      <c r="K102" s="771"/>
      <c r="L102" s="771"/>
      <c r="M102" s="771"/>
      <c r="N102" s="771"/>
      <c r="O102" s="771"/>
      <c r="P102" s="771"/>
      <c r="Q102" s="771"/>
      <c r="R102" s="771"/>
      <c r="S102" s="771"/>
      <c r="T102" s="771"/>
      <c r="U102" s="771"/>
      <c r="V102" s="771"/>
      <c r="W102" s="771"/>
      <c r="X102" s="771"/>
      <c r="Y102" s="771"/>
      <c r="Z102" s="771"/>
      <c r="AA102" s="771"/>
      <c r="AB102" s="771"/>
      <c r="AC102" s="771"/>
      <c r="AD102" s="771"/>
      <c r="AE102" s="771"/>
      <c r="AF102" s="771"/>
      <c r="AG102" s="771"/>
      <c r="AH102" s="771"/>
      <c r="AI102" s="771"/>
      <c r="AJ102" s="771"/>
      <c r="AK102" s="771"/>
      <c r="AL102" s="771"/>
      <c r="AM102" s="771"/>
      <c r="AN102" s="771"/>
      <c r="AO102" s="771"/>
      <c r="AP102" s="771"/>
    </row>
    <row r="103" spans="1:42" s="814" customFormat="1" ht="33.75" customHeight="1" x14ac:dyDescent="0.2">
      <c r="A103" s="817"/>
      <c r="B103" s="2030"/>
      <c r="C103" s="186" t="s">
        <v>433</v>
      </c>
      <c r="D103" s="2201" t="str">
        <f t="shared" si="2"/>
        <v xml:space="preserve">Trend II, 500/450, белый мат            </v>
      </c>
      <c r="E103" s="2202"/>
      <c r="F103" s="2202"/>
      <c r="G103" s="2203"/>
      <c r="H103" s="493">
        <f t="shared" si="3"/>
        <v>451.33288199999998</v>
      </c>
      <c r="I103" s="771"/>
      <c r="J103" s="771"/>
      <c r="K103" s="771"/>
      <c r="L103" s="771"/>
      <c r="M103" s="771"/>
      <c r="N103" s="771"/>
      <c r="O103" s="771"/>
      <c r="P103" s="771"/>
      <c r="Q103" s="771"/>
      <c r="R103" s="771"/>
      <c r="S103" s="771"/>
      <c r="T103" s="771"/>
      <c r="U103" s="771"/>
      <c r="V103" s="771"/>
      <c r="W103" s="771"/>
      <c r="X103" s="771"/>
      <c r="Y103" s="771"/>
      <c r="Z103" s="771"/>
      <c r="AA103" s="771"/>
      <c r="AB103" s="771"/>
      <c r="AC103" s="771"/>
      <c r="AD103" s="771"/>
      <c r="AE103" s="771"/>
      <c r="AF103" s="771"/>
      <c r="AG103" s="771"/>
      <c r="AH103" s="771"/>
      <c r="AI103" s="771"/>
      <c r="AJ103" s="771"/>
      <c r="AK103" s="771"/>
      <c r="AL103" s="771"/>
      <c r="AM103" s="771"/>
      <c r="AN103" s="771"/>
      <c r="AO103" s="771"/>
      <c r="AP103" s="771"/>
    </row>
    <row r="104" spans="1:42" s="814" customFormat="1" ht="33.75" customHeight="1" thickBot="1" x14ac:dyDescent="0.25">
      <c r="A104" s="817"/>
      <c r="B104" s="2030"/>
      <c r="C104" s="824" t="s">
        <v>452</v>
      </c>
      <c r="D104" s="2204" t="str">
        <f>VLOOKUP(C104,всецены,2,FALSE)</f>
        <v xml:space="preserve">Trend II, 500/450, cерый мат            </v>
      </c>
      <c r="E104" s="2205"/>
      <c r="F104" s="2205"/>
      <c r="G104" s="2206"/>
      <c r="H104" s="825">
        <f>VLOOKUP(C104,всецены,4,FALSE)</f>
        <v>451.33288199999998</v>
      </c>
      <c r="I104" s="771"/>
      <c r="J104" s="771"/>
      <c r="K104" s="771"/>
      <c r="L104" s="771"/>
      <c r="M104" s="771"/>
      <c r="N104" s="771"/>
      <c r="O104" s="771"/>
      <c r="P104" s="771"/>
      <c r="Q104" s="771"/>
      <c r="R104" s="771"/>
      <c r="S104" s="771"/>
      <c r="T104" s="771"/>
      <c r="U104" s="771"/>
      <c r="V104" s="771"/>
      <c r="W104" s="771"/>
      <c r="X104" s="771"/>
      <c r="Y104" s="771"/>
      <c r="Z104" s="771"/>
      <c r="AA104" s="771"/>
      <c r="AB104" s="771"/>
      <c r="AC104" s="771"/>
      <c r="AD104" s="771"/>
      <c r="AE104" s="771"/>
      <c r="AF104" s="771"/>
      <c r="AG104" s="771"/>
      <c r="AH104" s="771"/>
      <c r="AI104" s="771"/>
      <c r="AJ104" s="771"/>
      <c r="AK104" s="771"/>
      <c r="AL104" s="771"/>
      <c r="AM104" s="771"/>
      <c r="AN104" s="771"/>
      <c r="AO104" s="771"/>
      <c r="AP104" s="771"/>
    </row>
    <row r="105" spans="1:42" s="814" customFormat="1" ht="34.5" customHeight="1" x14ac:dyDescent="0.2">
      <c r="A105" s="817"/>
      <c r="B105" s="2220"/>
      <c r="C105" s="823" t="s">
        <v>459</v>
      </c>
      <c r="D105" s="2198" t="str">
        <f t="shared" si="2"/>
        <v xml:space="preserve">Trend II, 600/450, белый глянец         </v>
      </c>
      <c r="E105" s="2199"/>
      <c r="F105" s="2199"/>
      <c r="G105" s="2200"/>
      <c r="H105" s="822">
        <f t="shared" si="3"/>
        <v>617.22821160000001</v>
      </c>
      <c r="I105" s="771"/>
      <c r="J105" s="771"/>
      <c r="K105" s="771"/>
      <c r="L105" s="771"/>
      <c r="M105" s="771"/>
      <c r="N105" s="771"/>
      <c r="O105" s="771"/>
      <c r="P105" s="771"/>
      <c r="Q105" s="771"/>
      <c r="R105" s="771"/>
      <c r="S105" s="771"/>
      <c r="T105" s="771"/>
      <c r="U105" s="771"/>
      <c r="V105" s="771"/>
      <c r="W105" s="771"/>
      <c r="X105" s="771"/>
      <c r="Y105" s="771"/>
      <c r="Z105" s="771"/>
      <c r="AA105" s="771"/>
      <c r="AB105" s="771"/>
      <c r="AC105" s="771"/>
      <c r="AD105" s="771"/>
      <c r="AE105" s="771"/>
      <c r="AF105" s="771"/>
      <c r="AG105" s="771"/>
      <c r="AH105" s="771"/>
      <c r="AI105" s="771"/>
      <c r="AJ105" s="771"/>
      <c r="AK105" s="771"/>
      <c r="AL105" s="771"/>
      <c r="AM105" s="771"/>
      <c r="AN105" s="771"/>
      <c r="AO105" s="771"/>
      <c r="AP105" s="771"/>
    </row>
    <row r="106" spans="1:42" s="814" customFormat="1" ht="34.5" customHeight="1" x14ac:dyDescent="0.2">
      <c r="A106" s="817"/>
      <c r="B106" s="2030"/>
      <c r="C106" s="186" t="s">
        <v>456</v>
      </c>
      <c r="D106" s="2201" t="str">
        <f t="shared" si="2"/>
        <v xml:space="preserve">Trend II, 600/450, белый мат            </v>
      </c>
      <c r="E106" s="2202"/>
      <c r="F106" s="2202"/>
      <c r="G106" s="2203"/>
      <c r="H106" s="493">
        <f t="shared" si="3"/>
        <v>497.68598880000002</v>
      </c>
      <c r="I106" s="771"/>
      <c r="J106" s="771"/>
      <c r="K106" s="771"/>
      <c r="L106" s="771"/>
      <c r="M106" s="771"/>
      <c r="N106" s="771"/>
      <c r="O106" s="771"/>
      <c r="P106" s="771"/>
      <c r="Q106" s="771"/>
      <c r="R106" s="771"/>
      <c r="S106" s="771"/>
      <c r="T106" s="771"/>
      <c r="U106" s="771"/>
      <c r="V106" s="771"/>
      <c r="W106" s="771"/>
      <c r="X106" s="771"/>
      <c r="Y106" s="771"/>
      <c r="Z106" s="771"/>
      <c r="AA106" s="771"/>
      <c r="AB106" s="771"/>
      <c r="AC106" s="771"/>
      <c r="AD106" s="771"/>
      <c r="AE106" s="771"/>
      <c r="AF106" s="771"/>
      <c r="AG106" s="771"/>
      <c r="AH106" s="771"/>
      <c r="AI106" s="771"/>
      <c r="AJ106" s="771"/>
      <c r="AK106" s="771"/>
      <c r="AL106" s="771"/>
      <c r="AM106" s="771"/>
      <c r="AN106" s="771"/>
      <c r="AO106" s="771"/>
      <c r="AP106" s="771"/>
    </row>
    <row r="107" spans="1:42" s="814" customFormat="1" ht="34.5" customHeight="1" thickBot="1" x14ac:dyDescent="0.25">
      <c r="A107" s="817"/>
      <c r="B107" s="2030"/>
      <c r="C107" s="824" t="s">
        <v>453</v>
      </c>
      <c r="D107" s="2204" t="str">
        <f t="shared" si="2"/>
        <v xml:space="preserve">Trend II, 600/450, cерый мат            </v>
      </c>
      <c r="E107" s="2205"/>
      <c r="F107" s="2205"/>
      <c r="G107" s="2206"/>
      <c r="H107" s="825">
        <f t="shared" si="3"/>
        <v>497.68598880000002</v>
      </c>
      <c r="I107" s="771"/>
      <c r="J107" s="771"/>
      <c r="K107" s="771"/>
      <c r="L107" s="771"/>
      <c r="M107" s="771"/>
      <c r="N107" s="771"/>
      <c r="O107" s="771"/>
      <c r="P107" s="771"/>
      <c r="Q107" s="771"/>
      <c r="R107" s="771"/>
      <c r="S107" s="771"/>
      <c r="T107" s="771"/>
      <c r="U107" s="771"/>
      <c r="V107" s="771"/>
      <c r="W107" s="771"/>
      <c r="X107" s="771"/>
      <c r="Y107" s="771"/>
      <c r="Z107" s="771"/>
      <c r="AA107" s="771"/>
      <c r="AB107" s="771"/>
      <c r="AC107" s="771"/>
      <c r="AD107" s="771"/>
      <c r="AE107" s="771"/>
      <c r="AF107" s="771"/>
      <c r="AG107" s="771"/>
      <c r="AH107" s="771"/>
      <c r="AI107" s="771"/>
      <c r="AJ107" s="771"/>
      <c r="AK107" s="771"/>
      <c r="AL107" s="771"/>
      <c r="AM107" s="771"/>
      <c r="AN107" s="771"/>
      <c r="AO107" s="771"/>
      <c r="AP107" s="771"/>
    </row>
    <row r="108" spans="1:42" s="814" customFormat="1" ht="35.25" customHeight="1" x14ac:dyDescent="0.2">
      <c r="A108" s="817"/>
      <c r="B108" s="2220"/>
      <c r="C108" s="823" t="s">
        <v>460</v>
      </c>
      <c r="D108" s="2198" t="str">
        <f t="shared" si="2"/>
        <v xml:space="preserve">Trend II, 800/450, белый глянец         </v>
      </c>
      <c r="E108" s="2199"/>
      <c r="F108" s="2199"/>
      <c r="G108" s="2200"/>
      <c r="H108" s="822">
        <f t="shared" si="3"/>
        <v>1044.1647216000001</v>
      </c>
      <c r="I108" s="771"/>
      <c r="J108" s="771"/>
      <c r="K108" s="771"/>
      <c r="L108" s="771"/>
      <c r="M108" s="771"/>
      <c r="N108" s="771"/>
      <c r="O108" s="771"/>
      <c r="P108" s="771"/>
      <c r="Q108" s="771"/>
      <c r="R108" s="771"/>
      <c r="S108" s="771"/>
      <c r="T108" s="771"/>
      <c r="U108" s="771"/>
      <c r="V108" s="771"/>
      <c r="W108" s="771"/>
      <c r="X108" s="771"/>
      <c r="Y108" s="771"/>
      <c r="Z108" s="771"/>
      <c r="AA108" s="771"/>
      <c r="AB108" s="771"/>
      <c r="AC108" s="771"/>
      <c r="AD108" s="771"/>
      <c r="AE108" s="771"/>
      <c r="AF108" s="771"/>
      <c r="AG108" s="771"/>
      <c r="AH108" s="771"/>
      <c r="AI108" s="771"/>
      <c r="AJ108" s="771"/>
      <c r="AK108" s="771"/>
      <c r="AL108" s="771"/>
      <c r="AM108" s="771"/>
      <c r="AN108" s="771"/>
      <c r="AO108" s="771"/>
      <c r="AP108" s="771"/>
    </row>
    <row r="109" spans="1:42" s="814" customFormat="1" ht="35.25" customHeight="1" x14ac:dyDescent="0.2">
      <c r="A109" s="817"/>
      <c r="B109" s="2030"/>
      <c r="C109" s="186" t="s">
        <v>457</v>
      </c>
      <c r="D109" s="2201" t="str">
        <f t="shared" si="2"/>
        <v xml:space="preserve">Trend II, 800/450, белый мат            </v>
      </c>
      <c r="E109" s="2202"/>
      <c r="F109" s="2202"/>
      <c r="G109" s="2203"/>
      <c r="H109" s="493">
        <f t="shared" si="3"/>
        <v>831.10307280000018</v>
      </c>
      <c r="I109" s="771"/>
      <c r="J109" s="771"/>
      <c r="K109" s="771"/>
      <c r="L109" s="771"/>
      <c r="M109" s="771"/>
      <c r="N109" s="771"/>
      <c r="O109" s="771"/>
      <c r="P109" s="771"/>
      <c r="Q109" s="771"/>
      <c r="R109" s="771"/>
      <c r="S109" s="771"/>
      <c r="T109" s="771"/>
      <c r="U109" s="771"/>
      <c r="V109" s="771"/>
      <c r="W109" s="771"/>
      <c r="X109" s="771"/>
      <c r="Y109" s="771"/>
      <c r="Z109" s="771"/>
      <c r="AA109" s="771"/>
      <c r="AB109" s="771"/>
      <c r="AC109" s="771"/>
      <c r="AD109" s="771"/>
      <c r="AE109" s="771"/>
      <c r="AF109" s="771"/>
      <c r="AG109" s="771"/>
      <c r="AH109" s="771"/>
      <c r="AI109" s="771"/>
      <c r="AJ109" s="771"/>
      <c r="AK109" s="771"/>
      <c r="AL109" s="771"/>
      <c r="AM109" s="771"/>
      <c r="AN109" s="771"/>
      <c r="AO109" s="771"/>
      <c r="AP109" s="771"/>
    </row>
    <row r="110" spans="1:42" s="814" customFormat="1" ht="35.25" customHeight="1" thickBot="1" x14ac:dyDescent="0.25">
      <c r="A110" s="817"/>
      <c r="B110" s="2030"/>
      <c r="C110" s="824" t="s">
        <v>454</v>
      </c>
      <c r="D110" s="2204" t="str">
        <f t="shared" si="2"/>
        <v xml:space="preserve">Trend II, 800/450, cерый мат            </v>
      </c>
      <c r="E110" s="2205"/>
      <c r="F110" s="2205"/>
      <c r="G110" s="2206"/>
      <c r="H110" s="825">
        <f t="shared" si="3"/>
        <v>831.10307280000018</v>
      </c>
      <c r="I110" s="771"/>
      <c r="J110" s="771"/>
      <c r="K110" s="771"/>
      <c r="L110" s="771"/>
      <c r="M110" s="771"/>
      <c r="N110" s="771"/>
      <c r="O110" s="771"/>
      <c r="P110" s="771"/>
      <c r="Q110" s="771"/>
      <c r="R110" s="771"/>
      <c r="S110" s="771"/>
      <c r="T110" s="771"/>
      <c r="U110" s="771"/>
      <c r="V110" s="771"/>
      <c r="W110" s="771"/>
      <c r="X110" s="771"/>
      <c r="Y110" s="771"/>
      <c r="Z110" s="771"/>
      <c r="AA110" s="771"/>
      <c r="AB110" s="771"/>
      <c r="AC110" s="771"/>
      <c r="AD110" s="771"/>
      <c r="AE110" s="771"/>
      <c r="AF110" s="771"/>
      <c r="AG110" s="771"/>
      <c r="AH110" s="771"/>
      <c r="AI110" s="771"/>
      <c r="AJ110" s="771"/>
      <c r="AK110" s="771"/>
      <c r="AL110" s="771"/>
      <c r="AM110" s="771"/>
      <c r="AN110" s="771"/>
      <c r="AO110" s="771"/>
      <c r="AP110" s="771"/>
    </row>
    <row r="111" spans="1:42" s="814" customFormat="1" ht="34.5" customHeight="1" x14ac:dyDescent="0.2">
      <c r="A111" s="817"/>
      <c r="B111" s="2220"/>
      <c r="C111" s="823" t="s">
        <v>461</v>
      </c>
      <c r="D111" s="2198" t="str">
        <f t="shared" si="2"/>
        <v xml:space="preserve">Trend II, 900/450, белый глянец         </v>
      </c>
      <c r="E111" s="2199"/>
      <c r="F111" s="2199"/>
      <c r="G111" s="2200"/>
      <c r="H111" s="822">
        <f t="shared" si="3"/>
        <v>1233.6432108000001</v>
      </c>
      <c r="I111" s="771"/>
      <c r="J111" s="771"/>
      <c r="K111" s="771"/>
      <c r="L111" s="771"/>
      <c r="M111" s="771"/>
      <c r="N111" s="771"/>
      <c r="O111" s="771"/>
      <c r="P111" s="771"/>
      <c r="Q111" s="771"/>
      <c r="R111" s="771"/>
      <c r="S111" s="771"/>
      <c r="T111" s="771"/>
      <c r="U111" s="771"/>
      <c r="V111" s="771"/>
      <c r="W111" s="771"/>
      <c r="X111" s="771"/>
      <c r="Y111" s="771"/>
      <c r="Z111" s="771"/>
      <c r="AA111" s="771"/>
      <c r="AB111" s="771"/>
      <c r="AC111" s="771"/>
      <c r="AD111" s="771"/>
      <c r="AE111" s="771"/>
      <c r="AF111" s="771"/>
      <c r="AG111" s="771"/>
      <c r="AH111" s="771"/>
      <c r="AI111" s="771"/>
      <c r="AJ111" s="771"/>
      <c r="AK111" s="771"/>
      <c r="AL111" s="771"/>
      <c r="AM111" s="771"/>
      <c r="AN111" s="771"/>
      <c r="AO111" s="771"/>
      <c r="AP111" s="771"/>
    </row>
    <row r="112" spans="1:42" s="814" customFormat="1" ht="34.5" customHeight="1" x14ac:dyDescent="0.2">
      <c r="A112" s="817"/>
      <c r="B112" s="2030"/>
      <c r="C112" s="186" t="s">
        <v>458</v>
      </c>
      <c r="D112" s="2201" t="str">
        <f t="shared" si="2"/>
        <v xml:space="preserve">Trend II, 900/450, белый мат            </v>
      </c>
      <c r="E112" s="2202"/>
      <c r="F112" s="2202"/>
      <c r="G112" s="2203"/>
      <c r="H112" s="493">
        <f t="shared" si="3"/>
        <v>996.99840240000003</v>
      </c>
      <c r="I112" s="771"/>
      <c r="J112" s="771"/>
      <c r="K112" s="771"/>
      <c r="L112" s="771"/>
      <c r="M112" s="771"/>
      <c r="N112" s="771"/>
      <c r="O112" s="771"/>
      <c r="P112" s="771"/>
      <c r="Q112" s="771"/>
      <c r="R112" s="771"/>
      <c r="S112" s="771"/>
      <c r="T112" s="771"/>
      <c r="U112" s="771"/>
      <c r="V112" s="771"/>
      <c r="W112" s="771"/>
      <c r="X112" s="771"/>
      <c r="Y112" s="771"/>
      <c r="Z112" s="771"/>
      <c r="AA112" s="771"/>
      <c r="AB112" s="771"/>
      <c r="AC112" s="771"/>
      <c r="AD112" s="771"/>
      <c r="AE112" s="771"/>
      <c r="AF112" s="771"/>
      <c r="AG112" s="771"/>
      <c r="AH112" s="771"/>
      <c r="AI112" s="771"/>
      <c r="AJ112" s="771"/>
      <c r="AK112" s="771"/>
      <c r="AL112" s="771"/>
      <c r="AM112" s="771"/>
      <c r="AN112" s="771"/>
      <c r="AO112" s="771"/>
      <c r="AP112" s="771"/>
    </row>
    <row r="113" spans="1:42" s="814" customFormat="1" ht="34.5" customHeight="1" thickBot="1" x14ac:dyDescent="0.25">
      <c r="A113" s="817"/>
      <c r="B113" s="2030"/>
      <c r="C113" s="824" t="s">
        <v>455</v>
      </c>
      <c r="D113" s="2204" t="str">
        <f t="shared" si="2"/>
        <v xml:space="preserve">Trend II, 900/450, cерый мат            </v>
      </c>
      <c r="E113" s="2205"/>
      <c r="F113" s="2205"/>
      <c r="G113" s="2206"/>
      <c r="H113" s="825">
        <f t="shared" si="3"/>
        <v>996.99840240000003</v>
      </c>
      <c r="I113" s="771"/>
      <c r="J113" s="771"/>
      <c r="K113" s="771"/>
      <c r="L113" s="771"/>
      <c r="M113" s="771"/>
      <c r="N113" s="771"/>
      <c r="O113" s="771"/>
      <c r="P113" s="771"/>
      <c r="Q113" s="771"/>
      <c r="R113" s="771"/>
      <c r="S113" s="771"/>
      <c r="T113" s="771"/>
      <c r="U113" s="771"/>
      <c r="V113" s="771"/>
      <c r="W113" s="771"/>
      <c r="X113" s="771"/>
      <c r="Y113" s="771"/>
      <c r="Z113" s="771"/>
      <c r="AA113" s="771"/>
      <c r="AB113" s="771"/>
      <c r="AC113" s="771"/>
      <c r="AD113" s="771"/>
      <c r="AE113" s="771"/>
      <c r="AF113" s="771"/>
      <c r="AG113" s="771"/>
      <c r="AH113" s="771"/>
      <c r="AI113" s="771"/>
      <c r="AJ113" s="771"/>
      <c r="AK113" s="771"/>
      <c r="AL113" s="771"/>
      <c r="AM113" s="771"/>
      <c r="AN113" s="771"/>
      <c r="AO113" s="771"/>
      <c r="AP113" s="771"/>
    </row>
    <row r="114" spans="1:42" s="814" customFormat="1" ht="37.5" customHeight="1" x14ac:dyDescent="0.2">
      <c r="A114" s="817"/>
      <c r="B114" s="2220"/>
      <c r="C114" s="823" t="s">
        <v>446</v>
      </c>
      <c r="D114" s="2198" t="str">
        <f t="shared" si="2"/>
        <v xml:space="preserve">Trend II, 300/500, белый глянец         </v>
      </c>
      <c r="E114" s="2199"/>
      <c r="F114" s="2199"/>
      <c r="G114" s="2200"/>
      <c r="H114" s="822">
        <f t="shared" si="3"/>
        <v>403.35335040000001</v>
      </c>
      <c r="I114" s="771"/>
      <c r="J114" s="771"/>
      <c r="K114" s="771"/>
      <c r="L114" s="771"/>
      <c r="M114" s="771"/>
      <c r="N114" s="771"/>
      <c r="O114" s="771"/>
      <c r="P114" s="771"/>
      <c r="Q114" s="771"/>
      <c r="R114" s="771"/>
      <c r="S114" s="771"/>
      <c r="T114" s="771"/>
      <c r="U114" s="771"/>
      <c r="V114" s="771"/>
      <c r="W114" s="771"/>
      <c r="X114" s="771"/>
      <c r="Y114" s="771"/>
      <c r="Z114" s="771"/>
      <c r="AA114" s="771"/>
      <c r="AB114" s="771"/>
      <c r="AC114" s="771"/>
      <c r="AD114" s="771"/>
      <c r="AE114" s="771"/>
      <c r="AF114" s="771"/>
      <c r="AG114" s="771"/>
      <c r="AH114" s="771"/>
      <c r="AI114" s="771"/>
      <c r="AJ114" s="771"/>
      <c r="AK114" s="771"/>
      <c r="AL114" s="771"/>
      <c r="AM114" s="771"/>
      <c r="AN114" s="771"/>
      <c r="AO114" s="771"/>
      <c r="AP114" s="771"/>
    </row>
    <row r="115" spans="1:42" s="814" customFormat="1" ht="37.5" customHeight="1" x14ac:dyDescent="0.2">
      <c r="A115" s="817"/>
      <c r="B115" s="2030"/>
      <c r="C115" s="186" t="s">
        <v>440</v>
      </c>
      <c r="D115" s="2201" t="str">
        <f t="shared" si="2"/>
        <v xml:space="preserve">Trend II, 300/500, белый мат            </v>
      </c>
      <c r="E115" s="2202"/>
      <c r="F115" s="2202"/>
      <c r="G115" s="2203"/>
      <c r="H115" s="493">
        <f t="shared" si="3"/>
        <v>309.020712</v>
      </c>
      <c r="I115" s="771"/>
      <c r="J115" s="771"/>
      <c r="K115" s="771"/>
      <c r="L115" s="771"/>
      <c r="M115" s="771"/>
      <c r="N115" s="771"/>
      <c r="O115" s="771"/>
      <c r="P115" s="771"/>
      <c r="Q115" s="771"/>
      <c r="R115" s="771"/>
      <c r="S115" s="771"/>
      <c r="T115" s="771"/>
      <c r="U115" s="771"/>
      <c r="V115" s="771"/>
      <c r="W115" s="771"/>
      <c r="X115" s="771"/>
      <c r="Y115" s="771"/>
      <c r="Z115" s="771"/>
      <c r="AA115" s="771"/>
      <c r="AB115" s="771"/>
      <c r="AC115" s="771"/>
      <c r="AD115" s="771"/>
      <c r="AE115" s="771"/>
      <c r="AF115" s="771"/>
      <c r="AG115" s="771"/>
      <c r="AH115" s="771"/>
      <c r="AI115" s="771"/>
      <c r="AJ115" s="771"/>
      <c r="AK115" s="771"/>
      <c r="AL115" s="771"/>
      <c r="AM115" s="771"/>
      <c r="AN115" s="771"/>
      <c r="AO115" s="771"/>
      <c r="AP115" s="771"/>
    </row>
    <row r="116" spans="1:42" s="814" customFormat="1" ht="37.5" customHeight="1" thickBot="1" x14ac:dyDescent="0.25">
      <c r="A116" s="817"/>
      <c r="B116" s="2030"/>
      <c r="C116" s="824" t="s">
        <v>434</v>
      </c>
      <c r="D116" s="2204" t="str">
        <f t="shared" si="2"/>
        <v xml:space="preserve">Trend II, 300/500, cерый мат            </v>
      </c>
      <c r="E116" s="2205"/>
      <c r="F116" s="2205"/>
      <c r="G116" s="2206"/>
      <c r="H116" s="825">
        <f t="shared" si="3"/>
        <v>309.020712</v>
      </c>
      <c r="I116" s="771"/>
      <c r="J116" s="771"/>
      <c r="K116" s="771"/>
      <c r="L116" s="771"/>
      <c r="M116" s="771"/>
      <c r="N116" s="771"/>
      <c r="O116" s="771"/>
      <c r="P116" s="771"/>
      <c r="Q116" s="771"/>
      <c r="R116" s="771"/>
      <c r="S116" s="771"/>
      <c r="T116" s="771"/>
      <c r="U116" s="771"/>
      <c r="V116" s="771"/>
      <c r="W116" s="771"/>
      <c r="X116" s="771"/>
      <c r="Y116" s="771"/>
      <c r="Z116" s="771"/>
      <c r="AA116" s="771"/>
      <c r="AB116" s="771"/>
      <c r="AC116" s="771"/>
      <c r="AD116" s="771"/>
      <c r="AE116" s="771"/>
      <c r="AF116" s="771"/>
      <c r="AG116" s="771"/>
      <c r="AH116" s="771"/>
      <c r="AI116" s="771"/>
      <c r="AJ116" s="771"/>
      <c r="AK116" s="771"/>
      <c r="AL116" s="771"/>
      <c r="AM116" s="771"/>
      <c r="AN116" s="771"/>
      <c r="AO116" s="771"/>
      <c r="AP116" s="771"/>
    </row>
    <row r="117" spans="1:42" s="814" customFormat="1" ht="38.25" customHeight="1" x14ac:dyDescent="0.2">
      <c r="A117" s="817"/>
      <c r="B117" s="2220"/>
      <c r="C117" s="823" t="s">
        <v>447</v>
      </c>
      <c r="D117" s="2198" t="str">
        <f t="shared" si="2"/>
        <v xml:space="preserve">Trend II, 400/500, белый глянец         </v>
      </c>
      <c r="E117" s="2199"/>
      <c r="F117" s="2199"/>
      <c r="G117" s="2200"/>
      <c r="H117" s="822">
        <f t="shared" si="3"/>
        <v>474.91604160000003</v>
      </c>
      <c r="I117" s="771"/>
      <c r="J117" s="771"/>
      <c r="K117" s="771"/>
      <c r="L117" s="771"/>
      <c r="M117" s="771"/>
      <c r="N117" s="771"/>
      <c r="O117" s="771"/>
      <c r="P117" s="771"/>
      <c r="Q117" s="771"/>
      <c r="R117" s="771"/>
      <c r="S117" s="771"/>
      <c r="T117" s="771"/>
      <c r="U117" s="771"/>
      <c r="V117" s="771"/>
      <c r="W117" s="771"/>
      <c r="X117" s="771"/>
      <c r="Y117" s="771"/>
      <c r="Z117" s="771"/>
      <c r="AA117" s="771"/>
      <c r="AB117" s="771"/>
      <c r="AC117" s="771"/>
      <c r="AD117" s="771"/>
      <c r="AE117" s="771"/>
      <c r="AF117" s="771"/>
      <c r="AG117" s="771"/>
      <c r="AH117" s="771"/>
      <c r="AI117" s="771"/>
      <c r="AJ117" s="771"/>
      <c r="AK117" s="771"/>
      <c r="AL117" s="771"/>
      <c r="AM117" s="771"/>
      <c r="AN117" s="771"/>
      <c r="AO117" s="771"/>
      <c r="AP117" s="771"/>
    </row>
    <row r="118" spans="1:42" s="814" customFormat="1" ht="38.25" customHeight="1" x14ac:dyDescent="0.2">
      <c r="A118" s="817"/>
      <c r="B118" s="2030"/>
      <c r="C118" s="186" t="s">
        <v>441</v>
      </c>
      <c r="D118" s="2201" t="str">
        <f t="shared" si="2"/>
        <v xml:space="preserve">Trend II, 400/500, белый мат            </v>
      </c>
      <c r="E118" s="2202"/>
      <c r="F118" s="2202"/>
      <c r="G118" s="2203"/>
      <c r="H118" s="493">
        <f>VLOOKUP(C118,всецены,4,FALSE)</f>
        <v>356.18703119999998</v>
      </c>
      <c r="I118" s="771"/>
      <c r="J118" s="771"/>
      <c r="K118" s="771"/>
      <c r="L118" s="771"/>
      <c r="M118" s="771"/>
      <c r="N118" s="771"/>
      <c r="O118" s="771"/>
      <c r="P118" s="771"/>
      <c r="Q118" s="771"/>
      <c r="R118" s="771"/>
      <c r="S118" s="771"/>
      <c r="T118" s="771"/>
      <c r="U118" s="771"/>
      <c r="V118" s="771"/>
      <c r="W118" s="771"/>
      <c r="X118" s="771"/>
      <c r="Y118" s="771"/>
      <c r="Z118" s="771"/>
      <c r="AA118" s="771"/>
      <c r="AB118" s="771"/>
      <c r="AC118" s="771"/>
      <c r="AD118" s="771"/>
      <c r="AE118" s="771"/>
      <c r="AF118" s="771"/>
      <c r="AG118" s="771"/>
      <c r="AH118" s="771"/>
      <c r="AI118" s="771"/>
      <c r="AJ118" s="771"/>
      <c r="AK118" s="771"/>
      <c r="AL118" s="771"/>
      <c r="AM118" s="771"/>
      <c r="AN118" s="771"/>
      <c r="AO118" s="771"/>
      <c r="AP118" s="771"/>
    </row>
    <row r="119" spans="1:42" s="814" customFormat="1" ht="38.25" customHeight="1" thickBot="1" x14ac:dyDescent="0.25">
      <c r="A119" s="817"/>
      <c r="B119" s="2030"/>
      <c r="C119" s="824" t="s">
        <v>435</v>
      </c>
      <c r="D119" s="2204" t="str">
        <f t="shared" si="2"/>
        <v xml:space="preserve">Trend II, 400/500, cерый мат            </v>
      </c>
      <c r="E119" s="2205"/>
      <c r="F119" s="2205"/>
      <c r="G119" s="2206"/>
      <c r="H119" s="825">
        <f>VLOOKUP(C119,всецены,4,FALSE)</f>
        <v>356.18703119999998</v>
      </c>
      <c r="I119" s="771"/>
      <c r="J119" s="771"/>
      <c r="K119" s="771"/>
      <c r="L119" s="771"/>
      <c r="M119" s="771"/>
      <c r="N119" s="771"/>
      <c r="O119" s="771"/>
      <c r="P119" s="771"/>
      <c r="Q119" s="771"/>
      <c r="R119" s="771"/>
      <c r="S119" s="771"/>
      <c r="T119" s="771"/>
      <c r="U119" s="771"/>
      <c r="V119" s="771"/>
      <c r="W119" s="771"/>
      <c r="X119" s="771"/>
      <c r="Y119" s="771"/>
      <c r="Z119" s="771"/>
      <c r="AA119" s="771"/>
      <c r="AB119" s="771"/>
      <c r="AC119" s="771"/>
      <c r="AD119" s="771"/>
      <c r="AE119" s="771"/>
      <c r="AF119" s="771"/>
      <c r="AG119" s="771"/>
      <c r="AH119" s="771"/>
      <c r="AI119" s="771"/>
      <c r="AJ119" s="771"/>
      <c r="AK119" s="771"/>
      <c r="AL119" s="771"/>
      <c r="AM119" s="771"/>
      <c r="AN119" s="771"/>
      <c r="AO119" s="771"/>
      <c r="AP119" s="771"/>
    </row>
    <row r="120" spans="1:42" s="814" customFormat="1" ht="37.5" customHeight="1" x14ac:dyDescent="0.2">
      <c r="A120" s="817"/>
      <c r="B120" s="2220"/>
      <c r="C120" s="823" t="s">
        <v>448</v>
      </c>
      <c r="D120" s="2198" t="str">
        <f t="shared" si="2"/>
        <v xml:space="preserve">Trend II, 450/500, белый глянец         </v>
      </c>
      <c r="E120" s="2199"/>
      <c r="F120" s="2199"/>
      <c r="G120" s="2200"/>
      <c r="H120" s="822">
        <f t="shared" ref="H120:H133" si="4">VLOOKUP(C120,всецены,4,FALSE)</f>
        <v>522.08236080000006</v>
      </c>
      <c r="I120" s="771"/>
      <c r="J120" s="771"/>
      <c r="K120" s="771"/>
      <c r="L120" s="771"/>
      <c r="M120" s="771"/>
      <c r="N120" s="771"/>
      <c r="O120" s="771"/>
      <c r="P120" s="771"/>
      <c r="Q120" s="771"/>
      <c r="R120" s="771"/>
      <c r="S120" s="771"/>
      <c r="T120" s="771"/>
      <c r="U120" s="771"/>
      <c r="V120" s="771"/>
      <c r="W120" s="771"/>
      <c r="X120" s="771"/>
      <c r="Y120" s="771"/>
      <c r="Z120" s="771"/>
      <c r="AA120" s="771"/>
      <c r="AB120" s="771"/>
      <c r="AC120" s="771"/>
      <c r="AD120" s="771"/>
      <c r="AE120" s="771"/>
      <c r="AF120" s="771"/>
      <c r="AG120" s="771"/>
      <c r="AH120" s="771"/>
      <c r="AI120" s="771"/>
      <c r="AJ120" s="771"/>
      <c r="AK120" s="771"/>
      <c r="AL120" s="771"/>
      <c r="AM120" s="771"/>
      <c r="AN120" s="771"/>
      <c r="AO120" s="771"/>
      <c r="AP120" s="771"/>
    </row>
    <row r="121" spans="1:42" s="814" customFormat="1" ht="37.5" customHeight="1" x14ac:dyDescent="0.2">
      <c r="A121" s="817"/>
      <c r="B121" s="2030"/>
      <c r="C121" s="186" t="s">
        <v>442</v>
      </c>
      <c r="D121" s="2201" t="str">
        <f t="shared" si="2"/>
        <v xml:space="preserve">Trend II, 450/500, белый мат            </v>
      </c>
      <c r="E121" s="2202"/>
      <c r="F121" s="2202"/>
      <c r="G121" s="2203"/>
      <c r="H121" s="493">
        <f t="shared" si="4"/>
        <v>403.35335040000001</v>
      </c>
      <c r="I121" s="771"/>
      <c r="J121" s="771"/>
      <c r="K121" s="771"/>
      <c r="L121" s="771"/>
      <c r="M121" s="771"/>
      <c r="N121" s="771"/>
      <c r="O121" s="771"/>
      <c r="P121" s="771"/>
      <c r="Q121" s="771"/>
      <c r="R121" s="771"/>
      <c r="S121" s="771"/>
      <c r="T121" s="771"/>
      <c r="U121" s="771"/>
      <c r="V121" s="771"/>
      <c r="W121" s="771"/>
      <c r="X121" s="771"/>
      <c r="Y121" s="771"/>
      <c r="Z121" s="771"/>
      <c r="AA121" s="771"/>
      <c r="AB121" s="771"/>
      <c r="AC121" s="771"/>
      <c r="AD121" s="771"/>
      <c r="AE121" s="771"/>
      <c r="AF121" s="771"/>
      <c r="AG121" s="771"/>
      <c r="AH121" s="771"/>
      <c r="AI121" s="771"/>
      <c r="AJ121" s="771"/>
      <c r="AK121" s="771"/>
      <c r="AL121" s="771"/>
      <c r="AM121" s="771"/>
      <c r="AN121" s="771"/>
      <c r="AO121" s="771"/>
      <c r="AP121" s="771"/>
    </row>
    <row r="122" spans="1:42" s="814" customFormat="1" ht="37.5" customHeight="1" thickBot="1" x14ac:dyDescent="0.25">
      <c r="A122" s="817"/>
      <c r="B122" s="2030"/>
      <c r="C122" s="824" t="s">
        <v>436</v>
      </c>
      <c r="D122" s="2204" t="str">
        <f>VLOOKUP(C122,всецены,2,FALSE)</f>
        <v xml:space="preserve">Trend II, 450/500, cерый мат            </v>
      </c>
      <c r="E122" s="2205"/>
      <c r="F122" s="2205"/>
      <c r="G122" s="2206"/>
      <c r="H122" s="825">
        <f>VLOOKUP(C122,всецены,4,FALSE)</f>
        <v>403.35335040000001</v>
      </c>
      <c r="I122" s="771"/>
      <c r="J122" s="771"/>
      <c r="K122" s="771"/>
      <c r="L122" s="771"/>
      <c r="M122" s="771"/>
      <c r="N122" s="771"/>
      <c r="O122" s="771"/>
      <c r="P122" s="771"/>
      <c r="Q122" s="771"/>
      <c r="R122" s="771"/>
      <c r="S122" s="771"/>
      <c r="T122" s="771"/>
      <c r="U122" s="771"/>
      <c r="V122" s="771"/>
      <c r="W122" s="771"/>
      <c r="X122" s="771"/>
      <c r="Y122" s="771"/>
      <c r="Z122" s="771"/>
      <c r="AA122" s="771"/>
      <c r="AB122" s="771"/>
      <c r="AC122" s="771"/>
      <c r="AD122" s="771"/>
      <c r="AE122" s="771"/>
      <c r="AF122" s="771"/>
      <c r="AG122" s="771"/>
      <c r="AH122" s="771"/>
      <c r="AI122" s="771"/>
      <c r="AJ122" s="771"/>
      <c r="AK122" s="771"/>
      <c r="AL122" s="771"/>
      <c r="AM122" s="771"/>
      <c r="AN122" s="771"/>
      <c r="AO122" s="771"/>
      <c r="AP122" s="771"/>
    </row>
    <row r="123" spans="1:42" s="814" customFormat="1" ht="36.75" customHeight="1" x14ac:dyDescent="0.2">
      <c r="A123" s="817"/>
      <c r="B123" s="2220"/>
      <c r="C123" s="823" t="s">
        <v>449</v>
      </c>
      <c r="D123" s="2198" t="str">
        <f t="shared" si="2"/>
        <v xml:space="preserve">Trend II, 500/500, белый глянец         </v>
      </c>
      <c r="E123" s="2199"/>
      <c r="F123" s="2199"/>
      <c r="G123" s="2200"/>
      <c r="H123" s="822">
        <f t="shared" si="4"/>
        <v>545.66552039999999</v>
      </c>
      <c r="I123" s="771"/>
      <c r="J123" s="771"/>
      <c r="K123" s="771"/>
      <c r="L123" s="771"/>
      <c r="M123" s="771"/>
      <c r="N123" s="771"/>
      <c r="O123" s="771"/>
      <c r="P123" s="771"/>
      <c r="Q123" s="771"/>
      <c r="R123" s="771"/>
      <c r="S123" s="771"/>
      <c r="T123" s="771"/>
      <c r="U123" s="771"/>
      <c r="V123" s="771"/>
      <c r="W123" s="771"/>
      <c r="X123" s="771"/>
      <c r="Y123" s="771"/>
      <c r="Z123" s="771"/>
      <c r="AA123" s="771"/>
      <c r="AB123" s="771"/>
      <c r="AC123" s="771"/>
      <c r="AD123" s="771"/>
      <c r="AE123" s="771"/>
      <c r="AF123" s="771"/>
      <c r="AG123" s="771"/>
      <c r="AH123" s="771"/>
      <c r="AI123" s="771"/>
      <c r="AJ123" s="771"/>
      <c r="AK123" s="771"/>
      <c r="AL123" s="771"/>
      <c r="AM123" s="771"/>
      <c r="AN123" s="771"/>
      <c r="AO123" s="771"/>
      <c r="AP123" s="771"/>
    </row>
    <row r="124" spans="1:42" s="814" customFormat="1" ht="36.75" customHeight="1" x14ac:dyDescent="0.2">
      <c r="A124" s="817"/>
      <c r="B124" s="2030"/>
      <c r="C124" s="186" t="s">
        <v>443</v>
      </c>
      <c r="D124" s="2201" t="str">
        <f t="shared" si="2"/>
        <v xml:space="preserve">Trend II, 500/500, белый мат            </v>
      </c>
      <c r="E124" s="2202"/>
      <c r="F124" s="2202"/>
      <c r="G124" s="2203"/>
      <c r="H124" s="493">
        <f t="shared" si="4"/>
        <v>451.33288199999998</v>
      </c>
      <c r="I124" s="771"/>
      <c r="J124" s="771"/>
      <c r="K124" s="771"/>
      <c r="L124" s="771"/>
      <c r="M124" s="771"/>
      <c r="N124" s="771"/>
      <c r="O124" s="771"/>
      <c r="P124" s="771"/>
      <c r="Q124" s="771"/>
      <c r="R124" s="771"/>
      <c r="S124" s="771"/>
      <c r="T124" s="771"/>
      <c r="U124" s="771"/>
      <c r="V124" s="771"/>
      <c r="W124" s="771"/>
      <c r="X124" s="771"/>
      <c r="Y124" s="771"/>
      <c r="Z124" s="771"/>
      <c r="AA124" s="771"/>
      <c r="AB124" s="771"/>
      <c r="AC124" s="771"/>
      <c r="AD124" s="771"/>
      <c r="AE124" s="771"/>
      <c r="AF124" s="771"/>
      <c r="AG124" s="771"/>
      <c r="AH124" s="771"/>
      <c r="AI124" s="771"/>
      <c r="AJ124" s="771"/>
      <c r="AK124" s="771"/>
      <c r="AL124" s="771"/>
      <c r="AM124" s="771"/>
      <c r="AN124" s="771"/>
      <c r="AO124" s="771"/>
      <c r="AP124" s="771"/>
    </row>
    <row r="125" spans="1:42" s="814" customFormat="1" ht="36.75" customHeight="1" thickBot="1" x14ac:dyDescent="0.25">
      <c r="A125" s="817"/>
      <c r="B125" s="2030"/>
      <c r="C125" s="824" t="s">
        <v>437</v>
      </c>
      <c r="D125" s="2204" t="str">
        <f t="shared" si="2"/>
        <v xml:space="preserve">Trend II, 500/500, cерый мат            </v>
      </c>
      <c r="E125" s="2205"/>
      <c r="F125" s="2205"/>
      <c r="G125" s="2206"/>
      <c r="H125" s="825">
        <f t="shared" si="4"/>
        <v>451.33288199999998</v>
      </c>
      <c r="I125" s="771"/>
      <c r="J125" s="771"/>
      <c r="K125" s="771"/>
      <c r="L125" s="771"/>
      <c r="M125" s="771"/>
      <c r="N125" s="771"/>
      <c r="O125" s="771"/>
      <c r="P125" s="771"/>
      <c r="Q125" s="771"/>
      <c r="R125" s="771"/>
      <c r="S125" s="771"/>
      <c r="T125" s="771"/>
      <c r="U125" s="771"/>
      <c r="V125" s="771"/>
      <c r="W125" s="771"/>
      <c r="X125" s="771"/>
      <c r="Y125" s="771"/>
      <c r="Z125" s="771"/>
      <c r="AA125" s="771"/>
      <c r="AB125" s="771"/>
      <c r="AC125" s="771"/>
      <c r="AD125" s="771"/>
      <c r="AE125" s="771"/>
      <c r="AF125" s="771"/>
      <c r="AG125" s="771"/>
      <c r="AH125" s="771"/>
      <c r="AI125" s="771"/>
      <c r="AJ125" s="771"/>
      <c r="AK125" s="771"/>
      <c r="AL125" s="771"/>
      <c r="AM125" s="771"/>
      <c r="AN125" s="771"/>
      <c r="AO125" s="771"/>
      <c r="AP125" s="771"/>
    </row>
    <row r="126" spans="1:42" s="814" customFormat="1" ht="37.5" customHeight="1" x14ac:dyDescent="0.2">
      <c r="A126" s="817"/>
      <c r="B126" s="2220"/>
      <c r="C126" s="823" t="s">
        <v>450</v>
      </c>
      <c r="D126" s="2198" t="str">
        <f t="shared" si="2"/>
        <v xml:space="preserve">Trend II, 600/500, белый глянец         </v>
      </c>
      <c r="E126" s="2199"/>
      <c r="F126" s="2199"/>
      <c r="G126" s="2200"/>
      <c r="H126" s="822">
        <f t="shared" si="4"/>
        <v>617.22821160000001</v>
      </c>
      <c r="I126" s="771"/>
      <c r="J126" s="771"/>
      <c r="K126" s="771"/>
      <c r="L126" s="771"/>
      <c r="M126" s="771"/>
      <c r="N126" s="771"/>
      <c r="O126" s="771"/>
      <c r="P126" s="771"/>
      <c r="Q126" s="771"/>
      <c r="R126" s="771"/>
      <c r="S126" s="771"/>
      <c r="T126" s="771"/>
      <c r="U126" s="771"/>
      <c r="V126" s="771"/>
      <c r="W126" s="771"/>
      <c r="X126" s="771"/>
      <c r="Y126" s="771"/>
      <c r="Z126" s="771"/>
      <c r="AA126" s="771"/>
      <c r="AB126" s="771"/>
      <c r="AC126" s="771"/>
      <c r="AD126" s="771"/>
      <c r="AE126" s="771"/>
      <c r="AF126" s="771"/>
      <c r="AG126" s="771"/>
      <c r="AH126" s="771"/>
      <c r="AI126" s="771"/>
      <c r="AJ126" s="771"/>
      <c r="AK126" s="771"/>
      <c r="AL126" s="771"/>
      <c r="AM126" s="771"/>
      <c r="AN126" s="771"/>
      <c r="AO126" s="771"/>
      <c r="AP126" s="771"/>
    </row>
    <row r="127" spans="1:42" s="814" customFormat="1" ht="37.5" customHeight="1" x14ac:dyDescent="0.2">
      <c r="A127" s="817"/>
      <c r="B127" s="2030"/>
      <c r="C127" s="186" t="s">
        <v>444</v>
      </c>
      <c r="D127" s="2201" t="str">
        <f t="shared" si="2"/>
        <v xml:space="preserve">Trend II, 600/500, белый мат            </v>
      </c>
      <c r="E127" s="2202"/>
      <c r="F127" s="2202"/>
      <c r="G127" s="2203"/>
      <c r="H127" s="493">
        <f t="shared" si="4"/>
        <v>497.68598880000002</v>
      </c>
      <c r="I127" s="771"/>
      <c r="J127" s="771"/>
      <c r="K127" s="771"/>
      <c r="L127" s="771"/>
      <c r="M127" s="771"/>
      <c r="N127" s="771"/>
      <c r="O127" s="771"/>
      <c r="P127" s="771"/>
      <c r="Q127" s="771"/>
      <c r="R127" s="771"/>
      <c r="S127" s="771"/>
      <c r="T127" s="771"/>
      <c r="U127" s="771"/>
      <c r="V127" s="771"/>
      <c r="W127" s="771"/>
      <c r="X127" s="771"/>
      <c r="Y127" s="771"/>
      <c r="Z127" s="771"/>
      <c r="AA127" s="771"/>
      <c r="AB127" s="771"/>
      <c r="AC127" s="771"/>
      <c r="AD127" s="771"/>
      <c r="AE127" s="771"/>
      <c r="AF127" s="771"/>
      <c r="AG127" s="771"/>
      <c r="AH127" s="771"/>
      <c r="AI127" s="771"/>
      <c r="AJ127" s="771"/>
      <c r="AK127" s="771"/>
      <c r="AL127" s="771"/>
      <c r="AM127" s="771"/>
      <c r="AN127" s="771"/>
      <c r="AO127" s="771"/>
      <c r="AP127" s="771"/>
    </row>
    <row r="128" spans="1:42" s="814" customFormat="1" ht="37.5" customHeight="1" thickBot="1" x14ac:dyDescent="0.25">
      <c r="A128" s="817"/>
      <c r="B128" s="2030"/>
      <c r="C128" s="824" t="s">
        <v>438</v>
      </c>
      <c r="D128" s="2204" t="str">
        <f t="shared" si="2"/>
        <v xml:space="preserve">Trend II, 600/500, cерый мат            </v>
      </c>
      <c r="E128" s="2205"/>
      <c r="F128" s="2205"/>
      <c r="G128" s="2206"/>
      <c r="H128" s="825">
        <f t="shared" si="4"/>
        <v>497.68598880000002</v>
      </c>
      <c r="I128" s="771"/>
      <c r="J128" s="771"/>
      <c r="K128" s="771"/>
      <c r="L128" s="771"/>
      <c r="M128" s="771"/>
      <c r="N128" s="771"/>
      <c r="O128" s="771"/>
      <c r="P128" s="771"/>
      <c r="Q128" s="771"/>
      <c r="R128" s="771"/>
      <c r="S128" s="771"/>
      <c r="T128" s="771"/>
      <c r="U128" s="771"/>
      <c r="V128" s="771"/>
      <c r="W128" s="771"/>
      <c r="X128" s="771"/>
      <c r="Y128" s="771"/>
      <c r="Z128" s="771"/>
      <c r="AA128" s="771"/>
      <c r="AB128" s="771"/>
      <c r="AC128" s="771"/>
      <c r="AD128" s="771"/>
      <c r="AE128" s="771"/>
      <c r="AF128" s="771"/>
      <c r="AG128" s="771"/>
      <c r="AH128" s="771"/>
      <c r="AI128" s="771"/>
      <c r="AJ128" s="771"/>
      <c r="AK128" s="771"/>
      <c r="AL128" s="771"/>
      <c r="AM128" s="771"/>
      <c r="AN128" s="771"/>
      <c r="AO128" s="771"/>
      <c r="AP128" s="771"/>
    </row>
    <row r="129" spans="1:42" s="814" customFormat="1" ht="37.5" customHeight="1" x14ac:dyDescent="0.2">
      <c r="A129" s="817"/>
      <c r="B129" s="2220"/>
      <c r="C129" s="823" t="s">
        <v>451</v>
      </c>
      <c r="D129" s="2198" t="str">
        <f t="shared" si="2"/>
        <v xml:space="preserve">Trend II, 800/500, белый глянец         </v>
      </c>
      <c r="E129" s="2199"/>
      <c r="F129" s="2199"/>
      <c r="G129" s="2200"/>
      <c r="H129" s="822">
        <f t="shared" si="4"/>
        <v>1044.1647216000001</v>
      </c>
      <c r="I129" s="771"/>
      <c r="J129" s="771"/>
      <c r="K129" s="771"/>
      <c r="L129" s="771"/>
      <c r="M129" s="771"/>
      <c r="N129" s="771"/>
      <c r="O129" s="771"/>
      <c r="P129" s="771"/>
      <c r="Q129" s="771"/>
      <c r="R129" s="771"/>
      <c r="S129" s="771"/>
      <c r="T129" s="771"/>
      <c r="U129" s="771"/>
      <c r="V129" s="771"/>
      <c r="W129" s="771"/>
      <c r="X129" s="771"/>
      <c r="Y129" s="771"/>
      <c r="Z129" s="771"/>
      <c r="AA129" s="771"/>
      <c r="AB129" s="771"/>
      <c r="AC129" s="771"/>
      <c r="AD129" s="771"/>
      <c r="AE129" s="771"/>
      <c r="AF129" s="771"/>
      <c r="AG129" s="771"/>
      <c r="AH129" s="771"/>
      <c r="AI129" s="771"/>
      <c r="AJ129" s="771"/>
      <c r="AK129" s="771"/>
      <c r="AL129" s="771"/>
      <c r="AM129" s="771"/>
      <c r="AN129" s="771"/>
      <c r="AO129" s="771"/>
      <c r="AP129" s="771"/>
    </row>
    <row r="130" spans="1:42" s="814" customFormat="1" ht="37.5" customHeight="1" x14ac:dyDescent="0.2">
      <c r="A130" s="817"/>
      <c r="B130" s="2030"/>
      <c r="C130" s="186" t="s">
        <v>445</v>
      </c>
      <c r="D130" s="2201" t="str">
        <f t="shared" si="2"/>
        <v xml:space="preserve">Trend II, 800/500, белый мат            </v>
      </c>
      <c r="E130" s="2202"/>
      <c r="F130" s="2202"/>
      <c r="G130" s="2203"/>
      <c r="H130" s="493">
        <f t="shared" si="4"/>
        <v>831.10307280000018</v>
      </c>
      <c r="I130" s="771"/>
      <c r="J130" s="771"/>
      <c r="K130" s="771"/>
      <c r="L130" s="771"/>
      <c r="M130" s="771"/>
      <c r="N130" s="771"/>
      <c r="O130" s="771"/>
      <c r="P130" s="771"/>
      <c r="Q130" s="771"/>
      <c r="R130" s="771"/>
      <c r="S130" s="771"/>
      <c r="T130" s="771"/>
      <c r="U130" s="771"/>
      <c r="V130" s="771"/>
      <c r="W130" s="771"/>
      <c r="X130" s="771"/>
      <c r="Y130" s="771"/>
      <c r="Z130" s="771"/>
      <c r="AA130" s="771"/>
      <c r="AB130" s="771"/>
      <c r="AC130" s="771"/>
      <c r="AD130" s="771"/>
      <c r="AE130" s="771"/>
      <c r="AF130" s="771"/>
      <c r="AG130" s="771"/>
      <c r="AH130" s="771"/>
      <c r="AI130" s="771"/>
      <c r="AJ130" s="771"/>
      <c r="AK130" s="771"/>
      <c r="AL130" s="771"/>
      <c r="AM130" s="771"/>
      <c r="AN130" s="771"/>
      <c r="AO130" s="771"/>
      <c r="AP130" s="771"/>
    </row>
    <row r="131" spans="1:42" s="814" customFormat="1" ht="37.5" customHeight="1" thickBot="1" x14ac:dyDescent="0.25">
      <c r="A131" s="817"/>
      <c r="B131" s="2030"/>
      <c r="C131" s="824" t="s">
        <v>439</v>
      </c>
      <c r="D131" s="2204" t="str">
        <f t="shared" si="2"/>
        <v xml:space="preserve">Trend II, 800/500, cерый мат            </v>
      </c>
      <c r="E131" s="2205"/>
      <c r="F131" s="2205"/>
      <c r="G131" s="2206"/>
      <c r="H131" s="825">
        <f t="shared" si="4"/>
        <v>831.10307280000018</v>
      </c>
      <c r="I131" s="771"/>
      <c r="J131" s="771"/>
      <c r="K131" s="771"/>
      <c r="L131" s="771"/>
      <c r="M131" s="771"/>
      <c r="N131" s="771"/>
      <c r="O131" s="771"/>
      <c r="P131" s="771"/>
      <c r="Q131" s="771"/>
      <c r="R131" s="771"/>
      <c r="S131" s="771"/>
      <c r="T131" s="771"/>
      <c r="U131" s="771"/>
      <c r="V131" s="771"/>
      <c r="W131" s="771"/>
      <c r="X131" s="771"/>
      <c r="Y131" s="771"/>
      <c r="Z131" s="771"/>
      <c r="AA131" s="771"/>
      <c r="AB131" s="771"/>
      <c r="AC131" s="771"/>
      <c r="AD131" s="771"/>
      <c r="AE131" s="771"/>
      <c r="AF131" s="771"/>
      <c r="AG131" s="771"/>
      <c r="AH131" s="771"/>
      <c r="AI131" s="771"/>
      <c r="AJ131" s="771"/>
      <c r="AK131" s="771"/>
      <c r="AL131" s="771"/>
      <c r="AM131" s="771"/>
      <c r="AN131" s="771"/>
      <c r="AO131" s="771"/>
      <c r="AP131" s="771"/>
    </row>
    <row r="132" spans="1:42" s="814" customFormat="1" ht="37.5" customHeight="1" x14ac:dyDescent="0.2">
      <c r="A132" s="817"/>
      <c r="B132" s="2220"/>
      <c r="C132" s="823" t="s">
        <v>464</v>
      </c>
      <c r="D132" s="2198" t="str">
        <f t="shared" si="2"/>
        <v xml:space="preserve">Trend II, 900/500, белый глянец         </v>
      </c>
      <c r="E132" s="2199"/>
      <c r="F132" s="2199"/>
      <c r="G132" s="2200"/>
      <c r="H132" s="822">
        <f t="shared" si="4"/>
        <v>1233.6432108000001</v>
      </c>
      <c r="I132" s="771"/>
      <c r="J132" s="771"/>
      <c r="K132" s="771"/>
      <c r="L132" s="771"/>
      <c r="M132" s="771"/>
      <c r="N132" s="771"/>
      <c r="O132" s="771"/>
      <c r="P132" s="771"/>
      <c r="Q132" s="771"/>
      <c r="R132" s="771"/>
      <c r="S132" s="771"/>
      <c r="T132" s="771"/>
      <c r="U132" s="771"/>
      <c r="V132" s="771"/>
      <c r="W132" s="771"/>
      <c r="X132" s="771"/>
      <c r="Y132" s="771"/>
      <c r="Z132" s="771"/>
      <c r="AA132" s="771"/>
      <c r="AB132" s="771"/>
      <c r="AC132" s="771"/>
      <c r="AD132" s="771"/>
      <c r="AE132" s="771"/>
      <c r="AF132" s="771"/>
      <c r="AG132" s="771"/>
      <c r="AH132" s="771"/>
      <c r="AI132" s="771"/>
      <c r="AJ132" s="771"/>
      <c r="AK132" s="771"/>
      <c r="AL132" s="771"/>
      <c r="AM132" s="771"/>
      <c r="AN132" s="771"/>
      <c r="AO132" s="771"/>
      <c r="AP132" s="771"/>
    </row>
    <row r="133" spans="1:42" s="814" customFormat="1" ht="37.5" customHeight="1" x14ac:dyDescent="0.2">
      <c r="A133" s="817"/>
      <c r="B133" s="2030"/>
      <c r="C133" s="186" t="s">
        <v>463</v>
      </c>
      <c r="D133" s="2201" t="str">
        <f t="shared" si="2"/>
        <v xml:space="preserve">Trend II, 900/500, белый мат            </v>
      </c>
      <c r="E133" s="2202"/>
      <c r="F133" s="2202"/>
      <c r="G133" s="2203"/>
      <c r="H133" s="493">
        <f t="shared" si="4"/>
        <v>996.99840240000003</v>
      </c>
      <c r="I133" s="771"/>
      <c r="J133" s="771"/>
      <c r="K133" s="771"/>
      <c r="L133" s="771"/>
      <c r="M133" s="771"/>
      <c r="N133" s="771"/>
      <c r="O133" s="771"/>
      <c r="P133" s="771"/>
      <c r="Q133" s="771"/>
      <c r="R133" s="771"/>
      <c r="S133" s="771"/>
      <c r="T133" s="771"/>
      <c r="U133" s="771"/>
      <c r="V133" s="771"/>
      <c r="W133" s="771"/>
      <c r="X133" s="771"/>
      <c r="Y133" s="771"/>
      <c r="Z133" s="771"/>
      <c r="AA133" s="771"/>
      <c r="AB133" s="771"/>
      <c r="AC133" s="771"/>
      <c r="AD133" s="771"/>
      <c r="AE133" s="771"/>
      <c r="AF133" s="771"/>
      <c r="AG133" s="771"/>
      <c r="AH133" s="771"/>
      <c r="AI133" s="771"/>
      <c r="AJ133" s="771"/>
      <c r="AK133" s="771"/>
      <c r="AL133" s="771"/>
      <c r="AM133" s="771"/>
      <c r="AN133" s="771"/>
      <c r="AO133" s="771"/>
      <c r="AP133" s="771"/>
    </row>
    <row r="134" spans="1:42" s="814" customFormat="1" ht="37.5" customHeight="1" thickBot="1" x14ac:dyDescent="0.25">
      <c r="A134" s="817"/>
      <c r="B134" s="2031"/>
      <c r="C134" s="746" t="s">
        <v>462</v>
      </c>
      <c r="D134" s="2221" t="str">
        <f t="shared" si="2"/>
        <v xml:space="preserve">Trend II, 900/500, cерый мат            </v>
      </c>
      <c r="E134" s="2222"/>
      <c r="F134" s="2222"/>
      <c r="G134" s="2223"/>
      <c r="H134" s="744">
        <f>VLOOKUP(C134,всецены,4,FALSE)</f>
        <v>996.99840240000003</v>
      </c>
      <c r="I134" s="771"/>
      <c r="J134" s="771"/>
      <c r="K134" s="771"/>
      <c r="L134" s="771"/>
      <c r="M134" s="771"/>
      <c r="N134" s="771"/>
      <c r="O134" s="771"/>
      <c r="P134" s="771"/>
      <c r="Q134" s="771"/>
      <c r="R134" s="771"/>
      <c r="S134" s="771"/>
      <c r="T134" s="771"/>
      <c r="U134" s="771"/>
      <c r="V134" s="771"/>
      <c r="W134" s="771"/>
      <c r="X134" s="771"/>
      <c r="Y134" s="771"/>
      <c r="Z134" s="771"/>
      <c r="AA134" s="771"/>
      <c r="AB134" s="771"/>
      <c r="AC134" s="771"/>
      <c r="AD134" s="771"/>
      <c r="AE134" s="771"/>
      <c r="AF134" s="771"/>
      <c r="AG134" s="771"/>
      <c r="AH134" s="771"/>
      <c r="AI134" s="771"/>
      <c r="AJ134" s="771"/>
      <c r="AK134" s="771"/>
      <c r="AL134" s="771"/>
      <c r="AM134" s="771"/>
      <c r="AN134" s="771"/>
      <c r="AO134" s="771"/>
      <c r="AP134" s="771"/>
    </row>
    <row r="135" spans="1:42" s="814" customFormat="1" x14ac:dyDescent="0.2">
      <c r="B135" s="2196"/>
      <c r="C135" s="2196"/>
      <c r="D135" s="2196"/>
      <c r="E135" s="2196"/>
      <c r="F135" s="2196"/>
      <c r="G135" s="2196"/>
      <c r="H135" s="801"/>
      <c r="I135" s="771"/>
      <c r="J135" s="771"/>
      <c r="K135" s="771"/>
      <c r="L135" s="771"/>
      <c r="M135" s="771"/>
      <c r="N135" s="771"/>
      <c r="O135" s="771"/>
      <c r="P135" s="771"/>
      <c r="Q135" s="771"/>
      <c r="R135" s="771"/>
      <c r="S135" s="771"/>
      <c r="T135" s="771"/>
      <c r="U135" s="771"/>
      <c r="V135" s="771"/>
      <c r="W135" s="771"/>
      <c r="X135" s="771"/>
      <c r="Y135" s="771"/>
      <c r="Z135" s="771"/>
      <c r="AA135" s="771"/>
      <c r="AB135" s="771"/>
      <c r="AC135" s="771"/>
      <c r="AD135" s="771"/>
      <c r="AE135" s="771"/>
      <c r="AF135" s="771"/>
      <c r="AG135" s="771"/>
      <c r="AH135" s="771"/>
      <c r="AI135" s="771"/>
      <c r="AJ135" s="771"/>
      <c r="AK135" s="771"/>
      <c r="AL135" s="771"/>
      <c r="AM135" s="771"/>
      <c r="AN135" s="771"/>
      <c r="AO135" s="771"/>
      <c r="AP135" s="771"/>
    </row>
    <row r="136" spans="1:42" ht="13.5" thickBot="1" x14ac:dyDescent="0.25">
      <c r="B136" s="8"/>
      <c r="C136" s="46"/>
      <c r="D136" s="46"/>
      <c r="I136" s="771"/>
      <c r="J136" s="771"/>
      <c r="K136" s="771"/>
      <c r="L136" s="771"/>
      <c r="M136" s="771"/>
      <c r="N136" s="771"/>
      <c r="O136" s="771"/>
      <c r="P136" s="771"/>
      <c r="Q136" s="771"/>
      <c r="R136" s="771"/>
      <c r="S136" s="771"/>
      <c r="T136" s="771"/>
      <c r="U136" s="771"/>
      <c r="V136" s="771"/>
      <c r="W136" s="771"/>
      <c r="X136" s="771"/>
      <c r="Y136" s="771"/>
      <c r="Z136" s="771"/>
      <c r="AA136" s="771"/>
      <c r="AB136" s="771"/>
      <c r="AC136" s="771"/>
      <c r="AD136" s="771"/>
      <c r="AE136" s="771"/>
      <c r="AF136" s="771"/>
      <c r="AG136" s="771"/>
      <c r="AH136" s="771"/>
      <c r="AI136" s="771"/>
      <c r="AJ136" s="771"/>
      <c r="AK136" s="771"/>
      <c r="AL136" s="771"/>
      <c r="AM136" s="771"/>
      <c r="AN136" s="771"/>
      <c r="AO136" s="771"/>
      <c r="AP136" s="771"/>
    </row>
    <row r="137" spans="1:42" s="814" customFormat="1" ht="20.100000000000001" customHeight="1" x14ac:dyDescent="0.2">
      <c r="A137" s="8"/>
      <c r="B137" s="2015" t="s">
        <v>2259</v>
      </c>
      <c r="C137" s="2016"/>
      <c r="D137" s="2016"/>
      <c r="E137" s="2016"/>
      <c r="F137" s="2016"/>
      <c r="G137" s="2016"/>
      <c r="H137" s="751"/>
      <c r="I137" s="771"/>
      <c r="J137" s="771"/>
      <c r="K137" s="771"/>
      <c r="L137" s="771"/>
      <c r="M137" s="771"/>
      <c r="N137" s="771"/>
      <c r="O137" s="771"/>
      <c r="P137" s="771"/>
      <c r="Q137" s="771"/>
      <c r="R137" s="771"/>
      <c r="S137" s="771"/>
      <c r="T137" s="771"/>
      <c r="U137" s="771"/>
      <c r="V137" s="771"/>
      <c r="W137" s="771"/>
      <c r="X137" s="771"/>
      <c r="Y137" s="771"/>
      <c r="Z137" s="771"/>
      <c r="AA137" s="771"/>
      <c r="AB137" s="771"/>
      <c r="AC137" s="771"/>
      <c r="AD137" s="771"/>
      <c r="AE137" s="771"/>
      <c r="AF137" s="771"/>
      <c r="AG137" s="771"/>
      <c r="AH137" s="771"/>
      <c r="AI137" s="771"/>
      <c r="AJ137" s="771"/>
      <c r="AK137" s="771"/>
      <c r="AL137" s="771"/>
      <c r="AM137" s="771"/>
      <c r="AN137" s="771"/>
      <c r="AO137" s="771"/>
      <c r="AP137" s="771"/>
    </row>
    <row r="138" spans="1:42" s="814" customFormat="1" ht="20.100000000000001" customHeight="1" x14ac:dyDescent="0.2">
      <c r="A138" s="8"/>
      <c r="B138" s="2018"/>
      <c r="C138" s="2019"/>
      <c r="D138" s="2019"/>
      <c r="E138" s="2019"/>
      <c r="F138" s="2019"/>
      <c r="G138" s="2019"/>
      <c r="H138" s="747"/>
      <c r="I138" s="771"/>
      <c r="J138" s="771"/>
      <c r="K138" s="771"/>
      <c r="L138" s="771"/>
      <c r="M138" s="771"/>
      <c r="N138" s="771"/>
      <c r="O138" s="771"/>
      <c r="P138" s="771"/>
      <c r="Q138" s="771"/>
      <c r="R138" s="771"/>
      <c r="S138" s="771"/>
      <c r="T138" s="771"/>
      <c r="U138" s="771"/>
      <c r="V138" s="771"/>
      <c r="W138" s="771"/>
      <c r="X138" s="771"/>
      <c r="Y138" s="771"/>
      <c r="Z138" s="771"/>
      <c r="AA138" s="771"/>
      <c r="AB138" s="771"/>
      <c r="AC138" s="771"/>
      <c r="AD138" s="771"/>
      <c r="AE138" s="771"/>
      <c r="AF138" s="771"/>
      <c r="AG138" s="771"/>
      <c r="AH138" s="771"/>
      <c r="AI138" s="771"/>
      <c r="AJ138" s="771"/>
      <c r="AK138" s="771"/>
      <c r="AL138" s="771"/>
      <c r="AM138" s="771"/>
      <c r="AN138" s="771"/>
      <c r="AO138" s="771"/>
      <c r="AP138" s="771"/>
    </row>
    <row r="139" spans="1:42" s="814" customFormat="1" x14ac:dyDescent="0.2">
      <c r="A139" s="817"/>
      <c r="B139" s="2194"/>
      <c r="C139" s="2195"/>
      <c r="D139" s="2195"/>
      <c r="E139" s="1651"/>
      <c r="F139" s="1652"/>
      <c r="G139" s="1602"/>
      <c r="H139" s="762"/>
      <c r="I139" s="771"/>
      <c r="J139" s="771"/>
      <c r="K139" s="771"/>
      <c r="L139" s="771"/>
      <c r="M139" s="771"/>
      <c r="N139" s="771"/>
      <c r="O139" s="771"/>
      <c r="P139" s="771"/>
      <c r="Q139" s="771"/>
      <c r="R139" s="771"/>
      <c r="S139" s="771"/>
      <c r="T139" s="771"/>
      <c r="U139" s="771"/>
      <c r="V139" s="771"/>
      <c r="W139" s="771"/>
      <c r="X139" s="771"/>
      <c r="Y139" s="771"/>
      <c r="Z139" s="771"/>
      <c r="AA139" s="771"/>
      <c r="AB139" s="771"/>
      <c r="AC139" s="771"/>
      <c r="AD139" s="771"/>
      <c r="AE139" s="771"/>
      <c r="AF139" s="771"/>
      <c r="AG139" s="771"/>
      <c r="AH139" s="771"/>
      <c r="AI139" s="771"/>
      <c r="AJ139" s="771"/>
      <c r="AK139" s="771"/>
      <c r="AL139" s="771"/>
      <c r="AM139" s="771"/>
      <c r="AN139" s="771"/>
      <c r="AO139" s="771"/>
      <c r="AP139" s="771"/>
    </row>
    <row r="140" spans="1:42" s="814" customFormat="1" ht="30" customHeight="1" x14ac:dyDescent="0.2">
      <c r="A140" s="817"/>
      <c r="B140" s="2186"/>
      <c r="C140" s="45" t="s">
        <v>420</v>
      </c>
      <c r="D140" s="2187" t="str">
        <f t="shared" ref="D140:D148" si="5">VLOOKUP(C140,всецены,2,FALSE)</f>
        <v xml:space="preserve">Коврик п/скольжения, бел, рифл (25 м)   </v>
      </c>
      <c r="E140" s="2188"/>
      <c r="F140" s="2188"/>
      <c r="G140" s="2189"/>
      <c r="H140" s="761">
        <f t="shared" ref="H140:H148" si="6">VLOOKUP(C140,всецены,4,FALSE)</f>
        <v>570.87510480000003</v>
      </c>
      <c r="I140" s="771"/>
      <c r="J140" s="771"/>
      <c r="K140" s="771"/>
      <c r="L140" s="771"/>
      <c r="M140" s="771"/>
      <c r="N140" s="771"/>
      <c r="O140" s="771"/>
      <c r="P140" s="771"/>
      <c r="Q140" s="771"/>
      <c r="R140" s="771"/>
      <c r="S140" s="771"/>
      <c r="T140" s="771"/>
      <c r="U140" s="771"/>
      <c r="V140" s="771"/>
      <c r="W140" s="771"/>
      <c r="X140" s="771"/>
      <c r="Y140" s="771"/>
      <c r="Z140" s="771"/>
      <c r="AA140" s="771"/>
      <c r="AB140" s="771"/>
      <c r="AC140" s="771"/>
      <c r="AD140" s="771"/>
      <c r="AE140" s="771"/>
      <c r="AF140" s="771"/>
      <c r="AG140" s="771"/>
      <c r="AH140" s="771"/>
      <c r="AI140" s="771"/>
      <c r="AJ140" s="771"/>
      <c r="AK140" s="771"/>
      <c r="AL140" s="771"/>
      <c r="AM140" s="771"/>
      <c r="AN140" s="771"/>
      <c r="AO140" s="771"/>
      <c r="AP140" s="771"/>
    </row>
    <row r="141" spans="1:42" s="814" customFormat="1" ht="30" customHeight="1" x14ac:dyDescent="0.2">
      <c r="A141" s="817"/>
      <c r="B141" s="2024"/>
      <c r="C141" s="1650" t="s">
        <v>421</v>
      </c>
      <c r="D141" s="2187" t="str">
        <f t="shared" si="5"/>
        <v xml:space="preserve">Коврик п/скольжения, cер, рифл (25 м)   </v>
      </c>
      <c r="E141" s="2188"/>
      <c r="F141" s="2188"/>
      <c r="G141" s="2189"/>
      <c r="H141" s="1604">
        <f t="shared" si="6"/>
        <v>570.87510480000003</v>
      </c>
      <c r="I141" s="771"/>
      <c r="J141" s="771"/>
      <c r="K141" s="771"/>
      <c r="L141" s="771"/>
      <c r="M141" s="771"/>
      <c r="N141" s="771"/>
      <c r="O141" s="771"/>
      <c r="P141" s="771"/>
      <c r="Q141" s="771"/>
      <c r="R141" s="771"/>
      <c r="S141" s="771"/>
      <c r="T141" s="771"/>
      <c r="U141" s="771"/>
      <c r="V141" s="771"/>
      <c r="W141" s="771"/>
      <c r="X141" s="771"/>
      <c r="Y141" s="771"/>
      <c r="Z141" s="771"/>
      <c r="AA141" s="771"/>
      <c r="AB141" s="771"/>
      <c r="AC141" s="771"/>
      <c r="AD141" s="771"/>
      <c r="AE141" s="771"/>
      <c r="AF141" s="771"/>
      <c r="AG141" s="771"/>
      <c r="AH141" s="771"/>
      <c r="AI141" s="771"/>
      <c r="AJ141" s="771"/>
      <c r="AK141" s="771"/>
      <c r="AL141" s="771"/>
      <c r="AM141" s="771"/>
      <c r="AN141" s="771"/>
      <c r="AO141" s="771"/>
      <c r="AP141" s="771"/>
    </row>
    <row r="142" spans="1:42" s="814" customFormat="1" ht="33.75" customHeight="1" thickBot="1" x14ac:dyDescent="0.25">
      <c r="A142" s="817"/>
      <c r="B142" s="2025"/>
      <c r="C142" s="1648" t="s">
        <v>422</v>
      </c>
      <c r="D142" s="2190" t="str">
        <f t="shared" si="5"/>
        <v xml:space="preserve">Коврик п/скольжения, черн, рифл (25 м)  </v>
      </c>
      <c r="E142" s="2191"/>
      <c r="F142" s="2191"/>
      <c r="G142" s="2192"/>
      <c r="H142" s="1649">
        <f t="shared" si="6"/>
        <v>570.87510480000003</v>
      </c>
      <c r="I142" s="771"/>
      <c r="J142" s="771"/>
      <c r="K142" s="771"/>
      <c r="L142" s="771"/>
      <c r="M142" s="771"/>
      <c r="N142" s="771"/>
      <c r="O142" s="771"/>
      <c r="P142" s="771"/>
      <c r="Q142" s="771"/>
      <c r="R142" s="771"/>
      <c r="S142" s="771"/>
      <c r="T142" s="771"/>
      <c r="U142" s="771"/>
      <c r="V142" s="771"/>
      <c r="W142" s="771"/>
      <c r="X142" s="771"/>
      <c r="Y142" s="771"/>
      <c r="Z142" s="771"/>
      <c r="AA142" s="771"/>
      <c r="AB142" s="771"/>
      <c r="AC142" s="771"/>
      <c r="AD142" s="771"/>
      <c r="AE142" s="771"/>
      <c r="AF142" s="771"/>
      <c r="AG142" s="771"/>
      <c r="AH142" s="771"/>
      <c r="AI142" s="771"/>
      <c r="AJ142" s="771"/>
      <c r="AK142" s="771"/>
      <c r="AL142" s="771"/>
      <c r="AM142" s="771"/>
      <c r="AN142" s="771"/>
      <c r="AO142" s="771"/>
      <c r="AP142" s="771"/>
    </row>
    <row r="143" spans="1:42" s="1581" customFormat="1" ht="17.100000000000001" customHeight="1" x14ac:dyDescent="0.2">
      <c r="A143" s="1584"/>
      <c r="B143" s="1578"/>
      <c r="C143" s="1650" t="s">
        <v>4996</v>
      </c>
      <c r="D143" s="2185" t="str">
        <f t="shared" si="5"/>
        <v xml:space="preserve">AGO-FIBRE лист 450/500 (473х375), бел   </v>
      </c>
      <c r="E143" s="2185"/>
      <c r="F143" s="2185"/>
      <c r="G143" s="2185"/>
      <c r="H143" s="1604">
        <f t="shared" si="6"/>
        <v>254.53548119999999</v>
      </c>
      <c r="I143" s="771"/>
      <c r="J143" s="771"/>
      <c r="K143" s="771"/>
      <c r="L143" s="771"/>
      <c r="M143" s="771"/>
      <c r="N143" s="771"/>
      <c r="O143" s="771"/>
      <c r="P143" s="771"/>
      <c r="Q143" s="771"/>
      <c r="R143" s="771"/>
      <c r="S143" s="771"/>
      <c r="T143" s="771"/>
      <c r="U143" s="771"/>
      <c r="V143" s="771"/>
      <c r="W143" s="771"/>
      <c r="X143" s="771"/>
      <c r="Y143" s="771"/>
      <c r="Z143" s="771"/>
      <c r="AA143" s="771"/>
      <c r="AB143" s="771"/>
      <c r="AC143" s="771"/>
      <c r="AD143" s="771"/>
      <c r="AE143" s="771"/>
      <c r="AF143" s="771"/>
      <c r="AG143" s="771"/>
      <c r="AH143" s="771"/>
      <c r="AI143" s="771"/>
      <c r="AJ143" s="771"/>
      <c r="AK143" s="771"/>
      <c r="AL143" s="771"/>
      <c r="AM143" s="771"/>
      <c r="AN143" s="771"/>
      <c r="AO143" s="771"/>
      <c r="AP143" s="771"/>
    </row>
    <row r="144" spans="1:42" s="1581" customFormat="1" ht="17.100000000000001" customHeight="1" x14ac:dyDescent="0.2">
      <c r="A144" s="1584"/>
      <c r="B144" s="1578"/>
      <c r="C144" s="1650" t="s">
        <v>4997</v>
      </c>
      <c r="D144" s="2185" t="str">
        <f t="shared" si="5"/>
        <v xml:space="preserve">AGO-FIBRE лист 600/500 (473х525), бел   </v>
      </c>
      <c r="E144" s="2185"/>
      <c r="F144" s="2185"/>
      <c r="G144" s="2185"/>
      <c r="H144" s="1604">
        <f t="shared" si="6"/>
        <v>355.37381880000004</v>
      </c>
      <c r="I144" s="771"/>
      <c r="J144" s="771"/>
      <c r="K144" s="771"/>
      <c r="L144" s="771"/>
      <c r="M144" s="771"/>
      <c r="N144" s="771"/>
      <c r="O144" s="771"/>
      <c r="P144" s="771"/>
      <c r="Q144" s="771"/>
      <c r="R144" s="771"/>
      <c r="S144" s="771"/>
      <c r="T144" s="771"/>
      <c r="U144" s="771"/>
      <c r="V144" s="771"/>
      <c r="W144" s="771"/>
      <c r="X144" s="771"/>
      <c r="Y144" s="771"/>
      <c r="Z144" s="771"/>
      <c r="AA144" s="771"/>
      <c r="AB144" s="771"/>
      <c r="AC144" s="771"/>
      <c r="AD144" s="771"/>
      <c r="AE144" s="771"/>
      <c r="AF144" s="771"/>
      <c r="AG144" s="771"/>
      <c r="AH144" s="771"/>
      <c r="AI144" s="771"/>
      <c r="AJ144" s="771"/>
      <c r="AK144" s="771"/>
      <c r="AL144" s="771"/>
      <c r="AM144" s="771"/>
      <c r="AN144" s="771"/>
      <c r="AO144" s="771"/>
      <c r="AP144" s="771"/>
    </row>
    <row r="145" spans="1:42" s="1581" customFormat="1" ht="17.100000000000001" customHeight="1" x14ac:dyDescent="0.2">
      <c r="A145" s="1584"/>
      <c r="B145" s="1578"/>
      <c r="C145" s="1650" t="s">
        <v>4998</v>
      </c>
      <c r="D145" s="2185" t="str">
        <f t="shared" si="5"/>
        <v xml:space="preserve">AGO-FIBRE лист 900/500 (473х825), бел   </v>
      </c>
      <c r="E145" s="2185"/>
      <c r="F145" s="2185"/>
      <c r="G145" s="2185"/>
      <c r="H145" s="1604">
        <f t="shared" si="6"/>
        <v>554.61085679999997</v>
      </c>
      <c r="I145" s="771"/>
      <c r="J145" s="771"/>
      <c r="K145" s="771"/>
      <c r="L145" s="771"/>
      <c r="M145" s="771"/>
      <c r="N145" s="771"/>
      <c r="O145" s="771"/>
      <c r="P145" s="771"/>
      <c r="Q145" s="771"/>
      <c r="R145" s="771"/>
      <c r="S145" s="771"/>
      <c r="T145" s="771"/>
      <c r="U145" s="771"/>
      <c r="V145" s="771"/>
      <c r="W145" s="771"/>
      <c r="X145" s="771"/>
      <c r="Y145" s="771"/>
      <c r="Z145" s="771"/>
      <c r="AA145" s="771"/>
      <c r="AB145" s="771"/>
      <c r="AC145" s="771"/>
      <c r="AD145" s="771"/>
      <c r="AE145" s="771"/>
      <c r="AF145" s="771"/>
      <c r="AG145" s="771"/>
      <c r="AH145" s="771"/>
      <c r="AI145" s="771"/>
      <c r="AJ145" s="771"/>
      <c r="AK145" s="771"/>
      <c r="AL145" s="771"/>
      <c r="AM145" s="771"/>
      <c r="AN145" s="771"/>
      <c r="AO145" s="771"/>
      <c r="AP145" s="771"/>
    </row>
    <row r="146" spans="1:42" s="1581" customFormat="1" ht="17.100000000000001" customHeight="1" x14ac:dyDescent="0.2">
      <c r="A146" s="1584"/>
      <c r="B146" s="1578"/>
      <c r="C146" s="1650" t="s">
        <v>4999</v>
      </c>
      <c r="D146" s="2185" t="str">
        <f t="shared" si="5"/>
        <v xml:space="preserve">AGO-FIBRE лист 450/500 (473х375), сер   </v>
      </c>
      <c r="E146" s="2185"/>
      <c r="F146" s="2185"/>
      <c r="G146" s="2185"/>
      <c r="H146" s="1604">
        <f t="shared" si="6"/>
        <v>254.53548119999999</v>
      </c>
      <c r="I146" s="771"/>
      <c r="J146" s="771"/>
      <c r="K146" s="771"/>
      <c r="L146" s="771"/>
      <c r="M146" s="771"/>
      <c r="N146" s="771"/>
      <c r="O146" s="771"/>
      <c r="P146" s="771"/>
      <c r="Q146" s="771"/>
      <c r="R146" s="771"/>
      <c r="S146" s="771"/>
      <c r="T146" s="771"/>
      <c r="U146" s="771"/>
      <c r="V146" s="771"/>
      <c r="W146" s="771"/>
      <c r="X146" s="771"/>
      <c r="Y146" s="771"/>
      <c r="Z146" s="771"/>
      <c r="AA146" s="771"/>
      <c r="AB146" s="771"/>
      <c r="AC146" s="771"/>
      <c r="AD146" s="771"/>
      <c r="AE146" s="771"/>
      <c r="AF146" s="771"/>
      <c r="AG146" s="771"/>
      <c r="AH146" s="771"/>
      <c r="AI146" s="771"/>
      <c r="AJ146" s="771"/>
      <c r="AK146" s="771"/>
      <c r="AL146" s="771"/>
      <c r="AM146" s="771"/>
      <c r="AN146" s="771"/>
      <c r="AO146" s="771"/>
      <c r="AP146" s="771"/>
    </row>
    <row r="147" spans="1:42" s="1581" customFormat="1" ht="17.100000000000001" customHeight="1" x14ac:dyDescent="0.2">
      <c r="A147" s="1584"/>
      <c r="B147" s="1578"/>
      <c r="C147" s="1650" t="s">
        <v>5000</v>
      </c>
      <c r="D147" s="2185" t="str">
        <f t="shared" si="5"/>
        <v xml:space="preserve">AGO-FIBRE лист 600/500 (473х525), сер   </v>
      </c>
      <c r="E147" s="2185"/>
      <c r="F147" s="2185"/>
      <c r="G147" s="2185"/>
      <c r="H147" s="1604">
        <f t="shared" si="6"/>
        <v>355.37381880000004</v>
      </c>
      <c r="I147" s="771"/>
      <c r="J147" s="771"/>
      <c r="K147" s="771"/>
      <c r="L147" s="771"/>
      <c r="M147" s="771"/>
      <c r="N147" s="771"/>
      <c r="O147" s="771"/>
      <c r="P147" s="771"/>
      <c r="Q147" s="771"/>
      <c r="R147" s="771"/>
      <c r="S147" s="771"/>
      <c r="T147" s="771"/>
      <c r="U147" s="771"/>
      <c r="V147" s="771"/>
      <c r="W147" s="771"/>
      <c r="X147" s="771"/>
      <c r="Y147" s="771"/>
      <c r="Z147" s="771"/>
      <c r="AA147" s="771"/>
      <c r="AB147" s="771"/>
      <c r="AC147" s="771"/>
      <c r="AD147" s="771"/>
      <c r="AE147" s="771"/>
      <c r="AF147" s="771"/>
      <c r="AG147" s="771"/>
      <c r="AH147" s="771"/>
      <c r="AI147" s="771"/>
      <c r="AJ147" s="771"/>
      <c r="AK147" s="771"/>
      <c r="AL147" s="771"/>
      <c r="AM147" s="771"/>
      <c r="AN147" s="771"/>
      <c r="AO147" s="771"/>
      <c r="AP147" s="771"/>
    </row>
    <row r="148" spans="1:42" s="1581" customFormat="1" ht="17.100000000000001" customHeight="1" thickBot="1" x14ac:dyDescent="0.25">
      <c r="A148" s="1584"/>
      <c r="B148" s="1579"/>
      <c r="C148" s="1653" t="s">
        <v>5001</v>
      </c>
      <c r="D148" s="2184" t="str">
        <f t="shared" si="5"/>
        <v xml:space="preserve">AGO-FIBRE лист 900/500 (473х825), сер   </v>
      </c>
      <c r="E148" s="2184"/>
      <c r="F148" s="2184"/>
      <c r="G148" s="2184"/>
      <c r="H148" s="1610">
        <f t="shared" si="6"/>
        <v>554.61085679999997</v>
      </c>
      <c r="I148" s="771"/>
      <c r="J148" s="771"/>
      <c r="K148" s="771"/>
      <c r="L148" s="771"/>
      <c r="M148" s="771"/>
      <c r="N148" s="771"/>
      <c r="O148" s="771"/>
      <c r="P148" s="771"/>
      <c r="Q148" s="771"/>
      <c r="R148" s="771"/>
      <c r="S148" s="771"/>
      <c r="T148" s="771"/>
      <c r="U148" s="771"/>
      <c r="V148" s="771"/>
      <c r="W148" s="771"/>
      <c r="X148" s="771"/>
      <c r="Y148" s="771"/>
      <c r="Z148" s="771"/>
      <c r="AA148" s="771"/>
      <c r="AB148" s="771"/>
      <c r="AC148" s="771"/>
      <c r="AD148" s="771"/>
      <c r="AE148" s="771"/>
      <c r="AF148" s="771"/>
      <c r="AG148" s="771"/>
      <c r="AH148" s="771"/>
      <c r="AI148" s="771"/>
      <c r="AJ148" s="771"/>
      <c r="AK148" s="771"/>
      <c r="AL148" s="771"/>
      <c r="AM148" s="771"/>
      <c r="AN148" s="771"/>
      <c r="AO148" s="771"/>
      <c r="AP148" s="771"/>
    </row>
    <row r="149" spans="1:42" s="814" customFormat="1" x14ac:dyDescent="0.2">
      <c r="A149" s="817"/>
      <c r="B149" s="817"/>
      <c r="C149" s="817"/>
      <c r="D149" s="817"/>
      <c r="E149" s="817"/>
      <c r="F149" s="817"/>
      <c r="G149" s="817"/>
      <c r="H149" s="37"/>
      <c r="I149" s="771"/>
      <c r="J149" s="771"/>
      <c r="K149" s="771"/>
      <c r="L149" s="771"/>
      <c r="M149" s="771"/>
      <c r="N149" s="771"/>
      <c r="O149" s="771"/>
      <c r="P149" s="771"/>
      <c r="Q149" s="771"/>
      <c r="R149" s="771"/>
      <c r="S149" s="771"/>
      <c r="T149" s="771"/>
      <c r="U149" s="771"/>
      <c r="V149" s="771"/>
      <c r="W149" s="771"/>
      <c r="X149" s="771"/>
      <c r="Y149" s="771"/>
      <c r="Z149" s="771"/>
      <c r="AA149" s="771"/>
      <c r="AB149" s="771"/>
      <c r="AC149" s="771"/>
      <c r="AD149" s="771"/>
      <c r="AE149" s="771"/>
      <c r="AF149" s="771"/>
      <c r="AG149" s="771"/>
      <c r="AH149" s="771"/>
      <c r="AI149" s="771"/>
      <c r="AJ149" s="771"/>
      <c r="AK149" s="771"/>
      <c r="AL149" s="771"/>
      <c r="AM149" s="771"/>
      <c r="AN149" s="771"/>
      <c r="AO149" s="771"/>
      <c r="AP149" s="771"/>
    </row>
    <row r="150" spans="1:42" x14ac:dyDescent="0.2">
      <c r="B150" s="8"/>
      <c r="C150" s="46"/>
      <c r="D150" s="46"/>
      <c r="I150" s="771"/>
      <c r="J150" s="771"/>
      <c r="K150" s="771"/>
      <c r="L150" s="771"/>
      <c r="M150" s="771"/>
      <c r="N150" s="771"/>
      <c r="O150" s="771"/>
      <c r="P150" s="771"/>
      <c r="Q150" s="771"/>
      <c r="R150" s="771"/>
      <c r="S150" s="771"/>
      <c r="T150" s="771"/>
      <c r="U150" s="771"/>
      <c r="V150" s="771"/>
      <c r="W150" s="771"/>
      <c r="X150" s="771"/>
      <c r="Y150" s="771"/>
      <c r="Z150" s="771"/>
      <c r="AA150" s="771"/>
      <c r="AB150" s="771"/>
      <c r="AC150" s="771"/>
      <c r="AD150" s="771"/>
      <c r="AE150" s="771"/>
      <c r="AF150" s="771"/>
      <c r="AG150" s="771"/>
      <c r="AH150" s="771"/>
      <c r="AI150" s="771"/>
      <c r="AJ150" s="771"/>
      <c r="AK150" s="771"/>
      <c r="AL150" s="771"/>
      <c r="AM150" s="771"/>
      <c r="AN150" s="771"/>
      <c r="AO150" s="771"/>
      <c r="AP150" s="771"/>
    </row>
    <row r="151" spans="1:42" x14ac:dyDescent="0.2">
      <c r="B151" s="8"/>
      <c r="C151" s="46"/>
      <c r="D151" s="46"/>
      <c r="I151" s="771"/>
      <c r="J151" s="771"/>
      <c r="K151" s="771"/>
      <c r="L151" s="771"/>
      <c r="M151" s="771"/>
      <c r="N151" s="771"/>
      <c r="O151" s="771"/>
      <c r="P151" s="771"/>
      <c r="Q151" s="771"/>
      <c r="R151" s="771"/>
      <c r="S151" s="771"/>
      <c r="T151" s="771"/>
      <c r="U151" s="771"/>
      <c r="V151" s="771"/>
      <c r="W151" s="771"/>
      <c r="X151" s="771"/>
      <c r="Y151" s="771"/>
      <c r="Z151" s="771"/>
      <c r="AA151" s="771"/>
      <c r="AB151" s="771"/>
      <c r="AC151" s="771"/>
      <c r="AD151" s="771"/>
      <c r="AE151" s="771"/>
      <c r="AF151" s="771"/>
      <c r="AG151" s="771"/>
      <c r="AH151" s="771"/>
      <c r="AI151" s="771"/>
      <c r="AJ151" s="771"/>
      <c r="AK151" s="771"/>
      <c r="AL151" s="771"/>
      <c r="AM151" s="771"/>
      <c r="AN151" s="771"/>
      <c r="AO151" s="771"/>
      <c r="AP151" s="771"/>
    </row>
    <row r="152" spans="1:42" x14ac:dyDescent="0.2">
      <c r="B152" s="8"/>
      <c r="C152" s="46"/>
      <c r="D152" s="46"/>
      <c r="I152" s="771"/>
      <c r="J152" s="771"/>
      <c r="K152" s="771"/>
      <c r="L152" s="771"/>
      <c r="M152" s="771"/>
      <c r="N152" s="771"/>
      <c r="O152" s="771"/>
      <c r="P152" s="771"/>
      <c r="Q152" s="771"/>
      <c r="R152" s="771"/>
      <c r="S152" s="771"/>
      <c r="T152" s="771"/>
      <c r="U152" s="771"/>
      <c r="V152" s="771"/>
      <c r="W152" s="771"/>
      <c r="X152" s="771"/>
      <c r="Y152" s="771"/>
      <c r="Z152" s="771"/>
      <c r="AA152" s="771"/>
      <c r="AB152" s="771"/>
      <c r="AC152" s="771"/>
      <c r="AD152" s="771"/>
      <c r="AE152" s="771"/>
      <c r="AF152" s="771"/>
      <c r="AG152" s="771"/>
      <c r="AH152" s="771"/>
      <c r="AI152" s="771"/>
      <c r="AJ152" s="771"/>
      <c r="AK152" s="771"/>
      <c r="AL152" s="771"/>
      <c r="AM152" s="771"/>
      <c r="AN152" s="771"/>
      <c r="AO152" s="771"/>
      <c r="AP152" s="771"/>
    </row>
    <row r="153" spans="1:42" x14ac:dyDescent="0.2">
      <c r="B153" s="8"/>
      <c r="C153" s="46"/>
      <c r="D153" s="46"/>
      <c r="I153" s="771"/>
      <c r="J153" s="771"/>
      <c r="K153" s="771"/>
      <c r="L153" s="771"/>
      <c r="M153" s="771"/>
      <c r="N153" s="771"/>
      <c r="O153" s="771"/>
      <c r="P153" s="771"/>
      <c r="Q153" s="771"/>
      <c r="R153" s="771"/>
      <c r="S153" s="771"/>
      <c r="T153" s="771"/>
      <c r="U153" s="771"/>
      <c r="V153" s="771"/>
      <c r="W153" s="771"/>
      <c r="X153" s="771"/>
      <c r="Y153" s="771"/>
      <c r="Z153" s="771"/>
      <c r="AA153" s="771"/>
      <c r="AB153" s="771"/>
      <c r="AC153" s="771"/>
      <c r="AD153" s="771"/>
      <c r="AE153" s="771"/>
      <c r="AF153" s="771"/>
      <c r="AG153" s="771"/>
      <c r="AH153" s="771"/>
      <c r="AI153" s="771"/>
      <c r="AJ153" s="771"/>
      <c r="AK153" s="771"/>
      <c r="AL153" s="771"/>
      <c r="AM153" s="771"/>
      <c r="AN153" s="771"/>
      <c r="AO153" s="771"/>
      <c r="AP153" s="771"/>
    </row>
    <row r="154" spans="1:42" x14ac:dyDescent="0.2">
      <c r="B154" s="8"/>
      <c r="C154" s="46"/>
      <c r="D154" s="46"/>
      <c r="I154" s="771"/>
      <c r="J154" s="771"/>
      <c r="K154" s="771"/>
      <c r="L154" s="771"/>
      <c r="M154" s="771"/>
      <c r="N154" s="771"/>
      <c r="O154" s="771"/>
      <c r="P154" s="771"/>
      <c r="Q154" s="771"/>
      <c r="R154" s="771"/>
      <c r="S154" s="771"/>
      <c r="T154" s="771"/>
      <c r="U154" s="771"/>
      <c r="V154" s="771"/>
      <c r="W154" s="771"/>
      <c r="X154" s="771"/>
      <c r="Y154" s="771"/>
      <c r="Z154" s="771"/>
      <c r="AA154" s="771"/>
      <c r="AB154" s="771"/>
      <c r="AC154" s="771"/>
      <c r="AD154" s="771"/>
      <c r="AE154" s="771"/>
      <c r="AF154" s="771"/>
      <c r="AG154" s="771"/>
      <c r="AH154" s="771"/>
      <c r="AI154" s="771"/>
      <c r="AJ154" s="771"/>
      <c r="AK154" s="771"/>
      <c r="AL154" s="771"/>
      <c r="AM154" s="771"/>
      <c r="AN154" s="771"/>
      <c r="AO154" s="771"/>
      <c r="AP154" s="771"/>
    </row>
    <row r="155" spans="1:42" x14ac:dyDescent="0.2">
      <c r="B155" s="8"/>
      <c r="C155" s="46"/>
      <c r="D155" s="46"/>
      <c r="I155" s="771"/>
      <c r="J155" s="771"/>
      <c r="K155" s="771"/>
      <c r="L155" s="771"/>
      <c r="M155" s="771"/>
      <c r="N155" s="771"/>
      <c r="O155" s="771"/>
      <c r="P155" s="771"/>
      <c r="Q155" s="771"/>
      <c r="R155" s="771"/>
      <c r="S155" s="771"/>
      <c r="T155" s="771"/>
      <c r="U155" s="771"/>
      <c r="V155" s="771"/>
      <c r="W155" s="771"/>
      <c r="X155" s="771"/>
      <c r="Y155" s="771"/>
      <c r="Z155" s="771"/>
      <c r="AA155" s="771"/>
      <c r="AB155" s="771"/>
      <c r="AC155" s="771"/>
      <c r="AD155" s="771"/>
      <c r="AE155" s="771"/>
      <c r="AF155" s="771"/>
      <c r="AG155" s="771"/>
      <c r="AH155" s="771"/>
      <c r="AI155" s="771"/>
      <c r="AJ155" s="771"/>
      <c r="AK155" s="771"/>
      <c r="AL155" s="771"/>
      <c r="AM155" s="771"/>
      <c r="AN155" s="771"/>
      <c r="AO155" s="771"/>
      <c r="AP155" s="771"/>
    </row>
    <row r="156" spans="1:42" x14ac:dyDescent="0.2">
      <c r="B156" s="8"/>
      <c r="C156" s="46"/>
      <c r="D156" s="46"/>
      <c r="I156" s="771"/>
      <c r="J156" s="771"/>
      <c r="K156" s="771"/>
      <c r="L156" s="771"/>
      <c r="M156" s="771"/>
      <c r="N156" s="771"/>
      <c r="O156" s="771"/>
      <c r="P156" s="771"/>
      <c r="Q156" s="771"/>
      <c r="R156" s="771"/>
      <c r="S156" s="771"/>
      <c r="T156" s="771"/>
      <c r="U156" s="771"/>
      <c r="V156" s="771"/>
      <c r="W156" s="771"/>
      <c r="X156" s="771"/>
      <c r="Y156" s="771"/>
      <c r="Z156" s="771"/>
      <c r="AA156" s="771"/>
      <c r="AB156" s="771"/>
      <c r="AC156" s="771"/>
      <c r="AD156" s="771"/>
      <c r="AE156" s="771"/>
      <c r="AF156" s="771"/>
      <c r="AG156" s="771"/>
      <c r="AH156" s="771"/>
      <c r="AI156" s="771"/>
      <c r="AJ156" s="771"/>
      <c r="AK156" s="771"/>
      <c r="AL156" s="771"/>
      <c r="AM156" s="771"/>
      <c r="AN156" s="771"/>
      <c r="AO156" s="771"/>
      <c r="AP156" s="771"/>
    </row>
    <row r="157" spans="1:42" x14ac:dyDescent="0.2">
      <c r="B157" s="8"/>
      <c r="C157" s="46"/>
      <c r="D157" s="46"/>
      <c r="I157" s="771"/>
      <c r="J157" s="771"/>
      <c r="K157" s="771"/>
      <c r="L157" s="771"/>
      <c r="M157" s="771"/>
      <c r="N157" s="771"/>
      <c r="O157" s="771"/>
      <c r="P157" s="771"/>
      <c r="Q157" s="771"/>
      <c r="R157" s="771"/>
      <c r="S157" s="771"/>
      <c r="T157" s="771"/>
      <c r="U157" s="771"/>
      <c r="V157" s="771"/>
      <c r="W157" s="771"/>
      <c r="X157" s="771"/>
      <c r="Y157" s="771"/>
      <c r="Z157" s="771"/>
      <c r="AA157" s="771"/>
      <c r="AB157" s="771"/>
      <c r="AC157" s="771"/>
      <c r="AD157" s="771"/>
      <c r="AE157" s="771"/>
      <c r="AF157" s="771"/>
      <c r="AG157" s="771"/>
      <c r="AH157" s="771"/>
      <c r="AI157" s="771"/>
      <c r="AJ157" s="771"/>
      <c r="AK157" s="771"/>
      <c r="AL157" s="771"/>
      <c r="AM157" s="771"/>
      <c r="AN157" s="771"/>
      <c r="AO157" s="771"/>
      <c r="AP157" s="771"/>
    </row>
    <row r="158" spans="1:42" x14ac:dyDescent="0.2">
      <c r="B158" s="8"/>
      <c r="C158" s="46"/>
      <c r="D158" s="46"/>
      <c r="I158" s="771"/>
      <c r="J158" s="771"/>
      <c r="K158" s="771"/>
      <c r="L158" s="771"/>
      <c r="M158" s="771"/>
      <c r="N158" s="771"/>
      <c r="O158" s="771"/>
      <c r="P158" s="771"/>
      <c r="Q158" s="771"/>
      <c r="R158" s="771"/>
      <c r="S158" s="771"/>
      <c r="T158" s="771"/>
      <c r="U158" s="771"/>
      <c r="V158" s="771"/>
      <c r="W158" s="771"/>
      <c r="X158" s="771"/>
      <c r="Y158" s="771"/>
      <c r="Z158" s="771"/>
      <c r="AA158" s="771"/>
      <c r="AB158" s="771"/>
      <c r="AC158" s="771"/>
      <c r="AD158" s="771"/>
      <c r="AE158" s="771"/>
      <c r="AF158" s="771"/>
      <c r="AG158" s="771"/>
      <c r="AH158" s="771"/>
      <c r="AI158" s="771"/>
      <c r="AJ158" s="771"/>
      <c r="AK158" s="771"/>
      <c r="AL158" s="771"/>
      <c r="AM158" s="771"/>
      <c r="AN158" s="771"/>
      <c r="AO158" s="771"/>
      <c r="AP158" s="771"/>
    </row>
    <row r="159" spans="1:42" x14ac:dyDescent="0.2">
      <c r="B159" s="8"/>
      <c r="C159" s="46"/>
      <c r="D159" s="46"/>
      <c r="I159" s="771"/>
      <c r="J159" s="771"/>
      <c r="K159" s="771"/>
      <c r="L159" s="771"/>
      <c r="M159" s="771"/>
      <c r="N159" s="771"/>
      <c r="O159" s="771"/>
      <c r="P159" s="771"/>
      <c r="Q159" s="771"/>
      <c r="R159" s="771"/>
      <c r="S159" s="771"/>
      <c r="T159" s="771"/>
      <c r="U159" s="771"/>
      <c r="V159" s="771"/>
      <c r="W159" s="771"/>
      <c r="X159" s="771"/>
      <c r="Y159" s="771"/>
      <c r="Z159" s="771"/>
      <c r="AA159" s="771"/>
      <c r="AB159" s="771"/>
      <c r="AC159" s="771"/>
      <c r="AD159" s="771"/>
      <c r="AE159" s="771"/>
      <c r="AF159" s="771"/>
      <c r="AG159" s="771"/>
      <c r="AH159" s="771"/>
      <c r="AI159" s="771"/>
      <c r="AJ159" s="771"/>
      <c r="AK159" s="771"/>
      <c r="AL159" s="771"/>
      <c r="AM159" s="771"/>
      <c r="AN159" s="771"/>
      <c r="AO159" s="771"/>
      <c r="AP159" s="771"/>
    </row>
    <row r="160" spans="1:42" x14ac:dyDescent="0.2">
      <c r="B160" s="8"/>
      <c r="C160" s="46"/>
      <c r="D160" s="46"/>
      <c r="I160" s="771"/>
      <c r="J160" s="771"/>
      <c r="K160" s="771"/>
      <c r="L160" s="771"/>
      <c r="M160" s="771"/>
      <c r="N160" s="771"/>
      <c r="O160" s="771"/>
      <c r="P160" s="771"/>
      <c r="Q160" s="771"/>
      <c r="R160" s="771"/>
      <c r="S160" s="771"/>
      <c r="T160" s="771"/>
      <c r="U160" s="771"/>
      <c r="V160" s="771"/>
      <c r="W160" s="771"/>
      <c r="X160" s="771"/>
      <c r="Y160" s="771"/>
      <c r="Z160" s="771"/>
      <c r="AA160" s="771"/>
      <c r="AB160" s="771"/>
      <c r="AC160" s="771"/>
      <c r="AD160" s="771"/>
      <c r="AE160" s="771"/>
      <c r="AF160" s="771"/>
      <c r="AG160" s="771"/>
      <c r="AH160" s="771"/>
      <c r="AI160" s="771"/>
      <c r="AJ160" s="771"/>
      <c r="AK160" s="771"/>
      <c r="AL160" s="771"/>
      <c r="AM160" s="771"/>
      <c r="AN160" s="771"/>
      <c r="AO160" s="771"/>
      <c r="AP160" s="771"/>
    </row>
    <row r="161" spans="1:42" x14ac:dyDescent="0.2">
      <c r="A161"/>
      <c r="B161" s="8"/>
      <c r="C161" s="46"/>
      <c r="D161" s="46"/>
      <c r="I161" s="771"/>
      <c r="J161" s="771"/>
      <c r="K161" s="771"/>
      <c r="L161" s="771"/>
      <c r="M161" s="771"/>
      <c r="N161" s="771"/>
      <c r="O161" s="771"/>
      <c r="P161" s="771"/>
      <c r="Q161" s="771"/>
      <c r="R161" s="771"/>
      <c r="S161" s="771"/>
      <c r="T161" s="771"/>
      <c r="U161" s="771"/>
      <c r="V161" s="771"/>
      <c r="W161" s="771"/>
      <c r="X161" s="771"/>
      <c r="Y161" s="771"/>
      <c r="Z161" s="771"/>
      <c r="AA161" s="771"/>
      <c r="AB161" s="771"/>
      <c r="AC161" s="771"/>
      <c r="AD161" s="771"/>
      <c r="AE161" s="771"/>
      <c r="AF161" s="771"/>
      <c r="AG161" s="771"/>
      <c r="AH161" s="771"/>
      <c r="AI161" s="771"/>
      <c r="AJ161" s="771"/>
      <c r="AK161" s="771"/>
      <c r="AL161" s="771"/>
      <c r="AM161" s="771"/>
      <c r="AN161" s="771"/>
      <c r="AO161" s="771"/>
      <c r="AP161" s="771"/>
    </row>
    <row r="162" spans="1:42" x14ac:dyDescent="0.2">
      <c r="A162"/>
      <c r="B162" s="8"/>
      <c r="C162" s="46"/>
      <c r="D162" s="46"/>
      <c r="I162" s="771"/>
      <c r="J162" s="771"/>
      <c r="K162" s="771"/>
      <c r="L162" s="771"/>
      <c r="M162" s="771"/>
      <c r="N162" s="771"/>
      <c r="O162" s="771"/>
      <c r="P162" s="771"/>
      <c r="Q162" s="771"/>
      <c r="R162" s="771"/>
      <c r="S162" s="771"/>
      <c r="T162" s="771"/>
      <c r="U162" s="771"/>
      <c r="V162" s="771"/>
      <c r="W162" s="771"/>
      <c r="X162" s="771"/>
      <c r="Y162" s="771"/>
      <c r="Z162" s="771"/>
      <c r="AA162" s="771"/>
      <c r="AB162" s="771"/>
      <c r="AC162" s="771"/>
      <c r="AD162" s="771"/>
      <c r="AE162" s="771"/>
      <c r="AF162" s="771"/>
      <c r="AG162" s="771"/>
      <c r="AH162" s="771"/>
      <c r="AI162" s="771"/>
      <c r="AJ162" s="771"/>
      <c r="AK162" s="771"/>
      <c r="AL162" s="771"/>
      <c r="AM162" s="771"/>
      <c r="AN162" s="771"/>
      <c r="AO162" s="771"/>
      <c r="AP162" s="771"/>
    </row>
    <row r="163" spans="1:42" x14ac:dyDescent="0.2">
      <c r="A163"/>
      <c r="B163" s="8"/>
      <c r="C163" s="46"/>
      <c r="D163" s="46"/>
      <c r="I163" s="771"/>
      <c r="J163" s="771"/>
      <c r="K163" s="771"/>
      <c r="L163" s="771"/>
      <c r="M163" s="771"/>
      <c r="N163" s="771"/>
      <c r="O163" s="771"/>
      <c r="P163" s="771"/>
      <c r="Q163" s="771"/>
      <c r="R163" s="771"/>
      <c r="S163" s="771"/>
      <c r="T163" s="771"/>
      <c r="U163" s="771"/>
      <c r="V163" s="771"/>
      <c r="W163" s="771"/>
      <c r="X163" s="771"/>
      <c r="Y163" s="771"/>
      <c r="Z163" s="771"/>
      <c r="AA163" s="771"/>
      <c r="AB163" s="771"/>
      <c r="AC163" s="771"/>
      <c r="AD163" s="771"/>
      <c r="AE163" s="771"/>
      <c r="AF163" s="771"/>
      <c r="AG163" s="771"/>
      <c r="AH163" s="771"/>
      <c r="AI163" s="771"/>
      <c r="AJ163" s="771"/>
      <c r="AK163" s="771"/>
      <c r="AL163" s="771"/>
      <c r="AM163" s="771"/>
      <c r="AN163" s="771"/>
      <c r="AO163" s="771"/>
      <c r="AP163" s="771"/>
    </row>
    <row r="164" spans="1:42" x14ac:dyDescent="0.2">
      <c r="A164"/>
      <c r="B164" s="8"/>
      <c r="C164" s="46"/>
      <c r="D164" s="46"/>
      <c r="I164" s="771"/>
      <c r="J164" s="771"/>
      <c r="K164" s="771"/>
      <c r="L164" s="771"/>
      <c r="M164" s="771"/>
      <c r="N164" s="771"/>
      <c r="O164" s="771"/>
      <c r="P164" s="771"/>
      <c r="Q164" s="771"/>
      <c r="R164" s="771"/>
      <c r="S164" s="771"/>
      <c r="T164" s="771"/>
      <c r="U164" s="771"/>
      <c r="V164" s="771"/>
      <c r="W164" s="771"/>
      <c r="X164" s="771"/>
      <c r="Y164" s="771"/>
      <c r="Z164" s="771"/>
      <c r="AA164" s="771"/>
      <c r="AB164" s="771"/>
      <c r="AC164" s="771"/>
      <c r="AD164" s="771"/>
      <c r="AE164" s="771"/>
      <c r="AF164" s="771"/>
      <c r="AG164" s="771"/>
      <c r="AH164" s="771"/>
      <c r="AI164" s="771"/>
      <c r="AJ164" s="771"/>
      <c r="AK164" s="771"/>
      <c r="AL164" s="771"/>
      <c r="AM164" s="771"/>
      <c r="AN164" s="771"/>
      <c r="AO164" s="771"/>
      <c r="AP164" s="771"/>
    </row>
    <row r="165" spans="1:42" x14ac:dyDescent="0.2">
      <c r="A165"/>
      <c r="B165" s="8"/>
      <c r="C165" s="46"/>
      <c r="D165" s="46"/>
      <c r="I165" s="771"/>
      <c r="J165" s="771"/>
      <c r="K165" s="771"/>
      <c r="L165" s="771"/>
      <c r="M165" s="771"/>
      <c r="N165" s="771"/>
      <c r="O165" s="771"/>
      <c r="P165" s="771"/>
      <c r="Q165" s="771"/>
      <c r="R165" s="771"/>
      <c r="S165" s="771"/>
      <c r="T165" s="771"/>
      <c r="U165" s="771"/>
      <c r="V165" s="771"/>
      <c r="W165" s="771"/>
      <c r="X165" s="771"/>
      <c r="Y165" s="771"/>
      <c r="Z165" s="771"/>
      <c r="AA165" s="771"/>
      <c r="AB165" s="771"/>
      <c r="AC165" s="771"/>
      <c r="AD165" s="771"/>
      <c r="AE165" s="771"/>
      <c r="AF165" s="771"/>
      <c r="AG165" s="771"/>
      <c r="AH165" s="771"/>
      <c r="AI165" s="771"/>
      <c r="AJ165" s="771"/>
      <c r="AK165" s="771"/>
      <c r="AL165" s="771"/>
      <c r="AM165" s="771"/>
      <c r="AN165" s="771"/>
      <c r="AO165" s="771"/>
      <c r="AP165" s="771"/>
    </row>
    <row r="166" spans="1:42" x14ac:dyDescent="0.2">
      <c r="A166"/>
      <c r="B166" s="8"/>
      <c r="C166" s="46"/>
      <c r="D166" s="46"/>
      <c r="I166" s="771"/>
      <c r="J166" s="771"/>
      <c r="K166" s="771"/>
      <c r="L166" s="771"/>
      <c r="M166" s="771"/>
      <c r="N166" s="771"/>
      <c r="O166" s="771"/>
      <c r="P166" s="771"/>
      <c r="Q166" s="771"/>
      <c r="R166" s="771"/>
      <c r="S166" s="771"/>
      <c r="T166" s="771"/>
      <c r="U166" s="771"/>
      <c r="V166" s="771"/>
      <c r="W166" s="771"/>
      <c r="X166" s="771"/>
      <c r="Y166" s="771"/>
      <c r="Z166" s="771"/>
      <c r="AA166" s="771"/>
      <c r="AB166" s="771"/>
      <c r="AC166" s="771"/>
      <c r="AD166" s="771"/>
      <c r="AE166" s="771"/>
      <c r="AF166" s="771"/>
      <c r="AG166" s="771"/>
      <c r="AH166" s="771"/>
      <c r="AI166" s="771"/>
      <c r="AJ166" s="771"/>
      <c r="AK166" s="771"/>
      <c r="AL166" s="771"/>
      <c r="AM166" s="771"/>
      <c r="AN166" s="771"/>
      <c r="AO166" s="771"/>
      <c r="AP166" s="771"/>
    </row>
    <row r="167" spans="1:42" x14ac:dyDescent="0.2">
      <c r="A167"/>
      <c r="B167" s="8"/>
      <c r="C167" s="46"/>
      <c r="D167" s="46"/>
      <c r="I167" s="771"/>
      <c r="J167" s="771"/>
      <c r="K167" s="771"/>
      <c r="L167" s="771"/>
      <c r="M167" s="771"/>
      <c r="N167" s="771"/>
      <c r="O167" s="771"/>
      <c r="P167" s="771"/>
      <c r="Q167" s="771"/>
      <c r="R167" s="771"/>
      <c r="S167" s="771"/>
      <c r="T167" s="771"/>
      <c r="U167" s="771"/>
      <c r="V167" s="771"/>
      <c r="W167" s="771"/>
      <c r="X167" s="771"/>
      <c r="Y167" s="771"/>
      <c r="Z167" s="771"/>
      <c r="AA167" s="771"/>
      <c r="AB167" s="771"/>
      <c r="AC167" s="771"/>
      <c r="AD167" s="771"/>
      <c r="AE167" s="771"/>
      <c r="AF167" s="771"/>
      <c r="AG167" s="771"/>
      <c r="AH167" s="771"/>
      <c r="AI167" s="771"/>
      <c r="AJ167" s="771"/>
      <c r="AK167" s="771"/>
      <c r="AL167" s="771"/>
      <c r="AM167" s="771"/>
      <c r="AN167" s="771"/>
      <c r="AO167" s="771"/>
      <c r="AP167" s="771"/>
    </row>
    <row r="168" spans="1:42" x14ac:dyDescent="0.2">
      <c r="A168"/>
      <c r="B168" s="8"/>
      <c r="C168" s="46"/>
      <c r="D168" s="46"/>
    </row>
    <row r="169" spans="1:42" x14ac:dyDescent="0.2">
      <c r="A169"/>
      <c r="B169" s="8"/>
      <c r="C169" s="46"/>
      <c r="D169" s="46"/>
    </row>
    <row r="170" spans="1:42" x14ac:dyDescent="0.2">
      <c r="A170"/>
      <c r="B170" s="8"/>
      <c r="C170" s="46"/>
      <c r="D170" s="46"/>
    </row>
    <row r="171" spans="1:42" x14ac:dyDescent="0.2">
      <c r="A171"/>
      <c r="B171" s="8"/>
      <c r="C171" s="46"/>
      <c r="D171" s="46"/>
    </row>
    <row r="172" spans="1:42" x14ac:dyDescent="0.2">
      <c r="A172"/>
      <c r="B172" s="8"/>
      <c r="C172" s="46"/>
      <c r="D172" s="46"/>
    </row>
    <row r="173" spans="1:42" x14ac:dyDescent="0.2">
      <c r="A173"/>
      <c r="B173" s="8"/>
      <c r="C173" s="46"/>
      <c r="D173" s="46"/>
    </row>
    <row r="174" spans="1:42" x14ac:dyDescent="0.2">
      <c r="A174"/>
      <c r="B174" s="8"/>
      <c r="C174" s="46"/>
      <c r="D174" s="46"/>
    </row>
    <row r="175" spans="1:42" x14ac:dyDescent="0.2">
      <c r="A175"/>
      <c r="B175" s="8"/>
      <c r="C175" s="46"/>
      <c r="D175" s="46"/>
    </row>
    <row r="176" spans="1:42" x14ac:dyDescent="0.2">
      <c r="A176"/>
      <c r="B176" s="8"/>
      <c r="C176" s="46"/>
      <c r="D176" s="46"/>
    </row>
    <row r="177" spans="1:42" x14ac:dyDescent="0.2">
      <c r="A177"/>
      <c r="B177" s="8"/>
      <c r="C177" s="46"/>
      <c r="D177" s="46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  <c r="AD177"/>
      <c r="AE177"/>
      <c r="AF177"/>
      <c r="AG177"/>
      <c r="AH177"/>
      <c r="AI177"/>
      <c r="AJ177"/>
      <c r="AK177"/>
      <c r="AL177"/>
      <c r="AM177"/>
      <c r="AN177"/>
      <c r="AO177"/>
      <c r="AP177"/>
    </row>
    <row r="178" spans="1:42" x14ac:dyDescent="0.2">
      <c r="A178"/>
      <c r="B178" s="8"/>
      <c r="C178" s="46"/>
      <c r="D178" s="46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  <c r="AD178"/>
      <c r="AE178"/>
      <c r="AF178"/>
      <c r="AG178"/>
      <c r="AH178"/>
      <c r="AI178"/>
      <c r="AJ178"/>
      <c r="AK178"/>
      <c r="AL178"/>
      <c r="AM178"/>
      <c r="AN178"/>
      <c r="AO178"/>
      <c r="AP178"/>
    </row>
    <row r="179" spans="1:42" x14ac:dyDescent="0.2">
      <c r="A179"/>
      <c r="B179" s="8"/>
      <c r="C179" s="46"/>
      <c r="D179" s="46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  <c r="AD179"/>
      <c r="AE179"/>
      <c r="AF179"/>
      <c r="AG179"/>
      <c r="AH179"/>
      <c r="AI179"/>
      <c r="AJ179"/>
      <c r="AK179"/>
      <c r="AL179"/>
      <c r="AM179"/>
      <c r="AN179"/>
      <c r="AO179"/>
      <c r="AP179"/>
    </row>
    <row r="180" spans="1:42" x14ac:dyDescent="0.2">
      <c r="A180"/>
      <c r="B180" s="8"/>
      <c r="C180" s="46"/>
      <c r="D180" s="46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  <c r="AD180"/>
      <c r="AE180"/>
      <c r="AF180"/>
      <c r="AG180"/>
      <c r="AH180"/>
      <c r="AI180"/>
      <c r="AJ180"/>
      <c r="AK180"/>
      <c r="AL180"/>
      <c r="AM180"/>
      <c r="AN180"/>
      <c r="AO180"/>
      <c r="AP180"/>
    </row>
    <row r="181" spans="1:42" x14ac:dyDescent="0.2">
      <c r="A181"/>
      <c r="B181" s="8"/>
      <c r="C181" s="46"/>
      <c r="D181" s="46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  <c r="AD181"/>
      <c r="AE181"/>
      <c r="AF181"/>
      <c r="AG181"/>
      <c r="AH181"/>
      <c r="AI181"/>
      <c r="AJ181"/>
      <c r="AK181"/>
      <c r="AL181"/>
      <c r="AM181"/>
      <c r="AN181"/>
      <c r="AO181"/>
      <c r="AP181"/>
    </row>
    <row r="182" spans="1:42" x14ac:dyDescent="0.2">
      <c r="A182"/>
      <c r="B182" s="8"/>
      <c r="C182" s="46"/>
      <c r="D182" s="46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  <c r="AD182"/>
      <c r="AE182"/>
      <c r="AF182"/>
      <c r="AG182"/>
      <c r="AH182"/>
      <c r="AI182"/>
      <c r="AJ182"/>
      <c r="AK182"/>
      <c r="AL182"/>
      <c r="AM182"/>
      <c r="AN182"/>
      <c r="AO182"/>
      <c r="AP182"/>
    </row>
    <row r="183" spans="1:42" x14ac:dyDescent="0.2">
      <c r="A183"/>
      <c r="B183" s="8"/>
      <c r="C183" s="46"/>
      <c r="D183" s="46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  <c r="AD183"/>
      <c r="AE183"/>
      <c r="AF183"/>
      <c r="AG183"/>
      <c r="AH183"/>
      <c r="AI183"/>
      <c r="AJ183"/>
      <c r="AK183"/>
      <c r="AL183"/>
      <c r="AM183"/>
      <c r="AN183"/>
      <c r="AO183"/>
      <c r="AP183"/>
    </row>
    <row r="184" spans="1:42" x14ac:dyDescent="0.2">
      <c r="A184"/>
      <c r="B184" s="8"/>
      <c r="C184" s="46"/>
      <c r="D184" s="46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  <c r="AD184"/>
      <c r="AE184"/>
      <c r="AF184"/>
      <c r="AG184"/>
      <c r="AH184"/>
      <c r="AI184"/>
      <c r="AJ184"/>
      <c r="AK184"/>
      <c r="AL184"/>
      <c r="AM184"/>
      <c r="AN184"/>
      <c r="AO184"/>
      <c r="AP184"/>
    </row>
    <row r="185" spans="1:42" x14ac:dyDescent="0.2">
      <c r="A185"/>
      <c r="B185" s="8"/>
      <c r="C185" s="46"/>
      <c r="D185" s="46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  <c r="AD185"/>
      <c r="AE185"/>
      <c r="AF185"/>
      <c r="AG185"/>
      <c r="AH185"/>
      <c r="AI185"/>
      <c r="AJ185"/>
      <c r="AK185"/>
      <c r="AL185"/>
      <c r="AM185"/>
      <c r="AN185"/>
      <c r="AO185"/>
      <c r="AP185"/>
    </row>
    <row r="186" spans="1:42" x14ac:dyDescent="0.2">
      <c r="A186"/>
      <c r="B186" s="8"/>
      <c r="C186" s="46"/>
      <c r="D186" s="46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  <c r="AD186"/>
      <c r="AE186"/>
      <c r="AF186"/>
      <c r="AG186"/>
      <c r="AH186"/>
      <c r="AI186"/>
      <c r="AJ186"/>
      <c r="AK186"/>
      <c r="AL186"/>
      <c r="AM186"/>
      <c r="AN186"/>
      <c r="AO186"/>
      <c r="AP186"/>
    </row>
    <row r="187" spans="1:42" x14ac:dyDescent="0.2">
      <c r="A187"/>
      <c r="B187" s="8"/>
      <c r="C187" s="46"/>
      <c r="D187" s="46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  <c r="AD187"/>
      <c r="AE187"/>
      <c r="AF187"/>
      <c r="AG187"/>
      <c r="AH187"/>
      <c r="AI187"/>
      <c r="AJ187"/>
      <c r="AK187"/>
      <c r="AL187"/>
      <c r="AM187"/>
      <c r="AN187"/>
      <c r="AO187"/>
      <c r="AP187"/>
    </row>
    <row r="188" spans="1:42" x14ac:dyDescent="0.2">
      <c r="A188"/>
      <c r="B188" s="8"/>
      <c r="C188" s="46"/>
      <c r="D188" s="46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  <c r="AD188"/>
      <c r="AE188"/>
      <c r="AF188"/>
      <c r="AG188"/>
      <c r="AH188"/>
      <c r="AI188"/>
      <c r="AJ188"/>
      <c r="AK188"/>
      <c r="AL188"/>
      <c r="AM188"/>
      <c r="AN188"/>
      <c r="AO188"/>
      <c r="AP188"/>
    </row>
    <row r="189" spans="1:42" x14ac:dyDescent="0.2">
      <c r="A189"/>
      <c r="B189" s="8"/>
      <c r="C189" s="46"/>
      <c r="D189" s="46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  <c r="AD189"/>
      <c r="AE189"/>
      <c r="AF189"/>
      <c r="AG189"/>
      <c r="AH189"/>
      <c r="AI189"/>
      <c r="AJ189"/>
      <c r="AK189"/>
      <c r="AL189"/>
      <c r="AM189"/>
      <c r="AN189"/>
      <c r="AO189"/>
      <c r="AP189"/>
    </row>
    <row r="190" spans="1:42" x14ac:dyDescent="0.2">
      <c r="A190"/>
      <c r="B190" s="8"/>
      <c r="C190" s="46"/>
      <c r="D190" s="46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  <c r="AD190"/>
      <c r="AE190"/>
      <c r="AF190"/>
      <c r="AG190"/>
      <c r="AH190"/>
      <c r="AI190"/>
      <c r="AJ190"/>
      <c r="AK190"/>
      <c r="AL190"/>
      <c r="AM190"/>
      <c r="AN190"/>
      <c r="AO190"/>
      <c r="AP190"/>
    </row>
    <row r="191" spans="1:42" x14ac:dyDescent="0.2">
      <c r="A191"/>
      <c r="B191" s="8"/>
      <c r="C191" s="46"/>
      <c r="D191" s="46"/>
      <c r="E191"/>
      <c r="F191"/>
      <c r="G191"/>
      <c r="H191"/>
      <c r="I191"/>
      <c r="J191"/>
      <c r="K191"/>
      <c r="L191"/>
      <c r="M191"/>
      <c r="N191"/>
      <c r="O191"/>
      <c r="P191"/>
      <c r="Q191"/>
      <c r="R191"/>
      <c r="S191"/>
      <c r="T191"/>
      <c r="U191"/>
      <c r="V191"/>
      <c r="W191"/>
      <c r="X191"/>
      <c r="Y191"/>
      <c r="Z191"/>
      <c r="AA191"/>
      <c r="AB191"/>
      <c r="AC191"/>
      <c r="AD191"/>
      <c r="AE191"/>
      <c r="AF191"/>
      <c r="AG191"/>
      <c r="AH191"/>
      <c r="AI191"/>
      <c r="AJ191"/>
      <c r="AK191"/>
      <c r="AL191"/>
      <c r="AM191"/>
      <c r="AN191"/>
      <c r="AO191"/>
      <c r="AP191"/>
    </row>
    <row r="192" spans="1:42" x14ac:dyDescent="0.2">
      <c r="A192"/>
      <c r="B192" s="8"/>
      <c r="C192" s="46"/>
      <c r="D192" s="46"/>
      <c r="E192"/>
      <c r="F192"/>
      <c r="G192"/>
      <c r="H192"/>
      <c r="I192"/>
      <c r="J192"/>
      <c r="K192"/>
      <c r="L192"/>
      <c r="M192"/>
      <c r="N192"/>
      <c r="O192"/>
      <c r="P192"/>
      <c r="Q192"/>
      <c r="R192"/>
      <c r="S192"/>
      <c r="T192"/>
      <c r="U192"/>
      <c r="V192"/>
      <c r="W192"/>
      <c r="X192"/>
      <c r="Y192"/>
      <c r="Z192"/>
      <c r="AA192"/>
      <c r="AB192"/>
      <c r="AC192"/>
      <c r="AD192"/>
      <c r="AE192"/>
      <c r="AF192"/>
      <c r="AG192"/>
      <c r="AH192"/>
      <c r="AI192"/>
      <c r="AJ192"/>
      <c r="AK192"/>
      <c r="AL192"/>
      <c r="AM192"/>
      <c r="AN192"/>
      <c r="AO192"/>
      <c r="AP192"/>
    </row>
    <row r="193" spans="1:42" x14ac:dyDescent="0.2">
      <c r="A193"/>
      <c r="B193" s="8"/>
      <c r="C193" s="46"/>
      <c r="D193" s="46"/>
      <c r="E193"/>
      <c r="F193"/>
      <c r="G193"/>
      <c r="H193"/>
      <c r="I193"/>
      <c r="J193"/>
      <c r="K193"/>
      <c r="L193"/>
      <c r="M193"/>
      <c r="N193"/>
      <c r="O193"/>
      <c r="P193"/>
      <c r="Q193"/>
      <c r="R193"/>
      <c r="S193"/>
      <c r="T193"/>
      <c r="U193"/>
      <c r="V193"/>
      <c r="W193"/>
      <c r="X193"/>
      <c r="Y193"/>
      <c r="Z193"/>
      <c r="AA193"/>
      <c r="AB193"/>
      <c r="AC193"/>
      <c r="AD193"/>
      <c r="AE193"/>
      <c r="AF193"/>
      <c r="AG193"/>
      <c r="AH193"/>
      <c r="AI193"/>
      <c r="AJ193"/>
      <c r="AK193"/>
      <c r="AL193"/>
      <c r="AM193"/>
      <c r="AN193"/>
      <c r="AO193"/>
      <c r="AP193"/>
    </row>
    <row r="194" spans="1:42" x14ac:dyDescent="0.2">
      <c r="A194"/>
      <c r="B194" s="8"/>
      <c r="C194" s="46"/>
      <c r="D194" s="46"/>
      <c r="E194"/>
      <c r="F194"/>
      <c r="G194"/>
      <c r="H194"/>
      <c r="I194"/>
      <c r="J194"/>
      <c r="K194"/>
      <c r="L194"/>
      <c r="M194"/>
      <c r="N194"/>
      <c r="O194"/>
      <c r="P194"/>
      <c r="Q194"/>
      <c r="R194"/>
      <c r="S194"/>
      <c r="T194"/>
      <c r="U194"/>
      <c r="V194"/>
      <c r="W194"/>
      <c r="X194"/>
      <c r="Y194"/>
      <c r="Z194"/>
      <c r="AA194"/>
      <c r="AB194"/>
      <c r="AC194"/>
      <c r="AD194"/>
      <c r="AE194"/>
      <c r="AF194"/>
      <c r="AG194"/>
      <c r="AH194"/>
      <c r="AI194"/>
      <c r="AJ194"/>
      <c r="AK194"/>
      <c r="AL194"/>
      <c r="AM194"/>
      <c r="AN194"/>
      <c r="AO194"/>
      <c r="AP194"/>
    </row>
    <row r="195" spans="1:42" x14ac:dyDescent="0.2">
      <c r="A195"/>
      <c r="B195" s="8"/>
      <c r="C195" s="46"/>
      <c r="D195" s="46"/>
      <c r="E195"/>
      <c r="F195"/>
      <c r="G195"/>
      <c r="H195"/>
      <c r="I195"/>
      <c r="J195"/>
      <c r="K195"/>
      <c r="L195"/>
      <c r="M195"/>
      <c r="N195"/>
      <c r="O195"/>
      <c r="P195"/>
      <c r="Q195"/>
      <c r="R195"/>
      <c r="S195"/>
      <c r="T195"/>
      <c r="U195"/>
      <c r="V195"/>
      <c r="W195"/>
      <c r="X195"/>
      <c r="Y195"/>
      <c r="Z195"/>
      <c r="AA195"/>
      <c r="AB195"/>
      <c r="AC195"/>
      <c r="AD195"/>
      <c r="AE195"/>
      <c r="AF195"/>
      <c r="AG195"/>
      <c r="AH195"/>
      <c r="AI195"/>
      <c r="AJ195"/>
      <c r="AK195"/>
      <c r="AL195"/>
      <c r="AM195"/>
      <c r="AN195"/>
      <c r="AO195"/>
      <c r="AP195"/>
    </row>
    <row r="196" spans="1:42" x14ac:dyDescent="0.2">
      <c r="A196"/>
      <c r="B196" s="8"/>
      <c r="C196" s="46"/>
      <c r="D196" s="46"/>
      <c r="E196"/>
      <c r="F196"/>
      <c r="G196"/>
      <c r="H196"/>
      <c r="I196"/>
      <c r="J196"/>
      <c r="K196"/>
      <c r="L196"/>
      <c r="M196"/>
      <c r="N196"/>
      <c r="O196"/>
      <c r="P196"/>
      <c r="Q196"/>
      <c r="R196"/>
      <c r="S196"/>
      <c r="T196"/>
      <c r="U196"/>
      <c r="V196"/>
      <c r="W196"/>
      <c r="X196"/>
      <c r="Y196"/>
      <c r="Z196"/>
      <c r="AA196"/>
      <c r="AB196"/>
      <c r="AC196"/>
      <c r="AD196"/>
      <c r="AE196"/>
      <c r="AF196"/>
      <c r="AG196"/>
      <c r="AH196"/>
      <c r="AI196"/>
      <c r="AJ196"/>
      <c r="AK196"/>
      <c r="AL196"/>
      <c r="AM196"/>
      <c r="AN196"/>
      <c r="AO196"/>
      <c r="AP196"/>
    </row>
    <row r="197" spans="1:42" x14ac:dyDescent="0.2">
      <c r="A197"/>
      <c r="B197" s="8"/>
      <c r="C197" s="46"/>
      <c r="D197" s="46"/>
      <c r="E197"/>
      <c r="F197"/>
      <c r="G197"/>
      <c r="H197"/>
      <c r="I197"/>
      <c r="J197"/>
      <c r="K197"/>
      <c r="L197"/>
      <c r="M197"/>
      <c r="N197"/>
      <c r="O197"/>
      <c r="P197"/>
      <c r="Q197"/>
      <c r="R197"/>
      <c r="S197"/>
      <c r="T197"/>
      <c r="U197"/>
      <c r="V197"/>
      <c r="W197"/>
      <c r="X197"/>
      <c r="Y197"/>
      <c r="Z197"/>
      <c r="AA197"/>
      <c r="AB197"/>
      <c r="AC197"/>
      <c r="AD197"/>
      <c r="AE197"/>
      <c r="AF197"/>
      <c r="AG197"/>
      <c r="AH197"/>
      <c r="AI197"/>
      <c r="AJ197"/>
      <c r="AK197"/>
      <c r="AL197"/>
      <c r="AM197"/>
      <c r="AN197"/>
      <c r="AO197"/>
      <c r="AP197"/>
    </row>
    <row r="198" spans="1:42" x14ac:dyDescent="0.2">
      <c r="A198"/>
      <c r="B198" s="8"/>
      <c r="C198" s="46"/>
      <c r="D198" s="46"/>
      <c r="E198"/>
      <c r="F198"/>
      <c r="G198"/>
      <c r="H198"/>
      <c r="I198"/>
      <c r="J198"/>
      <c r="K198"/>
      <c r="L198"/>
      <c r="M198"/>
      <c r="N198"/>
      <c r="O198"/>
      <c r="P198"/>
      <c r="Q198"/>
      <c r="R198"/>
      <c r="S198"/>
      <c r="T198"/>
      <c r="U198"/>
      <c r="V198"/>
      <c r="W198"/>
      <c r="X198"/>
      <c r="Y198"/>
      <c r="Z198"/>
      <c r="AA198"/>
      <c r="AB198"/>
      <c r="AC198"/>
      <c r="AD198"/>
      <c r="AE198"/>
      <c r="AF198"/>
      <c r="AG198"/>
      <c r="AH198"/>
      <c r="AI198"/>
      <c r="AJ198"/>
      <c r="AK198"/>
      <c r="AL198"/>
      <c r="AM198"/>
      <c r="AN198"/>
      <c r="AO198"/>
      <c r="AP198"/>
    </row>
    <row r="199" spans="1:42" x14ac:dyDescent="0.2">
      <c r="A199"/>
      <c r="B199" s="8"/>
      <c r="C199" s="46"/>
      <c r="D199" s="46"/>
      <c r="E199"/>
      <c r="F199"/>
      <c r="G199"/>
      <c r="H199"/>
      <c r="I199"/>
      <c r="J199"/>
      <c r="K199"/>
      <c r="L199"/>
      <c r="M199"/>
      <c r="N199"/>
      <c r="O199"/>
      <c r="P199"/>
      <c r="Q199"/>
      <c r="R199"/>
      <c r="S199"/>
      <c r="T199"/>
      <c r="U199"/>
      <c r="V199"/>
      <c r="W199"/>
      <c r="X199"/>
      <c r="Y199"/>
      <c r="Z199"/>
      <c r="AA199"/>
      <c r="AB199"/>
      <c r="AC199"/>
      <c r="AD199"/>
      <c r="AE199"/>
      <c r="AF199"/>
      <c r="AG199"/>
      <c r="AH199"/>
      <c r="AI199"/>
      <c r="AJ199"/>
      <c r="AK199"/>
      <c r="AL199"/>
      <c r="AM199"/>
      <c r="AN199"/>
      <c r="AO199"/>
      <c r="AP199"/>
    </row>
    <row r="200" spans="1:42" x14ac:dyDescent="0.2">
      <c r="A200"/>
      <c r="B200" s="8"/>
      <c r="C200" s="46"/>
      <c r="D200" s="46"/>
      <c r="E200"/>
      <c r="F200"/>
      <c r="G200"/>
      <c r="H200"/>
      <c r="I200"/>
      <c r="J200"/>
      <c r="K200"/>
      <c r="L200"/>
      <c r="M200"/>
      <c r="N200"/>
      <c r="O200"/>
      <c r="P200"/>
      <c r="Q200"/>
      <c r="R200"/>
      <c r="S200"/>
      <c r="T200"/>
      <c r="U200"/>
      <c r="V200"/>
      <c r="W200"/>
      <c r="X200"/>
      <c r="Y200"/>
      <c r="Z200"/>
      <c r="AA200"/>
      <c r="AB200"/>
      <c r="AC200"/>
      <c r="AD200"/>
      <c r="AE200"/>
      <c r="AF200"/>
      <c r="AG200"/>
      <c r="AH200"/>
      <c r="AI200"/>
      <c r="AJ200"/>
      <c r="AK200"/>
      <c r="AL200"/>
      <c r="AM200"/>
      <c r="AN200"/>
      <c r="AO200"/>
      <c r="AP200"/>
    </row>
    <row r="201" spans="1:42" x14ac:dyDescent="0.2">
      <c r="A201"/>
      <c r="B201" s="8"/>
      <c r="C201" s="46"/>
      <c r="D201" s="46"/>
      <c r="E201"/>
      <c r="F201"/>
      <c r="G201"/>
      <c r="H201"/>
      <c r="I201"/>
      <c r="J201"/>
      <c r="K201"/>
      <c r="L201"/>
      <c r="M201"/>
      <c r="N201"/>
      <c r="O201"/>
      <c r="P201"/>
      <c r="Q201"/>
      <c r="R201"/>
      <c r="S201"/>
      <c r="T201"/>
      <c r="U201"/>
      <c r="V201"/>
      <c r="W201"/>
      <c r="X201"/>
      <c r="Y201"/>
      <c r="Z201"/>
      <c r="AA201"/>
      <c r="AB201"/>
      <c r="AC201"/>
      <c r="AD201"/>
      <c r="AE201"/>
      <c r="AF201"/>
      <c r="AG201"/>
      <c r="AH201"/>
      <c r="AI201"/>
      <c r="AJ201"/>
      <c r="AK201"/>
      <c r="AL201"/>
      <c r="AM201"/>
      <c r="AN201"/>
      <c r="AO201"/>
      <c r="AP201"/>
    </row>
  </sheetData>
  <protectedRanges>
    <protectedRange sqref="C5:C7 C20:C22" name="Диапазон1"/>
  </protectedRanges>
  <customSheetViews>
    <customSheetView guid="{788B8383-784A-4263-9D04-45657AC129FF}" hiddenColumns="1">
      <selection activeCell="AD7" sqref="AD7"/>
      <pageMargins left="0.38" right="0.53" top="0.54" bottom="1" header="0.5" footer="0.5"/>
      <pageSetup paperSize="9" orientation="portrait" r:id="rId1"/>
      <headerFooter alignWithMargins="0"/>
    </customSheetView>
  </customSheetViews>
  <mergeCells count="99">
    <mergeCell ref="B135:G135"/>
    <mergeCell ref="B129:B131"/>
    <mergeCell ref="D129:G129"/>
    <mergeCell ref="D130:G130"/>
    <mergeCell ref="D131:G131"/>
    <mergeCell ref="B132:B134"/>
    <mergeCell ref="D132:G132"/>
    <mergeCell ref="D133:G133"/>
    <mergeCell ref="D134:G134"/>
    <mergeCell ref="B90:G91"/>
    <mergeCell ref="B93:B95"/>
    <mergeCell ref="B96:B98"/>
    <mergeCell ref="B99:B101"/>
    <mergeCell ref="B102:B104"/>
    <mergeCell ref="D97:G97"/>
    <mergeCell ref="D98:G98"/>
    <mergeCell ref="D99:G99"/>
    <mergeCell ref="D100:G100"/>
    <mergeCell ref="D101:G101"/>
    <mergeCell ref="D102:G102"/>
    <mergeCell ref="D93:G93"/>
    <mergeCell ref="D94:G94"/>
    <mergeCell ref="D95:G95"/>
    <mergeCell ref="D96:G96"/>
    <mergeCell ref="B105:B107"/>
    <mergeCell ref="B108:B110"/>
    <mergeCell ref="B111:B113"/>
    <mergeCell ref="B114:B116"/>
    <mergeCell ref="B117:B119"/>
    <mergeCell ref="B120:B122"/>
    <mergeCell ref="B123:B125"/>
    <mergeCell ref="B126:B128"/>
    <mergeCell ref="D127:G127"/>
    <mergeCell ref="D128:G128"/>
    <mergeCell ref="D121:G121"/>
    <mergeCell ref="D122:G122"/>
    <mergeCell ref="D123:G123"/>
    <mergeCell ref="D124:G124"/>
    <mergeCell ref="D125:G125"/>
    <mergeCell ref="D126:G126"/>
    <mergeCell ref="D120:G120"/>
    <mergeCell ref="D115:G115"/>
    <mergeCell ref="D116:G116"/>
    <mergeCell ref="D117:G117"/>
    <mergeCell ref="D118:G118"/>
    <mergeCell ref="D119:G119"/>
    <mergeCell ref="D109:G109"/>
    <mergeCell ref="D110:G110"/>
    <mergeCell ref="D111:G111"/>
    <mergeCell ref="D112:G112"/>
    <mergeCell ref="D113:G113"/>
    <mergeCell ref="B2:G3"/>
    <mergeCell ref="B74:B75"/>
    <mergeCell ref="B68:B69"/>
    <mergeCell ref="B71:B72"/>
    <mergeCell ref="B70:D70"/>
    <mergeCell ref="B73:D73"/>
    <mergeCell ref="B59:B60"/>
    <mergeCell ref="B46:G47"/>
    <mergeCell ref="B34:G35"/>
    <mergeCell ref="B38:B40"/>
    <mergeCell ref="L8:M8"/>
    <mergeCell ref="H9:H12"/>
    <mergeCell ref="H24:H26"/>
    <mergeCell ref="B86:B87"/>
    <mergeCell ref="B76:D76"/>
    <mergeCell ref="B36:D36"/>
    <mergeCell ref="B50:B51"/>
    <mergeCell ref="B80:B81"/>
    <mergeCell ref="B49:G49"/>
    <mergeCell ref="B66:G66"/>
    <mergeCell ref="B62:B63"/>
    <mergeCell ref="B67:D67"/>
    <mergeCell ref="B82:D82"/>
    <mergeCell ref="B85:D85"/>
    <mergeCell ref="B77:B78"/>
    <mergeCell ref="B79:D79"/>
    <mergeCell ref="B140:B142"/>
    <mergeCell ref="D140:G140"/>
    <mergeCell ref="D141:G141"/>
    <mergeCell ref="D142:G142"/>
    <mergeCell ref="H48:H49"/>
    <mergeCell ref="B139:D139"/>
    <mergeCell ref="B88:G88"/>
    <mergeCell ref="B137:G138"/>
    <mergeCell ref="B83:B84"/>
    <mergeCell ref="D114:G114"/>
    <mergeCell ref="D103:G103"/>
    <mergeCell ref="D104:G104"/>
    <mergeCell ref="D105:G105"/>
    <mergeCell ref="D106:G106"/>
    <mergeCell ref="D107:G107"/>
    <mergeCell ref="D108:G108"/>
    <mergeCell ref="D148:G148"/>
    <mergeCell ref="D143:G143"/>
    <mergeCell ref="D144:G144"/>
    <mergeCell ref="D145:G145"/>
    <mergeCell ref="D146:G146"/>
    <mergeCell ref="D147:G147"/>
  </mergeCells>
  <phoneticPr fontId="2" type="noConversion"/>
  <dataValidations count="4">
    <dataValidation type="list" allowBlank="1" showInputMessage="1" showErrorMessage="1" sqref="C7" xr:uid="{00000000-0002-0000-0E00-000000000000}">
      <formula1>$J$9:$J$16</formula1>
    </dataValidation>
    <dataValidation type="list" allowBlank="1" showInputMessage="1" showErrorMessage="1" sqref="C21 C6" xr:uid="{00000000-0002-0000-0E00-000001000000}">
      <formula1>$J$10:$J$11</formula1>
    </dataValidation>
    <dataValidation type="list" allowBlank="1" showInputMessage="1" showErrorMessage="1" sqref="C22" xr:uid="{00000000-0002-0000-0E00-000002000000}">
      <formula1>$J$9:$J$12</formula1>
    </dataValidation>
    <dataValidation type="list" allowBlank="1" showInputMessage="1" showErrorMessage="1" sqref="C5 C20" xr:uid="{00000000-0002-0000-0E00-000003000000}">
      <formula1>$U$9:$U$11</formula1>
    </dataValidation>
  </dataValidations>
  <pageMargins left="0.38" right="0.53" top="0.54" bottom="1" header="0.5" footer="0.5"/>
  <pageSetup paperSize="9" orientation="portrait" r:id="rId2"/>
  <headerFooter alignWithMargins="0"/>
  <drawing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Лист29"/>
  <dimension ref="A1:G18"/>
  <sheetViews>
    <sheetView showGridLines="0" workbookViewId="0">
      <selection activeCell="D18" sqref="D18"/>
    </sheetView>
  </sheetViews>
  <sheetFormatPr defaultRowHeight="12.75" x14ac:dyDescent="0.2"/>
  <cols>
    <col min="1" max="1" width="3.7109375" customWidth="1"/>
    <col min="2" max="2" width="30.7109375" customWidth="1"/>
    <col min="3" max="3" width="9.7109375" customWidth="1"/>
    <col min="4" max="4" width="30.7109375" customWidth="1"/>
    <col min="5" max="5" width="9.7109375" customWidth="1"/>
    <col min="6" max="6" width="30.7109375" customWidth="1"/>
  </cols>
  <sheetData>
    <row r="1" spans="1:7" ht="19.5" thickBot="1" x14ac:dyDescent="0.35">
      <c r="A1" s="1143"/>
      <c r="B1" s="1310" t="s">
        <v>5182</v>
      </c>
      <c r="C1" s="1303"/>
      <c r="D1" s="1303"/>
      <c r="E1" s="1304"/>
      <c r="F1" s="1307"/>
    </row>
    <row r="2" spans="1:7" ht="15" x14ac:dyDescent="0.2">
      <c r="A2" s="1143"/>
      <c r="B2" s="916"/>
      <c r="C2" s="916"/>
      <c r="D2" s="916"/>
      <c r="E2" s="1144"/>
      <c r="F2" s="916"/>
      <c r="G2" s="1779"/>
    </row>
    <row r="3" spans="1:7" x14ac:dyDescent="0.2">
      <c r="A3" s="1761"/>
      <c r="B3" s="1761"/>
      <c r="C3" s="1761"/>
      <c r="D3" s="1761"/>
      <c r="E3" s="1761"/>
      <c r="F3" s="1761"/>
      <c r="G3" s="1761"/>
    </row>
    <row r="4" spans="1:7" ht="15" x14ac:dyDescent="0.2">
      <c r="A4" s="1761"/>
      <c r="B4" s="1780" t="s">
        <v>5183</v>
      </c>
      <c r="C4" s="1761"/>
      <c r="D4" s="1761"/>
      <c r="E4" s="1761"/>
      <c r="F4" s="1761"/>
      <c r="G4" s="1761"/>
    </row>
    <row r="5" spans="1:7" x14ac:dyDescent="0.2">
      <c r="A5" s="1761"/>
      <c r="B5" s="1761"/>
      <c r="C5" s="1761"/>
      <c r="D5" s="1761"/>
      <c r="E5" s="1761"/>
      <c r="F5" s="1761"/>
      <c r="G5" s="1761"/>
    </row>
    <row r="6" spans="1:7" x14ac:dyDescent="0.2">
      <c r="A6" s="1761"/>
      <c r="B6" s="1761"/>
      <c r="C6" s="1761"/>
      <c r="D6" s="1761"/>
      <c r="E6" s="1761"/>
      <c r="F6" s="1761"/>
      <c r="G6" s="1761"/>
    </row>
    <row r="7" spans="1:7" x14ac:dyDescent="0.2">
      <c r="A7" s="1761"/>
      <c r="C7" s="1782"/>
      <c r="E7" s="1782"/>
      <c r="G7" s="1761"/>
    </row>
    <row r="8" spans="1:7" x14ac:dyDescent="0.2">
      <c r="A8" s="1761"/>
      <c r="B8" s="1761"/>
      <c r="C8" s="1761"/>
      <c r="D8" s="1761"/>
      <c r="E8" s="1761"/>
      <c r="F8" s="1761"/>
      <c r="G8" s="1761"/>
    </row>
    <row r="9" spans="1:7" x14ac:dyDescent="0.2">
      <c r="A9" s="1761"/>
      <c r="B9" s="1761"/>
      <c r="C9" s="1761"/>
      <c r="D9" s="1761"/>
      <c r="E9" s="1761"/>
      <c r="F9" s="1761"/>
      <c r="G9" s="1761"/>
    </row>
    <row r="10" spans="1:7" x14ac:dyDescent="0.2">
      <c r="A10" s="1761"/>
      <c r="B10" s="1761"/>
      <c r="C10" s="1761"/>
      <c r="D10" s="1761"/>
      <c r="E10" s="1761"/>
      <c r="F10" s="1761"/>
      <c r="G10" s="1761"/>
    </row>
    <row r="18" spans="2:6" x14ac:dyDescent="0.2">
      <c r="B18" s="1781" t="s">
        <v>2830</v>
      </c>
      <c r="D18" s="1781" t="s">
        <v>5184</v>
      </c>
      <c r="F18" s="1781" t="s">
        <v>5185</v>
      </c>
    </row>
  </sheetData>
  <hyperlinks>
    <hyperlink ref="B18" location="'3.11'!A1" display="Tandembox Plus" xr:uid="{00000000-0004-0000-0F00-000000000000}"/>
    <hyperlink ref="D18" location="'3.12'!A1" display="Tandembox Antaro" xr:uid="{00000000-0004-0000-0F00-000001000000}"/>
    <hyperlink ref="F18" location="'3.13'!A1" display="Tandembox Intivo" xr:uid="{00000000-0004-0000-0F00-000002000000}"/>
  </hyperlinks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Лист30"/>
  <dimension ref="A1:X128"/>
  <sheetViews>
    <sheetView showGridLines="0" topLeftCell="A7" workbookViewId="0">
      <selection activeCell="C35" sqref="C35"/>
    </sheetView>
  </sheetViews>
  <sheetFormatPr defaultRowHeight="12.75" x14ac:dyDescent="0.2"/>
  <cols>
    <col min="1" max="1" width="2.85546875" customWidth="1"/>
    <col min="2" max="2" width="35" customWidth="1"/>
    <col min="3" max="3" width="8.5703125" bestFit="1" customWidth="1"/>
    <col min="4" max="4" width="38.5703125" bestFit="1" customWidth="1"/>
    <col min="5" max="5" width="3.42578125" bestFit="1" customWidth="1"/>
    <col min="6" max="6" width="9.140625" hidden="1" customWidth="1"/>
    <col min="7" max="7" width="8" bestFit="1" customWidth="1"/>
    <col min="9" max="9" width="0" hidden="1" customWidth="1"/>
    <col min="10" max="19" width="9.140625" hidden="1" customWidth="1"/>
    <col min="21" max="21" width="23" customWidth="1"/>
  </cols>
  <sheetData>
    <row r="1" spans="1:24" ht="15.75" thickBot="1" x14ac:dyDescent="0.25">
      <c r="A1" s="1143"/>
      <c r="B1" s="916"/>
      <c r="C1" s="916"/>
      <c r="D1" s="916"/>
      <c r="E1" s="1144"/>
      <c r="F1" s="916"/>
      <c r="G1" s="1145"/>
      <c r="H1" s="1145"/>
    </row>
    <row r="2" spans="1:24" ht="19.5" thickBot="1" x14ac:dyDescent="0.25">
      <c r="A2" s="1143"/>
      <c r="B2" s="1843" t="s">
        <v>5210</v>
      </c>
      <c r="C2" s="1303"/>
      <c r="D2" s="1303"/>
      <c r="E2" s="1304"/>
      <c r="F2" s="1305"/>
      <c r="G2" s="1306"/>
      <c r="H2" s="1307"/>
    </row>
    <row r="3" spans="1:24" ht="7.5" customHeight="1" x14ac:dyDescent="0.2"/>
    <row r="4" spans="1:24" ht="6.75" customHeight="1" thickBot="1" x14ac:dyDescent="0.25">
      <c r="A4" s="8"/>
      <c r="B4" s="8"/>
      <c r="C4" s="8"/>
      <c r="D4" s="8"/>
      <c r="E4" s="1767"/>
      <c r="F4" s="8"/>
      <c r="G4" s="8"/>
      <c r="H4" s="35"/>
    </row>
    <row r="5" spans="1:24" ht="15" customHeight="1" x14ac:dyDescent="0.2">
      <c r="A5" s="8"/>
      <c r="B5" s="2015" t="s">
        <v>2109</v>
      </c>
      <c r="C5" s="2016"/>
      <c r="D5" s="2016"/>
      <c r="E5" s="2016"/>
      <c r="F5" s="2016"/>
      <c r="G5" s="2016"/>
      <c r="H5" s="372"/>
    </row>
    <row r="6" spans="1:24" ht="20.25" x14ac:dyDescent="0.2">
      <c r="A6" s="17"/>
      <c r="B6" s="2018"/>
      <c r="C6" s="2019"/>
      <c r="D6" s="2019"/>
      <c r="E6" s="2019"/>
      <c r="F6" s="2019"/>
      <c r="G6" s="2019"/>
      <c r="H6" s="374"/>
    </row>
    <row r="7" spans="1:24" x14ac:dyDescent="0.2">
      <c r="A7" s="17"/>
      <c r="B7" s="425" t="s">
        <v>5187</v>
      </c>
      <c r="C7" s="131"/>
      <c r="D7" s="2095" t="s">
        <v>1092</v>
      </c>
      <c r="E7" s="2095"/>
      <c r="F7" s="2095"/>
      <c r="G7" s="2095"/>
      <c r="H7" s="426"/>
    </row>
    <row r="8" spans="1:24" ht="15.75" thickBot="1" x14ac:dyDescent="0.25">
      <c r="A8" s="17"/>
      <c r="B8" s="1769" t="s">
        <v>1639</v>
      </c>
      <c r="C8" s="98">
        <v>500</v>
      </c>
      <c r="D8" s="95" t="s">
        <v>1689</v>
      </c>
      <c r="E8" s="1783"/>
      <c r="F8" s="73"/>
      <c r="G8" s="95"/>
      <c r="H8" s="1765" t="str">
        <f>IF(СОДЕРЖАНИЕ!P4=1,"EUR","RUB")</f>
        <v>RUB</v>
      </c>
    </row>
    <row r="9" spans="1:24" x14ac:dyDescent="0.2">
      <c r="A9" s="17"/>
      <c r="B9" s="2225"/>
      <c r="C9" s="135" t="s">
        <v>1301</v>
      </c>
      <c r="D9" s="1561" t="s">
        <v>784</v>
      </c>
      <c r="E9" s="1562" t="s">
        <v>2117</v>
      </c>
      <c r="F9" s="1561"/>
      <c r="G9" s="1784" t="s">
        <v>2116</v>
      </c>
      <c r="H9" s="411"/>
      <c r="K9" s="96" t="s">
        <v>1640</v>
      </c>
      <c r="L9" s="28"/>
      <c r="M9" s="28"/>
      <c r="N9" s="8"/>
      <c r="O9" s="8"/>
    </row>
    <row r="10" spans="1:24" x14ac:dyDescent="0.2">
      <c r="A10" s="17"/>
      <c r="B10" s="2073"/>
      <c r="C10" s="1785" t="str">
        <f>VLOOKUP(C8,K12:O14,3,FALSE)</f>
        <v>5655213/</v>
      </c>
      <c r="D10" s="1786" t="str">
        <f>IF(C10=" "," ",VLOOKUP(C10,всецены,2,FALSE))</f>
        <v xml:space="preserve">TBX, Царга 68/500 мм, сер, прав NEW     </v>
      </c>
      <c r="E10" s="1787">
        <f>IF(D10=" ",0,1)</f>
        <v>1</v>
      </c>
      <c r="F10" s="1788">
        <f>IF(C10=" ",0,VLOOKUP(C10,всецены,4,FALSE))</f>
        <v>548.10515759999998</v>
      </c>
      <c r="G10" s="1789">
        <f t="shared" ref="G10:G21" si="0">F10*E10</f>
        <v>548.10515759999998</v>
      </c>
      <c r="H10" s="2226">
        <f>SUM(G10:G21)</f>
        <v>3522.8361168000015</v>
      </c>
      <c r="K10" s="8"/>
      <c r="L10" s="1767"/>
      <c r="M10" s="1767"/>
      <c r="N10" s="8"/>
      <c r="O10" s="8"/>
    </row>
    <row r="11" spans="1:24" x14ac:dyDescent="0.2">
      <c r="A11" s="17"/>
      <c r="B11" s="2073"/>
      <c r="C11" s="1785" t="str">
        <f>VLOOKUP(C8,K12:O14,2,FALSE)</f>
        <v>5695147/</v>
      </c>
      <c r="D11" s="1786" t="str">
        <f t="shared" ref="D11:D21" si="1">VLOOKUP(C11,всецены,2,FALSE)</f>
        <v xml:space="preserve">TBX, Царга 68/500 мм, сер, лев NEW      </v>
      </c>
      <c r="E11" s="1787">
        <v>1</v>
      </c>
      <c r="F11" s="1788">
        <f t="shared" ref="F11:F21" si="2">VLOOKUP(C11,всецены,4,FALSE)</f>
        <v>548.10515759999998</v>
      </c>
      <c r="G11" s="1789">
        <f t="shared" si="0"/>
        <v>548.10515759999998</v>
      </c>
      <c r="H11" s="2092"/>
      <c r="K11" s="8"/>
      <c r="L11" s="1767" t="s">
        <v>1645</v>
      </c>
      <c r="M11" s="1767" t="s">
        <v>1644</v>
      </c>
      <c r="N11" s="8" t="s">
        <v>1641</v>
      </c>
      <c r="O11" s="8" t="s">
        <v>1642</v>
      </c>
    </row>
    <row r="12" spans="1:24" x14ac:dyDescent="0.2">
      <c r="A12" s="17"/>
      <c r="B12" s="2073"/>
      <c r="C12" s="1785" t="str">
        <f>VLOOKUP(C8,K12:O14,4,FALSE)</f>
        <v>7940374/</v>
      </c>
      <c r="D12" s="1786" t="str">
        <f t="shared" si="1"/>
        <v>TBX, Tip-on BM, Напр, 30 кг, 500 мм, лев</v>
      </c>
      <c r="E12" s="1787">
        <v>1</v>
      </c>
      <c r="F12" s="1788">
        <f t="shared" si="2"/>
        <v>600.15075120000006</v>
      </c>
      <c r="G12" s="1789">
        <f t="shared" si="0"/>
        <v>600.15075120000006</v>
      </c>
      <c r="H12" s="2092"/>
      <c r="K12" s="8"/>
      <c r="L12" s="1786"/>
      <c r="M12" s="1786"/>
      <c r="N12" s="1811"/>
      <c r="O12" s="1811"/>
    </row>
    <row r="13" spans="1:24" x14ac:dyDescent="0.2">
      <c r="A13" s="17"/>
      <c r="B13" s="2073"/>
      <c r="C13" s="1785" t="str">
        <f>VLOOKUP(C8,K12:O14,5,FALSE)</f>
        <v>7936668/</v>
      </c>
      <c r="D13" s="1786" t="str">
        <f t="shared" si="1"/>
        <v xml:space="preserve">TBX, Tip-on BM, Напр, 30 кг, 500 мм, пр </v>
      </c>
      <c r="E13" s="1787">
        <v>1</v>
      </c>
      <c r="F13" s="1788">
        <f t="shared" si="2"/>
        <v>600.15075120000006</v>
      </c>
      <c r="G13" s="1789">
        <f t="shared" si="0"/>
        <v>600.15075120000006</v>
      </c>
      <c r="H13" s="2092"/>
      <c r="K13" s="8">
        <v>450</v>
      </c>
      <c r="L13" s="1812" t="s">
        <v>3538</v>
      </c>
      <c r="M13" s="1812" t="s">
        <v>3537</v>
      </c>
      <c r="N13" s="1813" t="s">
        <v>3946</v>
      </c>
      <c r="O13" s="1813" t="s">
        <v>3945</v>
      </c>
      <c r="T13" s="943" t="s">
        <v>1813</v>
      </c>
      <c r="U13" s="1846" t="s">
        <v>5211</v>
      </c>
      <c r="V13" s="1846"/>
      <c r="W13" s="1846"/>
      <c r="X13" s="1847" t="s">
        <v>5216</v>
      </c>
    </row>
    <row r="14" spans="1:24" x14ac:dyDescent="0.2">
      <c r="A14" s="17"/>
      <c r="B14" s="2073"/>
      <c r="C14" s="1785" t="s">
        <v>299</v>
      </c>
      <c r="D14" s="1786" t="str">
        <f t="shared" si="1"/>
        <v>TBX, Загл. с лого, сер, симм ZAA.330C.BL</v>
      </c>
      <c r="E14" s="1787">
        <v>2</v>
      </c>
      <c r="F14" s="1788">
        <f t="shared" si="2"/>
        <v>8.9453364000000004</v>
      </c>
      <c r="G14" s="1789">
        <f t="shared" si="0"/>
        <v>17.890672800000001</v>
      </c>
      <c r="H14" s="2092"/>
      <c r="K14" s="8">
        <v>500</v>
      </c>
      <c r="L14" s="1812" t="s">
        <v>3540</v>
      </c>
      <c r="M14" s="1812" t="s">
        <v>3539</v>
      </c>
      <c r="N14" s="1813" t="s">
        <v>3949</v>
      </c>
      <c r="O14" s="1813" t="s">
        <v>3948</v>
      </c>
    </row>
    <row r="15" spans="1:24" x14ac:dyDescent="0.2">
      <c r="A15" s="17"/>
      <c r="B15" s="2073"/>
      <c r="C15" s="1790" t="s">
        <v>4511</v>
      </c>
      <c r="D15" s="1786" t="str">
        <f t="shared" si="1"/>
        <v xml:space="preserve">TBX, Крепл фасада INSERTA, NEW ZSF.39A2 </v>
      </c>
      <c r="E15" s="1787">
        <v>2</v>
      </c>
      <c r="F15" s="1788">
        <f t="shared" si="2"/>
        <v>43.913469600000006</v>
      </c>
      <c r="G15" s="1789">
        <f t="shared" si="0"/>
        <v>87.826939200000012</v>
      </c>
      <c r="H15" s="2092"/>
    </row>
    <row r="16" spans="1:24" s="1761" customFormat="1" x14ac:dyDescent="0.2">
      <c r="A16" s="17"/>
      <c r="B16" s="2073"/>
      <c r="C16" s="1790" t="s">
        <v>3954</v>
      </c>
      <c r="D16" s="1786" t="str">
        <f t="shared" si="1"/>
        <v>TBX, Tip-on BM, L3,350-600, лев T60B3533</v>
      </c>
      <c r="E16" s="1787">
        <v>1</v>
      </c>
      <c r="F16" s="1788">
        <f t="shared" si="2"/>
        <v>473.28961680000003</v>
      </c>
      <c r="G16" s="1789">
        <f t="shared" si="0"/>
        <v>473.28961680000003</v>
      </c>
      <c r="H16" s="2092"/>
    </row>
    <row r="17" spans="1:19" s="1761" customFormat="1" x14ac:dyDescent="0.2">
      <c r="A17" s="17"/>
      <c r="B17" s="2073"/>
      <c r="C17" s="1790" t="s">
        <v>3918</v>
      </c>
      <c r="D17" s="1786" t="str">
        <f t="shared" si="1"/>
        <v xml:space="preserve">TBX, Tip-on BM, L3,350-600, пр T60B3533 </v>
      </c>
      <c r="E17" s="1787">
        <v>1</v>
      </c>
      <c r="F17" s="1788">
        <f t="shared" si="2"/>
        <v>473.28961680000003</v>
      </c>
      <c r="G17" s="1789">
        <f t="shared" si="0"/>
        <v>473.28961680000003</v>
      </c>
      <c r="H17" s="2092"/>
    </row>
    <row r="18" spans="1:19" s="1761" customFormat="1" x14ac:dyDescent="0.2">
      <c r="A18" s="17"/>
      <c r="B18" s="2073"/>
      <c r="C18" s="1790" t="s">
        <v>3930</v>
      </c>
      <c r="D18" s="1786" t="str">
        <f t="shared" si="1"/>
        <v xml:space="preserve">TBX, Tip-on BM, триггер, лев. T60B3009  </v>
      </c>
      <c r="E18" s="1787">
        <v>1</v>
      </c>
      <c r="F18" s="1788">
        <f t="shared" si="2"/>
        <v>40.660620000000002</v>
      </c>
      <c r="G18" s="1789">
        <f t="shared" si="0"/>
        <v>40.660620000000002</v>
      </c>
      <c r="H18" s="2092"/>
    </row>
    <row r="19" spans="1:19" s="1761" customFormat="1" x14ac:dyDescent="0.2">
      <c r="A19" s="17"/>
      <c r="B19" s="2073"/>
      <c r="C19" s="1790" t="s">
        <v>3931</v>
      </c>
      <c r="D19" s="1786" t="str">
        <f t="shared" si="1"/>
        <v xml:space="preserve">TBX, Tip-on BM, триггер, прав. T60B3009 </v>
      </c>
      <c r="E19" s="1787">
        <v>1</v>
      </c>
      <c r="F19" s="1788">
        <f t="shared" si="2"/>
        <v>40.660620000000002</v>
      </c>
      <c r="G19" s="1789">
        <f t="shared" si="0"/>
        <v>40.660620000000002</v>
      </c>
      <c r="H19" s="2092"/>
    </row>
    <row r="20" spans="1:19" x14ac:dyDescent="0.2">
      <c r="A20" s="17"/>
      <c r="B20" s="2073"/>
      <c r="C20" s="1785" t="s">
        <v>532</v>
      </c>
      <c r="D20" s="1786" t="str">
        <f t="shared" si="1"/>
        <v xml:space="preserve">TBX, Держат. задн. ст, 81 мм, сер, лев. </v>
      </c>
      <c r="E20" s="1787">
        <v>1</v>
      </c>
      <c r="F20" s="1788">
        <f t="shared" si="2"/>
        <v>46.353106799999999</v>
      </c>
      <c r="G20" s="1789">
        <f t="shared" si="0"/>
        <v>46.353106799999999</v>
      </c>
      <c r="H20" s="2092"/>
    </row>
    <row r="21" spans="1:19" ht="13.5" thickBot="1" x14ac:dyDescent="0.25">
      <c r="A21" s="17"/>
      <c r="B21" s="2074"/>
      <c r="C21" s="1791" t="s">
        <v>534</v>
      </c>
      <c r="D21" s="1537" t="str">
        <f t="shared" si="1"/>
        <v xml:space="preserve">TBX, Держат. задн. ст, 81 мм, сер, пр.  </v>
      </c>
      <c r="E21" s="1473">
        <v>1</v>
      </c>
      <c r="F21" s="1792">
        <f t="shared" si="2"/>
        <v>46.353106799999999</v>
      </c>
      <c r="G21" s="1689">
        <f t="shared" si="0"/>
        <v>46.353106799999999</v>
      </c>
      <c r="H21" s="2093"/>
    </row>
    <row r="22" spans="1:19" x14ac:dyDescent="0.2">
      <c r="A22" s="17"/>
      <c r="B22" s="69"/>
      <c r="C22" s="75"/>
      <c r="D22" s="75"/>
      <c r="E22" s="169"/>
      <c r="F22" s="358"/>
      <c r="G22" s="358"/>
      <c r="H22" s="19"/>
    </row>
    <row r="23" spans="1:19" ht="13.5" thickBot="1" x14ac:dyDescent="0.25">
      <c r="A23" s="8"/>
      <c r="B23" s="28"/>
      <c r="C23" s="8"/>
      <c r="D23" s="8"/>
      <c r="E23" s="1767"/>
      <c r="F23" s="8"/>
      <c r="G23" s="8"/>
      <c r="H23" s="35"/>
    </row>
    <row r="24" spans="1:19" x14ac:dyDescent="0.2">
      <c r="A24" s="8"/>
      <c r="B24" s="2015" t="s">
        <v>2110</v>
      </c>
      <c r="C24" s="2016"/>
      <c r="D24" s="2016"/>
      <c r="E24" s="2016"/>
      <c r="F24" s="2016"/>
      <c r="G24" s="2016"/>
      <c r="H24" s="427"/>
    </row>
    <row r="25" spans="1:19" x14ac:dyDescent="0.2">
      <c r="A25" s="17"/>
      <c r="B25" s="2018"/>
      <c r="C25" s="2019"/>
      <c r="D25" s="2019"/>
      <c r="E25" s="2019"/>
      <c r="F25" s="2019"/>
      <c r="G25" s="2019"/>
      <c r="H25" s="426"/>
    </row>
    <row r="26" spans="1:19" ht="12.75" customHeight="1" x14ac:dyDescent="0.2">
      <c r="A26" s="17"/>
      <c r="B26" s="425" t="s">
        <v>5186</v>
      </c>
      <c r="C26" s="345"/>
      <c r="D26" s="2224" t="s">
        <v>1852</v>
      </c>
      <c r="E26" s="2224"/>
      <c r="F26" s="2224"/>
      <c r="G26" s="2224"/>
      <c r="H26" s="426"/>
    </row>
    <row r="27" spans="1:19" ht="15.75" thickBot="1" x14ac:dyDescent="0.25">
      <c r="A27" s="17"/>
      <c r="B27" s="1769" t="s">
        <v>1639</v>
      </c>
      <c r="C27" s="98">
        <v>500</v>
      </c>
      <c r="D27" s="1793" t="s">
        <v>1689</v>
      </c>
      <c r="E27" s="1793"/>
      <c r="F27" s="1793"/>
      <c r="G27" s="1793"/>
      <c r="H27" s="1765" t="str">
        <f>IF(СОДЕРЖАНИЕ!P4=1,"EUR","RUB")</f>
        <v>RUB</v>
      </c>
      <c r="K27" s="96" t="s">
        <v>1412</v>
      </c>
      <c r="L27" s="28"/>
      <c r="M27" s="28"/>
      <c r="N27" s="8"/>
      <c r="O27" s="8"/>
      <c r="P27" s="8"/>
      <c r="Q27" s="8"/>
    </row>
    <row r="28" spans="1:19" x14ac:dyDescent="0.2">
      <c r="A28" s="17"/>
      <c r="B28" s="2225"/>
      <c r="C28" s="135" t="s">
        <v>1301</v>
      </c>
      <c r="D28" s="1561" t="s">
        <v>784</v>
      </c>
      <c r="E28" s="1562" t="s">
        <v>2117</v>
      </c>
      <c r="F28" s="1561"/>
      <c r="G28" s="1784" t="s">
        <v>2116</v>
      </c>
      <c r="H28" s="411"/>
      <c r="K28" s="8"/>
      <c r="L28" s="1767" t="s">
        <v>1645</v>
      </c>
      <c r="M28" s="1767" t="s">
        <v>1644</v>
      </c>
      <c r="N28" s="8" t="s">
        <v>1641</v>
      </c>
      <c r="O28" s="8" t="s">
        <v>1642</v>
      </c>
      <c r="P28" s="1767" t="s">
        <v>1643</v>
      </c>
      <c r="Q28" s="8" t="s">
        <v>2178</v>
      </c>
      <c r="R28" s="8" t="s">
        <v>5189</v>
      </c>
      <c r="S28" s="8" t="s">
        <v>5190</v>
      </c>
    </row>
    <row r="29" spans="1:19" x14ac:dyDescent="0.2">
      <c r="A29" s="17"/>
      <c r="B29" s="2073"/>
      <c r="C29" s="1785" t="str">
        <f>VLOOKUP($C$27,tbxM,2,FALSE)</f>
        <v>3863588/</v>
      </c>
      <c r="D29" s="1786" t="str">
        <f>VLOOKUP(C29,всецены,2,FALSE)</f>
        <v xml:space="preserve">TBX, Царга 83/500 мм, сер, лев. NEW     </v>
      </c>
      <c r="E29" s="1787">
        <v>1</v>
      </c>
      <c r="F29" s="1794">
        <f t="shared" ref="F29:F40" si="3">VLOOKUP(C29,всецены,4,FALSE)</f>
        <v>417.17796120000003</v>
      </c>
      <c r="G29" s="1789">
        <f>F29*E29</f>
        <v>417.17796120000003</v>
      </c>
      <c r="H29" s="2109">
        <f>SUM(G29:G40)</f>
        <v>3236.5853520000014</v>
      </c>
      <c r="K29" s="8">
        <v>270</v>
      </c>
      <c r="L29" s="1811" t="s">
        <v>3526</v>
      </c>
      <c r="M29" s="1811" t="s">
        <v>3525</v>
      </c>
      <c r="N29" s="1761" t="s">
        <v>3934</v>
      </c>
      <c r="O29" s="1761" t="s">
        <v>3933</v>
      </c>
      <c r="P29" s="1812" t="s">
        <v>1054</v>
      </c>
      <c r="Q29" s="1786"/>
      <c r="R29" s="1761" t="s">
        <v>3919</v>
      </c>
      <c r="S29" s="1761" t="s">
        <v>3932</v>
      </c>
    </row>
    <row r="30" spans="1:19" x14ac:dyDescent="0.2">
      <c r="A30" s="17"/>
      <c r="B30" s="2073"/>
      <c r="C30" s="1785" t="str">
        <f>VLOOKUP($C$27,tbxM,3,FALSE)</f>
        <v>3852259/</v>
      </c>
      <c r="D30" s="1786" t="str">
        <f>IF($C$26=600,"-",IF($C$26=650,"-",VLOOKUP(C30,всецены,2,FALSE)))</f>
        <v xml:space="preserve">TBX, Царга 83/500 мм, сер, пр. NEW      </v>
      </c>
      <c r="E30" s="1787">
        <v>1</v>
      </c>
      <c r="F30" s="1794">
        <f t="shared" si="3"/>
        <v>417.17796120000003</v>
      </c>
      <c r="G30" s="1789">
        <f>IF(OR($C$26=600,$C$26=650),0,F30*E30)</f>
        <v>417.17796120000003</v>
      </c>
      <c r="H30" s="2109"/>
      <c r="K30" s="8">
        <v>300</v>
      </c>
      <c r="L30" s="1814" t="s">
        <v>3524</v>
      </c>
      <c r="M30" s="1814" t="s">
        <v>3523</v>
      </c>
      <c r="N30" s="1761" t="s">
        <v>3937</v>
      </c>
      <c r="O30" s="1761" t="s">
        <v>3936</v>
      </c>
      <c r="P30" s="1786" t="s">
        <v>1143</v>
      </c>
      <c r="Q30" s="1786"/>
      <c r="R30" s="1761" t="s">
        <v>3919</v>
      </c>
      <c r="S30" s="1761" t="s">
        <v>3932</v>
      </c>
    </row>
    <row r="31" spans="1:19" x14ac:dyDescent="0.2">
      <c r="A31" s="17"/>
      <c r="B31" s="2073"/>
      <c r="C31" s="1795" t="str">
        <f>VLOOKUP(C27,$K$29:$O$34,4,FALSE)</f>
        <v>7940374/</v>
      </c>
      <c r="D31" s="1786" t="str">
        <f>VLOOKUP(C31,всецены,2,FALSE)</f>
        <v>TBX, Tip-on BM, Напр, 30 кг, 500 мм, лев</v>
      </c>
      <c r="E31" s="1787">
        <v>1</v>
      </c>
      <c r="F31" s="1794">
        <f t="shared" si="3"/>
        <v>600.15075120000006</v>
      </c>
      <c r="G31" s="1789">
        <f>F31*E31</f>
        <v>600.15075120000006</v>
      </c>
      <c r="H31" s="2109"/>
      <c r="K31" s="8">
        <v>350</v>
      </c>
      <c r="L31" s="1811" t="s">
        <v>3528</v>
      </c>
      <c r="M31" s="1811" t="s">
        <v>3527</v>
      </c>
      <c r="N31" s="1761" t="s">
        <v>3940</v>
      </c>
      <c r="O31" s="1761" t="s">
        <v>3939</v>
      </c>
      <c r="P31" s="1812" t="s">
        <v>540</v>
      </c>
      <c r="Q31" s="1786"/>
      <c r="R31" s="1761" t="s">
        <v>3918</v>
      </c>
      <c r="S31" s="1761" t="s">
        <v>3954</v>
      </c>
    </row>
    <row r="32" spans="1:19" x14ac:dyDescent="0.2">
      <c r="A32" s="17"/>
      <c r="B32" s="2073"/>
      <c r="C32" s="1795" t="str">
        <f>VLOOKUP(C27,$K$29:$O$34,5,FALSE)</f>
        <v>7936668/</v>
      </c>
      <c r="D32" s="1786" t="str">
        <f>IF($C$26=600,"-",IF($C$26=650,"-",VLOOKUP(C32,всецены,2,FALSE)))</f>
        <v xml:space="preserve">TBX, Tip-on BM, Напр, 30 кг, 500 мм, пр </v>
      </c>
      <c r="E32" s="1787">
        <v>1</v>
      </c>
      <c r="F32" s="1794">
        <f t="shared" si="3"/>
        <v>600.15075120000006</v>
      </c>
      <c r="G32" s="1789">
        <f>IF(OR($C$26=600,$C$26=650),0,F32*E32)</f>
        <v>600.15075120000006</v>
      </c>
      <c r="H32" s="2109"/>
      <c r="K32" s="8">
        <v>400</v>
      </c>
      <c r="L32" s="1811" t="s">
        <v>3530</v>
      </c>
      <c r="M32" s="1811" t="s">
        <v>3529</v>
      </c>
      <c r="N32" s="1761" t="s">
        <v>3943</v>
      </c>
      <c r="O32" s="1761" t="s">
        <v>3942</v>
      </c>
      <c r="P32" s="1812" t="s">
        <v>539</v>
      </c>
      <c r="Q32" s="1786" t="s">
        <v>939</v>
      </c>
      <c r="R32" s="1761" t="s">
        <v>3918</v>
      </c>
      <c r="S32" s="1761" t="s">
        <v>3954</v>
      </c>
    </row>
    <row r="33" spans="1:19" x14ac:dyDescent="0.2">
      <c r="A33" s="17"/>
      <c r="B33" s="2073"/>
      <c r="C33" s="1790" t="s">
        <v>4511</v>
      </c>
      <c r="D33" s="1786" t="str">
        <f t="shared" ref="D33:D40" si="4">VLOOKUP(C33,всецены,2,FALSE)</f>
        <v xml:space="preserve">TBX, Крепл фасада INSERTA, NEW ZSF.39A2 </v>
      </c>
      <c r="E33" s="1787">
        <v>2</v>
      </c>
      <c r="F33" s="1794">
        <f t="shared" si="3"/>
        <v>43.913469600000006</v>
      </c>
      <c r="G33" s="1789">
        <f t="shared" ref="G33:G40" si="5">F33*E33</f>
        <v>87.826939200000012</v>
      </c>
      <c r="H33" s="2109"/>
      <c r="K33" s="8">
        <v>450</v>
      </c>
      <c r="L33" s="1811" t="s">
        <v>3532</v>
      </c>
      <c r="M33" s="1811" t="s">
        <v>3531</v>
      </c>
      <c r="N33" s="1761" t="s">
        <v>3946</v>
      </c>
      <c r="O33" s="1761" t="s">
        <v>3945</v>
      </c>
      <c r="P33" s="1812" t="s">
        <v>538</v>
      </c>
      <c r="Q33" s="1812" t="s">
        <v>1627</v>
      </c>
      <c r="R33" s="1761" t="s">
        <v>3918</v>
      </c>
      <c r="S33" s="1761" t="s">
        <v>3954</v>
      </c>
    </row>
    <row r="34" spans="1:19" x14ac:dyDescent="0.2">
      <c r="A34" s="17"/>
      <c r="B34" s="2073"/>
      <c r="C34" s="1795" t="s">
        <v>299</v>
      </c>
      <c r="D34" s="1786" t="str">
        <f t="shared" si="4"/>
        <v>TBX, Загл. с лого, сер, симм ZAA.330C.BL</v>
      </c>
      <c r="E34" s="1787">
        <v>2</v>
      </c>
      <c r="F34" s="1794">
        <f t="shared" si="3"/>
        <v>8.9453364000000004</v>
      </c>
      <c r="G34" s="1789">
        <f t="shared" si="5"/>
        <v>17.890672800000001</v>
      </c>
      <c r="H34" s="2109"/>
      <c r="K34" s="8">
        <v>500</v>
      </c>
      <c r="L34" s="1811" t="s">
        <v>3534</v>
      </c>
      <c r="M34" s="1811" t="s">
        <v>3533</v>
      </c>
      <c r="N34" s="1761" t="s">
        <v>3949</v>
      </c>
      <c r="O34" s="1761" t="s">
        <v>3948</v>
      </c>
      <c r="P34" s="1812" t="s">
        <v>537</v>
      </c>
      <c r="Q34" s="1812" t="s">
        <v>1626</v>
      </c>
      <c r="R34" s="1761" t="s">
        <v>3918</v>
      </c>
      <c r="S34" s="1761" t="s">
        <v>3954</v>
      </c>
    </row>
    <row r="35" spans="1:19" s="1761" customFormat="1" x14ac:dyDescent="0.2">
      <c r="A35" s="17"/>
      <c r="B35" s="2073"/>
      <c r="C35" s="1795" t="str">
        <f>VLOOKUP(C27,$K$29:$S$34,8,FALSE)</f>
        <v>1829780/</v>
      </c>
      <c r="D35" s="1786" t="str">
        <f t="shared" si="4"/>
        <v xml:space="preserve">TBX, Tip-on BM, L3,350-600, пр T60B3533 </v>
      </c>
      <c r="E35" s="1787">
        <v>1</v>
      </c>
      <c r="F35" s="1794">
        <f t="shared" si="3"/>
        <v>473.28961680000003</v>
      </c>
      <c r="G35" s="1789">
        <f t="shared" si="5"/>
        <v>473.28961680000003</v>
      </c>
      <c r="H35" s="2109"/>
      <c r="K35" s="8"/>
      <c r="L35" s="1814"/>
      <c r="M35" s="1814"/>
      <c r="N35" s="1814"/>
      <c r="O35" s="1814"/>
      <c r="P35" s="1786"/>
      <c r="Q35" s="1786"/>
    </row>
    <row r="36" spans="1:19" s="1761" customFormat="1" x14ac:dyDescent="0.2">
      <c r="A36" s="17"/>
      <c r="B36" s="2073"/>
      <c r="C36" s="1795" t="str">
        <f>VLOOKUP(C27,$K$29:$S$34,9,FALSE)</f>
        <v>8903805/</v>
      </c>
      <c r="D36" s="1786" t="str">
        <f t="shared" si="4"/>
        <v>TBX, Tip-on BM, L3,350-600, лев T60B3533</v>
      </c>
      <c r="E36" s="1787">
        <v>1</v>
      </c>
      <c r="F36" s="1794">
        <f t="shared" si="3"/>
        <v>473.28961680000003</v>
      </c>
      <c r="G36" s="1789">
        <f t="shared" si="5"/>
        <v>473.28961680000003</v>
      </c>
      <c r="H36" s="2109"/>
      <c r="K36" s="8"/>
      <c r="L36" s="1786"/>
      <c r="M36" s="1786"/>
      <c r="N36" s="1814"/>
      <c r="O36" s="1786"/>
      <c r="P36" s="1786"/>
      <c r="Q36" s="1786"/>
    </row>
    <row r="37" spans="1:19" s="1761" customFormat="1" x14ac:dyDescent="0.2">
      <c r="A37" s="17"/>
      <c r="B37" s="2073"/>
      <c r="C37" s="1790" t="s">
        <v>3930</v>
      </c>
      <c r="D37" s="1786" t="str">
        <f t="shared" si="4"/>
        <v xml:space="preserve">TBX, Tip-on BM, триггер, лев. T60B3009  </v>
      </c>
      <c r="E37" s="1787">
        <v>1</v>
      </c>
      <c r="F37" s="1794">
        <f t="shared" si="3"/>
        <v>40.660620000000002</v>
      </c>
      <c r="G37" s="1789">
        <f t="shared" si="5"/>
        <v>40.660620000000002</v>
      </c>
      <c r="H37" s="2109"/>
      <c r="K37" s="8"/>
      <c r="L37" s="1786"/>
      <c r="M37" s="1786"/>
      <c r="N37" s="1786"/>
      <c r="O37" s="1786"/>
      <c r="P37" s="1786"/>
      <c r="Q37" s="1786"/>
    </row>
    <row r="38" spans="1:19" s="1761" customFormat="1" x14ac:dyDescent="0.2">
      <c r="A38" s="17"/>
      <c r="B38" s="2073"/>
      <c r="C38" s="1790" t="s">
        <v>3931</v>
      </c>
      <c r="D38" s="1786" t="str">
        <f t="shared" si="4"/>
        <v xml:space="preserve">TBX, Tip-on BM, триггер, прав. T60B3009 </v>
      </c>
      <c r="E38" s="1787">
        <v>1</v>
      </c>
      <c r="F38" s="1794">
        <f t="shared" si="3"/>
        <v>40.660620000000002</v>
      </c>
      <c r="G38" s="1789">
        <f t="shared" si="5"/>
        <v>40.660620000000002</v>
      </c>
      <c r="H38" s="2109"/>
      <c r="K38" s="8"/>
      <c r="L38" s="1811"/>
      <c r="M38" s="1811"/>
      <c r="N38" s="1811"/>
      <c r="O38" s="1811"/>
      <c r="P38" s="1812"/>
      <c r="Q38" s="1812"/>
    </row>
    <row r="39" spans="1:19" x14ac:dyDescent="0.2">
      <c r="A39" s="17"/>
      <c r="B39" s="2073"/>
      <c r="C39" s="1795" t="s">
        <v>1628</v>
      </c>
      <c r="D39" s="1786" t="str">
        <f t="shared" si="4"/>
        <v xml:space="preserve">TBX, Держат. задн. ст, 96 мм, сер, пр.  </v>
      </c>
      <c r="E39" s="1787">
        <v>1</v>
      </c>
      <c r="F39" s="1794">
        <f t="shared" si="3"/>
        <v>34.154920799999999</v>
      </c>
      <c r="G39" s="1789">
        <f t="shared" si="5"/>
        <v>34.154920799999999</v>
      </c>
      <c r="H39" s="2109"/>
      <c r="S39" s="1761"/>
    </row>
    <row r="40" spans="1:19" ht="13.5" thickBot="1" x14ac:dyDescent="0.25">
      <c r="A40" s="17"/>
      <c r="B40" s="2074"/>
      <c r="C40" s="1796" t="s">
        <v>1630</v>
      </c>
      <c r="D40" s="1537" t="str">
        <f t="shared" si="4"/>
        <v xml:space="preserve">TBX, Держат. задн. ст, 96 мм, сер, лев. </v>
      </c>
      <c r="E40" s="1473">
        <v>1</v>
      </c>
      <c r="F40" s="1797">
        <f t="shared" si="3"/>
        <v>34.154920799999999</v>
      </c>
      <c r="G40" s="1689">
        <f t="shared" si="5"/>
        <v>34.154920799999999</v>
      </c>
      <c r="H40" s="2227"/>
      <c r="S40" s="1761"/>
    </row>
    <row r="41" spans="1:19" ht="13.5" thickBot="1" x14ac:dyDescent="0.25"/>
    <row r="42" spans="1:19" x14ac:dyDescent="0.2">
      <c r="A42" s="8"/>
      <c r="B42" s="2015" t="s">
        <v>2111</v>
      </c>
      <c r="C42" s="2016"/>
      <c r="D42" s="2016"/>
      <c r="E42" s="2016"/>
      <c r="F42" s="2016"/>
      <c r="G42" s="2016"/>
      <c r="H42" s="427"/>
    </row>
    <row r="43" spans="1:19" x14ac:dyDescent="0.2">
      <c r="A43" s="17"/>
      <c r="B43" s="2018"/>
      <c r="C43" s="2019"/>
      <c r="D43" s="2019"/>
      <c r="E43" s="2019"/>
      <c r="F43" s="2019"/>
      <c r="G43" s="2019"/>
      <c r="H43" s="426"/>
    </row>
    <row r="44" spans="1:19" x14ac:dyDescent="0.2">
      <c r="A44" s="17"/>
      <c r="B44" s="425" t="s">
        <v>5186</v>
      </c>
      <c r="C44" s="132"/>
      <c r="D44" s="2080" t="s">
        <v>1093</v>
      </c>
      <c r="E44" s="2080"/>
      <c r="F44" s="2080"/>
      <c r="G44" s="2080"/>
      <c r="H44" s="426"/>
    </row>
    <row r="45" spans="1:19" ht="15.75" thickBot="1" x14ac:dyDescent="0.25">
      <c r="A45" s="17"/>
      <c r="B45" s="1769" t="s">
        <v>1639</v>
      </c>
      <c r="C45" s="98">
        <v>500</v>
      </c>
      <c r="D45" s="1793" t="s">
        <v>1689</v>
      </c>
      <c r="E45" s="1793"/>
      <c r="F45" s="1793"/>
      <c r="G45" s="1793"/>
      <c r="H45" s="1765" t="str">
        <f>IF(СОДЕРЖАНИЕ!P4=1,"EUR","RUB")</f>
        <v>RUB</v>
      </c>
    </row>
    <row r="46" spans="1:19" x14ac:dyDescent="0.2">
      <c r="A46" s="17"/>
      <c r="B46" s="2225"/>
      <c r="C46" s="135" t="s">
        <v>1301</v>
      </c>
      <c r="D46" s="1561" t="s">
        <v>784</v>
      </c>
      <c r="E46" s="1562" t="s">
        <v>2117</v>
      </c>
      <c r="F46" s="1561"/>
      <c r="G46" s="1784" t="s">
        <v>2116</v>
      </c>
      <c r="H46" s="411"/>
    </row>
    <row r="47" spans="1:19" x14ac:dyDescent="0.2">
      <c r="A47" s="17"/>
      <c r="B47" s="2073"/>
      <c r="C47" s="1785" t="str">
        <f>VLOOKUP($C$45,tbxM,2,FALSE)</f>
        <v>3863588/</v>
      </c>
      <c r="D47" s="1786" t="str">
        <f>VLOOKUP(C47,всецены,2,FALSE)</f>
        <v xml:space="preserve">TBX, Царга 83/500 мм, сер, лев. NEW     </v>
      </c>
      <c r="E47" s="1787">
        <v>1</v>
      </c>
      <c r="F47" s="1788">
        <f t="shared" ref="F47:F59" si="6">VLOOKUP(C47,всецены,4,FALSE)</f>
        <v>417.17796120000003</v>
      </c>
      <c r="G47" s="1798">
        <f>F47*E47</f>
        <v>417.17796120000003</v>
      </c>
      <c r="H47" s="2226">
        <f>SUM(G47:G59)</f>
        <v>3488.6811960000014</v>
      </c>
    </row>
    <row r="48" spans="1:19" x14ac:dyDescent="0.2">
      <c r="A48" s="17"/>
      <c r="B48" s="2073"/>
      <c r="C48" s="1785" t="str">
        <f>VLOOKUP($C$45,tbxM,3,FALSE)</f>
        <v>3852259/</v>
      </c>
      <c r="D48" s="1786" t="str">
        <f>IF(OR($C$44=600,$C$44=650),"-",VLOOKUP(C48,всецены,2,FALSE))</f>
        <v xml:space="preserve">TBX, Царга 83/500 мм, сер, пр. NEW      </v>
      </c>
      <c r="E48" s="1787">
        <v>1</v>
      </c>
      <c r="F48" s="1788">
        <f t="shared" si="6"/>
        <v>417.17796120000003</v>
      </c>
      <c r="G48" s="1798">
        <f>IF(OR(C45=600,C45=650),0,F48*E48)</f>
        <v>417.17796120000003</v>
      </c>
      <c r="H48" s="2092"/>
    </row>
    <row r="49" spans="1:8" x14ac:dyDescent="0.2">
      <c r="A49" s="17"/>
      <c r="B49" s="2073"/>
      <c r="C49" s="1795" t="str">
        <f>VLOOKUP(C45,$K$29:$O$34,4,FALSE)</f>
        <v>7940374/</v>
      </c>
      <c r="D49" s="1786" t="str">
        <f>VLOOKUP(C49,всецены,2,FALSE)</f>
        <v>TBX, Tip-on BM, Напр, 30 кг, 500 мм, лев</v>
      </c>
      <c r="E49" s="1787">
        <v>1</v>
      </c>
      <c r="F49" s="1788">
        <f t="shared" si="6"/>
        <v>600.15075120000006</v>
      </c>
      <c r="G49" s="1798">
        <f>F49*E49</f>
        <v>600.15075120000006</v>
      </c>
      <c r="H49" s="2092"/>
    </row>
    <row r="50" spans="1:8" x14ac:dyDescent="0.2">
      <c r="A50" s="17"/>
      <c r="B50" s="2073"/>
      <c r="C50" s="1795" t="str">
        <f>VLOOKUP(C45,$K$29:$O$34,5,FALSE)</f>
        <v>7936668/</v>
      </c>
      <c r="D50" s="1786" t="str">
        <f>IF(OR($C$44=600,$C$44=650),"-",VLOOKUP(C50,всецены,2,FALSE))</f>
        <v xml:space="preserve">TBX, Tip-on BM, Напр, 30 кг, 500 мм, пр </v>
      </c>
      <c r="E50" s="1787">
        <v>1</v>
      </c>
      <c r="F50" s="1788">
        <f t="shared" si="6"/>
        <v>600.15075120000006</v>
      </c>
      <c r="G50" s="1798">
        <f>IF(OR(C45=600,C45=650),0,F50*E50)</f>
        <v>600.15075120000006</v>
      </c>
      <c r="H50" s="2092"/>
    </row>
    <row r="51" spans="1:8" x14ac:dyDescent="0.2">
      <c r="A51" s="17"/>
      <c r="B51" s="2073"/>
      <c r="C51" s="1785" t="str">
        <f>VLOOKUP($C$45,tbxM,6,FALSE)</f>
        <v>1862960/</v>
      </c>
      <c r="D51" s="1786" t="str">
        <f t="shared" ref="D51:D59" si="7">VLOOKUP(C51,всецены,2,FALSE)</f>
        <v xml:space="preserve">TBX, Релинг продольн, 500 мм, сер.      </v>
      </c>
      <c r="E51" s="1787">
        <v>2</v>
      </c>
      <c r="F51" s="1788">
        <f t="shared" si="6"/>
        <v>103.27797480000001</v>
      </c>
      <c r="G51" s="1798">
        <f t="shared" ref="G51:G59" si="8">F51*E51</f>
        <v>206.55594960000002</v>
      </c>
      <c r="H51" s="2092"/>
    </row>
    <row r="52" spans="1:8" s="1761" customFormat="1" x14ac:dyDescent="0.2">
      <c r="A52" s="17"/>
      <c r="B52" s="2073"/>
      <c r="C52" s="1795" t="str">
        <f>VLOOKUP(C45,$K$29:$S$34,8,FALSE)</f>
        <v>1829780/</v>
      </c>
      <c r="D52" s="1786" t="str">
        <f t="shared" si="7"/>
        <v xml:space="preserve">TBX, Tip-on BM, L3,350-600, пр T60B3533 </v>
      </c>
      <c r="E52" s="1787">
        <v>1</v>
      </c>
      <c r="F52" s="1788">
        <f t="shared" si="6"/>
        <v>473.28961680000003</v>
      </c>
      <c r="G52" s="1798">
        <f t="shared" si="8"/>
        <v>473.28961680000003</v>
      </c>
      <c r="H52" s="2092"/>
    </row>
    <row r="53" spans="1:8" s="1761" customFormat="1" x14ac:dyDescent="0.2">
      <c r="A53" s="17"/>
      <c r="B53" s="2073"/>
      <c r="C53" s="1795" t="str">
        <f>VLOOKUP(C45,$K$29:$S$34,9,FALSE)</f>
        <v>8903805/</v>
      </c>
      <c r="D53" s="1786" t="str">
        <f t="shared" si="7"/>
        <v>TBX, Tip-on BM, L3,350-600, лев T60B3533</v>
      </c>
      <c r="E53" s="1787">
        <v>1</v>
      </c>
      <c r="F53" s="1788">
        <f t="shared" si="6"/>
        <v>473.28961680000003</v>
      </c>
      <c r="G53" s="1798">
        <f t="shared" si="8"/>
        <v>473.28961680000003</v>
      </c>
      <c r="H53" s="2092"/>
    </row>
    <row r="54" spans="1:8" s="1761" customFormat="1" x14ac:dyDescent="0.2">
      <c r="A54" s="17"/>
      <c r="B54" s="2073"/>
      <c r="C54" s="1790" t="s">
        <v>3930</v>
      </c>
      <c r="D54" s="1786" t="str">
        <f t="shared" si="7"/>
        <v xml:space="preserve">TBX, Tip-on BM, триггер, лев. T60B3009  </v>
      </c>
      <c r="E54" s="1787">
        <v>1</v>
      </c>
      <c r="F54" s="1788">
        <f t="shared" si="6"/>
        <v>40.660620000000002</v>
      </c>
      <c r="G54" s="1798">
        <f t="shared" si="8"/>
        <v>40.660620000000002</v>
      </c>
      <c r="H54" s="2092"/>
    </row>
    <row r="55" spans="1:8" s="1761" customFormat="1" x14ac:dyDescent="0.2">
      <c r="A55" s="17"/>
      <c r="B55" s="2073"/>
      <c r="C55" s="1790" t="s">
        <v>3931</v>
      </c>
      <c r="D55" s="1786" t="str">
        <f t="shared" si="7"/>
        <v xml:space="preserve">TBX, Tip-on BM, триггер, прав. T60B3009 </v>
      </c>
      <c r="E55" s="1787">
        <v>1</v>
      </c>
      <c r="F55" s="1788">
        <f t="shared" si="6"/>
        <v>40.660620000000002</v>
      </c>
      <c r="G55" s="1798">
        <f t="shared" si="8"/>
        <v>40.660620000000002</v>
      </c>
      <c r="H55" s="2092"/>
    </row>
    <row r="56" spans="1:8" x14ac:dyDescent="0.2">
      <c r="A56" s="17"/>
      <c r="B56" s="2073"/>
      <c r="C56" s="1799" t="s">
        <v>1633</v>
      </c>
      <c r="D56" s="1786" t="str">
        <f t="shared" si="7"/>
        <v>TBX, Держат. задн. ст, 160 мм, сер, лев.</v>
      </c>
      <c r="E56" s="1787">
        <v>1</v>
      </c>
      <c r="F56" s="1788">
        <f t="shared" si="6"/>
        <v>56.924868000000004</v>
      </c>
      <c r="G56" s="1798">
        <f t="shared" si="8"/>
        <v>56.924868000000004</v>
      </c>
      <c r="H56" s="2092"/>
    </row>
    <row r="57" spans="1:8" x14ac:dyDescent="0.2">
      <c r="A57" s="17"/>
      <c r="B57" s="2073"/>
      <c r="C57" s="1785" t="s">
        <v>1632</v>
      </c>
      <c r="D57" s="1786" t="str">
        <f t="shared" si="7"/>
        <v xml:space="preserve">TBX, Держат. задн. ст, 160 мм, сер, пр. </v>
      </c>
      <c r="E57" s="1787">
        <v>1</v>
      </c>
      <c r="F57" s="1788">
        <f t="shared" si="6"/>
        <v>56.924868000000004</v>
      </c>
      <c r="G57" s="1798">
        <f t="shared" si="8"/>
        <v>56.924868000000004</v>
      </c>
      <c r="H57" s="2092"/>
    </row>
    <row r="58" spans="1:8" x14ac:dyDescent="0.2">
      <c r="A58" s="17"/>
      <c r="B58" s="2073"/>
      <c r="C58" s="1790" t="s">
        <v>4511</v>
      </c>
      <c r="D58" s="1786" t="str">
        <f t="shared" si="7"/>
        <v xml:space="preserve">TBX, Крепл фасада INSERTA, NEW ZSF.39A2 </v>
      </c>
      <c r="E58" s="1787">
        <v>2</v>
      </c>
      <c r="F58" s="1788">
        <f t="shared" si="6"/>
        <v>43.913469600000006</v>
      </c>
      <c r="G58" s="1798">
        <f t="shared" si="8"/>
        <v>87.826939200000012</v>
      </c>
      <c r="H58" s="2092"/>
    </row>
    <row r="59" spans="1:8" ht="13.5" thickBot="1" x14ac:dyDescent="0.25">
      <c r="A59" s="17"/>
      <c r="B59" s="2074"/>
      <c r="C59" s="1791" t="s">
        <v>299</v>
      </c>
      <c r="D59" s="1537" t="str">
        <f t="shared" si="7"/>
        <v>TBX, Загл. с лого, сер, симм ZAA.330C.BL</v>
      </c>
      <c r="E59" s="1473">
        <v>2</v>
      </c>
      <c r="F59" s="1792">
        <f t="shared" si="6"/>
        <v>8.9453364000000004</v>
      </c>
      <c r="G59" s="1800">
        <f t="shared" si="8"/>
        <v>17.890672800000001</v>
      </c>
      <c r="H59" s="2093"/>
    </row>
    <row r="60" spans="1:8" x14ac:dyDescent="0.2">
      <c r="A60" s="17"/>
      <c r="B60" s="69"/>
      <c r="C60" s="75"/>
      <c r="D60" s="75"/>
      <c r="E60" s="169"/>
      <c r="F60" s="358"/>
      <c r="G60" s="438"/>
      <c r="H60" s="19"/>
    </row>
    <row r="61" spans="1:8" ht="13.5" thickBot="1" x14ac:dyDescent="0.25">
      <c r="A61" s="8"/>
      <c r="B61" s="8"/>
      <c r="C61" s="8"/>
      <c r="D61" s="8"/>
      <c r="E61" s="1767"/>
      <c r="F61" s="8"/>
      <c r="G61" s="8"/>
      <c r="H61" s="35"/>
    </row>
    <row r="62" spans="1:8" ht="20.25" x14ac:dyDescent="0.2">
      <c r="A62" s="8"/>
      <c r="B62" s="2015" t="s">
        <v>2112</v>
      </c>
      <c r="C62" s="2016"/>
      <c r="D62" s="2016"/>
      <c r="E62" s="2016"/>
      <c r="F62" s="2016"/>
      <c r="G62" s="2016"/>
      <c r="H62" s="427"/>
    </row>
    <row r="63" spans="1:8" x14ac:dyDescent="0.2">
      <c r="A63" s="17"/>
      <c r="B63" s="425" t="s">
        <v>5186</v>
      </c>
      <c r="C63" s="132"/>
      <c r="D63" s="2080" t="s">
        <v>1332</v>
      </c>
      <c r="E63" s="2080"/>
      <c r="F63" s="2080"/>
      <c r="G63" s="2080"/>
      <c r="H63" s="426"/>
    </row>
    <row r="64" spans="1:8" ht="15.75" thickBot="1" x14ac:dyDescent="0.25">
      <c r="A64" s="17"/>
      <c r="B64" s="1769" t="s">
        <v>1639</v>
      </c>
      <c r="C64" s="98">
        <v>350</v>
      </c>
      <c r="D64" s="1793" t="s">
        <v>7159</v>
      </c>
      <c r="E64" s="784">
        <v>1</v>
      </c>
      <c r="F64" s="1793" t="str">
        <f>IF(E64=1,"- ый",IF(E64=2,"- ой"," "))</f>
        <v>- ый</v>
      </c>
      <c r="G64" s="1793"/>
      <c r="H64" s="1765" t="str">
        <f>IF(СОДЕРЖАНИЕ!P4=1,"EUR","RUB")</f>
        <v>RUB</v>
      </c>
    </row>
    <row r="65" spans="1:8" x14ac:dyDescent="0.2">
      <c r="A65" s="17"/>
      <c r="B65" s="2225"/>
      <c r="C65" s="135" t="s">
        <v>1301</v>
      </c>
      <c r="D65" s="1561" t="s">
        <v>784</v>
      </c>
      <c r="E65" s="1801" t="s">
        <v>2117</v>
      </c>
      <c r="F65" s="1561"/>
      <c r="G65" s="1784" t="s">
        <v>2116</v>
      </c>
      <c r="H65" s="411"/>
    </row>
    <row r="66" spans="1:8" x14ac:dyDescent="0.2">
      <c r="A66" s="17"/>
      <c r="B66" s="2073"/>
      <c r="C66" s="1785" t="str">
        <f>VLOOKUP($C$64,tbxM,2,FALSE)</f>
        <v>3179858/</v>
      </c>
      <c r="D66" s="1786" t="str">
        <f t="shared" ref="D66:D78" si="9">VLOOKUP(C66,всецены,2,FALSE)</f>
        <v xml:space="preserve">TBX, Царга 83/350 мм, сер, лев. NEW     </v>
      </c>
      <c r="E66" s="1787">
        <v>1</v>
      </c>
      <c r="F66" s="1802">
        <f t="shared" ref="F66:F79" si="10">VLOOKUP(C66,всецены,4,FALSE)</f>
        <v>531.02769720000003</v>
      </c>
      <c r="G66" s="1789">
        <f t="shared" ref="G66:G78" si="11">F66*E66</f>
        <v>531.02769720000003</v>
      </c>
      <c r="H66" s="2228">
        <f>SUM(G66:G78)</f>
        <v>3823.7247048000013</v>
      </c>
    </row>
    <row r="67" spans="1:8" x14ac:dyDescent="0.2">
      <c r="A67" s="17"/>
      <c r="B67" s="2073"/>
      <c r="C67" s="1785" t="str">
        <f>VLOOKUP($C$64,tbxM,3,FALSE)</f>
        <v>3145013/</v>
      </c>
      <c r="D67" s="1786" t="str">
        <f>IF(OR($C$63=600,$C$63=650),"-",VLOOKUP(C67,всецены,2,FALSE))</f>
        <v xml:space="preserve">TBX, Царга 83/350 мм, сер, пр. NEW      </v>
      </c>
      <c r="E67" s="1787">
        <v>1</v>
      </c>
      <c r="F67" s="1802">
        <f t="shared" si="10"/>
        <v>531.02769720000003</v>
      </c>
      <c r="G67" s="1789">
        <f>IF(OR(C64=600,C64=650),0,F67*E67)</f>
        <v>531.02769720000003</v>
      </c>
      <c r="H67" s="2097"/>
    </row>
    <row r="68" spans="1:8" x14ac:dyDescent="0.2">
      <c r="A68" s="17"/>
      <c r="B68" s="2073"/>
      <c r="C68" s="1795" t="str">
        <f>VLOOKUP(C64,$K$29:$O$34,4,FALSE)</f>
        <v>7904544/</v>
      </c>
      <c r="D68" s="1786" t="str">
        <f t="shared" si="9"/>
        <v>TBX, Tip-on BM, Напр, 30 кг, 350 мм, лев</v>
      </c>
      <c r="E68" s="1787">
        <v>1</v>
      </c>
      <c r="F68" s="1802">
        <f t="shared" si="10"/>
        <v>586.32614039999999</v>
      </c>
      <c r="G68" s="1789">
        <f t="shared" si="11"/>
        <v>586.32614039999999</v>
      </c>
      <c r="H68" s="2097"/>
    </row>
    <row r="69" spans="1:8" x14ac:dyDescent="0.2">
      <c r="A69" s="17"/>
      <c r="B69" s="2073"/>
      <c r="C69" s="1795" t="str">
        <f>VLOOKUP(C64,$K$29:$O$34,5,FALSE)</f>
        <v>7902446/</v>
      </c>
      <c r="D69" s="1786" t="str">
        <f>IF(OR($C$63=600,$C$63=650),"-",VLOOKUP(C69,всецены,2,FALSE))</f>
        <v xml:space="preserve">TBX, Tip-on BM, Напр, 30 кг, 350 мм, пр </v>
      </c>
      <c r="E69" s="1787">
        <v>1</v>
      </c>
      <c r="F69" s="1802">
        <f t="shared" si="10"/>
        <v>586.32614039999999</v>
      </c>
      <c r="G69" s="1789">
        <f>IF(OR(C64=600,C64=650),0,F69*E69)</f>
        <v>586.32614039999999</v>
      </c>
      <c r="H69" s="2097"/>
    </row>
    <row r="70" spans="1:8" x14ac:dyDescent="0.2">
      <c r="A70" s="17"/>
      <c r="B70" s="2073"/>
      <c r="C70" s="1785" t="str">
        <f>VLOOKUP($C$64,tbxM,6,FALSE)</f>
        <v>2002700/</v>
      </c>
      <c r="D70" s="1786" t="str">
        <f t="shared" si="9"/>
        <v xml:space="preserve">TBX, Релинг продольн, 350 мм, сер.      </v>
      </c>
      <c r="E70" s="1787">
        <f>E64*2</f>
        <v>2</v>
      </c>
      <c r="F70" s="1802">
        <f t="shared" si="10"/>
        <v>157.76320559999999</v>
      </c>
      <c r="G70" s="1789">
        <f t="shared" si="11"/>
        <v>315.52641119999998</v>
      </c>
      <c r="H70" s="2097"/>
    </row>
    <row r="71" spans="1:8" s="1761" customFormat="1" x14ac:dyDescent="0.2">
      <c r="A71" s="17"/>
      <c r="B71" s="2073"/>
      <c r="C71" s="1795" t="str">
        <f>VLOOKUP(C64,$K$29:$S$34,8,FALSE)</f>
        <v>1829780/</v>
      </c>
      <c r="D71" s="1786" t="str">
        <f t="shared" si="9"/>
        <v xml:space="preserve">TBX, Tip-on BM, L3,350-600, пр T60B3533 </v>
      </c>
      <c r="E71" s="1787">
        <v>1</v>
      </c>
      <c r="F71" s="1788">
        <f t="shared" si="10"/>
        <v>473.28961680000003</v>
      </c>
      <c r="G71" s="1798">
        <f t="shared" si="11"/>
        <v>473.28961680000003</v>
      </c>
      <c r="H71" s="2097"/>
    </row>
    <row r="72" spans="1:8" s="1761" customFormat="1" x14ac:dyDescent="0.2">
      <c r="A72" s="17"/>
      <c r="B72" s="2073"/>
      <c r="C72" s="1795" t="str">
        <f>VLOOKUP(C64,$K$29:$S$34,9,FALSE)</f>
        <v>8903805/</v>
      </c>
      <c r="D72" s="1786" t="str">
        <f t="shared" si="9"/>
        <v>TBX, Tip-on BM, L3,350-600, лев T60B3533</v>
      </c>
      <c r="E72" s="1787">
        <v>1</v>
      </c>
      <c r="F72" s="1788">
        <f t="shared" si="10"/>
        <v>473.28961680000003</v>
      </c>
      <c r="G72" s="1798">
        <f t="shared" si="11"/>
        <v>473.28961680000003</v>
      </c>
      <c r="H72" s="2097"/>
    </row>
    <row r="73" spans="1:8" s="1761" customFormat="1" x14ac:dyDescent="0.2">
      <c r="A73" s="17"/>
      <c r="B73" s="2073"/>
      <c r="C73" s="1790" t="s">
        <v>3930</v>
      </c>
      <c r="D73" s="1786" t="str">
        <f>IF(OR($C$63=600,$C$63=650),"-",VLOOKUP(C73,всецены,2,FALSE))</f>
        <v xml:space="preserve">TBX, Tip-on BM, триггер, лев. T60B3009  </v>
      </c>
      <c r="E73" s="1787">
        <v>1</v>
      </c>
      <c r="F73" s="1802">
        <f>VLOOKUP(C73,всецены,4,FALSE)</f>
        <v>40.660620000000002</v>
      </c>
      <c r="G73" s="1789">
        <f>IF(OR(C68=600,C68=650),0,F73*E73)</f>
        <v>40.660620000000002</v>
      </c>
      <c r="H73" s="2097"/>
    </row>
    <row r="74" spans="1:8" s="1761" customFormat="1" x14ac:dyDescent="0.2">
      <c r="A74" s="17"/>
      <c r="B74" s="2073"/>
      <c r="C74" s="1790" t="s">
        <v>3931</v>
      </c>
      <c r="D74" s="1786" t="str">
        <f>IF(OR($C$63=600,$C$63=650),"-",VLOOKUP(C74,всецены,2,FALSE))</f>
        <v xml:space="preserve">TBX, Tip-on BM, триггер, прав. T60B3009 </v>
      </c>
      <c r="E74" s="1787">
        <v>1</v>
      </c>
      <c r="F74" s="1802">
        <f>VLOOKUP(C74,всецены,4,FALSE)</f>
        <v>40.660620000000002</v>
      </c>
      <c r="G74" s="1789">
        <f>IF(OR(C69=600,C69=650),0,F74*E74)</f>
        <v>40.660620000000002</v>
      </c>
      <c r="H74" s="2097"/>
    </row>
    <row r="75" spans="1:8" x14ac:dyDescent="0.2">
      <c r="A75" s="17"/>
      <c r="B75" s="2073"/>
      <c r="C75" s="1790" t="s">
        <v>4511</v>
      </c>
      <c r="D75" s="1786" t="str">
        <f t="shared" si="9"/>
        <v xml:space="preserve">TBX, Крепл фасада INSERTA, NEW ZSF.39A2 </v>
      </c>
      <c r="E75" s="1787">
        <v>2</v>
      </c>
      <c r="F75" s="1802">
        <f t="shared" si="10"/>
        <v>43.913469600000006</v>
      </c>
      <c r="G75" s="1789">
        <f t="shared" si="11"/>
        <v>87.826939200000012</v>
      </c>
      <c r="H75" s="2097"/>
    </row>
    <row r="76" spans="1:8" x14ac:dyDescent="0.2">
      <c r="A76" s="17"/>
      <c r="B76" s="2073"/>
      <c r="C76" s="1785" t="s">
        <v>299</v>
      </c>
      <c r="D76" s="1786" t="str">
        <f t="shared" si="9"/>
        <v>TBX, Загл. с лого, сер, симм ZAA.330C.BL</v>
      </c>
      <c r="E76" s="1787">
        <v>2</v>
      </c>
      <c r="F76" s="1802">
        <f t="shared" si="10"/>
        <v>8.9453364000000004</v>
      </c>
      <c r="G76" s="1789">
        <f t="shared" si="11"/>
        <v>17.890672800000001</v>
      </c>
      <c r="H76" s="2097"/>
    </row>
    <row r="77" spans="1:8" x14ac:dyDescent="0.2">
      <c r="A77" s="17"/>
      <c r="B77" s="2073"/>
      <c r="C77" s="1803" t="s">
        <v>1634</v>
      </c>
      <c r="D77" s="1786" t="str">
        <f t="shared" si="9"/>
        <v xml:space="preserve">TBX, Держ. задн. ст, D 224 мм, сер, пр. </v>
      </c>
      <c r="E77" s="1787">
        <v>1</v>
      </c>
      <c r="F77" s="1802">
        <f t="shared" si="10"/>
        <v>69.936266400000008</v>
      </c>
      <c r="G77" s="1789">
        <f t="shared" si="11"/>
        <v>69.936266400000008</v>
      </c>
      <c r="H77" s="2097"/>
    </row>
    <row r="78" spans="1:8" x14ac:dyDescent="0.2">
      <c r="A78" s="17"/>
      <c r="B78" s="2073"/>
      <c r="C78" s="1803" t="s">
        <v>1636</v>
      </c>
      <c r="D78" s="1786" t="str">
        <f t="shared" si="9"/>
        <v>TBX, Держ. задн. ст, D 224 мм, сер, лев.</v>
      </c>
      <c r="E78" s="1787">
        <v>1</v>
      </c>
      <c r="F78" s="1802">
        <f t="shared" si="10"/>
        <v>69.936266400000008</v>
      </c>
      <c r="G78" s="1789">
        <f t="shared" si="11"/>
        <v>69.936266400000008</v>
      </c>
      <c r="H78" s="2098"/>
    </row>
    <row r="79" spans="1:8" x14ac:dyDescent="0.2">
      <c r="A79" s="17"/>
      <c r="B79" s="1763"/>
      <c r="C79" s="1804" t="str">
        <f>IF(E64=1,"","4799190/")</f>
        <v/>
      </c>
      <c r="D79" s="1786" t="str">
        <f>IF(C79="","",VLOOKUP(C79,всецены,2,FALSE))</f>
        <v/>
      </c>
      <c r="E79" s="1787" t="str">
        <f>IF(C79="","",2)</f>
        <v/>
      </c>
      <c r="F79" s="1802" t="e">
        <f t="shared" si="10"/>
        <v>#N/A</v>
      </c>
      <c r="G79" s="1789" t="str">
        <f>IF(C79="","",F79*E79)</f>
        <v/>
      </c>
      <c r="H79" s="1805"/>
    </row>
    <row r="80" spans="1:8" x14ac:dyDescent="0.2">
      <c r="A80" s="17"/>
      <c r="B80" s="433"/>
      <c r="C80" s="28"/>
      <c r="D80" s="28"/>
      <c r="E80" s="1766"/>
      <c r="F80" s="28"/>
      <c r="G80" s="28"/>
      <c r="H80" s="437"/>
    </row>
    <row r="81" spans="1:8" ht="20.25" x14ac:dyDescent="0.2">
      <c r="A81" s="17"/>
      <c r="B81" s="2018" t="s">
        <v>2114</v>
      </c>
      <c r="C81" s="2019"/>
      <c r="D81" s="2019"/>
      <c r="E81" s="2019"/>
      <c r="F81" s="2019"/>
      <c r="G81" s="2019"/>
      <c r="H81" s="426"/>
    </row>
    <row r="82" spans="1:8" x14ac:dyDescent="0.2">
      <c r="A82" s="17"/>
      <c r="B82" s="425" t="s">
        <v>5188</v>
      </c>
      <c r="C82" s="132"/>
      <c r="D82" s="2080" t="s">
        <v>556</v>
      </c>
      <c r="E82" s="2080"/>
      <c r="F82" s="2080"/>
      <c r="G82" s="2080"/>
      <c r="H82" s="426"/>
    </row>
    <row r="83" spans="1:8" ht="15.75" thickBot="1" x14ac:dyDescent="0.25">
      <c r="A83" s="17"/>
      <c r="B83" s="1769" t="s">
        <v>1639</v>
      </c>
      <c r="C83" s="98">
        <v>500</v>
      </c>
      <c r="D83" s="1793" t="s">
        <v>1689</v>
      </c>
      <c r="E83" s="1793"/>
      <c r="F83" s="1793"/>
      <c r="G83" s="1793"/>
      <c r="H83" s="1765" t="str">
        <f>IF(СОДЕРЖАНИЕ!P4=1,"EUR","RUB")</f>
        <v>RUB</v>
      </c>
    </row>
    <row r="84" spans="1:8" x14ac:dyDescent="0.2">
      <c r="A84" s="17"/>
      <c r="B84" s="2225"/>
      <c r="C84" s="135" t="s">
        <v>1301</v>
      </c>
      <c r="D84" s="1561" t="s">
        <v>784</v>
      </c>
      <c r="E84" s="1562" t="s">
        <v>2117</v>
      </c>
      <c r="F84" s="1561"/>
      <c r="G84" s="1784" t="s">
        <v>2116</v>
      </c>
      <c r="H84" s="411"/>
    </row>
    <row r="85" spans="1:8" x14ac:dyDescent="0.2">
      <c r="A85" s="17"/>
      <c r="B85" s="2073"/>
      <c r="C85" s="1785" t="str">
        <f>VLOOKUP($C$83,tbxM,2,FALSE)</f>
        <v>3863588/</v>
      </c>
      <c r="D85" s="1786" t="str">
        <f t="shared" ref="D85:D98" si="12">VLOOKUP(C85,всецены,2,FALSE)</f>
        <v xml:space="preserve">TBX, Царга 83/500 мм, сер, лев. NEW     </v>
      </c>
      <c r="E85" s="1787">
        <v>1</v>
      </c>
      <c r="F85" s="1802">
        <f t="shared" ref="F85:F95" si="13">VLOOKUP(C85,всецены,4,FALSE)</f>
        <v>417.17796120000003</v>
      </c>
      <c r="G85" s="1806">
        <f>F85*E85</f>
        <v>417.17796120000003</v>
      </c>
      <c r="H85" s="2226">
        <f>SUM(G85:G98)</f>
        <v>4682.476999200001</v>
      </c>
    </row>
    <row r="86" spans="1:8" x14ac:dyDescent="0.2">
      <c r="A86" s="17"/>
      <c r="B86" s="2073"/>
      <c r="C86" s="1785" t="str">
        <f>VLOOKUP($C$83,tbxM,3,FALSE)</f>
        <v>3852259/</v>
      </c>
      <c r="D86" s="1786" t="str">
        <f>IF(OR($C$82=600,$C$82=650),"-",VLOOKUP(C86,всецены,2,FALSE))</f>
        <v xml:space="preserve">TBX, Царга 83/500 мм, сер, пр. NEW      </v>
      </c>
      <c r="E86" s="1787">
        <v>1</v>
      </c>
      <c r="F86" s="1802">
        <f t="shared" si="13"/>
        <v>417.17796120000003</v>
      </c>
      <c r="G86" s="1789">
        <f>IF(OR(C83=600,C83=650),0,F86*E86)</f>
        <v>417.17796120000003</v>
      </c>
      <c r="H86" s="2092"/>
    </row>
    <row r="87" spans="1:8" x14ac:dyDescent="0.2">
      <c r="A87" s="17"/>
      <c r="B87" s="2073"/>
      <c r="C87" s="1795" t="str">
        <f>VLOOKUP(C83,$K$29:$O$34,4,FALSE)</f>
        <v>7940374/</v>
      </c>
      <c r="D87" s="1786" t="str">
        <f t="shared" si="12"/>
        <v>TBX, Tip-on BM, Напр, 30 кг, 500 мм, лев</v>
      </c>
      <c r="E87" s="1787">
        <v>1</v>
      </c>
      <c r="F87" s="1802">
        <f t="shared" si="13"/>
        <v>600.15075120000006</v>
      </c>
      <c r="G87" s="1806">
        <f>F87*E87</f>
        <v>600.15075120000006</v>
      </c>
      <c r="H87" s="2092"/>
    </row>
    <row r="88" spans="1:8" x14ac:dyDescent="0.2">
      <c r="A88" s="17"/>
      <c r="B88" s="2073"/>
      <c r="C88" s="1795" t="str">
        <f>VLOOKUP(C83,$K$29:$O$34,5,FALSE)</f>
        <v>7936668/</v>
      </c>
      <c r="D88" s="1786" t="str">
        <f>IF(OR($C$82=600,$C$82=650),"-",VLOOKUP(C88,всецены,2,FALSE))</f>
        <v xml:space="preserve">TBX, Tip-on BM, Напр, 30 кг, 500 мм, пр </v>
      </c>
      <c r="E88" s="1787">
        <v>1</v>
      </c>
      <c r="F88" s="1802">
        <f t="shared" si="13"/>
        <v>600.15075120000006</v>
      </c>
      <c r="G88" s="1789">
        <f>IF(OR(C83=600,C83=650),0,F88*E88)</f>
        <v>600.15075120000006</v>
      </c>
      <c r="H88" s="2092"/>
    </row>
    <row r="89" spans="1:8" x14ac:dyDescent="0.2">
      <c r="A89" s="17"/>
      <c r="B89" s="2073"/>
      <c r="C89" s="1795" t="str">
        <f>VLOOKUP(C83,$K$29:$S$34,8,FALSE)</f>
        <v>1829780/</v>
      </c>
      <c r="D89" s="1786" t="str">
        <f t="shared" si="12"/>
        <v xml:space="preserve">TBX, Tip-on BM, L3,350-600, пр T60B3533 </v>
      </c>
      <c r="E89" s="1787">
        <v>1</v>
      </c>
      <c r="F89" s="1802">
        <f t="shared" si="13"/>
        <v>473.28961680000003</v>
      </c>
      <c r="G89" s="1806">
        <f t="shared" ref="G89:G98" si="14">F89*E89</f>
        <v>473.28961680000003</v>
      </c>
      <c r="H89" s="2092"/>
    </row>
    <row r="90" spans="1:8" x14ac:dyDescent="0.2">
      <c r="A90" s="17"/>
      <c r="B90" s="2073"/>
      <c r="C90" s="1795" t="str">
        <f>VLOOKUP(C83,$K$29:$S$34,9,FALSE)</f>
        <v>8903805/</v>
      </c>
      <c r="D90" s="1786" t="str">
        <f t="shared" si="12"/>
        <v>TBX, Tip-on BM, L3,350-600, лев T60B3533</v>
      </c>
      <c r="E90" s="1787">
        <v>1</v>
      </c>
      <c r="F90" s="1802">
        <f t="shared" si="13"/>
        <v>473.28961680000003</v>
      </c>
      <c r="G90" s="1806">
        <f t="shared" si="14"/>
        <v>473.28961680000003</v>
      </c>
      <c r="H90" s="2092"/>
    </row>
    <row r="91" spans="1:8" s="1761" customFormat="1" x14ac:dyDescent="0.2">
      <c r="A91" s="17"/>
      <c r="B91" s="2073"/>
      <c r="C91" s="1790" t="s">
        <v>3930</v>
      </c>
      <c r="D91" s="1786" t="str">
        <f>VLOOKUP(C91,всецены,2,FALSE)</f>
        <v xml:space="preserve">TBX, Tip-on BM, триггер, лев. T60B3009  </v>
      </c>
      <c r="E91" s="1787">
        <v>1</v>
      </c>
      <c r="F91" s="1802">
        <f>VLOOKUP(C91,всецены,4,FALSE)</f>
        <v>40.660620000000002</v>
      </c>
      <c r="G91" s="1806">
        <f>F91*E91</f>
        <v>40.660620000000002</v>
      </c>
      <c r="H91" s="2092"/>
    </row>
    <row r="92" spans="1:8" s="1761" customFormat="1" x14ac:dyDescent="0.2">
      <c r="A92" s="17"/>
      <c r="B92" s="2073"/>
      <c r="C92" s="1790" t="s">
        <v>3931</v>
      </c>
      <c r="D92" s="1786" t="str">
        <f>VLOOKUP(C92,всецены,2,FALSE)</f>
        <v xml:space="preserve">TBX, Tip-on BM, триггер, прав. T60B3009 </v>
      </c>
      <c r="E92" s="1787">
        <v>1</v>
      </c>
      <c r="F92" s="1802">
        <f>VLOOKUP(C92,всецены,4,FALSE)</f>
        <v>40.660620000000002</v>
      </c>
      <c r="G92" s="1806">
        <f>F92*E92</f>
        <v>40.660620000000002</v>
      </c>
      <c r="H92" s="2092"/>
    </row>
    <row r="93" spans="1:8" s="1761" customFormat="1" x14ac:dyDescent="0.2">
      <c r="A93" s="17"/>
      <c r="B93" s="2073"/>
      <c r="C93" s="1795" t="str">
        <f>VLOOKUP(C83,$K$29:$S$34,7,FALSE)</f>
        <v>4170770/</v>
      </c>
      <c r="D93" s="1786" t="str">
        <f>VLOOKUP(C93,всецены,2,FALSE)</f>
        <v xml:space="preserve">TBX, Двухст. Boxside, 500 мм, сер, кмп. </v>
      </c>
      <c r="E93" s="1787">
        <v>1</v>
      </c>
      <c r="F93" s="1802">
        <f>VLOOKUP(C93,всецены,4,FALSE)</f>
        <v>1167.7730064</v>
      </c>
      <c r="G93" s="1806">
        <f>F93*E93</f>
        <v>1167.7730064</v>
      </c>
      <c r="H93" s="2092"/>
    </row>
    <row r="94" spans="1:8" s="1761" customFormat="1" x14ac:dyDescent="0.2">
      <c r="A94" s="17"/>
      <c r="B94" s="2073"/>
      <c r="C94" s="1785" t="str">
        <f>VLOOKUP($C$83,tbxM,6,FALSE)</f>
        <v>1862960/</v>
      </c>
      <c r="D94" s="1786" t="str">
        <f>VLOOKUP(C94,всецены,2,FALSE)</f>
        <v xml:space="preserve">TBX, Релинг продольн, 500 мм, сер.      </v>
      </c>
      <c r="E94" s="1787">
        <v>2</v>
      </c>
      <c r="F94" s="1802">
        <f>VLOOKUP(C94,всецены,4,FALSE)</f>
        <v>103.27797480000001</v>
      </c>
      <c r="G94" s="1806">
        <f>F94*E94</f>
        <v>206.55594960000002</v>
      </c>
      <c r="H94" s="2092"/>
    </row>
    <row r="95" spans="1:8" x14ac:dyDescent="0.2">
      <c r="A95" s="17"/>
      <c r="B95" s="2073"/>
      <c r="C95" s="1785" t="s">
        <v>299</v>
      </c>
      <c r="D95" s="1786" t="str">
        <f t="shared" si="12"/>
        <v>TBX, Загл. с лого, сер, симм ZAA.330C.BL</v>
      </c>
      <c r="E95" s="1787">
        <v>2</v>
      </c>
      <c r="F95" s="1802">
        <f t="shared" si="13"/>
        <v>8.9453364000000004</v>
      </c>
      <c r="G95" s="1806">
        <f t="shared" si="14"/>
        <v>17.890672800000001</v>
      </c>
      <c r="H95" s="2092"/>
    </row>
    <row r="96" spans="1:8" x14ac:dyDescent="0.2">
      <c r="A96" s="17"/>
      <c r="B96" s="2073"/>
      <c r="C96" s="1790" t="s">
        <v>4511</v>
      </c>
      <c r="D96" s="1786" t="str">
        <f t="shared" si="12"/>
        <v xml:space="preserve">TBX, Крепл фасада INSERTA, NEW ZSF.39A2 </v>
      </c>
      <c r="E96" s="1787">
        <v>2</v>
      </c>
      <c r="F96" s="1802">
        <f>VLOOKUP(C96,всецены,4,FALSE)</f>
        <v>43.913469600000006</v>
      </c>
      <c r="G96" s="1806">
        <f t="shared" si="14"/>
        <v>87.826939200000012</v>
      </c>
      <c r="H96" s="2092"/>
    </row>
    <row r="97" spans="1:8" x14ac:dyDescent="0.2">
      <c r="A97" s="17"/>
      <c r="B97" s="2073"/>
      <c r="C97" s="1785" t="s">
        <v>1634</v>
      </c>
      <c r="D97" s="1786" t="str">
        <f t="shared" si="12"/>
        <v xml:space="preserve">TBX, Держ. задн. ст, D 224 мм, сер, пр. </v>
      </c>
      <c r="E97" s="1787">
        <v>1</v>
      </c>
      <c r="F97" s="1802">
        <f>VLOOKUP(C97,всецены,4,FALSE)</f>
        <v>69.936266400000008</v>
      </c>
      <c r="G97" s="1806">
        <f t="shared" si="14"/>
        <v>69.936266400000008</v>
      </c>
      <c r="H97" s="2092"/>
    </row>
    <row r="98" spans="1:8" x14ac:dyDescent="0.2">
      <c r="A98" s="17"/>
      <c r="B98" s="2099"/>
      <c r="C98" s="1807" t="s">
        <v>1636</v>
      </c>
      <c r="D98" s="1786" t="str">
        <f t="shared" si="12"/>
        <v>TBX, Держ. задн. ст, D 224 мм, сер, лев.</v>
      </c>
      <c r="E98" s="1787">
        <v>1</v>
      </c>
      <c r="F98" s="1802">
        <f>VLOOKUP(C98,всецены,4,FALSE)</f>
        <v>69.936266400000008</v>
      </c>
      <c r="G98" s="1806">
        <f t="shared" si="14"/>
        <v>69.936266400000008</v>
      </c>
      <c r="H98" s="2100"/>
    </row>
    <row r="99" spans="1:8" s="1761" customFormat="1" x14ac:dyDescent="0.2">
      <c r="A99" s="17"/>
      <c r="B99" s="433"/>
      <c r="C99" s="28"/>
      <c r="D99" s="28"/>
      <c r="E99" s="1766"/>
      <c r="F99" s="28"/>
      <c r="G99" s="28"/>
      <c r="H99" s="437"/>
    </row>
    <row r="100" spans="1:8" ht="20.25" x14ac:dyDescent="0.2">
      <c r="A100" s="17"/>
      <c r="B100" s="2018" t="s">
        <v>1816</v>
      </c>
      <c r="C100" s="2019"/>
      <c r="D100" s="2019"/>
      <c r="E100" s="2019"/>
      <c r="F100" s="2019"/>
      <c r="G100" s="2019"/>
      <c r="H100" s="426"/>
    </row>
    <row r="101" spans="1:8" x14ac:dyDescent="0.2">
      <c r="A101" s="17"/>
      <c r="B101" s="425" t="s">
        <v>5206</v>
      </c>
      <c r="C101" s="132"/>
      <c r="D101" s="2080" t="s">
        <v>556</v>
      </c>
      <c r="E101" s="2080"/>
      <c r="F101" s="2080"/>
      <c r="G101" s="2080"/>
      <c r="H101" s="426"/>
    </row>
    <row r="102" spans="1:8" ht="15.75" thickBot="1" x14ac:dyDescent="0.25">
      <c r="A102" s="17"/>
      <c r="B102" s="1769" t="s">
        <v>1639</v>
      </c>
      <c r="C102" s="98">
        <v>500</v>
      </c>
      <c r="D102" s="1793" t="s">
        <v>1689</v>
      </c>
      <c r="E102" s="1793"/>
      <c r="F102" s="1793"/>
      <c r="G102" s="1793"/>
      <c r="H102" s="1765" t="str">
        <f>IF(СОДЕРЖАНИЕ!P4=1,"EUR","RUB")</f>
        <v>RUB</v>
      </c>
    </row>
    <row r="103" spans="1:8" x14ac:dyDescent="0.2">
      <c r="A103" s="17"/>
      <c r="B103" s="2225"/>
      <c r="C103" s="135" t="s">
        <v>1301</v>
      </c>
      <c r="D103" s="1561" t="s">
        <v>784</v>
      </c>
      <c r="E103" s="1562" t="s">
        <v>2117</v>
      </c>
      <c r="F103" s="1561"/>
      <c r="G103" s="1784" t="s">
        <v>2116</v>
      </c>
      <c r="H103" s="411"/>
    </row>
    <row r="104" spans="1:8" x14ac:dyDescent="0.2">
      <c r="A104" s="17"/>
      <c r="B104" s="2073"/>
      <c r="C104" s="1785" t="str">
        <f>VLOOKUP($C$102,tbxM,2,FALSE)</f>
        <v>3863588/</v>
      </c>
      <c r="D104" s="1786" t="str">
        <f t="shared" ref="D104:D118" si="15">VLOOKUP(C104,всецены,2,FALSE)</f>
        <v xml:space="preserve">TBX, Царга 83/500 мм, сер, лев. NEW     </v>
      </c>
      <c r="E104" s="1787">
        <v>1</v>
      </c>
      <c r="F104" s="1802">
        <f t="shared" ref="F104:F115" si="16">VLOOKUP(C104,всецены,4,FALSE)</f>
        <v>417.17796120000003</v>
      </c>
      <c r="G104" s="1806">
        <f>F104*E104</f>
        <v>417.17796120000003</v>
      </c>
      <c r="H104" s="2226">
        <f>SUM(G104:G118)</f>
        <v>3859.9151208800013</v>
      </c>
    </row>
    <row r="105" spans="1:8" x14ac:dyDescent="0.2">
      <c r="A105" s="17"/>
      <c r="B105" s="2073"/>
      <c r="C105" s="1785" t="str">
        <f>VLOOKUP($C$102,tbxM,3,FALSE)</f>
        <v>3852259/</v>
      </c>
      <c r="D105" s="1786" t="str">
        <f>IF(OR($C$101=600,$C$101=650),"-",VLOOKUP(C105,всецены,2,FALSE))</f>
        <v xml:space="preserve">TBX, Царга 83/500 мм, сер, пр. NEW      </v>
      </c>
      <c r="E105" s="1787">
        <v>1</v>
      </c>
      <c r="F105" s="1802">
        <f t="shared" si="16"/>
        <v>417.17796120000003</v>
      </c>
      <c r="G105" s="1789">
        <f>IF(OR(C102=600,C102=650),0,F105*E105)</f>
        <v>417.17796120000003</v>
      </c>
      <c r="H105" s="2092"/>
    </row>
    <row r="106" spans="1:8" x14ac:dyDescent="0.2">
      <c r="A106" s="17"/>
      <c r="B106" s="2073"/>
      <c r="C106" s="1795" t="str">
        <f>VLOOKUP(C102,$K$29:$O$34,4,FALSE)</f>
        <v>7940374/</v>
      </c>
      <c r="D106" s="1786" t="str">
        <f t="shared" si="15"/>
        <v>TBX, Tip-on BM, Напр, 30 кг, 500 мм, лев</v>
      </c>
      <c r="E106" s="1787">
        <v>1</v>
      </c>
      <c r="F106" s="1802">
        <f t="shared" si="16"/>
        <v>600.15075120000006</v>
      </c>
      <c r="G106" s="1806">
        <f>F106*E106</f>
        <v>600.15075120000006</v>
      </c>
      <c r="H106" s="2092"/>
    </row>
    <row r="107" spans="1:8" x14ac:dyDescent="0.2">
      <c r="A107" s="17"/>
      <c r="B107" s="2073"/>
      <c r="C107" s="1795" t="str">
        <f>VLOOKUP(C102,$K$29:$O$34,5,FALSE)</f>
        <v>7936668/</v>
      </c>
      <c r="D107" s="1786" t="str">
        <f>IF(OR($C$101=600,$C$101=650),"-",VLOOKUP(C107,всецены,2,FALSE))</f>
        <v xml:space="preserve">TBX, Tip-on BM, Напр, 30 кг, 500 мм, пр </v>
      </c>
      <c r="E107" s="1787">
        <v>1</v>
      </c>
      <c r="F107" s="1802">
        <f t="shared" si="16"/>
        <v>600.15075120000006</v>
      </c>
      <c r="G107" s="1789">
        <f>IF(OR(C102=600,C102=650),0,F107*E107)</f>
        <v>600.15075120000006</v>
      </c>
      <c r="H107" s="2092"/>
    </row>
    <row r="108" spans="1:8" x14ac:dyDescent="0.2">
      <c r="A108" s="17"/>
      <c r="B108" s="2073"/>
      <c r="C108" s="1795" t="str">
        <f>VLOOKUP(C102,$K$29:$S$34,8,FALSE)</f>
        <v>1829780/</v>
      </c>
      <c r="D108" s="1786" t="str">
        <f t="shared" si="15"/>
        <v xml:space="preserve">TBX, Tip-on BM, L3,350-600, пр T60B3533 </v>
      </c>
      <c r="E108" s="1787">
        <v>1</v>
      </c>
      <c r="F108" s="1802">
        <f t="shared" si="16"/>
        <v>473.28961680000003</v>
      </c>
      <c r="G108" s="1806">
        <f t="shared" ref="G108:G118" si="17">F108*E108</f>
        <v>473.28961680000003</v>
      </c>
      <c r="H108" s="2092"/>
    </row>
    <row r="109" spans="1:8" s="1761" customFormat="1" x14ac:dyDescent="0.2">
      <c r="A109" s="17"/>
      <c r="B109" s="2073"/>
      <c r="C109" s="1795" t="str">
        <f>VLOOKUP(C102,$K$29:$S$34,9,FALSE)</f>
        <v>8903805/</v>
      </c>
      <c r="D109" s="1786" t="str">
        <f>VLOOKUP(C109,всецены,2,FALSE)</f>
        <v>TBX, Tip-on BM, L3,350-600, лев T60B3533</v>
      </c>
      <c r="E109" s="1787">
        <v>1</v>
      </c>
      <c r="F109" s="1802">
        <f>VLOOKUP(C109,всецены,4,FALSE)</f>
        <v>473.28961680000003</v>
      </c>
      <c r="G109" s="1806">
        <f>F109*E109</f>
        <v>473.28961680000003</v>
      </c>
      <c r="H109" s="2092"/>
    </row>
    <row r="110" spans="1:8" s="1761" customFormat="1" x14ac:dyDescent="0.2">
      <c r="A110" s="17"/>
      <c r="B110" s="2073"/>
      <c r="C110" s="1790" t="s">
        <v>3930</v>
      </c>
      <c r="D110" s="1786" t="str">
        <f>VLOOKUP(C110,всецены,2,FALSE)</f>
        <v xml:space="preserve">TBX, Tip-on BM, триггер, лев. T60B3009  </v>
      </c>
      <c r="E110" s="1787">
        <v>1</v>
      </c>
      <c r="F110" s="1802">
        <f>VLOOKUP(C110,всецены,4,FALSE)</f>
        <v>40.660620000000002</v>
      </c>
      <c r="G110" s="1806">
        <f>F110*E110</f>
        <v>40.660620000000002</v>
      </c>
      <c r="H110" s="2092"/>
    </row>
    <row r="111" spans="1:8" s="1761" customFormat="1" x14ac:dyDescent="0.2">
      <c r="A111" s="17"/>
      <c r="B111" s="2073"/>
      <c r="C111" s="1790" t="s">
        <v>3931</v>
      </c>
      <c r="D111" s="1786" t="str">
        <f>VLOOKUP(C111,всецены,2,FALSE)</f>
        <v xml:space="preserve">TBX, Tip-on BM, триггер, прав. T60B3009 </v>
      </c>
      <c r="E111" s="1787">
        <v>1</v>
      </c>
      <c r="F111" s="1802">
        <f>VLOOKUP(C111,всецены,4,FALSE)</f>
        <v>40.660620000000002</v>
      </c>
      <c r="G111" s="1806">
        <f>F111*E111</f>
        <v>40.660620000000002</v>
      </c>
      <c r="H111" s="2092"/>
    </row>
    <row r="112" spans="1:8" s="1761" customFormat="1" x14ac:dyDescent="0.2">
      <c r="A112" s="17"/>
      <c r="B112" s="2073"/>
      <c r="C112" s="1785" t="str">
        <f>VLOOKUP($C$102,tbxM,6,FALSE)</f>
        <v>1862960/</v>
      </c>
      <c r="D112" s="1786" t="str">
        <f>VLOOKUP(C112,всецены,2,FALSE)</f>
        <v xml:space="preserve">TBX, Релинг продольн, 500 мм, сер.      </v>
      </c>
      <c r="E112" s="1787">
        <v>2</v>
      </c>
      <c r="F112" s="1802">
        <f>VLOOKUP(C112,всецены,4,FALSE)</f>
        <v>103.27797480000001</v>
      </c>
      <c r="G112" s="1806">
        <f>F112*E112</f>
        <v>206.55594960000002</v>
      </c>
      <c r="H112" s="2092"/>
    </row>
    <row r="113" spans="1:8" x14ac:dyDescent="0.2">
      <c r="A113" s="17"/>
      <c r="B113" s="2073"/>
      <c r="C113" s="1785" t="s">
        <v>1204</v>
      </c>
      <c r="D113" s="1786" t="str">
        <f t="shared" si="15"/>
        <v xml:space="preserve">TBX, Держат. стекл. Boxside, т/сер, лев </v>
      </c>
      <c r="E113" s="1787">
        <v>1</v>
      </c>
      <c r="F113" s="1802">
        <f>VLOOKUP(C113,всецены,4,FALSE)</f>
        <v>177.28030320000002</v>
      </c>
      <c r="G113" s="1806">
        <f>F113*E113</f>
        <v>177.28030320000002</v>
      </c>
      <c r="H113" s="2092"/>
    </row>
    <row r="114" spans="1:8" x14ac:dyDescent="0.2">
      <c r="A114" s="17"/>
      <c r="B114" s="2073"/>
      <c r="C114" s="1785" t="s">
        <v>1205</v>
      </c>
      <c r="D114" s="1786" t="str">
        <f t="shared" si="15"/>
        <v xml:space="preserve">TBX, Держат. стекл. Boxside, т/сер, пр  </v>
      </c>
      <c r="E114" s="1787">
        <v>1</v>
      </c>
      <c r="F114" s="1802">
        <f t="shared" si="16"/>
        <v>177.28030320000002</v>
      </c>
      <c r="G114" s="1806">
        <f t="shared" si="17"/>
        <v>177.28030320000002</v>
      </c>
      <c r="H114" s="2092"/>
    </row>
    <row r="115" spans="1:8" x14ac:dyDescent="0.2">
      <c r="A115" s="17"/>
      <c r="B115" s="2073"/>
      <c r="C115" s="1785" t="s">
        <v>299</v>
      </c>
      <c r="D115" s="1786" t="str">
        <f t="shared" si="15"/>
        <v>TBX, Загл. с лого, сер, симм ZAA.330C.BL</v>
      </c>
      <c r="E115" s="1787">
        <v>1.7878787878787901</v>
      </c>
      <c r="F115" s="1802">
        <f t="shared" si="16"/>
        <v>8.9453364000000004</v>
      </c>
      <c r="G115" s="1806">
        <f t="shared" si="17"/>
        <v>15.993177200000019</v>
      </c>
      <c r="H115" s="2092"/>
    </row>
    <row r="116" spans="1:8" x14ac:dyDescent="0.2">
      <c r="A116" s="17"/>
      <c r="B116" s="2073"/>
      <c r="C116" s="1790" t="s">
        <v>4511</v>
      </c>
      <c r="D116" s="1786" t="str">
        <f t="shared" si="15"/>
        <v xml:space="preserve">TBX, Крепл фасада INSERTA, NEW ZSF.39A2 </v>
      </c>
      <c r="E116" s="1787">
        <v>1.8303030303030301</v>
      </c>
      <c r="F116" s="1802">
        <f>VLOOKUP(C116,всецены,4,FALSE)</f>
        <v>43.913469600000006</v>
      </c>
      <c r="G116" s="1806">
        <f t="shared" si="17"/>
        <v>80.374956480000009</v>
      </c>
      <c r="H116" s="2092"/>
    </row>
    <row r="117" spans="1:8" x14ac:dyDescent="0.2">
      <c r="A117" s="17"/>
      <c r="B117" s="2073"/>
      <c r="C117" s="1785" t="s">
        <v>1634</v>
      </c>
      <c r="D117" s="1786" t="str">
        <f t="shared" si="15"/>
        <v xml:space="preserve">TBX, Держ. задн. ст, D 224 мм, сер, пр. </v>
      </c>
      <c r="E117" s="1787">
        <v>1</v>
      </c>
      <c r="F117" s="1802">
        <f>VLOOKUP(C117,всецены,4,FALSE)</f>
        <v>69.936266400000008</v>
      </c>
      <c r="G117" s="1806">
        <f t="shared" si="17"/>
        <v>69.936266400000008</v>
      </c>
      <c r="H117" s="2092"/>
    </row>
    <row r="118" spans="1:8" ht="13.5" thickBot="1" x14ac:dyDescent="0.25">
      <c r="A118" s="17"/>
      <c r="B118" s="2074"/>
      <c r="C118" s="1808" t="s">
        <v>1636</v>
      </c>
      <c r="D118" s="1537" t="str">
        <f t="shared" si="15"/>
        <v>TBX, Держ. задн. ст, D 224 мм, сер, лев.</v>
      </c>
      <c r="E118" s="1473">
        <v>1</v>
      </c>
      <c r="F118" s="1809">
        <f>VLOOKUP(C118,всецены,4,FALSE)</f>
        <v>69.936266400000008</v>
      </c>
      <c r="G118" s="1810">
        <f t="shared" si="17"/>
        <v>69.936266400000008</v>
      </c>
      <c r="H118" s="2093"/>
    </row>
    <row r="119" spans="1:8" x14ac:dyDescent="0.2">
      <c r="A119" s="17"/>
      <c r="B119" s="75"/>
      <c r="C119" s="17"/>
      <c r="D119" s="17"/>
      <c r="E119" s="1768"/>
      <c r="F119" s="17"/>
      <c r="G119" s="17"/>
      <c r="H119" s="35"/>
    </row>
    <row r="120" spans="1:8" ht="13.5" thickBot="1" x14ac:dyDescent="0.25"/>
    <row r="121" spans="1:8" ht="20.25" x14ac:dyDescent="0.2">
      <c r="A121" s="8"/>
      <c r="B121" s="2015" t="s">
        <v>5193</v>
      </c>
      <c r="C121" s="2016"/>
      <c r="D121" s="2016"/>
      <c r="E121" s="2016"/>
      <c r="F121" s="2016"/>
      <c r="G121" s="2016"/>
      <c r="H121" s="372"/>
    </row>
    <row r="122" spans="1:8" ht="20.25" x14ac:dyDescent="0.2">
      <c r="A122" s="17"/>
      <c r="B122" s="2018"/>
      <c r="C122" s="2019"/>
      <c r="D122" s="2019"/>
      <c r="E122" s="2019"/>
      <c r="F122" s="2019"/>
      <c r="G122" s="2019"/>
      <c r="H122" s="374"/>
    </row>
    <row r="123" spans="1:8" ht="26.25" customHeight="1" x14ac:dyDescent="0.2">
      <c r="A123" s="17"/>
      <c r="B123" s="2229" t="s">
        <v>5194</v>
      </c>
      <c r="C123" s="2230"/>
      <c r="D123" s="2230"/>
      <c r="E123" s="2230"/>
      <c r="F123" s="2230"/>
      <c r="G123" s="2230"/>
      <c r="H123" s="426"/>
    </row>
    <row r="124" spans="1:8" ht="15" x14ac:dyDescent="0.2">
      <c r="A124" s="17"/>
      <c r="B124" s="1769"/>
      <c r="C124" s="441"/>
      <c r="D124" s="95"/>
      <c r="E124" s="1760"/>
      <c r="F124" s="73"/>
      <c r="G124" s="95"/>
      <c r="H124" s="1765" t="str">
        <f>IF(СОДЕРЖАНИЕ!K28=1,"EUR","RUB")</f>
        <v>RUB</v>
      </c>
    </row>
    <row r="125" spans="1:8" x14ac:dyDescent="0.2">
      <c r="A125" s="17"/>
      <c r="B125" s="2072"/>
      <c r="C125" s="135" t="s">
        <v>1301</v>
      </c>
      <c r="D125" s="139" t="s">
        <v>784</v>
      </c>
      <c r="E125" s="140" t="s">
        <v>2117</v>
      </c>
      <c r="F125" s="139"/>
      <c r="G125" s="141" t="s">
        <v>2116</v>
      </c>
      <c r="H125" s="411"/>
    </row>
    <row r="126" spans="1:8" x14ac:dyDescent="0.2">
      <c r="A126" s="17"/>
      <c r="B126" s="2073"/>
      <c r="C126" s="1815" t="s">
        <v>3546</v>
      </c>
      <c r="D126" s="43" t="str">
        <f>VLOOKUP(C126,всецены,2,FALSE)</f>
        <v xml:space="preserve">LBX, Вал синхрониз. Tip-on BM T60L1118W </v>
      </c>
      <c r="E126" s="3">
        <v>1</v>
      </c>
      <c r="F126" s="12">
        <f>VLOOKUP(C126,всецены,4,FALSE)</f>
        <v>289.50361440000006</v>
      </c>
      <c r="G126" s="442">
        <f>F126*E126</f>
        <v>289.50361440000006</v>
      </c>
      <c r="H126" s="387">
        <f>G126</f>
        <v>289.50361440000006</v>
      </c>
    </row>
    <row r="127" spans="1:8" ht="13.5" thickBot="1" x14ac:dyDescent="0.25">
      <c r="A127" s="17"/>
      <c r="B127" s="2074"/>
      <c r="C127" s="1050" t="s">
        <v>3543</v>
      </c>
      <c r="D127" s="404" t="str">
        <f>VLOOKUP(C127,всецены,2,FALSE)</f>
        <v xml:space="preserve">LBX, Шестерня синхр. Tip-on BM T60.000D </v>
      </c>
      <c r="E127" s="355">
        <v>2</v>
      </c>
      <c r="F127" s="356">
        <f>VLOOKUP(C127,всецены,4,FALSE)</f>
        <v>16.264248000000002</v>
      </c>
      <c r="G127" s="443">
        <f>F127*E127</f>
        <v>32.528496000000004</v>
      </c>
      <c r="H127" s="390">
        <f>G127</f>
        <v>32.528496000000004</v>
      </c>
    </row>
    <row r="128" spans="1:8" x14ac:dyDescent="0.2">
      <c r="A128" s="17"/>
      <c r="B128" s="17"/>
      <c r="C128" s="17"/>
      <c r="D128" s="17"/>
      <c r="E128" s="1768"/>
      <c r="F128" s="17"/>
      <c r="G128" s="17"/>
      <c r="H128" s="35"/>
    </row>
  </sheetData>
  <protectedRanges>
    <protectedRange sqref="C8 C27 C45 E64 C64 C83 C102" name="Диапазон1"/>
  </protectedRanges>
  <mergeCells count="27">
    <mergeCell ref="B121:G122"/>
    <mergeCell ref="B125:B127"/>
    <mergeCell ref="B123:G123"/>
    <mergeCell ref="B84:B98"/>
    <mergeCell ref="H85:H98"/>
    <mergeCell ref="B100:G100"/>
    <mergeCell ref="D101:G101"/>
    <mergeCell ref="B103:B118"/>
    <mergeCell ref="H104:H118"/>
    <mergeCell ref="D82:G82"/>
    <mergeCell ref="B28:B40"/>
    <mergeCell ref="H29:H40"/>
    <mergeCell ref="B42:G43"/>
    <mergeCell ref="D44:G44"/>
    <mergeCell ref="B46:B59"/>
    <mergeCell ref="H47:H59"/>
    <mergeCell ref="B62:G62"/>
    <mergeCell ref="D63:G63"/>
    <mergeCell ref="B65:B78"/>
    <mergeCell ref="H66:H78"/>
    <mergeCell ref="B81:G81"/>
    <mergeCell ref="D26:G26"/>
    <mergeCell ref="B5:G6"/>
    <mergeCell ref="D7:G7"/>
    <mergeCell ref="B9:B21"/>
    <mergeCell ref="H10:H21"/>
    <mergeCell ref="B24:G25"/>
  </mergeCells>
  <dataValidations count="4">
    <dataValidation type="list" errorStyle="warning" allowBlank="1" showInputMessage="1" showErrorMessage="1" errorTitle="ОШИБКА!" error="Такой глубины ящик не предусмотрен. Внимательно читаем каталог или смотрим всплывающие подсказки!_x000a_" prompt="ВВОДИМ ГЛУБИНУ:" sqref="C8" xr:uid="{00000000-0002-0000-1000-000000000000}">
      <formula1>$K$13:$K$14</formula1>
    </dataValidation>
    <dataValidation type="list" allowBlank="1" showInputMessage="1" showErrorMessage="1" sqref="C124" xr:uid="{00000000-0002-0000-1000-000001000000}">
      <formula1>$K$12:$K$13</formula1>
    </dataValidation>
    <dataValidation type="list" errorStyle="warning" allowBlank="1" showInputMessage="1" showErrorMessage="1" errorTitle="ОШИБКА!" error="Такой глубины ящика нет. Внимательно читаем каталог или ориентируемся на всплывающие подсказки!" sqref="C45 C27 C64 C102" xr:uid="{00000000-0002-0000-1000-000002000000}">
      <formula1>$K$29:$K$34</formula1>
    </dataValidation>
    <dataValidation type="list" errorStyle="warning" allowBlank="1" showInputMessage="1" showErrorMessage="1" errorTitle="ОШИБКА!" error="Такой глубины ящика нет. Внимательно читаем каталог или ориентируемся на всплывающие подсказки!" sqref="C83" xr:uid="{00000000-0002-0000-1000-000003000000}">
      <formula1>$K$32:$K$34</formula1>
    </dataValidation>
  </dataValidations>
  <hyperlinks>
    <hyperlink ref="T13:U13" location="'3.2'!A1" display="→" xr:uid="{00000000-0004-0000-1000-000000000000}"/>
    <hyperlink ref="U13:X13" location="'3.14'!A1" display="plus внутренний Tip-On Blumotion" xr:uid="{00000000-0004-0000-1000-000001000000}"/>
  </hyperlink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Лист31"/>
  <dimension ref="A1:BK189"/>
  <sheetViews>
    <sheetView showGridLines="0" workbookViewId="0">
      <selection activeCell="D3" sqref="D3"/>
    </sheetView>
  </sheetViews>
  <sheetFormatPr defaultRowHeight="12.75" x14ac:dyDescent="0.2"/>
  <cols>
    <col min="1" max="1" width="2.85546875" customWidth="1"/>
    <col min="2" max="2" width="35" customWidth="1"/>
    <col min="3" max="3" width="8.5703125" bestFit="1" customWidth="1"/>
    <col min="4" max="4" width="38.5703125" bestFit="1" customWidth="1"/>
    <col min="5" max="5" width="3.42578125" bestFit="1" customWidth="1"/>
    <col min="6" max="6" width="9.140625" hidden="1" customWidth="1"/>
    <col min="7" max="7" width="8" bestFit="1" customWidth="1"/>
    <col min="9" max="9" width="8.85546875" customWidth="1"/>
    <col min="10" max="63" width="9.140625" hidden="1" customWidth="1"/>
  </cols>
  <sheetData>
    <row r="1" spans="1:63" ht="15.75" thickBot="1" x14ac:dyDescent="0.25">
      <c r="A1" s="1143"/>
      <c r="B1" s="916"/>
      <c r="C1" s="916"/>
      <c r="D1" s="916"/>
      <c r="E1" s="1144"/>
      <c r="F1" s="916"/>
      <c r="G1" s="1145"/>
      <c r="H1" s="887"/>
      <c r="I1" s="771"/>
      <c r="J1" s="771"/>
      <c r="K1" s="771"/>
      <c r="L1" s="771"/>
      <c r="M1" s="771"/>
      <c r="N1" s="771"/>
      <c r="O1" s="771"/>
      <c r="P1" s="771"/>
      <c r="Q1" s="771"/>
      <c r="R1" s="771"/>
      <c r="S1" s="771"/>
      <c r="T1" s="771"/>
      <c r="U1" s="771"/>
      <c r="V1" s="771"/>
      <c r="W1" s="771"/>
      <c r="X1" s="771"/>
      <c r="Y1" s="771"/>
      <c r="Z1" s="771"/>
      <c r="AA1" s="771"/>
      <c r="AB1" s="771"/>
      <c r="AC1" s="771"/>
      <c r="AD1" s="771"/>
      <c r="AE1" s="771"/>
      <c r="AF1" s="771"/>
      <c r="AG1" s="771"/>
      <c r="AH1" s="771"/>
      <c r="AI1" s="771"/>
      <c r="AJ1" s="771"/>
      <c r="AK1" s="771"/>
      <c r="AL1" s="771"/>
      <c r="AM1" s="771"/>
      <c r="AN1" s="771"/>
      <c r="AO1" s="771"/>
      <c r="AP1" s="771"/>
      <c r="AQ1" s="771"/>
      <c r="AR1" s="771"/>
      <c r="AS1" s="771"/>
      <c r="AT1" s="771"/>
      <c r="AU1" s="771"/>
      <c r="AV1" s="771"/>
      <c r="AW1" s="771"/>
      <c r="AX1" s="771"/>
      <c r="AY1" s="771"/>
      <c r="AZ1" s="771"/>
      <c r="BA1" s="771"/>
      <c r="BB1" s="771"/>
      <c r="BC1" s="771"/>
      <c r="BD1" s="771"/>
      <c r="BE1" s="771"/>
      <c r="BF1" s="771"/>
      <c r="BG1" s="782"/>
      <c r="BH1" s="782"/>
      <c r="BI1" s="782"/>
      <c r="BJ1" s="782"/>
      <c r="BK1" s="782"/>
    </row>
    <row r="2" spans="1:63" ht="20.25" x14ac:dyDescent="0.3">
      <c r="A2" s="1143"/>
      <c r="B2" s="1845" t="s">
        <v>5215</v>
      </c>
      <c r="C2" s="1164"/>
      <c r="D2" s="1164"/>
      <c r="E2" s="1147"/>
      <c r="F2" s="1146"/>
      <c r="G2" s="1148"/>
      <c r="H2" s="1149"/>
      <c r="I2" s="771"/>
      <c r="J2" s="771"/>
      <c r="K2" s="771"/>
      <c r="L2" s="771"/>
      <c r="M2" s="771"/>
      <c r="N2" s="771"/>
      <c r="O2" s="771"/>
      <c r="P2" s="771"/>
      <c r="Q2" s="771"/>
      <c r="R2" s="771"/>
      <c r="S2" s="771"/>
      <c r="T2" s="771"/>
      <c r="U2" s="771"/>
      <c r="V2" s="771"/>
      <c r="W2" s="771"/>
      <c r="X2" s="771"/>
      <c r="Y2" s="771"/>
      <c r="Z2" s="771"/>
      <c r="AA2" s="771"/>
      <c r="AB2" s="771"/>
      <c r="AC2" s="771"/>
      <c r="AD2" s="771"/>
      <c r="AE2" s="771"/>
      <c r="AF2" s="771"/>
      <c r="AG2" s="771"/>
      <c r="AH2" s="771"/>
      <c r="AI2" s="771"/>
      <c r="AJ2" s="771"/>
      <c r="AK2" s="771"/>
      <c r="AL2" s="771"/>
      <c r="AM2" s="771"/>
      <c r="AN2" s="771"/>
      <c r="AO2" s="771"/>
      <c r="AP2" s="771"/>
      <c r="AQ2" s="771"/>
      <c r="AR2" s="771"/>
      <c r="AS2" s="771"/>
      <c r="AT2" s="771"/>
      <c r="AU2" s="771"/>
      <c r="AV2" s="771"/>
      <c r="AW2" s="771"/>
      <c r="AX2" s="771"/>
      <c r="AY2" s="771"/>
      <c r="AZ2" s="771"/>
      <c r="BA2" s="771"/>
      <c r="BB2" s="771"/>
      <c r="BC2" s="771"/>
      <c r="BD2" s="771"/>
      <c r="BE2" s="771"/>
      <c r="BF2" s="771"/>
      <c r="BG2" s="782"/>
      <c r="BH2" s="782"/>
      <c r="BI2" s="782"/>
      <c r="BJ2" s="782"/>
      <c r="BK2" s="782"/>
    </row>
    <row r="3" spans="1:63" ht="19.5" customHeight="1" thickBot="1" x14ac:dyDescent="0.35">
      <c r="A3" s="1128"/>
      <c r="B3" s="1308" t="s">
        <v>2402</v>
      </c>
      <c r="C3" s="1273" t="s">
        <v>3173</v>
      </c>
      <c r="D3" s="1165" t="s">
        <v>3174</v>
      </c>
      <c r="E3" s="1365" t="str">
        <f>$D$3</f>
        <v>Белый шёлк</v>
      </c>
      <c r="F3" s="1150"/>
      <c r="G3" s="1166" t="str">
        <f>$D$3</f>
        <v>Белый шёлк</v>
      </c>
      <c r="H3" s="1167" t="str">
        <f>$D$3</f>
        <v>Белый шёлк</v>
      </c>
      <c r="I3" s="1128"/>
      <c r="J3" s="1128"/>
      <c r="K3" s="1128"/>
      <c r="L3" s="1128"/>
      <c r="M3" s="1128"/>
      <c r="N3" s="1128"/>
      <c r="O3" s="1128"/>
      <c r="P3" s="1128"/>
      <c r="Q3" s="1128"/>
      <c r="R3" s="1128"/>
      <c r="S3" s="1128"/>
      <c r="T3" s="1128"/>
      <c r="U3" s="1128"/>
      <c r="V3" s="1128"/>
      <c r="W3" s="1128"/>
      <c r="X3" s="1128"/>
      <c r="Y3" s="1128"/>
      <c r="Z3" s="1128"/>
      <c r="AA3" s="1128"/>
      <c r="AB3" s="1128"/>
      <c r="AC3" s="1128"/>
      <c r="AD3" s="1128"/>
      <c r="AE3" s="1128"/>
      <c r="AF3" s="1128"/>
      <c r="AG3" s="1128"/>
      <c r="AH3" s="1128"/>
      <c r="AI3" s="1128"/>
      <c r="AJ3" s="1128"/>
      <c r="AK3" s="1128"/>
      <c r="AL3" s="1128"/>
      <c r="AM3" s="1128"/>
      <c r="AN3" s="1128"/>
      <c r="AO3" s="1128"/>
      <c r="AP3" s="1128"/>
      <c r="AQ3" s="1128"/>
      <c r="AR3" s="1128"/>
      <c r="AS3" s="1128"/>
      <c r="AT3" s="1128"/>
      <c r="AU3" s="1128"/>
      <c r="AV3" s="1128"/>
      <c r="AW3" s="1128"/>
      <c r="AX3" s="1128"/>
      <c r="AY3" s="1128"/>
      <c r="AZ3" s="1128"/>
      <c r="BA3" s="1128"/>
      <c r="BB3" s="1128"/>
      <c r="BC3" s="1128"/>
      <c r="BD3" s="1128"/>
      <c r="BE3" s="1128"/>
      <c r="BF3" s="1128"/>
      <c r="BG3" s="1129"/>
      <c r="BH3" s="1129"/>
      <c r="BI3" s="1129"/>
      <c r="BJ3" s="1129"/>
      <c r="BK3" s="1129"/>
    </row>
    <row r="4" spans="1:63" ht="15" x14ac:dyDescent="0.2">
      <c r="A4" s="889"/>
      <c r="B4" s="782"/>
      <c r="C4" s="782"/>
      <c r="D4" s="782"/>
      <c r="E4" s="781"/>
      <c r="F4" s="782"/>
      <c r="G4" s="799"/>
      <c r="H4" s="1122"/>
      <c r="I4" s="782"/>
      <c r="J4" s="782"/>
      <c r="K4" s="782"/>
      <c r="L4" s="782"/>
      <c r="M4" s="782"/>
      <c r="N4" s="782"/>
      <c r="O4" s="782"/>
      <c r="P4" s="782"/>
      <c r="Q4" s="782"/>
      <c r="R4" s="782"/>
      <c r="S4" s="782"/>
      <c r="T4" s="782"/>
      <c r="U4" s="782"/>
      <c r="V4" s="771"/>
      <c r="W4" s="771"/>
      <c r="X4" s="771"/>
      <c r="Y4" s="782"/>
      <c r="Z4" s="782"/>
      <c r="AA4" s="782"/>
      <c r="AB4" s="782"/>
      <c r="AC4" s="782"/>
      <c r="AD4" s="782"/>
      <c r="AE4" s="782"/>
      <c r="AF4" s="771"/>
      <c r="AG4" s="771"/>
      <c r="AH4" s="771"/>
      <c r="AI4" s="771"/>
      <c r="AJ4" s="771"/>
      <c r="AK4" s="782"/>
      <c r="AL4" s="782"/>
      <c r="AM4" s="782"/>
      <c r="AN4" s="782"/>
      <c r="AO4" s="782"/>
      <c r="AP4" s="782"/>
      <c r="AQ4" s="782"/>
      <c r="AR4" s="771"/>
      <c r="AS4" s="771"/>
      <c r="AT4" s="771"/>
      <c r="AU4" s="771"/>
      <c r="AV4" s="771"/>
      <c r="AW4" s="782"/>
      <c r="AX4" s="782"/>
      <c r="AY4" s="782"/>
      <c r="AZ4" s="782"/>
      <c r="BA4" s="782"/>
      <c r="BB4" s="782"/>
      <c r="BC4" s="782"/>
      <c r="BD4" s="771"/>
      <c r="BE4" s="771"/>
      <c r="BF4" s="771"/>
      <c r="BG4" s="782"/>
      <c r="BH4" s="782"/>
      <c r="BI4" s="782"/>
      <c r="BJ4" s="782"/>
      <c r="BK4" s="782"/>
    </row>
    <row r="5" spans="1:63" ht="20.25" x14ac:dyDescent="0.2">
      <c r="A5" s="2129"/>
      <c r="B5" s="2130" t="s">
        <v>1446</v>
      </c>
      <c r="C5" s="2130"/>
      <c r="D5" s="2130"/>
      <c r="E5" s="2130"/>
      <c r="F5" s="2130"/>
      <c r="G5" s="2130"/>
      <c r="H5" s="688"/>
      <c r="I5" s="782"/>
      <c r="J5" s="782"/>
      <c r="K5" s="782"/>
      <c r="L5" s="782"/>
      <c r="M5" s="782"/>
      <c r="N5" s="782"/>
      <c r="O5" s="782"/>
      <c r="P5" s="782"/>
      <c r="Q5" s="782"/>
      <c r="R5" s="782"/>
      <c r="S5" s="782"/>
      <c r="T5" s="782"/>
      <c r="U5" s="782"/>
      <c r="V5" s="8"/>
      <c r="W5" s="8"/>
      <c r="X5" s="8"/>
      <c r="Y5" s="782"/>
      <c r="Z5" s="782"/>
      <c r="AA5" s="782"/>
      <c r="AB5" s="782"/>
      <c r="AC5" s="782"/>
      <c r="AD5" s="782"/>
      <c r="AE5" s="782"/>
      <c r="AF5" s="8"/>
      <c r="AG5" s="8"/>
      <c r="AH5" s="8"/>
      <c r="AI5" s="8"/>
      <c r="AJ5" s="8"/>
      <c r="AK5" s="782"/>
      <c r="AL5" s="782"/>
      <c r="AM5" s="782"/>
      <c r="AN5" s="782"/>
      <c r="AO5" s="782"/>
      <c r="AP5" s="782"/>
      <c r="AQ5" s="782"/>
      <c r="AR5" s="8"/>
      <c r="AS5" s="8"/>
      <c r="AT5" s="8"/>
      <c r="AU5" s="8"/>
      <c r="AV5" s="8"/>
      <c r="AW5" s="782"/>
      <c r="AX5" s="782"/>
      <c r="AY5" s="782"/>
      <c r="AZ5" s="782"/>
      <c r="BA5" s="782"/>
      <c r="BB5" s="782"/>
      <c r="BC5" s="782"/>
      <c r="BD5" s="8"/>
      <c r="BE5" s="8"/>
      <c r="BF5" s="8"/>
      <c r="BG5" s="782"/>
      <c r="BH5" s="782"/>
      <c r="BI5" s="782"/>
      <c r="BJ5" s="782"/>
      <c r="BK5" s="782"/>
    </row>
    <row r="6" spans="1:63" ht="14.25" customHeight="1" thickBot="1" x14ac:dyDescent="0.25">
      <c r="A6" s="2129"/>
      <c r="B6" s="2130"/>
      <c r="C6" s="2130"/>
      <c r="D6" s="2130"/>
      <c r="E6" s="2130"/>
      <c r="F6" s="2130"/>
      <c r="G6" s="2130"/>
      <c r="H6" s="688" t="str">
        <f>$D$3</f>
        <v>Белый шёлк</v>
      </c>
      <c r="I6" s="782"/>
      <c r="J6" s="782"/>
      <c r="K6" s="782"/>
      <c r="L6" s="782"/>
      <c r="M6" s="782"/>
      <c r="N6" s="782"/>
      <c r="O6" s="782"/>
      <c r="P6" s="782"/>
      <c r="Q6" s="782"/>
      <c r="R6" s="782"/>
      <c r="S6" s="782"/>
      <c r="T6" s="782"/>
      <c r="U6" s="782"/>
      <c r="V6" s="8"/>
      <c r="W6" s="8"/>
      <c r="X6" s="8"/>
      <c r="Y6" s="782"/>
      <c r="Z6" s="782"/>
      <c r="AA6" s="782"/>
      <c r="AB6" s="782"/>
      <c r="AC6" s="782"/>
      <c r="AD6" s="782"/>
      <c r="AE6" s="782"/>
      <c r="AF6" s="8"/>
      <c r="AG6" s="8"/>
      <c r="AH6" s="8"/>
      <c r="AI6" s="8"/>
      <c r="AJ6" s="8"/>
      <c r="AK6" s="782"/>
      <c r="AL6" s="782"/>
      <c r="AM6" s="782"/>
      <c r="AN6" s="782"/>
      <c r="AO6" s="782"/>
      <c r="AP6" s="782"/>
      <c r="AQ6" s="782"/>
      <c r="AR6" s="8"/>
      <c r="AS6" s="8"/>
      <c r="AT6" s="8"/>
      <c r="AU6" s="8"/>
      <c r="AV6" s="8"/>
      <c r="AW6" s="782"/>
      <c r="AX6" s="782"/>
      <c r="AY6" s="782"/>
      <c r="AZ6" s="782"/>
      <c r="BA6" s="782"/>
      <c r="BB6" s="782"/>
      <c r="BC6" s="782"/>
      <c r="BD6" s="8"/>
      <c r="BE6" s="8"/>
      <c r="BF6" s="8"/>
      <c r="BG6" s="782"/>
      <c r="BH6" s="782"/>
      <c r="BI6" s="782"/>
      <c r="BJ6" s="782"/>
      <c r="BK6" s="782"/>
    </row>
    <row r="7" spans="1:63" ht="15.75" x14ac:dyDescent="0.2">
      <c r="A7" s="689"/>
      <c r="B7" s="690" t="s">
        <v>635</v>
      </c>
      <c r="C7" s="691"/>
      <c r="D7" s="2134" t="s">
        <v>1182</v>
      </c>
      <c r="E7" s="2134"/>
      <c r="F7" s="2134"/>
      <c r="G7" s="2134"/>
      <c r="H7" s="2135"/>
      <c r="I7" s="782"/>
      <c r="J7" s="782"/>
      <c r="K7" s="782"/>
      <c r="L7" s="782"/>
      <c r="M7" s="782"/>
      <c r="N7" s="782"/>
      <c r="O7" s="782"/>
      <c r="P7" s="782"/>
      <c r="Q7" s="782"/>
      <c r="R7" s="782"/>
      <c r="S7" s="782"/>
      <c r="T7" s="782"/>
      <c r="U7" s="782"/>
      <c r="V7" s="8"/>
      <c r="W7" s="8"/>
      <c r="X7" s="8"/>
      <c r="Y7" s="782"/>
      <c r="Z7" s="782"/>
      <c r="AA7" s="782"/>
      <c r="AB7" s="782"/>
      <c r="AC7" s="782"/>
      <c r="AD7" s="782"/>
      <c r="AE7" s="782"/>
      <c r="AF7" s="8"/>
      <c r="AG7" s="8"/>
      <c r="AH7" s="8"/>
      <c r="AI7" s="8"/>
      <c r="AJ7" s="8"/>
      <c r="AK7" s="782"/>
      <c r="AL7" s="782"/>
      <c r="AM7" s="782"/>
      <c r="AN7" s="782"/>
      <c r="AO7" s="782"/>
      <c r="AP7" s="782"/>
      <c r="AQ7" s="782"/>
      <c r="AR7" s="8"/>
      <c r="AS7" s="8"/>
      <c r="AT7" s="8"/>
      <c r="AU7" s="8"/>
      <c r="AV7" s="8"/>
      <c r="AW7" s="782"/>
      <c r="AX7" s="782"/>
      <c r="AY7" s="782"/>
      <c r="AZ7" s="782"/>
      <c r="BA7" s="782"/>
      <c r="BB7" s="782"/>
      <c r="BC7" s="782"/>
      <c r="BD7" s="8"/>
      <c r="BE7" s="8"/>
      <c r="BF7" s="8"/>
      <c r="BG7" s="782"/>
      <c r="BH7" s="782"/>
      <c r="BI7" s="782"/>
      <c r="BJ7" s="782"/>
      <c r="BK7" s="782"/>
    </row>
    <row r="8" spans="1:63" ht="16.5" thickBot="1" x14ac:dyDescent="0.25">
      <c r="A8" s="689"/>
      <c r="B8" s="1769" t="s">
        <v>1639</v>
      </c>
      <c r="C8" s="170">
        <v>450</v>
      </c>
      <c r="D8" s="95" t="s">
        <v>1689</v>
      </c>
      <c r="E8" s="692"/>
      <c r="F8" s="693"/>
      <c r="G8" s="694"/>
      <c r="H8" s="2125" t="str">
        <f>IF(СОДЕРЖАНИЕ!P2=1,"EUR","RUB")</f>
        <v>RUB</v>
      </c>
      <c r="I8" s="782"/>
      <c r="J8" s="782"/>
      <c r="K8" s="782"/>
      <c r="L8" s="782"/>
      <c r="M8" s="782"/>
      <c r="N8" s="782"/>
      <c r="O8" s="782"/>
      <c r="P8" s="782"/>
      <c r="Q8" s="782"/>
      <c r="R8" s="782"/>
      <c r="S8" s="782"/>
      <c r="T8" s="782"/>
      <c r="U8" s="782"/>
      <c r="V8" s="8"/>
      <c r="W8" s="8"/>
      <c r="X8" s="8"/>
      <c r="Y8" s="782"/>
      <c r="Z8" s="782"/>
      <c r="AA8" s="782"/>
      <c r="AB8" s="782"/>
      <c r="AC8" s="782"/>
      <c r="AD8" s="782"/>
      <c r="AE8" s="782"/>
      <c r="AF8" s="8"/>
      <c r="AG8" s="8"/>
      <c r="AH8" s="8"/>
      <c r="AI8" s="8"/>
      <c r="AJ8" s="8"/>
      <c r="AK8" s="782"/>
      <c r="AL8" s="782"/>
      <c r="AM8" s="782"/>
      <c r="AN8" s="782"/>
      <c r="AO8" s="782"/>
      <c r="AP8" s="782"/>
      <c r="AQ8" s="782"/>
      <c r="AR8" s="8"/>
      <c r="AS8" s="8"/>
      <c r="AT8" s="8"/>
      <c r="AU8" s="8"/>
      <c r="AV8" s="8"/>
      <c r="AW8" s="782"/>
      <c r="AX8" s="782"/>
      <c r="AY8" s="782"/>
      <c r="AZ8" s="782"/>
      <c r="BA8" s="782"/>
      <c r="BB8" s="782"/>
      <c r="BC8" s="782"/>
      <c r="BD8" s="8"/>
      <c r="BE8" s="8"/>
      <c r="BF8" s="8"/>
      <c r="BG8" s="782"/>
      <c r="BH8" s="782"/>
      <c r="BI8" s="782"/>
      <c r="BJ8" s="782"/>
      <c r="BK8" s="782"/>
    </row>
    <row r="9" spans="1:63" x14ac:dyDescent="0.2">
      <c r="A9" s="2131"/>
      <c r="B9" s="2231"/>
      <c r="C9" s="695" t="s">
        <v>1301</v>
      </c>
      <c r="D9" s="139" t="s">
        <v>784</v>
      </c>
      <c r="E9" s="140" t="s">
        <v>2117</v>
      </c>
      <c r="F9" s="139"/>
      <c r="G9" s="159" t="s">
        <v>2116</v>
      </c>
      <c r="H9" s="2126"/>
      <c r="I9" s="786"/>
      <c r="J9" s="786"/>
      <c r="K9" s="786"/>
      <c r="L9" s="786"/>
      <c r="M9" s="786"/>
      <c r="N9" s="786"/>
      <c r="O9" s="786"/>
      <c r="P9" s="786"/>
      <c r="Q9" s="786"/>
      <c r="R9" s="786"/>
      <c r="S9" s="786"/>
      <c r="T9" s="786"/>
      <c r="U9" s="786"/>
      <c r="V9" s="8"/>
      <c r="W9" s="88"/>
      <c r="X9" s="8"/>
      <c r="Y9" s="786"/>
      <c r="Z9" s="786"/>
      <c r="AA9" s="786"/>
      <c r="AB9" s="786"/>
      <c r="AC9" s="786"/>
      <c r="AD9" s="786"/>
      <c r="AE9" s="786"/>
      <c r="AF9" s="8"/>
      <c r="AG9" s="8"/>
      <c r="AH9" s="8"/>
      <c r="AI9" s="88"/>
      <c r="AJ9" s="8"/>
      <c r="AK9" s="786"/>
      <c r="AL9" s="786"/>
      <c r="AM9" s="786"/>
      <c r="AN9" s="786"/>
      <c r="AO9" s="786"/>
      <c r="AP9" s="786"/>
      <c r="AQ9" s="786"/>
      <c r="AR9" s="8"/>
      <c r="AS9" s="8"/>
      <c r="AT9" s="8"/>
      <c r="AU9" s="88"/>
      <c r="AV9" s="8"/>
      <c r="AW9" s="786"/>
      <c r="AX9" s="786"/>
      <c r="AY9" s="786"/>
      <c r="AZ9" s="786"/>
      <c r="BA9" s="786"/>
      <c r="BB9" s="786"/>
      <c r="BC9" s="786"/>
      <c r="BD9" s="8"/>
      <c r="BE9" s="8"/>
      <c r="BF9" s="8"/>
      <c r="BG9" s="782"/>
      <c r="BH9" s="782"/>
      <c r="BI9" s="782"/>
      <c r="BJ9" s="782"/>
      <c r="BK9" s="782"/>
    </row>
    <row r="10" spans="1:63" ht="12.75" customHeight="1" x14ac:dyDescent="0.2">
      <c r="A10" s="2131"/>
      <c r="B10" s="2232"/>
      <c r="C10" s="138" t="str">
        <f>VLOOKUP(C8,NAATOBM,2,FALSE)</f>
        <v>2792107/</v>
      </c>
      <c r="D10" s="43" t="str">
        <f t="shared" ref="D10:D21" si="0">VLOOKUP(C10,всецены,2,FALSE)</f>
        <v xml:space="preserve">TBX-A, Царга 68/450 мм, бел, лев NEW    </v>
      </c>
      <c r="E10" s="3">
        <v>1</v>
      </c>
      <c r="F10" s="12">
        <f t="shared" ref="F10:F21" si="1">VLOOKUP(C10,всецены,4,FALSE)</f>
        <v>552.17121959999997</v>
      </c>
      <c r="G10" s="160">
        <f t="shared" ref="G10:G21" si="2">F10*E10</f>
        <v>552.17121959999997</v>
      </c>
      <c r="H10" s="2091">
        <f>SUM(G10:G21)</f>
        <v>3516.3304176000011</v>
      </c>
      <c r="I10" s="786"/>
      <c r="J10" s="215" t="s">
        <v>1640</v>
      </c>
      <c r="K10" s="771"/>
      <c r="L10" s="28" t="s">
        <v>3172</v>
      </c>
      <c r="M10" s="28"/>
      <c r="N10" s="28"/>
      <c r="O10" s="28"/>
      <c r="P10" s="28"/>
      <c r="Q10" s="28"/>
      <c r="R10" s="28"/>
      <c r="S10" s="28"/>
      <c r="T10" s="8"/>
      <c r="U10" s="8"/>
      <c r="V10" s="96" t="s">
        <v>1640</v>
      </c>
      <c r="W10" s="28"/>
      <c r="X10" s="28"/>
      <c r="Y10" s="28"/>
      <c r="Z10" s="28"/>
      <c r="AA10" s="28"/>
      <c r="AB10" s="28"/>
      <c r="AC10" s="28"/>
      <c r="AD10" s="28"/>
      <c r="AE10" s="28"/>
      <c r="AF10" s="8"/>
      <c r="AG10" s="8"/>
      <c r="AH10" s="96" t="s">
        <v>1640</v>
      </c>
      <c r="AI10" s="28"/>
      <c r="AJ10" s="28"/>
      <c r="AK10" s="28"/>
      <c r="AL10" s="28"/>
      <c r="AM10" s="28"/>
      <c r="AN10" s="28"/>
      <c r="AO10" s="28"/>
      <c r="AP10" s="28"/>
      <c r="AQ10" s="28"/>
      <c r="AR10" s="8"/>
      <c r="AS10" s="8"/>
      <c r="AT10" s="96" t="s">
        <v>1640</v>
      </c>
      <c r="AU10" s="28"/>
      <c r="AV10" s="28"/>
      <c r="AW10" s="28"/>
      <c r="AX10" s="28"/>
      <c r="AY10" s="28"/>
      <c r="AZ10" s="28"/>
      <c r="BA10" s="28"/>
      <c r="BB10" s="28"/>
      <c r="BC10" s="28"/>
      <c r="BD10" s="8"/>
      <c r="BE10" s="8"/>
      <c r="BF10" s="8"/>
      <c r="BG10" s="782"/>
      <c r="BH10" s="782"/>
      <c r="BI10" s="782"/>
      <c r="BJ10" s="782"/>
      <c r="BK10" s="782"/>
    </row>
    <row r="11" spans="1:63" ht="12.75" customHeight="1" x14ac:dyDescent="0.2">
      <c r="A11" s="2131"/>
      <c r="B11" s="2073"/>
      <c r="C11" s="138" t="str">
        <f>VLOOKUP(C8,NAATOBM,3,FALSE)</f>
        <v>2750024/</v>
      </c>
      <c r="D11" s="43" t="str">
        <f>IF(C11=" ","",VLOOKUP(C11,всецены,2,FALSE))</f>
        <v xml:space="preserve">TBX-A, Царга 68/450 мм, бел, пр NEW     </v>
      </c>
      <c r="E11" s="3">
        <v>1</v>
      </c>
      <c r="F11" s="12">
        <f t="shared" si="1"/>
        <v>552.17121959999997</v>
      </c>
      <c r="G11" s="160">
        <f>IF(C11=" "," ",F11*E11)</f>
        <v>552.17121959999997</v>
      </c>
      <c r="H11" s="2092"/>
      <c r="I11" s="786"/>
      <c r="J11" s="2121" t="str">
        <f>D3</f>
        <v>Белый шёлк</v>
      </c>
      <c r="K11" s="2121"/>
      <c r="L11" s="2121"/>
      <c r="M11" s="2121"/>
      <c r="N11" s="2121"/>
      <c r="O11" s="2121"/>
      <c r="P11" s="2121"/>
      <c r="Q11" s="2121"/>
      <c r="R11" s="2121"/>
      <c r="S11" s="2121"/>
      <c r="T11" s="2121"/>
      <c r="U11" s="2121"/>
      <c r="V11" s="2123" t="s">
        <v>2390</v>
      </c>
      <c r="W11" s="2123"/>
      <c r="X11" s="2123"/>
      <c r="Y11" s="2123"/>
      <c r="Z11" s="2123"/>
      <c r="AA11" s="2123"/>
      <c r="AB11" s="2123"/>
      <c r="AC11" s="2123"/>
      <c r="AD11" s="2123"/>
      <c r="AE11" s="2123"/>
      <c r="AF11" s="2123"/>
      <c r="AG11" s="2123"/>
      <c r="AH11" s="2124" t="s">
        <v>2357</v>
      </c>
      <c r="AI11" s="2124"/>
      <c r="AJ11" s="2124"/>
      <c r="AK11" s="2124"/>
      <c r="AL11" s="2124"/>
      <c r="AM11" s="2124"/>
      <c r="AN11" s="2124"/>
      <c r="AO11" s="2124"/>
      <c r="AP11" s="2124"/>
      <c r="AQ11" s="2124"/>
      <c r="AR11" s="2124"/>
      <c r="AS11" s="2124"/>
      <c r="AT11" s="2122" t="s">
        <v>2389</v>
      </c>
      <c r="AU11" s="2122"/>
      <c r="AV11" s="2122"/>
      <c r="AW11" s="2122"/>
      <c r="AX11" s="2122"/>
      <c r="AY11" s="2122"/>
      <c r="AZ11" s="2122"/>
      <c r="BA11" s="2122"/>
      <c r="BB11" s="2122"/>
      <c r="BC11" s="2122"/>
      <c r="BD11" s="2122"/>
      <c r="BE11" s="2122"/>
      <c r="BF11" s="8"/>
      <c r="BG11" s="782"/>
      <c r="BH11" s="782"/>
      <c r="BI11" s="782"/>
      <c r="BJ11" s="782"/>
      <c r="BK11" s="782"/>
    </row>
    <row r="12" spans="1:63" ht="12.75" customHeight="1" x14ac:dyDescent="0.2">
      <c r="A12" s="2131"/>
      <c r="B12" s="2073"/>
      <c r="C12" s="138" t="str">
        <f>VLOOKUP(C8,$K$65:$M$71,2,FALSE)</f>
        <v>7929487/</v>
      </c>
      <c r="D12" s="43" t="str">
        <f t="shared" si="0"/>
        <v>TBX, Tip-on BM, Напр, 30 кг, 450 мм, лев</v>
      </c>
      <c r="E12" s="3">
        <v>1</v>
      </c>
      <c r="F12" s="12">
        <f t="shared" si="1"/>
        <v>595.27147680000007</v>
      </c>
      <c r="G12" s="160">
        <f t="shared" si="2"/>
        <v>595.27147680000007</v>
      </c>
      <c r="H12" s="2092"/>
      <c r="I12" s="782"/>
      <c r="J12" s="8"/>
      <c r="K12" s="1767" t="s">
        <v>1645</v>
      </c>
      <c r="L12" s="1767" t="s">
        <v>1644</v>
      </c>
      <c r="M12" s="1767" t="s">
        <v>3179</v>
      </c>
      <c r="N12" s="1767" t="s">
        <v>3175</v>
      </c>
      <c r="O12" s="1767" t="s">
        <v>3177</v>
      </c>
      <c r="P12" s="1767" t="s">
        <v>3178</v>
      </c>
      <c r="Q12" s="1767"/>
      <c r="R12" s="1767"/>
      <c r="S12" s="1767" t="s">
        <v>3176</v>
      </c>
      <c r="T12" s="8" t="s">
        <v>1641</v>
      </c>
      <c r="U12" s="8" t="s">
        <v>1642</v>
      </c>
      <c r="V12" s="8"/>
      <c r="W12" s="1767" t="s">
        <v>1645</v>
      </c>
      <c r="X12" s="1767" t="s">
        <v>1644</v>
      </c>
      <c r="Y12" s="1767" t="s">
        <v>3179</v>
      </c>
      <c r="Z12" s="1767" t="s">
        <v>3175</v>
      </c>
      <c r="AA12" s="1767" t="s">
        <v>3177</v>
      </c>
      <c r="AB12" s="1767" t="s">
        <v>3178</v>
      </c>
      <c r="AC12" s="1767"/>
      <c r="AD12" s="1767"/>
      <c r="AE12" s="1767" t="s">
        <v>3176</v>
      </c>
      <c r="AF12" s="8" t="s">
        <v>1641</v>
      </c>
      <c r="AG12" s="8" t="s">
        <v>1642</v>
      </c>
      <c r="AH12" s="8"/>
      <c r="AI12" s="1767" t="s">
        <v>1645</v>
      </c>
      <c r="AJ12" s="1767" t="s">
        <v>1644</v>
      </c>
      <c r="AK12" s="1767" t="s">
        <v>3179</v>
      </c>
      <c r="AL12" s="1767" t="s">
        <v>3175</v>
      </c>
      <c r="AM12" s="1767" t="s">
        <v>3177</v>
      </c>
      <c r="AN12" s="1767" t="s">
        <v>3178</v>
      </c>
      <c r="AO12" s="1767"/>
      <c r="AP12" s="1767"/>
      <c r="AQ12" s="1767" t="s">
        <v>3176</v>
      </c>
      <c r="AR12" s="8" t="s">
        <v>1641</v>
      </c>
      <c r="AS12" s="8" t="s">
        <v>1642</v>
      </c>
      <c r="AT12" s="8"/>
      <c r="AU12" s="1767" t="s">
        <v>1645</v>
      </c>
      <c r="AV12" s="1767" t="s">
        <v>1644</v>
      </c>
      <c r="AW12" s="1767" t="s">
        <v>3179</v>
      </c>
      <c r="AX12" s="1767" t="s">
        <v>3175</v>
      </c>
      <c r="AY12" s="1767" t="s">
        <v>3177</v>
      </c>
      <c r="AZ12" s="1767" t="s">
        <v>3178</v>
      </c>
      <c r="BA12" s="1767"/>
      <c r="BB12" s="1767"/>
      <c r="BC12" s="1767" t="s">
        <v>3176</v>
      </c>
      <c r="BD12" s="8" t="s">
        <v>1641</v>
      </c>
      <c r="BE12" s="8" t="s">
        <v>1642</v>
      </c>
      <c r="BF12" s="8"/>
      <c r="BG12" s="782"/>
      <c r="BH12" s="782"/>
      <c r="BI12" s="782"/>
      <c r="BJ12" s="782"/>
      <c r="BK12" s="782"/>
    </row>
    <row r="13" spans="1:63" ht="12.75" customHeight="1" x14ac:dyDescent="0.2">
      <c r="A13" s="2131"/>
      <c r="B13" s="2073"/>
      <c r="C13" s="138" t="str">
        <f>VLOOKUP(C8,$K$65:$M$71,3,FALSE)</f>
        <v>7917701/</v>
      </c>
      <c r="D13" s="43" t="str">
        <f t="shared" si="0"/>
        <v xml:space="preserve">TBX, Tip-on BM, Напр, 30 кг, 450 мм, пр </v>
      </c>
      <c r="E13" s="3">
        <v>1</v>
      </c>
      <c r="F13" s="12">
        <f t="shared" si="1"/>
        <v>595.27147680000007</v>
      </c>
      <c r="G13" s="160">
        <f t="shared" si="2"/>
        <v>595.27147680000007</v>
      </c>
      <c r="H13" s="2092"/>
      <c r="I13" s="782"/>
      <c r="J13" s="8">
        <v>450</v>
      </c>
      <c r="K13" s="2" t="str">
        <f t="shared" ref="K13:P14" si="3">IF($D$3=$V$11,W13,IF($D$3=$AH$11,AI13,AU13))</f>
        <v>2792107/</v>
      </c>
      <c r="L13" s="2" t="str">
        <f t="shared" si="3"/>
        <v>2750024/</v>
      </c>
      <c r="M13" s="2" t="str">
        <f t="shared" si="3"/>
        <v>2118602/</v>
      </c>
      <c r="N13" s="2" t="str">
        <f t="shared" si="3"/>
        <v>2118782/</v>
      </c>
      <c r="O13" s="2">
        <f t="shared" si="3"/>
        <v>0</v>
      </c>
      <c r="P13" s="2">
        <f t="shared" si="3"/>
        <v>0</v>
      </c>
      <c r="Q13" s="1126"/>
      <c r="R13" s="1126"/>
      <c r="S13" s="2" t="str">
        <f>IF($D$3=$V$11,AE13,IF($D$3=$AH$11,AQ13,BC13))</f>
        <v>8046152/</v>
      </c>
      <c r="T13" s="1371" t="s">
        <v>4519</v>
      </c>
      <c r="U13" s="1371" t="s">
        <v>4518</v>
      </c>
      <c r="V13" s="8">
        <v>450</v>
      </c>
      <c r="W13" s="2" t="s">
        <v>3870</v>
      </c>
      <c r="X13" s="2" t="s">
        <v>2257</v>
      </c>
      <c r="Y13" s="1130" t="s">
        <v>2415</v>
      </c>
      <c r="Z13" s="1130" t="s">
        <v>2416</v>
      </c>
      <c r="AA13" s="1130" t="s">
        <v>765</v>
      </c>
      <c r="AB13" s="1130" t="s">
        <v>1897</v>
      </c>
      <c r="AC13" s="1134"/>
      <c r="AD13" s="1134"/>
      <c r="AE13" s="1126" t="s">
        <v>1022</v>
      </c>
      <c r="AF13" s="1371" t="s">
        <v>4519</v>
      </c>
      <c r="AG13" s="1371" t="s">
        <v>4518</v>
      </c>
      <c r="AH13" s="8">
        <v>450</v>
      </c>
      <c r="AI13" s="1131" t="s">
        <v>1868</v>
      </c>
      <c r="AJ13" s="1131" t="s">
        <v>1867</v>
      </c>
      <c r="AK13" s="1133" t="s">
        <v>532</v>
      </c>
      <c r="AL13" s="1133" t="s">
        <v>534</v>
      </c>
      <c r="AM13" s="1126"/>
      <c r="AN13" s="1126"/>
      <c r="AO13" s="1126"/>
      <c r="AP13" s="1126"/>
      <c r="AQ13" s="2" t="s">
        <v>1516</v>
      </c>
      <c r="AR13" s="1371" t="s">
        <v>4519</v>
      </c>
      <c r="AS13" s="1371" t="s">
        <v>4518</v>
      </c>
      <c r="AT13" s="8">
        <v>450</v>
      </c>
      <c r="AU13" s="2" t="s">
        <v>5195</v>
      </c>
      <c r="AV13" s="2" t="s">
        <v>5196</v>
      </c>
      <c r="AW13" s="1134" t="s">
        <v>2032</v>
      </c>
      <c r="AX13" s="1134" t="s">
        <v>2033</v>
      </c>
      <c r="AY13" s="1126"/>
      <c r="AZ13" s="1126"/>
      <c r="BA13" s="88"/>
      <c r="BB13" s="88"/>
      <c r="BC13" s="782" t="s">
        <v>1021</v>
      </c>
      <c r="BD13" s="1371" t="s">
        <v>4519</v>
      </c>
      <c r="BE13" s="1371" t="s">
        <v>4518</v>
      </c>
      <c r="BF13" s="8"/>
      <c r="BG13" s="782"/>
      <c r="BH13" s="782"/>
      <c r="BI13" s="782"/>
      <c r="BJ13" s="782"/>
      <c r="BK13" s="782"/>
    </row>
    <row r="14" spans="1:63" ht="12.75" customHeight="1" x14ac:dyDescent="0.2">
      <c r="A14" s="2131"/>
      <c r="B14" s="2073"/>
      <c r="C14" s="138" t="str">
        <f>VLOOKUP(C8,NAATOBM,10,FALSE)</f>
        <v>8046152/</v>
      </c>
      <c r="D14" s="43" t="str">
        <f t="shared" si="0"/>
        <v>TBX-A, Загл с лого, бел, сим,ZAA.532C.BL</v>
      </c>
      <c r="E14" s="3">
        <v>2</v>
      </c>
      <c r="F14" s="12">
        <f t="shared" si="1"/>
        <v>8.9453364000000004</v>
      </c>
      <c r="G14" s="160">
        <f t="shared" si="2"/>
        <v>17.890672800000001</v>
      </c>
      <c r="H14" s="2092"/>
      <c r="I14" s="782"/>
      <c r="J14" s="8">
        <v>500</v>
      </c>
      <c r="K14" s="2" t="str">
        <f t="shared" si="3"/>
        <v>2828344/</v>
      </c>
      <c r="L14" s="2" t="str">
        <f t="shared" si="3"/>
        <v>2893126/</v>
      </c>
      <c r="M14" s="2" t="str">
        <f t="shared" si="3"/>
        <v>2118602/</v>
      </c>
      <c r="N14" s="2" t="str">
        <f t="shared" si="3"/>
        <v>2118782/</v>
      </c>
      <c r="O14" s="2">
        <f t="shared" si="3"/>
        <v>0</v>
      </c>
      <c r="P14" s="2">
        <f t="shared" si="3"/>
        <v>0</v>
      </c>
      <c r="Q14" s="1126"/>
      <c r="R14" s="1126"/>
      <c r="S14" s="2" t="str">
        <f>IF($D$3=$V$11,AE14,IF($D$3=$AH$11,AQ14,BC14))</f>
        <v>8046152/</v>
      </c>
      <c r="T14" s="1371" t="s">
        <v>4522</v>
      </c>
      <c r="U14" s="1371" t="s">
        <v>4521</v>
      </c>
      <c r="V14" s="8">
        <v>500</v>
      </c>
      <c r="W14" s="1130" t="s">
        <v>2534</v>
      </c>
      <c r="X14" s="1130" t="s">
        <v>2533</v>
      </c>
      <c r="Y14" s="1130" t="s">
        <v>2415</v>
      </c>
      <c r="Z14" s="1130" t="s">
        <v>2416</v>
      </c>
      <c r="AA14" s="1130" t="s">
        <v>28</v>
      </c>
      <c r="AB14" s="1130" t="s">
        <v>1548</v>
      </c>
      <c r="AC14" s="1134"/>
      <c r="AD14" s="1134"/>
      <c r="AE14" s="1126" t="s">
        <v>1022</v>
      </c>
      <c r="AF14" s="1371" t="s">
        <v>4522</v>
      </c>
      <c r="AG14" s="1371" t="s">
        <v>4521</v>
      </c>
      <c r="AH14" s="8">
        <v>500</v>
      </c>
      <c r="AI14" s="1131" t="s">
        <v>5199</v>
      </c>
      <c r="AJ14" s="1131" t="s">
        <v>5200</v>
      </c>
      <c r="AK14" s="1133" t="s">
        <v>532</v>
      </c>
      <c r="AL14" s="1133" t="s">
        <v>534</v>
      </c>
      <c r="AM14" s="1126"/>
      <c r="AN14" s="1126"/>
      <c r="AO14" s="1126"/>
      <c r="AP14" s="1126"/>
      <c r="AQ14" s="2" t="s">
        <v>1516</v>
      </c>
      <c r="AR14" s="1371" t="s">
        <v>4522</v>
      </c>
      <c r="AS14" s="1371" t="s">
        <v>4521</v>
      </c>
      <c r="AT14" s="8">
        <v>500</v>
      </c>
      <c r="AU14" s="1369" t="s">
        <v>3505</v>
      </c>
      <c r="AV14" s="1369" t="s">
        <v>3506</v>
      </c>
      <c r="AW14" s="1134" t="s">
        <v>2032</v>
      </c>
      <c r="AX14" s="1134" t="s">
        <v>2033</v>
      </c>
      <c r="AY14" s="1126"/>
      <c r="AZ14" s="1126"/>
      <c r="BA14" s="88"/>
      <c r="BB14" s="88"/>
      <c r="BC14" s="782" t="s">
        <v>1021</v>
      </c>
      <c r="BD14" s="1371" t="s">
        <v>4522</v>
      </c>
      <c r="BE14" s="1371" t="s">
        <v>4521</v>
      </c>
      <c r="BF14" s="8"/>
      <c r="BG14" s="782"/>
      <c r="BH14" s="782"/>
      <c r="BI14" s="782"/>
      <c r="BJ14" s="782"/>
      <c r="BK14" s="782"/>
    </row>
    <row r="15" spans="1:63" ht="12.75" customHeight="1" x14ac:dyDescent="0.2">
      <c r="A15" s="274"/>
      <c r="B15" s="2073"/>
      <c r="C15" s="138" t="s">
        <v>4511</v>
      </c>
      <c r="D15" s="43" t="str">
        <f t="shared" si="0"/>
        <v xml:space="preserve">TBX, Крепл фасада INSERTA, NEW ZSF.39A2 </v>
      </c>
      <c r="E15" s="3">
        <v>2</v>
      </c>
      <c r="F15" s="12">
        <f t="shared" si="1"/>
        <v>43.913469600000006</v>
      </c>
      <c r="G15" s="160">
        <f t="shared" si="2"/>
        <v>87.826939200000012</v>
      </c>
      <c r="H15" s="2092"/>
      <c r="I15" s="782"/>
      <c r="J15" s="782"/>
      <c r="K15" s="782">
        <v>2</v>
      </c>
      <c r="L15" s="782">
        <v>3</v>
      </c>
      <c r="M15" s="782">
        <v>4</v>
      </c>
      <c r="N15" s="782">
        <v>5</v>
      </c>
      <c r="O15" s="782">
        <v>6</v>
      </c>
      <c r="P15" s="782">
        <v>7</v>
      </c>
      <c r="Q15" s="782"/>
      <c r="R15" s="782"/>
      <c r="S15" s="782">
        <v>8</v>
      </c>
      <c r="T15" s="782">
        <v>9</v>
      </c>
      <c r="U15" s="782">
        <v>10</v>
      </c>
      <c r="V15" s="8"/>
      <c r="W15" s="8"/>
      <c r="X15" s="8"/>
      <c r="Y15" s="782"/>
      <c r="Z15" s="782"/>
      <c r="AA15" s="782"/>
      <c r="AB15" s="782"/>
      <c r="AC15" s="782"/>
      <c r="AD15" s="782"/>
      <c r="AE15" s="782"/>
      <c r="AF15" s="8"/>
      <c r="AG15" s="8"/>
      <c r="AH15" s="8"/>
      <c r="AI15" s="8"/>
      <c r="AJ15" s="8"/>
      <c r="AK15" s="782"/>
      <c r="AL15" s="782"/>
      <c r="AM15" s="782"/>
      <c r="AN15" s="782"/>
      <c r="AO15" s="782"/>
      <c r="AP15" s="782"/>
      <c r="AQ15" s="782"/>
      <c r="AR15" s="8"/>
      <c r="AS15" s="8"/>
      <c r="AT15" s="8"/>
      <c r="AU15" s="8"/>
      <c r="AV15" s="8"/>
      <c r="AW15" s="782"/>
      <c r="AX15" s="782"/>
      <c r="AY15" s="782"/>
      <c r="AZ15" s="782"/>
      <c r="BA15" s="782"/>
      <c r="BB15" s="782"/>
      <c r="BC15" s="782"/>
      <c r="BD15" s="8"/>
      <c r="BE15" s="8"/>
      <c r="BF15" s="8"/>
      <c r="BG15" s="782"/>
      <c r="BH15" s="782"/>
      <c r="BI15" s="782"/>
      <c r="BJ15" s="782"/>
      <c r="BK15" s="782"/>
    </row>
    <row r="16" spans="1:63" s="1761" customFormat="1" ht="12.75" customHeight="1" x14ac:dyDescent="0.2">
      <c r="A16" s="274"/>
      <c r="B16" s="2073"/>
      <c r="C16" s="1785" t="str">
        <f>VLOOKUP(C8,$K$65:$O$71,4,0)</f>
        <v>1829780/</v>
      </c>
      <c r="D16" s="43" t="str">
        <f t="shared" si="0"/>
        <v xml:space="preserve">TBX, Tip-on BM, L3,350-600, пр T60B3533 </v>
      </c>
      <c r="E16" s="3">
        <v>1</v>
      </c>
      <c r="F16" s="12">
        <f t="shared" si="1"/>
        <v>473.28961680000003</v>
      </c>
      <c r="G16" s="160">
        <f t="shared" si="2"/>
        <v>473.28961680000003</v>
      </c>
      <c r="H16" s="2092"/>
      <c r="I16" s="782"/>
      <c r="J16" s="782"/>
      <c r="K16" s="782"/>
      <c r="L16" s="782"/>
      <c r="M16" s="782"/>
      <c r="N16" s="782"/>
      <c r="O16" s="782"/>
      <c r="P16" s="782"/>
      <c r="Q16" s="782"/>
      <c r="R16" s="782"/>
      <c r="S16" s="782"/>
      <c r="T16" s="782"/>
      <c r="U16" s="782"/>
      <c r="V16" s="8"/>
      <c r="W16" s="8"/>
      <c r="X16" s="8"/>
      <c r="Y16" s="782"/>
      <c r="Z16" s="782"/>
      <c r="AA16" s="782"/>
      <c r="AB16" s="782"/>
      <c r="AC16" s="782"/>
      <c r="AD16" s="782"/>
      <c r="AE16" s="782"/>
      <c r="AF16" s="8"/>
      <c r="AG16" s="8"/>
      <c r="AH16" s="8"/>
      <c r="AI16" s="8"/>
      <c r="AJ16" s="8"/>
      <c r="AK16" s="782"/>
      <c r="AL16" s="782"/>
      <c r="AM16" s="782"/>
      <c r="AN16" s="782"/>
      <c r="AO16" s="782"/>
      <c r="AP16" s="782"/>
      <c r="AQ16" s="782"/>
      <c r="AR16" s="8"/>
      <c r="AS16" s="8"/>
      <c r="AT16" s="8"/>
      <c r="AU16" s="8"/>
      <c r="AV16" s="8"/>
      <c r="AW16" s="782"/>
      <c r="AX16" s="782"/>
      <c r="AY16" s="782"/>
      <c r="AZ16" s="782"/>
      <c r="BA16" s="782"/>
      <c r="BB16" s="782"/>
      <c r="BC16" s="782"/>
      <c r="BD16" s="8"/>
      <c r="BE16" s="8"/>
      <c r="BF16" s="8"/>
      <c r="BG16" s="782"/>
      <c r="BH16" s="782"/>
      <c r="BI16" s="782"/>
      <c r="BJ16" s="782"/>
      <c r="BK16" s="782"/>
    </row>
    <row r="17" spans="1:63" s="1761" customFormat="1" ht="12.75" customHeight="1" x14ac:dyDescent="0.2">
      <c r="A17" s="274"/>
      <c r="B17" s="2073"/>
      <c r="C17" s="1785" t="str">
        <f>VLOOKUP(C8,$K$65:$O$71,5,0)</f>
        <v>8903805/</v>
      </c>
      <c r="D17" s="43" t="str">
        <f t="shared" si="0"/>
        <v>TBX, Tip-on BM, L3,350-600, лев T60B3533</v>
      </c>
      <c r="E17" s="3">
        <v>1</v>
      </c>
      <c r="F17" s="12">
        <f t="shared" si="1"/>
        <v>473.28961680000003</v>
      </c>
      <c r="G17" s="160">
        <f t="shared" si="2"/>
        <v>473.28961680000003</v>
      </c>
      <c r="H17" s="2092"/>
      <c r="I17" s="782"/>
      <c r="J17" s="782"/>
      <c r="K17" s="782"/>
      <c r="L17" s="782"/>
      <c r="M17" s="782"/>
      <c r="N17" s="782"/>
      <c r="O17" s="782"/>
      <c r="P17" s="782"/>
      <c r="Q17" s="782"/>
      <c r="R17" s="782"/>
      <c r="S17" s="782"/>
      <c r="T17" s="782"/>
      <c r="U17" s="782"/>
      <c r="V17" s="8"/>
      <c r="W17" s="8"/>
      <c r="X17" s="8"/>
      <c r="Y17" s="782"/>
      <c r="Z17" s="782"/>
      <c r="AA17" s="782"/>
      <c r="AB17" s="782"/>
      <c r="AC17" s="782"/>
      <c r="AD17" s="782"/>
      <c r="AE17" s="782"/>
      <c r="AF17" s="8"/>
      <c r="AG17" s="8"/>
      <c r="AH17" s="8"/>
      <c r="AI17" s="8"/>
      <c r="AJ17" s="8"/>
      <c r="AK17" s="782"/>
      <c r="AL17" s="782"/>
      <c r="AM17" s="782"/>
      <c r="AN17" s="782"/>
      <c r="AO17" s="782"/>
      <c r="AP17" s="782"/>
      <c r="AQ17" s="782"/>
      <c r="AR17" s="8"/>
      <c r="AS17" s="8"/>
      <c r="AT17" s="8"/>
      <c r="AU17" s="8"/>
      <c r="AV17" s="8"/>
      <c r="AW17" s="782"/>
      <c r="AX17" s="782"/>
      <c r="AY17" s="782"/>
      <c r="AZ17" s="782"/>
      <c r="BA17" s="782"/>
      <c r="BB17" s="782"/>
      <c r="BC17" s="782"/>
      <c r="BD17" s="8"/>
      <c r="BE17" s="8"/>
      <c r="BF17" s="8"/>
      <c r="BG17" s="782"/>
      <c r="BH17" s="782"/>
      <c r="BI17" s="782"/>
      <c r="BJ17" s="782"/>
      <c r="BK17" s="782"/>
    </row>
    <row r="18" spans="1:63" s="1761" customFormat="1" ht="12.75" customHeight="1" x14ac:dyDescent="0.2">
      <c r="A18" s="274"/>
      <c r="B18" s="2073"/>
      <c r="C18" s="1790" t="s">
        <v>3930</v>
      </c>
      <c r="D18" s="43" t="str">
        <f>VLOOKUP(C18,всецены,2,FALSE)</f>
        <v xml:space="preserve">TBX, Tip-on BM, триггер, лев. T60B3009  </v>
      </c>
      <c r="E18" s="3">
        <v>1</v>
      </c>
      <c r="F18" s="12">
        <f>VLOOKUP(C18,всецены,4,FALSE)</f>
        <v>40.660620000000002</v>
      </c>
      <c r="G18" s="160">
        <f>F18*E18</f>
        <v>40.660620000000002</v>
      </c>
      <c r="H18" s="2092"/>
      <c r="I18" s="782"/>
      <c r="J18" s="782"/>
      <c r="K18" s="782"/>
      <c r="L18" s="782"/>
      <c r="M18" s="782"/>
      <c r="N18" s="782"/>
      <c r="O18" s="782"/>
      <c r="P18" s="782"/>
      <c r="Q18" s="782"/>
      <c r="R18" s="782"/>
      <c r="S18" s="782"/>
      <c r="T18" s="782"/>
      <c r="U18" s="782"/>
      <c r="V18" s="8"/>
      <c r="W18" s="8"/>
      <c r="X18" s="8"/>
      <c r="Y18" s="782"/>
      <c r="Z18" s="782"/>
      <c r="AA18" s="782"/>
      <c r="AB18" s="782"/>
      <c r="AC18" s="782"/>
      <c r="AD18" s="782"/>
      <c r="AE18" s="782"/>
      <c r="AF18" s="8"/>
      <c r="AG18" s="8"/>
      <c r="AH18" s="8"/>
      <c r="AI18" s="8"/>
      <c r="AJ18" s="8"/>
      <c r="AK18" s="782"/>
      <c r="AL18" s="782"/>
      <c r="AM18" s="782"/>
      <c r="AN18" s="782"/>
      <c r="AO18" s="782"/>
      <c r="AP18" s="782"/>
      <c r="AQ18" s="782"/>
      <c r="AR18" s="8"/>
      <c r="AS18" s="8"/>
      <c r="AT18" s="8"/>
      <c r="AU18" s="8"/>
      <c r="AV18" s="8"/>
      <c r="AW18" s="782"/>
      <c r="AX18" s="782"/>
      <c r="AY18" s="782"/>
      <c r="AZ18" s="782"/>
      <c r="BA18" s="782"/>
      <c r="BB18" s="782"/>
      <c r="BC18" s="782"/>
      <c r="BD18" s="8"/>
      <c r="BE18" s="8"/>
      <c r="BF18" s="8"/>
      <c r="BG18" s="782"/>
      <c r="BH18" s="782"/>
      <c r="BI18" s="782"/>
      <c r="BJ18" s="782"/>
      <c r="BK18" s="782"/>
    </row>
    <row r="19" spans="1:63" s="1761" customFormat="1" ht="12.75" customHeight="1" x14ac:dyDescent="0.2">
      <c r="A19" s="274"/>
      <c r="B19" s="2073"/>
      <c r="C19" s="1790" t="s">
        <v>3931</v>
      </c>
      <c r="D19" s="43" t="str">
        <f>VLOOKUP(C19,всецены,2,FALSE)</f>
        <v xml:space="preserve">TBX, Tip-on BM, триггер, прав. T60B3009 </v>
      </c>
      <c r="E19" s="3">
        <v>1</v>
      </c>
      <c r="F19" s="12">
        <f>VLOOKUP(C19,всецены,4,FALSE)</f>
        <v>40.660620000000002</v>
      </c>
      <c r="G19" s="160">
        <f>F19*E19</f>
        <v>40.660620000000002</v>
      </c>
      <c r="H19" s="2092"/>
      <c r="I19" s="782"/>
      <c r="J19" s="782"/>
      <c r="K19" s="782"/>
      <c r="L19" s="782"/>
      <c r="M19" s="782"/>
      <c r="N19" s="782"/>
      <c r="O19" s="782"/>
      <c r="P19" s="782"/>
      <c r="Q19" s="782"/>
      <c r="R19" s="782"/>
      <c r="S19" s="782"/>
      <c r="T19" s="782"/>
      <c r="U19" s="782"/>
      <c r="V19" s="8"/>
      <c r="W19" s="8"/>
      <c r="X19" s="8"/>
      <c r="Y19" s="782"/>
      <c r="Z19" s="782"/>
      <c r="AA19" s="782"/>
      <c r="AB19" s="782"/>
      <c r="AC19" s="782"/>
      <c r="AD19" s="782"/>
      <c r="AE19" s="782"/>
      <c r="AF19" s="8"/>
      <c r="AG19" s="8"/>
      <c r="AH19" s="8"/>
      <c r="AI19" s="8"/>
      <c r="AJ19" s="8"/>
      <c r="AK19" s="782"/>
      <c r="AL19" s="782"/>
      <c r="AM19" s="782"/>
      <c r="AN19" s="782"/>
      <c r="AO19" s="782"/>
      <c r="AP19" s="782"/>
      <c r="AQ19" s="782"/>
      <c r="AR19" s="8"/>
      <c r="AS19" s="8"/>
      <c r="AT19" s="8"/>
      <c r="AU19" s="8"/>
      <c r="AV19" s="8"/>
      <c r="AW19" s="782"/>
      <c r="AX19" s="782"/>
      <c r="AY19" s="782"/>
      <c r="AZ19" s="782"/>
      <c r="BA19" s="782"/>
      <c r="BB19" s="782"/>
      <c r="BC19" s="782"/>
      <c r="BD19" s="8"/>
      <c r="BE19" s="8"/>
      <c r="BF19" s="8"/>
      <c r="BG19" s="782"/>
      <c r="BH19" s="782"/>
      <c r="BI19" s="782"/>
      <c r="BJ19" s="782"/>
      <c r="BK19" s="782"/>
    </row>
    <row r="20" spans="1:63" ht="12.75" customHeight="1" x14ac:dyDescent="0.2">
      <c r="A20" s="274"/>
      <c r="B20" s="2073"/>
      <c r="C20" s="138" t="str">
        <f>VLOOKUP(C8,NAATOBM,4,FALSE)</f>
        <v>2118602/</v>
      </c>
      <c r="D20" s="43" t="str">
        <f t="shared" si="0"/>
        <v xml:space="preserve">TBX-A, Держат задн ст, 68 мм, бел, лев  </v>
      </c>
      <c r="E20" s="3">
        <v>1</v>
      </c>
      <c r="F20" s="12">
        <f t="shared" si="1"/>
        <v>43.913469600000006</v>
      </c>
      <c r="G20" s="160">
        <f t="shared" si="2"/>
        <v>43.913469600000006</v>
      </c>
      <c r="H20" s="2092"/>
      <c r="I20" s="782"/>
      <c r="J20" s="782"/>
      <c r="K20" s="782"/>
      <c r="L20" s="782"/>
      <c r="M20" s="782"/>
      <c r="N20" s="782"/>
      <c r="O20" s="782"/>
      <c r="P20" s="782"/>
      <c r="Q20" s="782"/>
      <c r="R20" s="782"/>
      <c r="S20" s="782"/>
      <c r="T20" s="782"/>
      <c r="U20" s="782"/>
      <c r="V20" s="8"/>
      <c r="W20" s="8"/>
      <c r="X20" s="8"/>
      <c r="Y20" s="782"/>
      <c r="Z20" s="782"/>
      <c r="AA20" s="782"/>
      <c r="AB20" s="782"/>
      <c r="AC20" s="782"/>
      <c r="AD20" s="782"/>
      <c r="AE20" s="782"/>
      <c r="AF20" s="8"/>
      <c r="AG20" s="8"/>
      <c r="AH20" s="8"/>
      <c r="AI20" s="8"/>
      <c r="AJ20" s="8"/>
      <c r="AK20" s="782"/>
      <c r="AL20" s="782"/>
      <c r="AM20" s="782"/>
      <c r="AN20" s="782"/>
      <c r="AO20" s="782"/>
      <c r="AP20" s="782"/>
      <c r="AQ20" s="782"/>
      <c r="AR20" s="8"/>
      <c r="AS20" s="8"/>
      <c r="AT20" s="8"/>
      <c r="AU20" s="8"/>
      <c r="AV20" s="8"/>
      <c r="AW20" s="782"/>
      <c r="AX20" s="782"/>
      <c r="AY20" s="782"/>
      <c r="AZ20" s="782"/>
      <c r="BA20" s="782"/>
      <c r="BB20" s="782"/>
      <c r="BC20" s="782"/>
      <c r="BD20" s="8"/>
      <c r="BE20" s="8"/>
      <c r="BF20" s="8"/>
      <c r="BG20" s="782"/>
      <c r="BH20" s="782"/>
      <c r="BI20" s="782"/>
      <c r="BJ20" s="782"/>
      <c r="BK20" s="782"/>
    </row>
    <row r="21" spans="1:63" ht="12.75" customHeight="1" thickBot="1" x14ac:dyDescent="0.25">
      <c r="A21" s="314"/>
      <c r="B21" s="2074"/>
      <c r="C21" s="1116" t="str">
        <f>VLOOKUP(C8,NAATOBM,5,FALSE)</f>
        <v>2118782/</v>
      </c>
      <c r="D21" s="404" t="str">
        <f t="shared" si="0"/>
        <v xml:space="preserve">TBX-A, Держат задн ст, 68 мм, бел, прав </v>
      </c>
      <c r="E21" s="355">
        <v>1</v>
      </c>
      <c r="F21" s="356">
        <f t="shared" si="1"/>
        <v>43.913469600000006</v>
      </c>
      <c r="G21" s="697">
        <f t="shared" si="2"/>
        <v>43.913469600000006</v>
      </c>
      <c r="H21" s="2093"/>
      <c r="I21" s="771"/>
      <c r="J21" s="771"/>
      <c r="K21" s="771"/>
      <c r="L21" s="771"/>
      <c r="M21" s="771"/>
      <c r="N21" s="771"/>
      <c r="O21" s="771"/>
      <c r="P21" s="771"/>
      <c r="Q21" s="771"/>
      <c r="R21" s="771"/>
      <c r="S21" s="771"/>
      <c r="T21" s="771"/>
      <c r="U21" s="771"/>
      <c r="V21" s="8"/>
      <c r="W21" s="8"/>
      <c r="X21" s="8"/>
      <c r="Y21" s="771"/>
      <c r="Z21" s="771"/>
      <c r="AA21" s="771"/>
      <c r="AB21" s="771"/>
      <c r="AC21" s="771"/>
      <c r="AD21" s="771"/>
      <c r="AE21" s="771"/>
      <c r="AF21" s="8"/>
      <c r="AG21" s="8"/>
      <c r="AH21" s="8"/>
      <c r="AI21" s="8"/>
      <c r="AJ21" s="8"/>
      <c r="AK21" s="771"/>
      <c r="AL21" s="771"/>
      <c r="AM21" s="771"/>
      <c r="AN21" s="771"/>
      <c r="AO21" s="771"/>
      <c r="AP21" s="771"/>
      <c r="AQ21" s="771"/>
      <c r="AR21" s="8"/>
      <c r="AS21" s="8"/>
      <c r="AT21" s="8"/>
      <c r="AU21" s="8"/>
      <c r="AV21" s="8"/>
      <c r="AW21" s="771"/>
      <c r="AX21" s="771"/>
      <c r="AY21" s="771"/>
      <c r="AZ21" s="771"/>
      <c r="BA21" s="771"/>
      <c r="BB21" s="771"/>
      <c r="BC21" s="771"/>
      <c r="BD21" s="8"/>
      <c r="BE21" s="8"/>
      <c r="BF21" s="8"/>
      <c r="BG21" s="782"/>
      <c r="BH21" s="782"/>
      <c r="BI21" s="782"/>
      <c r="BJ21" s="782"/>
      <c r="BK21" s="782"/>
    </row>
    <row r="22" spans="1:63" ht="15" x14ac:dyDescent="0.2">
      <c r="A22" s="314"/>
      <c r="B22" s="28"/>
      <c r="C22" s="8"/>
      <c r="D22" s="8"/>
      <c r="E22" s="1767"/>
      <c r="F22" s="8"/>
      <c r="G22" s="37"/>
      <c r="H22" s="35"/>
      <c r="I22" s="782"/>
      <c r="J22" s="782"/>
      <c r="K22" s="782"/>
      <c r="L22" s="782"/>
      <c r="M22" s="782"/>
      <c r="N22" s="782"/>
      <c r="O22" s="782"/>
      <c r="P22" s="782"/>
      <c r="Q22" s="782"/>
      <c r="R22" s="782"/>
      <c r="S22" s="782"/>
      <c r="T22" s="782"/>
      <c r="U22" s="782"/>
      <c r="V22" s="165"/>
      <c r="W22" s="165"/>
      <c r="X22" s="165"/>
      <c r="Y22" s="782"/>
      <c r="Z22" s="782"/>
      <c r="AA22" s="782"/>
      <c r="AB22" s="782"/>
      <c r="AC22" s="782"/>
      <c r="AD22" s="782"/>
      <c r="AE22" s="782"/>
      <c r="AF22" s="165"/>
      <c r="AG22" s="165"/>
      <c r="AH22" s="165"/>
      <c r="AI22" s="165"/>
      <c r="AJ22" s="165"/>
      <c r="AK22" s="782"/>
      <c r="AL22" s="782"/>
      <c r="AM22" s="782"/>
      <c r="AN22" s="782"/>
      <c r="AO22" s="782"/>
      <c r="AP22" s="782"/>
      <c r="AQ22" s="782"/>
      <c r="AR22" s="165"/>
      <c r="AS22" s="165"/>
      <c r="AT22" s="165"/>
      <c r="AU22" s="165"/>
      <c r="AV22" s="165"/>
      <c r="AW22" s="782"/>
      <c r="AX22" s="782"/>
      <c r="AY22" s="782"/>
      <c r="AZ22" s="782"/>
      <c r="BA22" s="782"/>
      <c r="BB22" s="782"/>
      <c r="BC22" s="782"/>
      <c r="BD22" s="165"/>
      <c r="BE22" s="165"/>
      <c r="BF22" s="165"/>
      <c r="BG22" s="782"/>
      <c r="BH22" s="782"/>
      <c r="BI22" s="782"/>
      <c r="BJ22" s="782"/>
      <c r="BK22" s="782"/>
    </row>
    <row r="23" spans="1:63" ht="15" x14ac:dyDescent="0.2">
      <c r="A23" s="319"/>
      <c r="B23" s="2127" t="s">
        <v>3437</v>
      </c>
      <c r="C23" s="2127"/>
      <c r="D23" s="2127"/>
      <c r="E23" s="2127"/>
      <c r="F23" s="2127"/>
      <c r="G23" s="2127"/>
      <c r="H23" s="611"/>
      <c r="I23" s="782"/>
      <c r="J23" s="782"/>
      <c r="K23" s="782"/>
      <c r="L23" s="782"/>
      <c r="M23" s="782"/>
      <c r="N23" s="782"/>
      <c r="O23" s="782"/>
      <c r="P23" s="782"/>
      <c r="Q23" s="782"/>
      <c r="R23" s="782"/>
      <c r="S23" s="782"/>
      <c r="T23" s="782"/>
      <c r="U23" s="782"/>
      <c r="V23" s="8"/>
      <c r="W23" s="8"/>
      <c r="X23" s="8"/>
      <c r="Y23" s="782"/>
      <c r="Z23" s="782"/>
      <c r="AA23" s="782"/>
      <c r="AB23" s="782"/>
      <c r="AC23" s="782"/>
      <c r="AD23" s="782"/>
      <c r="AE23" s="782"/>
      <c r="AF23" s="8"/>
      <c r="AG23" s="8"/>
      <c r="AH23" s="8"/>
      <c r="AI23" s="8"/>
      <c r="AJ23" s="8"/>
      <c r="AK23" s="782"/>
      <c r="AL23" s="782"/>
      <c r="AM23" s="782"/>
      <c r="AN23" s="782"/>
      <c r="AO23" s="782"/>
      <c r="AP23" s="782"/>
      <c r="AQ23" s="782"/>
      <c r="AR23" s="8"/>
      <c r="AS23" s="8"/>
      <c r="AT23" s="8"/>
      <c r="AU23" s="8"/>
      <c r="AV23" s="8"/>
      <c r="AW23" s="782"/>
      <c r="AX23" s="782"/>
      <c r="AY23" s="782"/>
      <c r="AZ23" s="782"/>
      <c r="BA23" s="782"/>
      <c r="BB23" s="782"/>
      <c r="BC23" s="782"/>
      <c r="BD23" s="8"/>
      <c r="BE23" s="8"/>
      <c r="BF23" s="8"/>
      <c r="BG23" s="782"/>
      <c r="BH23" s="782"/>
      <c r="BI23" s="782"/>
      <c r="BJ23" s="782"/>
      <c r="BK23" s="782"/>
    </row>
    <row r="24" spans="1:63" ht="15.75" thickBot="1" x14ac:dyDescent="0.25">
      <c r="A24" s="319"/>
      <c r="B24" s="2127"/>
      <c r="C24" s="2127"/>
      <c r="D24" s="2127"/>
      <c r="E24" s="2127"/>
      <c r="F24" s="2127"/>
      <c r="G24" s="2127"/>
      <c r="H24" s="611" t="str">
        <f>D3</f>
        <v>Белый шёлк</v>
      </c>
      <c r="I24" s="782"/>
      <c r="J24" s="782"/>
      <c r="K24" s="782"/>
      <c r="L24" s="782"/>
      <c r="M24" s="782"/>
      <c r="N24" s="782"/>
      <c r="O24" s="782"/>
      <c r="P24" s="782"/>
      <c r="Q24" s="782"/>
      <c r="R24" s="782"/>
      <c r="S24" s="782"/>
      <c r="T24" s="782"/>
      <c r="U24" s="782"/>
      <c r="V24" s="8"/>
      <c r="W24" s="8"/>
      <c r="X24" s="8"/>
      <c r="Y24" s="782"/>
      <c r="Z24" s="782"/>
      <c r="AA24" s="782"/>
      <c r="AB24" s="782"/>
      <c r="AC24" s="782"/>
      <c r="AD24" s="782"/>
      <c r="AE24" s="782"/>
      <c r="AF24" s="8"/>
      <c r="AG24" s="8"/>
      <c r="AH24" s="8"/>
      <c r="AI24" s="8"/>
      <c r="AJ24" s="8"/>
      <c r="AK24" s="782"/>
      <c r="AL24" s="782"/>
      <c r="AM24" s="782"/>
      <c r="AN24" s="782"/>
      <c r="AO24" s="782"/>
      <c r="AP24" s="782"/>
      <c r="AQ24" s="782"/>
      <c r="AR24" s="8"/>
      <c r="AS24" s="8"/>
      <c r="AT24" s="8"/>
      <c r="AU24" s="8"/>
      <c r="AV24" s="8"/>
      <c r="AW24" s="782"/>
      <c r="AX24" s="782"/>
      <c r="AY24" s="782"/>
      <c r="AZ24" s="782"/>
      <c r="BA24" s="782"/>
      <c r="BB24" s="782"/>
      <c r="BC24" s="782"/>
      <c r="BD24" s="8"/>
      <c r="BE24" s="8"/>
      <c r="BF24" s="8"/>
      <c r="BG24" s="782"/>
      <c r="BH24" s="782"/>
      <c r="BI24" s="782"/>
      <c r="BJ24" s="782"/>
      <c r="BK24" s="782"/>
    </row>
    <row r="25" spans="1:63" ht="20.25" x14ac:dyDescent="0.2">
      <c r="A25" s="274"/>
      <c r="B25" s="690" t="s">
        <v>875</v>
      </c>
      <c r="C25" s="698"/>
      <c r="D25" s="2128"/>
      <c r="E25" s="2128"/>
      <c r="F25" s="2128"/>
      <c r="G25" s="2128"/>
      <c r="H25" s="699"/>
      <c r="I25" s="782"/>
      <c r="J25" s="782"/>
      <c r="K25" s="782"/>
      <c r="L25" s="782"/>
      <c r="M25" s="782"/>
      <c r="N25" s="782"/>
      <c r="O25" s="782"/>
      <c r="P25" s="782"/>
      <c r="Q25" s="782"/>
      <c r="R25" s="782"/>
      <c r="S25" s="782"/>
      <c r="T25" s="782"/>
      <c r="U25" s="782"/>
      <c r="V25" s="8"/>
      <c r="W25" s="8"/>
      <c r="X25" s="8"/>
      <c r="Y25" s="782"/>
      <c r="Z25" s="782"/>
      <c r="AA25" s="782"/>
      <c r="AB25" s="782"/>
      <c r="AC25" s="782"/>
      <c r="AD25" s="782"/>
      <c r="AE25" s="782"/>
      <c r="AF25" s="8"/>
      <c r="AG25" s="8"/>
      <c r="AH25" s="8"/>
      <c r="AI25" s="8"/>
      <c r="AJ25" s="8"/>
      <c r="AK25" s="782"/>
      <c r="AL25" s="782"/>
      <c r="AM25" s="782"/>
      <c r="AN25" s="782"/>
      <c r="AO25" s="782"/>
      <c r="AP25" s="782"/>
      <c r="AQ25" s="782"/>
      <c r="AR25" s="8"/>
      <c r="AS25" s="8"/>
      <c r="AT25" s="8"/>
      <c r="AU25" s="8"/>
      <c r="AV25" s="8"/>
      <c r="AW25" s="782"/>
      <c r="AX25" s="782"/>
      <c r="AY25" s="782"/>
      <c r="AZ25" s="782"/>
      <c r="BA25" s="782"/>
      <c r="BB25" s="782"/>
      <c r="BC25" s="782"/>
      <c r="BD25" s="8"/>
      <c r="BE25" s="8"/>
      <c r="BF25" s="8"/>
      <c r="BG25" s="782"/>
      <c r="BH25" s="782"/>
      <c r="BI25" s="782"/>
      <c r="BJ25" s="782"/>
      <c r="BK25" s="782"/>
    </row>
    <row r="26" spans="1:63" ht="15.75" thickBot="1" x14ac:dyDescent="0.25">
      <c r="A26" s="274"/>
      <c r="B26" s="1769" t="s">
        <v>1639</v>
      </c>
      <c r="C26" s="170">
        <v>500</v>
      </c>
      <c r="D26" s="73" t="s">
        <v>1689</v>
      </c>
      <c r="E26" s="73"/>
      <c r="F26" s="73"/>
      <c r="G26" s="93"/>
      <c r="H26" s="2125" t="str">
        <f>IF(СОДЕРЖАНИЕ!P2=1,"EUR","RUB")</f>
        <v>RUB</v>
      </c>
      <c r="I26" s="782"/>
      <c r="J26" s="782"/>
      <c r="K26" s="782"/>
      <c r="L26" s="782"/>
      <c r="M26" s="782"/>
      <c r="N26" s="782"/>
      <c r="O26" s="782"/>
      <c r="P26" s="782"/>
      <c r="Q26" s="782"/>
      <c r="R26" s="782"/>
      <c r="S26" s="782"/>
      <c r="T26" s="782"/>
      <c r="U26" s="782"/>
      <c r="V26" s="2123" t="s">
        <v>2390</v>
      </c>
      <c r="W26" s="2123"/>
      <c r="X26" s="2123"/>
      <c r="Y26" s="2123"/>
      <c r="Z26" s="2123"/>
      <c r="AA26" s="2123"/>
      <c r="AB26" s="2123"/>
      <c r="AC26" s="2123"/>
      <c r="AD26" s="2123"/>
      <c r="AE26" s="2123"/>
      <c r="AF26" s="2123"/>
      <c r="AG26" s="2123"/>
      <c r="AH26" s="2124" t="s">
        <v>2357</v>
      </c>
      <c r="AI26" s="2124"/>
      <c r="AJ26" s="2124"/>
      <c r="AK26" s="2124"/>
      <c r="AL26" s="2124"/>
      <c r="AM26" s="2124"/>
      <c r="AN26" s="2124"/>
      <c r="AO26" s="2124"/>
      <c r="AP26" s="2124"/>
      <c r="AQ26" s="2124"/>
      <c r="AR26" s="2124"/>
      <c r="AS26" s="2124"/>
      <c r="AT26" s="2122" t="s">
        <v>2389</v>
      </c>
      <c r="AU26" s="2122"/>
      <c r="AV26" s="2122"/>
      <c r="AW26" s="2122"/>
      <c r="AX26" s="2122"/>
      <c r="AY26" s="2122"/>
      <c r="AZ26" s="2122"/>
      <c r="BA26" s="2122"/>
      <c r="BB26" s="2122"/>
      <c r="BC26" s="2122"/>
      <c r="BD26" s="2122"/>
      <c r="BE26" s="2122"/>
      <c r="BF26" s="8"/>
      <c r="BG26" s="782"/>
      <c r="BH26" s="782"/>
      <c r="BI26" s="782"/>
      <c r="BJ26" s="782"/>
      <c r="BK26" s="782"/>
    </row>
    <row r="27" spans="1:63" x14ac:dyDescent="0.2">
      <c r="A27" s="2136"/>
      <c r="B27" s="2231"/>
      <c r="C27" s="172" t="s">
        <v>1301</v>
      </c>
      <c r="D27" s="173" t="s">
        <v>784</v>
      </c>
      <c r="E27" s="140" t="s">
        <v>2117</v>
      </c>
      <c r="F27" s="139"/>
      <c r="G27" s="174" t="s">
        <v>2116</v>
      </c>
      <c r="H27" s="2126"/>
      <c r="I27" s="786"/>
      <c r="J27" s="786"/>
      <c r="K27" s="786"/>
      <c r="L27" s="786"/>
      <c r="M27" s="786"/>
      <c r="N27" s="786"/>
      <c r="O27" s="786"/>
      <c r="P27" s="786"/>
      <c r="Q27" s="786"/>
      <c r="R27" s="786"/>
      <c r="S27" s="786"/>
      <c r="T27" s="786"/>
      <c r="U27" s="786"/>
      <c r="V27" s="8"/>
      <c r="W27" s="782"/>
      <c r="X27" s="8"/>
      <c r="Y27" s="786"/>
      <c r="Z27" s="786"/>
      <c r="AA27" s="786"/>
      <c r="AB27" s="786"/>
      <c r="AC27" s="786"/>
      <c r="AD27" s="786"/>
      <c r="AE27" s="786"/>
      <c r="AF27" s="8"/>
      <c r="AG27" s="8"/>
      <c r="AH27" s="8"/>
      <c r="AI27" s="782"/>
      <c r="AJ27" s="8"/>
      <c r="AK27" s="786"/>
      <c r="AL27" s="786"/>
      <c r="AM27" s="786"/>
      <c r="AN27" s="786"/>
      <c r="AO27" s="786"/>
      <c r="AP27" s="786"/>
      <c r="AQ27" s="786"/>
      <c r="AR27" s="8"/>
      <c r="AS27" s="8"/>
      <c r="AT27" s="8"/>
      <c r="AU27" s="88"/>
      <c r="AV27" s="8"/>
      <c r="AW27" s="786"/>
      <c r="AX27" s="786"/>
      <c r="AY27" s="786"/>
      <c r="AZ27" s="786"/>
      <c r="BA27" s="786"/>
      <c r="BB27" s="786"/>
      <c r="BC27" s="786"/>
      <c r="BD27" s="8"/>
      <c r="BE27" s="8"/>
      <c r="BF27" s="8"/>
      <c r="BG27" s="782"/>
      <c r="BH27" s="782"/>
      <c r="BI27" s="782"/>
      <c r="BJ27" s="782"/>
      <c r="BK27" s="782"/>
    </row>
    <row r="28" spans="1:63" x14ac:dyDescent="0.2">
      <c r="A28" s="2136"/>
      <c r="B28" s="2232"/>
      <c r="C28" s="701" t="str">
        <f>VLOOKUP($C$26,MAATOBM,2,FALSE)</f>
        <v>1847502/</v>
      </c>
      <c r="D28" s="43" t="str">
        <f>IF(C28=" ","",VLOOKUP(C28,всецены,2,FALSE))</f>
        <v xml:space="preserve">TBX-A, Царга 83/500 мм, бел, лев. NEW   </v>
      </c>
      <c r="E28" s="702">
        <v>1</v>
      </c>
      <c r="F28" s="735">
        <f t="shared" ref="F28:F39" si="4">VLOOKUP(C28,всецены,4,FALSE)</f>
        <v>395.22122640000003</v>
      </c>
      <c r="G28" s="160">
        <f>IF(C28=" "," ",F28*E28)</f>
        <v>395.22122640000003</v>
      </c>
      <c r="H28" s="2089">
        <f>SUM(G28:G39)</f>
        <v>3192.6718824</v>
      </c>
      <c r="I28" s="782"/>
      <c r="J28" s="1771" t="s">
        <v>1333</v>
      </c>
      <c r="K28" s="771"/>
      <c r="L28" s="782"/>
      <c r="M28" s="782"/>
      <c r="N28" s="782"/>
      <c r="O28" s="782"/>
      <c r="P28" s="782"/>
      <c r="Q28" s="782"/>
      <c r="R28" s="782"/>
      <c r="S28" s="782"/>
      <c r="T28" s="782"/>
      <c r="U28" s="782"/>
      <c r="V28" s="96" t="s">
        <v>1646</v>
      </c>
      <c r="W28" s="28"/>
      <c r="X28" s="28"/>
      <c r="Y28" s="782"/>
      <c r="Z28" s="782"/>
      <c r="AA28" s="782"/>
      <c r="AB28" s="782"/>
      <c r="AC28" s="782"/>
      <c r="AD28" s="782"/>
      <c r="AE28" s="782"/>
      <c r="AF28" s="8"/>
      <c r="AG28" s="8"/>
      <c r="AH28" s="96" t="s">
        <v>1646</v>
      </c>
      <c r="AI28" s="28"/>
      <c r="AJ28" s="28"/>
      <c r="AK28" s="782"/>
      <c r="AL28" s="782"/>
      <c r="AM28" s="782"/>
      <c r="AN28" s="782"/>
      <c r="AO28" s="782"/>
      <c r="AP28" s="782"/>
      <c r="AQ28" s="782"/>
      <c r="AR28" s="8"/>
      <c r="AS28" s="8"/>
      <c r="AT28" s="96" t="s">
        <v>1646</v>
      </c>
      <c r="AU28" s="28"/>
      <c r="AV28" s="28"/>
      <c r="AW28" s="782"/>
      <c r="AX28" s="782"/>
      <c r="AY28" s="782"/>
      <c r="AZ28" s="782"/>
      <c r="BA28" s="782"/>
      <c r="BB28" s="782"/>
      <c r="BC28" s="782"/>
      <c r="BD28" s="8"/>
      <c r="BE28" s="8"/>
      <c r="BF28" s="8"/>
      <c r="BG28" s="782"/>
      <c r="BH28" s="782"/>
      <c r="BI28" s="782"/>
      <c r="BJ28" s="782"/>
      <c r="BK28" s="782"/>
    </row>
    <row r="29" spans="1:63" x14ac:dyDescent="0.2">
      <c r="A29" s="2136"/>
      <c r="B29" s="2073"/>
      <c r="C29" s="701" t="str">
        <f>VLOOKUP($C$26,MAATOBM,3,FALSE)</f>
        <v>1838267/</v>
      </c>
      <c r="D29" s="43" t="str">
        <f>IF(C29=" ","",VLOOKUP(C29,всецены,2,FALSE))</f>
        <v xml:space="preserve">TBX-A, Царга 83/500 мм, бел, прав. NEW  </v>
      </c>
      <c r="E29" s="702">
        <v>1</v>
      </c>
      <c r="F29" s="735">
        <f>VLOOKUP(C29,всецены,4,FALSE)</f>
        <v>395.22122640000003</v>
      </c>
      <c r="G29" s="160">
        <f>IF(C29=" "," ",F29*E29)</f>
        <v>395.22122640000003</v>
      </c>
      <c r="H29" s="2089"/>
      <c r="I29" s="782"/>
      <c r="J29" s="782"/>
      <c r="K29" s="1767" t="s">
        <v>1645</v>
      </c>
      <c r="L29" s="1767" t="s">
        <v>1644</v>
      </c>
      <c r="M29" s="1767" t="s">
        <v>3179</v>
      </c>
      <c r="N29" s="1767" t="s">
        <v>3175</v>
      </c>
      <c r="O29" s="1767" t="s">
        <v>3177</v>
      </c>
      <c r="P29" s="1767" t="s">
        <v>3178</v>
      </c>
      <c r="Q29" s="1767" t="s">
        <v>3435</v>
      </c>
      <c r="R29" s="1767" t="s">
        <v>3436</v>
      </c>
      <c r="S29" s="1767" t="s">
        <v>3176</v>
      </c>
      <c r="T29" s="8" t="s">
        <v>1641</v>
      </c>
      <c r="U29" s="8" t="s">
        <v>1642</v>
      </c>
      <c r="V29" s="8"/>
      <c r="W29" s="1767" t="s">
        <v>1645</v>
      </c>
      <c r="X29" s="1767" t="s">
        <v>1644</v>
      </c>
      <c r="Y29" s="1767" t="s">
        <v>3179</v>
      </c>
      <c r="Z29" s="1767" t="s">
        <v>3175</v>
      </c>
      <c r="AA29" s="1767" t="s">
        <v>3177</v>
      </c>
      <c r="AB29" s="1767" t="s">
        <v>3178</v>
      </c>
      <c r="AC29" s="1767" t="s">
        <v>3435</v>
      </c>
      <c r="AD29" s="1767" t="s">
        <v>3436</v>
      </c>
      <c r="AE29" s="1767" t="s">
        <v>3176</v>
      </c>
      <c r="AF29" s="8" t="s">
        <v>1641</v>
      </c>
      <c r="AG29" s="8" t="s">
        <v>1642</v>
      </c>
      <c r="AH29" s="8"/>
      <c r="AI29" s="1767" t="s">
        <v>1645</v>
      </c>
      <c r="AJ29" s="1767" t="s">
        <v>1644</v>
      </c>
      <c r="AK29" s="1767" t="s">
        <v>3179</v>
      </c>
      <c r="AL29" s="1767" t="s">
        <v>3175</v>
      </c>
      <c r="AM29" s="1767" t="s">
        <v>3177</v>
      </c>
      <c r="AN29" s="1767" t="s">
        <v>3178</v>
      </c>
      <c r="AO29" s="1767" t="s">
        <v>3435</v>
      </c>
      <c r="AP29" s="1767" t="s">
        <v>3436</v>
      </c>
      <c r="AQ29" s="1767" t="s">
        <v>3176</v>
      </c>
      <c r="AR29" s="8" t="s">
        <v>1641</v>
      </c>
      <c r="AS29" s="8" t="s">
        <v>1642</v>
      </c>
      <c r="AT29" s="8"/>
      <c r="AU29" s="1767" t="s">
        <v>1645</v>
      </c>
      <c r="AV29" s="1767" t="s">
        <v>1644</v>
      </c>
      <c r="AW29" s="1767" t="s">
        <v>3179</v>
      </c>
      <c r="AX29" s="1767" t="s">
        <v>3175</v>
      </c>
      <c r="AY29" s="1767" t="s">
        <v>3177</v>
      </c>
      <c r="AZ29" s="1767" t="s">
        <v>3178</v>
      </c>
      <c r="BA29" s="1767" t="s">
        <v>3435</v>
      </c>
      <c r="BB29" s="1767" t="s">
        <v>3436</v>
      </c>
      <c r="BC29" s="1767" t="s">
        <v>3176</v>
      </c>
      <c r="BD29" s="8" t="s">
        <v>1641</v>
      </c>
      <c r="BE29" s="8" t="s">
        <v>1642</v>
      </c>
      <c r="BF29" s="8"/>
      <c r="BG29" s="782"/>
      <c r="BH29" s="782"/>
      <c r="BI29" s="782"/>
      <c r="BJ29" s="782"/>
      <c r="BK29" s="782"/>
    </row>
    <row r="30" spans="1:63" x14ac:dyDescent="0.2">
      <c r="A30" s="2136"/>
      <c r="B30" s="2073"/>
      <c r="C30" s="164" t="str">
        <f>VLOOKUP(C26,MAATOBM,4,FALSE)</f>
        <v>7673702/</v>
      </c>
      <c r="D30" s="43" t="str">
        <f>IF(C30=" ","",VLOOKUP(C30,всецены,2,FALSE))</f>
        <v xml:space="preserve">TBX-A, Держат задн ст, 96 мм, бел, лев  </v>
      </c>
      <c r="E30" s="702">
        <v>1</v>
      </c>
      <c r="F30" s="735">
        <f t="shared" si="4"/>
        <v>34.154920799999999</v>
      </c>
      <c r="G30" s="160">
        <f>IF(C30=" "," ",F30*E30)</f>
        <v>34.154920799999999</v>
      </c>
      <c r="H30" s="2089"/>
      <c r="I30" s="782"/>
      <c r="J30" s="8">
        <v>270</v>
      </c>
      <c r="K30" s="2" t="str">
        <f t="shared" ref="K30:R34" si="5">IF($D$3=$V$11,W30,IF($D$3=$AH$11,AI30,AU30))</f>
        <v>1066967/</v>
      </c>
      <c r="L30" s="2" t="str">
        <f t="shared" si="5"/>
        <v>1060840/</v>
      </c>
      <c r="M30" s="2" t="str">
        <f t="shared" si="5"/>
        <v>7673702/</v>
      </c>
      <c r="N30" s="2" t="str">
        <f t="shared" si="5"/>
        <v>7673882/</v>
      </c>
      <c r="O30" s="2" t="str">
        <f t="shared" si="5"/>
        <v>4536661/</v>
      </c>
      <c r="P30" s="2" t="str">
        <f t="shared" si="5"/>
        <v>6191701/</v>
      </c>
      <c r="Q30" s="2" t="str">
        <f t="shared" si="5"/>
        <v>4536661/</v>
      </c>
      <c r="R30" s="2" t="str">
        <f t="shared" si="5"/>
        <v>6191701/</v>
      </c>
      <c r="S30" s="2" t="str">
        <f t="shared" ref="S30:S35" si="6">IF($D$3=$V$11,AE30,IF($D$3=$AH$11,AQ30,BC30))</f>
        <v>8046152/</v>
      </c>
      <c r="T30" s="1371" t="s">
        <v>4506</v>
      </c>
      <c r="U30" s="1371" t="s">
        <v>4505</v>
      </c>
      <c r="V30" s="8">
        <v>270</v>
      </c>
      <c r="W30" s="1131" t="s">
        <v>63</v>
      </c>
      <c r="X30" s="1131" t="s">
        <v>61</v>
      </c>
      <c r="Y30" s="1130" t="s">
        <v>235</v>
      </c>
      <c r="Z30" s="1130" t="s">
        <v>236</v>
      </c>
      <c r="AA30" s="1130" t="s">
        <v>2024</v>
      </c>
      <c r="AB30" s="1130" t="s">
        <v>741</v>
      </c>
      <c r="AC30" s="1130" t="s">
        <v>2024</v>
      </c>
      <c r="AD30" s="1130" t="s">
        <v>741</v>
      </c>
      <c r="AE30" s="1130" t="s">
        <v>1022</v>
      </c>
      <c r="AF30" s="1371" t="s">
        <v>4506</v>
      </c>
      <c r="AG30" s="1371" t="s">
        <v>4505</v>
      </c>
      <c r="AH30" s="8">
        <v>270</v>
      </c>
      <c r="AI30" s="1133" t="s">
        <v>5201</v>
      </c>
      <c r="AJ30" s="1133" t="s">
        <v>5202</v>
      </c>
      <c r="AK30" s="1133" t="s">
        <v>1630</v>
      </c>
      <c r="AL30" s="1133" t="s">
        <v>1628</v>
      </c>
      <c r="AM30" s="1134" t="s">
        <v>739</v>
      </c>
      <c r="AN30" s="1134" t="s">
        <v>64</v>
      </c>
      <c r="AO30" s="1829" t="s">
        <v>739</v>
      </c>
      <c r="AP30" s="1829" t="s">
        <v>64</v>
      </c>
      <c r="AQ30" s="1134" t="s">
        <v>1516</v>
      </c>
      <c r="AR30" s="1371" t="s">
        <v>4506</v>
      </c>
      <c r="AS30" s="1371" t="s">
        <v>4505</v>
      </c>
      <c r="AT30" s="8">
        <v>270</v>
      </c>
      <c r="AU30" s="1367" t="s">
        <v>3501</v>
      </c>
      <c r="AV30" s="1367" t="s">
        <v>3502</v>
      </c>
      <c r="AW30" s="1134" t="s">
        <v>795</v>
      </c>
      <c r="AX30" s="1134" t="s">
        <v>797</v>
      </c>
      <c r="AY30" s="1134" t="s">
        <v>763</v>
      </c>
      <c r="AZ30" s="1134" t="s">
        <v>26</v>
      </c>
      <c r="BA30" s="1829" t="s">
        <v>763</v>
      </c>
      <c r="BB30" s="1829" t="s">
        <v>26</v>
      </c>
      <c r="BC30" s="1134" t="s">
        <v>1021</v>
      </c>
      <c r="BD30" s="1371" t="s">
        <v>4506</v>
      </c>
      <c r="BE30" s="1371" t="s">
        <v>4505</v>
      </c>
      <c r="BF30" s="8"/>
      <c r="BG30" s="782"/>
      <c r="BH30" s="782"/>
      <c r="BI30" s="782"/>
      <c r="BJ30" s="782"/>
      <c r="BK30" s="782"/>
    </row>
    <row r="31" spans="1:63" x14ac:dyDescent="0.2">
      <c r="A31" s="2136"/>
      <c r="B31" s="2073"/>
      <c r="C31" s="164" t="str">
        <f>VLOOKUP(C26,MAATOBM,5,FALSE)</f>
        <v>7673882/</v>
      </c>
      <c r="D31" s="43" t="str">
        <f>IF(C31=" ","",VLOOKUP(C31,всецены,2,FALSE))</f>
        <v xml:space="preserve">TBX-A, Держат задн ст, 96 мм, бел, прав </v>
      </c>
      <c r="E31" s="702">
        <v>1</v>
      </c>
      <c r="F31" s="735">
        <f>VLOOKUP(C31,всецены,4,FALSE)</f>
        <v>34.154920799999999</v>
      </c>
      <c r="G31" s="160">
        <f>IF(C31=" "," ",F31*E31)</f>
        <v>34.154920799999999</v>
      </c>
      <c r="H31" s="2089"/>
      <c r="I31" s="782"/>
      <c r="J31" s="8">
        <v>300</v>
      </c>
      <c r="K31" s="2" t="str">
        <f t="shared" ref="K31:R31" si="7">IF($D$3=$V$11,W31,IF($D$3=$AH$11,AI31,AU31))</f>
        <v>1299661/</v>
      </c>
      <c r="L31" s="2" t="str">
        <f t="shared" si="7"/>
        <v>1216764/</v>
      </c>
      <c r="M31" s="2" t="str">
        <f t="shared" si="7"/>
        <v>7673702/</v>
      </c>
      <c r="N31" s="2" t="str">
        <f t="shared" si="7"/>
        <v>7673882/</v>
      </c>
      <c r="O31" s="2" t="str">
        <f t="shared" si="7"/>
        <v>2962723/</v>
      </c>
      <c r="P31" s="2" t="str">
        <f t="shared" si="7"/>
        <v>9465463/</v>
      </c>
      <c r="Q31" s="2" t="str">
        <f t="shared" si="7"/>
        <v>2962723/</v>
      </c>
      <c r="R31" s="2" t="str">
        <f t="shared" si="7"/>
        <v>9465463/</v>
      </c>
      <c r="S31" s="2" t="str">
        <f t="shared" si="6"/>
        <v>8046152/</v>
      </c>
      <c r="T31" s="1371" t="s">
        <v>4506</v>
      </c>
      <c r="U31" s="1371" t="s">
        <v>4505</v>
      </c>
      <c r="V31" s="8">
        <v>300</v>
      </c>
      <c r="W31" s="1786" t="s">
        <v>2257</v>
      </c>
      <c r="X31" s="1786" t="s">
        <v>2257</v>
      </c>
      <c r="Y31" s="1816" t="s">
        <v>2257</v>
      </c>
      <c r="Z31" s="1816" t="s">
        <v>2257</v>
      </c>
      <c r="AA31" s="1816" t="s">
        <v>2257</v>
      </c>
      <c r="AB31" s="1816" t="s">
        <v>2257</v>
      </c>
      <c r="AC31" s="1816" t="s">
        <v>2257</v>
      </c>
      <c r="AD31" s="1816" t="s">
        <v>2257</v>
      </c>
      <c r="AE31" s="1816" t="s">
        <v>2257</v>
      </c>
      <c r="AF31" s="1811" t="s">
        <v>2257</v>
      </c>
      <c r="AG31" s="1811" t="s">
        <v>2257</v>
      </c>
      <c r="AH31" s="8">
        <v>300</v>
      </c>
      <c r="AI31" s="1786" t="s">
        <v>5197</v>
      </c>
      <c r="AJ31" s="1786" t="s">
        <v>5198</v>
      </c>
      <c r="AK31" s="1133" t="s">
        <v>1630</v>
      </c>
      <c r="AL31" s="1133" t="s">
        <v>1628</v>
      </c>
      <c r="AM31" s="1816" t="s">
        <v>742</v>
      </c>
      <c r="AN31" s="1816" t="s">
        <v>746</v>
      </c>
      <c r="AO31" s="1830" t="s">
        <v>742</v>
      </c>
      <c r="AP31" s="1830" t="s">
        <v>746</v>
      </c>
      <c r="AQ31" s="1134" t="s">
        <v>1516</v>
      </c>
      <c r="AR31" s="1811"/>
      <c r="AS31" s="1811"/>
      <c r="AT31" s="8">
        <v>300</v>
      </c>
      <c r="AU31" s="1814" t="s">
        <v>3499</v>
      </c>
      <c r="AV31" s="1814" t="s">
        <v>3500</v>
      </c>
      <c r="AW31" s="1134" t="s">
        <v>795</v>
      </c>
      <c r="AX31" s="1134" t="s">
        <v>797</v>
      </c>
      <c r="AY31" s="1816" t="s">
        <v>2436</v>
      </c>
      <c r="AZ31" s="1816" t="s">
        <v>2605</v>
      </c>
      <c r="BA31" s="1830" t="s">
        <v>2436</v>
      </c>
      <c r="BB31" s="1830" t="s">
        <v>2605</v>
      </c>
      <c r="BC31" s="1134" t="s">
        <v>1021</v>
      </c>
      <c r="BD31" s="1811"/>
      <c r="BE31" s="1811"/>
      <c r="BF31" s="8"/>
      <c r="BG31" s="782"/>
      <c r="BH31" s="782"/>
      <c r="BI31" s="782"/>
      <c r="BJ31" s="782"/>
      <c r="BK31" s="782"/>
    </row>
    <row r="32" spans="1:63" x14ac:dyDescent="0.2">
      <c r="A32" s="2136"/>
      <c r="B32" s="2073"/>
      <c r="C32" s="138" t="s">
        <v>4511</v>
      </c>
      <c r="D32" s="701" t="str">
        <f t="shared" ref="D32:D39" si="8">VLOOKUP(C32,всецены,2,FALSE)</f>
        <v xml:space="preserve">TBX, Крепл фасада INSERTA, NEW ZSF.39A2 </v>
      </c>
      <c r="E32" s="702">
        <v>2</v>
      </c>
      <c r="F32" s="735">
        <f t="shared" si="4"/>
        <v>43.913469600000006</v>
      </c>
      <c r="G32" s="163">
        <f t="shared" ref="G32:G39" si="9">F32*E32</f>
        <v>87.826939200000012</v>
      </c>
      <c r="H32" s="2089"/>
      <c r="I32" s="782"/>
      <c r="J32" s="8">
        <v>350</v>
      </c>
      <c r="K32" s="2" t="str">
        <f t="shared" si="5"/>
        <v>1391462/</v>
      </c>
      <c r="L32" s="2" t="str">
        <f t="shared" si="5"/>
        <v>1365463/</v>
      </c>
      <c r="M32" s="2" t="str">
        <f t="shared" si="5"/>
        <v>7673702/</v>
      </c>
      <c r="N32" s="2" t="str">
        <f t="shared" si="5"/>
        <v>7673882/</v>
      </c>
      <c r="O32" s="2" t="str">
        <f t="shared" si="5"/>
        <v>5343193/</v>
      </c>
      <c r="P32" s="2" t="str">
        <f t="shared" si="5"/>
        <v>6457513/</v>
      </c>
      <c r="Q32" s="2" t="str">
        <f t="shared" si="5"/>
        <v>1758282/</v>
      </c>
      <c r="R32" s="2" t="str">
        <f t="shared" si="5"/>
        <v>6728912/</v>
      </c>
      <c r="S32" s="2" t="str">
        <f t="shared" si="6"/>
        <v>8046152/</v>
      </c>
      <c r="T32" s="1371" t="s">
        <v>4513</v>
      </c>
      <c r="U32" s="1371" t="s">
        <v>4512</v>
      </c>
      <c r="V32" s="8">
        <v>350</v>
      </c>
      <c r="W32" s="1131" t="s">
        <v>3867</v>
      </c>
      <c r="X32" s="1131" t="s">
        <v>3866</v>
      </c>
      <c r="Y32" s="1130" t="s">
        <v>235</v>
      </c>
      <c r="Z32" s="1130" t="s">
        <v>236</v>
      </c>
      <c r="AA32" s="1130" t="s">
        <v>743</v>
      </c>
      <c r="AB32" s="1130" t="s">
        <v>1472</v>
      </c>
      <c r="AC32" s="1134" t="s">
        <v>1856</v>
      </c>
      <c r="AD32" s="1134" t="s">
        <v>1860</v>
      </c>
      <c r="AE32" s="1130" t="s">
        <v>1022</v>
      </c>
      <c r="AF32" s="1371" t="s">
        <v>4513</v>
      </c>
      <c r="AG32" s="1371" t="s">
        <v>4512</v>
      </c>
      <c r="AH32" s="8">
        <v>350</v>
      </c>
      <c r="AI32" s="1133" t="s">
        <v>2019</v>
      </c>
      <c r="AJ32" s="1133" t="s">
        <v>2017</v>
      </c>
      <c r="AK32" s="1133" t="s">
        <v>1630</v>
      </c>
      <c r="AL32" s="1133" t="s">
        <v>1628</v>
      </c>
      <c r="AM32" s="1134" t="s">
        <v>740</v>
      </c>
      <c r="AN32" s="1134" t="s">
        <v>1881</v>
      </c>
      <c r="AO32" s="1134" t="s">
        <v>752</v>
      </c>
      <c r="AP32" s="1134" t="s">
        <v>47</v>
      </c>
      <c r="AQ32" s="1134" t="s">
        <v>1516</v>
      </c>
      <c r="AR32" s="1371" t="s">
        <v>4513</v>
      </c>
      <c r="AS32" s="1371" t="s">
        <v>4512</v>
      </c>
      <c r="AT32" s="8">
        <v>350</v>
      </c>
      <c r="AU32" s="1367" t="s">
        <v>3497</v>
      </c>
      <c r="AV32" s="1367" t="s">
        <v>3498</v>
      </c>
      <c r="AW32" s="1134" t="s">
        <v>795</v>
      </c>
      <c r="AX32" s="1134" t="s">
        <v>797</v>
      </c>
      <c r="AY32" s="1134" t="s">
        <v>1</v>
      </c>
      <c r="AZ32" s="1134" t="s">
        <v>32</v>
      </c>
      <c r="BA32" s="1134" t="s">
        <v>2027</v>
      </c>
      <c r="BB32" s="1134" t="s">
        <v>36</v>
      </c>
      <c r="BC32" s="1134" t="s">
        <v>1021</v>
      </c>
      <c r="BD32" s="1371" t="s">
        <v>4513</v>
      </c>
      <c r="BE32" s="1371" t="s">
        <v>4512</v>
      </c>
      <c r="BF32" s="8"/>
      <c r="BG32" s="782"/>
      <c r="BH32" s="782"/>
      <c r="BI32" s="782"/>
      <c r="BJ32" s="782"/>
      <c r="BK32" s="782"/>
    </row>
    <row r="33" spans="1:63" x14ac:dyDescent="0.2">
      <c r="A33" s="2136"/>
      <c r="B33" s="2073"/>
      <c r="C33" s="164" t="str">
        <f>VLOOKUP(C26,MAATOBM,10,FALSE)</f>
        <v>8046152/</v>
      </c>
      <c r="D33" s="43" t="str">
        <f>IF(C33=" ","",VLOOKUP(C33,всецены,2,FALSE))</f>
        <v>TBX-A, Загл с лого, бел, сим,ZAA.532C.BL</v>
      </c>
      <c r="E33" s="702">
        <v>2</v>
      </c>
      <c r="F33" s="735">
        <f t="shared" si="4"/>
        <v>8.9453364000000004</v>
      </c>
      <c r="G33" s="160">
        <f>IF(C33=" "," ",F33*E33)</f>
        <v>17.890672800000001</v>
      </c>
      <c r="H33" s="2089"/>
      <c r="I33" s="782"/>
      <c r="J33" s="8">
        <v>400</v>
      </c>
      <c r="K33" s="2" t="str">
        <f t="shared" si="5"/>
        <v>1520720/</v>
      </c>
      <c r="L33" s="2" t="str">
        <f t="shared" si="5"/>
        <v>1509435/</v>
      </c>
      <c r="M33" s="2" t="str">
        <f t="shared" si="5"/>
        <v>7673702/</v>
      </c>
      <c r="N33" s="2" t="str">
        <f t="shared" si="5"/>
        <v>7673882/</v>
      </c>
      <c r="O33" s="2" t="str">
        <f t="shared" si="5"/>
        <v>7837582/</v>
      </c>
      <c r="P33" s="2" t="str">
        <f t="shared" si="5"/>
        <v>9771912/</v>
      </c>
      <c r="Q33" s="2" t="str">
        <f t="shared" si="5"/>
        <v>2259679/</v>
      </c>
      <c r="R33" s="2" t="str">
        <f t="shared" si="5"/>
        <v>3361919/</v>
      </c>
      <c r="S33" s="2" t="str">
        <f t="shared" si="6"/>
        <v>8046152/</v>
      </c>
      <c r="T33" s="1371" t="s">
        <v>4516</v>
      </c>
      <c r="U33" s="1371" t="s">
        <v>4515</v>
      </c>
      <c r="V33" s="8">
        <v>400</v>
      </c>
      <c r="W33" s="1131" t="s">
        <v>3869</v>
      </c>
      <c r="X33" s="1131" t="s">
        <v>3868</v>
      </c>
      <c r="Y33" s="1130" t="s">
        <v>235</v>
      </c>
      <c r="Z33" s="1130" t="s">
        <v>236</v>
      </c>
      <c r="AA33" s="1130" t="s">
        <v>775</v>
      </c>
      <c r="AB33" s="1130" t="s">
        <v>778</v>
      </c>
      <c r="AC33" s="1134" t="s">
        <v>722</v>
      </c>
      <c r="AD33" s="1134" t="s">
        <v>30</v>
      </c>
      <c r="AE33" s="1130" t="s">
        <v>1022</v>
      </c>
      <c r="AF33" s="1371" t="s">
        <v>4516</v>
      </c>
      <c r="AG33" s="1371" t="s">
        <v>4515</v>
      </c>
      <c r="AH33" s="8">
        <v>400</v>
      </c>
      <c r="AI33" s="1133" t="s">
        <v>5203</v>
      </c>
      <c r="AJ33" s="1133" t="s">
        <v>5204</v>
      </c>
      <c r="AK33" s="1133" t="s">
        <v>1630</v>
      </c>
      <c r="AL33" s="1133" t="s">
        <v>1628</v>
      </c>
      <c r="AM33" s="1134" t="s">
        <v>759</v>
      </c>
      <c r="AN33" s="1134" t="s">
        <v>24</v>
      </c>
      <c r="AO33" s="1134" t="s">
        <v>22</v>
      </c>
      <c r="AP33" s="1134" t="s">
        <v>1874</v>
      </c>
      <c r="AQ33" s="1134" t="s">
        <v>1516</v>
      </c>
      <c r="AR33" s="1371" t="s">
        <v>4516</v>
      </c>
      <c r="AS33" s="1371" t="s">
        <v>4515</v>
      </c>
      <c r="AT33" s="8">
        <v>400</v>
      </c>
      <c r="AU33" s="1367" t="s">
        <v>3495</v>
      </c>
      <c r="AV33" s="1367" t="s">
        <v>3496</v>
      </c>
      <c r="AW33" s="1134" t="s">
        <v>795</v>
      </c>
      <c r="AX33" s="1134" t="s">
        <v>797</v>
      </c>
      <c r="AY33" s="1134" t="s">
        <v>1858</v>
      </c>
      <c r="AZ33" s="1134" t="s">
        <v>1547</v>
      </c>
      <c r="BA33" s="1134" t="s">
        <v>2037</v>
      </c>
      <c r="BB33" s="1134" t="s">
        <v>738</v>
      </c>
      <c r="BC33" s="1134" t="s">
        <v>1021</v>
      </c>
      <c r="BD33" s="1371" t="s">
        <v>4516</v>
      </c>
      <c r="BE33" s="1371" t="s">
        <v>4515</v>
      </c>
      <c r="BF33" s="8"/>
      <c r="BG33" s="782"/>
      <c r="BH33" s="782"/>
      <c r="BI33" s="782"/>
      <c r="BJ33" s="782"/>
      <c r="BK33" s="782"/>
    </row>
    <row r="34" spans="1:63" s="1761" customFormat="1" x14ac:dyDescent="0.2">
      <c r="A34" s="2136"/>
      <c r="B34" s="2073"/>
      <c r="C34" s="1790" t="s">
        <v>3930</v>
      </c>
      <c r="D34" s="43" t="str">
        <f t="shared" si="8"/>
        <v xml:space="preserve">TBX, Tip-on BM, триггер, лев. T60B3009  </v>
      </c>
      <c r="E34" s="3">
        <v>1</v>
      </c>
      <c r="F34" s="12">
        <f t="shared" si="4"/>
        <v>40.660620000000002</v>
      </c>
      <c r="G34" s="160">
        <f t="shared" si="9"/>
        <v>40.660620000000002</v>
      </c>
      <c r="H34" s="2109"/>
      <c r="I34" s="782"/>
      <c r="J34" s="8">
        <v>450</v>
      </c>
      <c r="K34" s="2" t="str">
        <f t="shared" si="5"/>
        <v>1658416/</v>
      </c>
      <c r="L34" s="2" t="str">
        <f t="shared" si="5"/>
        <v>1683346/</v>
      </c>
      <c r="M34" s="2" t="str">
        <f t="shared" si="5"/>
        <v>7673702/</v>
      </c>
      <c r="N34" s="2" t="str">
        <f t="shared" si="5"/>
        <v>7673882/</v>
      </c>
      <c r="O34" s="2" t="str">
        <f t="shared" si="5"/>
        <v>2913111/</v>
      </c>
      <c r="P34" s="2" t="str">
        <f t="shared" si="5"/>
        <v>6427131/</v>
      </c>
      <c r="Q34" s="2" t="str">
        <f t="shared" si="5"/>
        <v>5846135/</v>
      </c>
      <c r="R34" s="2" t="str">
        <f t="shared" si="5"/>
        <v>9171265/</v>
      </c>
      <c r="S34" s="2" t="str">
        <f t="shared" si="6"/>
        <v>8046152/</v>
      </c>
      <c r="T34" s="1371" t="s">
        <v>4519</v>
      </c>
      <c r="U34" s="1371" t="s">
        <v>4518</v>
      </c>
      <c r="V34" s="8">
        <v>450</v>
      </c>
      <c r="W34" s="1370" t="s">
        <v>3515</v>
      </c>
      <c r="X34" s="1370" t="s">
        <v>3516</v>
      </c>
      <c r="Y34" s="1130" t="s">
        <v>235</v>
      </c>
      <c r="Z34" s="1130" t="s">
        <v>236</v>
      </c>
      <c r="AA34" s="1130" t="s">
        <v>765</v>
      </c>
      <c r="AB34" s="1130" t="s">
        <v>1897</v>
      </c>
      <c r="AC34" s="1134" t="s">
        <v>2039</v>
      </c>
      <c r="AD34" s="1134" t="s">
        <v>751</v>
      </c>
      <c r="AE34" s="1130" t="s">
        <v>1022</v>
      </c>
      <c r="AF34" s="1371" t="s">
        <v>4519</v>
      </c>
      <c r="AG34" s="1371" t="s">
        <v>4518</v>
      </c>
      <c r="AH34" s="8">
        <v>450</v>
      </c>
      <c r="AI34" s="1367" t="s">
        <v>3519</v>
      </c>
      <c r="AJ34" s="1367" t="s">
        <v>3520</v>
      </c>
      <c r="AK34" s="1133" t="s">
        <v>1630</v>
      </c>
      <c r="AL34" s="1133" t="s">
        <v>1628</v>
      </c>
      <c r="AM34" s="1134" t="s">
        <v>2018</v>
      </c>
      <c r="AN34" s="1134" t="s">
        <v>25</v>
      </c>
      <c r="AO34" s="1134" t="s">
        <v>755</v>
      </c>
      <c r="AP34" s="1134" t="s">
        <v>1550</v>
      </c>
      <c r="AQ34" s="1134" t="s">
        <v>1516</v>
      </c>
      <c r="AR34" s="1371" t="s">
        <v>4519</v>
      </c>
      <c r="AS34" s="1371" t="s">
        <v>4518</v>
      </c>
      <c r="AT34" s="8">
        <v>450</v>
      </c>
      <c r="AU34" s="1367" t="s">
        <v>3503</v>
      </c>
      <c r="AV34" s="1367" t="s">
        <v>3504</v>
      </c>
      <c r="AW34" s="1134" t="s">
        <v>795</v>
      </c>
      <c r="AX34" s="1134" t="s">
        <v>797</v>
      </c>
      <c r="AY34" s="1134" t="s">
        <v>729</v>
      </c>
      <c r="AZ34" s="1134" t="s">
        <v>31</v>
      </c>
      <c r="BA34" s="1134" t="s">
        <v>8</v>
      </c>
      <c r="BB34" s="1134" t="s">
        <v>1539</v>
      </c>
      <c r="BC34" s="1134" t="s">
        <v>1021</v>
      </c>
      <c r="BD34" s="1371" t="s">
        <v>4519</v>
      </c>
      <c r="BE34" s="1371" t="s">
        <v>4518</v>
      </c>
      <c r="BF34" s="8"/>
      <c r="BG34" s="782"/>
      <c r="BH34" s="782"/>
      <c r="BI34" s="782"/>
      <c r="BJ34" s="782"/>
      <c r="BK34" s="782"/>
    </row>
    <row r="35" spans="1:63" s="1761" customFormat="1" x14ac:dyDescent="0.2">
      <c r="A35" s="2136"/>
      <c r="B35" s="2073"/>
      <c r="C35" s="1790" t="s">
        <v>3931</v>
      </c>
      <c r="D35" s="43" t="str">
        <f t="shared" si="8"/>
        <v xml:space="preserve">TBX, Tip-on BM, триггер, прав. T60B3009 </v>
      </c>
      <c r="E35" s="3">
        <v>1</v>
      </c>
      <c r="F35" s="12">
        <f t="shared" si="4"/>
        <v>40.660620000000002</v>
      </c>
      <c r="G35" s="160">
        <f t="shared" si="9"/>
        <v>40.660620000000002</v>
      </c>
      <c r="H35" s="2109"/>
      <c r="I35" s="782"/>
      <c r="J35" s="8">
        <v>500</v>
      </c>
      <c r="K35" s="2" t="str">
        <f t="shared" ref="K35:R35" si="10">IF($D$3=$V$11,W35,IF($D$3=$AH$11,AI35,AU35))</f>
        <v>1847502/</v>
      </c>
      <c r="L35" s="2" t="str">
        <f t="shared" si="10"/>
        <v>1838267/</v>
      </c>
      <c r="M35" s="2" t="str">
        <f t="shared" si="10"/>
        <v>7673702/</v>
      </c>
      <c r="N35" s="2" t="str">
        <f t="shared" si="10"/>
        <v>7673882/</v>
      </c>
      <c r="O35" s="2" t="str">
        <f t="shared" si="10"/>
        <v>1785452/</v>
      </c>
      <c r="P35" s="2" t="str">
        <f t="shared" si="10"/>
        <v>7403462/</v>
      </c>
      <c r="Q35" s="2" t="str">
        <f t="shared" si="10"/>
        <v>1511532/</v>
      </c>
      <c r="R35" s="2" t="str">
        <f t="shared" si="10"/>
        <v>7271392/</v>
      </c>
      <c r="S35" s="2" t="str">
        <f t="shared" si="6"/>
        <v>8046152/</v>
      </c>
      <c r="T35" s="1371" t="s">
        <v>4522</v>
      </c>
      <c r="U35" s="1371" t="s">
        <v>4521</v>
      </c>
      <c r="V35" s="8">
        <v>500</v>
      </c>
      <c r="W35" s="1370" t="s">
        <v>3518</v>
      </c>
      <c r="X35" s="1370" t="s">
        <v>3517</v>
      </c>
      <c r="Y35" s="1130" t="s">
        <v>235</v>
      </c>
      <c r="Z35" s="1130" t="s">
        <v>236</v>
      </c>
      <c r="AA35" s="1130" t="s">
        <v>28</v>
      </c>
      <c r="AB35" s="1130" t="s">
        <v>1548</v>
      </c>
      <c r="AC35" s="1134" t="s">
        <v>757</v>
      </c>
      <c r="AD35" s="1134" t="s">
        <v>29</v>
      </c>
      <c r="AE35" s="1130" t="s">
        <v>1022</v>
      </c>
      <c r="AF35" s="1371" t="s">
        <v>4522</v>
      </c>
      <c r="AG35" s="1371" t="s">
        <v>4521</v>
      </c>
      <c r="AH35" s="8">
        <v>500</v>
      </c>
      <c r="AI35" s="1367" t="s">
        <v>3521</v>
      </c>
      <c r="AJ35" s="1367" t="s">
        <v>3522</v>
      </c>
      <c r="AK35" s="1133" t="s">
        <v>1630</v>
      </c>
      <c r="AL35" s="1133" t="s">
        <v>1628</v>
      </c>
      <c r="AM35" s="1134" t="s">
        <v>780</v>
      </c>
      <c r="AN35" s="1134" t="s">
        <v>0</v>
      </c>
      <c r="AO35" s="1134" t="s">
        <v>747</v>
      </c>
      <c r="AP35" s="1134" t="s">
        <v>767</v>
      </c>
      <c r="AQ35" s="1134" t="s">
        <v>1516</v>
      </c>
      <c r="AR35" s="1371" t="s">
        <v>4522</v>
      </c>
      <c r="AS35" s="1371" t="s">
        <v>4521</v>
      </c>
      <c r="AT35" s="8">
        <v>500</v>
      </c>
      <c r="AU35" s="1368" t="s">
        <v>3493</v>
      </c>
      <c r="AV35" s="1368" t="s">
        <v>3494</v>
      </c>
      <c r="AW35" s="1134" t="s">
        <v>795</v>
      </c>
      <c r="AX35" s="1134" t="s">
        <v>797</v>
      </c>
      <c r="AY35" s="1134" t="s">
        <v>2028</v>
      </c>
      <c r="AZ35" s="1134" t="s">
        <v>62</v>
      </c>
      <c r="BA35" s="1134" t="s">
        <v>2023</v>
      </c>
      <c r="BB35" s="1134" t="s">
        <v>59</v>
      </c>
      <c r="BC35" s="1134" t="s">
        <v>1021</v>
      </c>
      <c r="BD35" s="1371" t="s">
        <v>4522</v>
      </c>
      <c r="BE35" s="1371" t="s">
        <v>4521</v>
      </c>
      <c r="BF35" s="8"/>
      <c r="BG35" s="782"/>
      <c r="BH35" s="782"/>
      <c r="BI35" s="782"/>
      <c r="BJ35" s="782"/>
      <c r="BK35" s="782"/>
    </row>
    <row r="36" spans="1:63" s="1761" customFormat="1" x14ac:dyDescent="0.2">
      <c r="A36" s="2136"/>
      <c r="B36" s="2073"/>
      <c r="C36" s="1785" t="str">
        <f>VLOOKUP(C26,$K$65:$O$71,4,0)</f>
        <v>1829780/</v>
      </c>
      <c r="D36" s="43" t="str">
        <f t="shared" si="8"/>
        <v xml:space="preserve">TBX, Tip-on BM, L3,350-600, пр T60B3533 </v>
      </c>
      <c r="E36" s="3">
        <v>1</v>
      </c>
      <c r="F36" s="12">
        <f t="shared" si="4"/>
        <v>473.28961680000003</v>
      </c>
      <c r="G36" s="160">
        <f t="shared" si="9"/>
        <v>473.28961680000003</v>
      </c>
      <c r="H36" s="2109"/>
      <c r="I36" s="782"/>
      <c r="J36" s="782"/>
      <c r="K36" s="782">
        <v>2</v>
      </c>
      <c r="L36" s="782">
        <v>3</v>
      </c>
      <c r="M36" s="782">
        <v>4</v>
      </c>
      <c r="N36" s="782">
        <v>5</v>
      </c>
      <c r="O36" s="782">
        <v>6</v>
      </c>
      <c r="P36" s="782">
        <v>7</v>
      </c>
      <c r="Q36" s="782">
        <v>8</v>
      </c>
      <c r="R36" s="782">
        <v>9</v>
      </c>
      <c r="S36" s="782">
        <v>10</v>
      </c>
      <c r="T36" s="782">
        <v>11</v>
      </c>
      <c r="U36" s="782">
        <v>12</v>
      </c>
      <c r="V36" s="8"/>
      <c r="W36" s="8"/>
      <c r="X36" s="8"/>
      <c r="Y36" s="782"/>
      <c r="Z36" s="782"/>
      <c r="AA36" s="782"/>
      <c r="AB36" s="782"/>
      <c r="AC36" s="782"/>
      <c r="AD36" s="782"/>
      <c r="AE36" s="782"/>
      <c r="AF36" s="8"/>
      <c r="AG36" s="8"/>
      <c r="AH36" s="8"/>
      <c r="AI36" s="8"/>
      <c r="AJ36" s="8"/>
      <c r="AK36" s="8"/>
      <c r="AL36" s="8"/>
      <c r="AM36" s="782"/>
      <c r="AN36" s="782"/>
      <c r="AO36" s="782"/>
      <c r="AP36" s="782"/>
      <c r="AQ36" s="782"/>
      <c r="AR36" s="8"/>
      <c r="AS36" s="8"/>
      <c r="AT36" s="8"/>
      <c r="AU36" s="8"/>
      <c r="AV36" s="8"/>
      <c r="AW36" s="782"/>
      <c r="AX36" s="782"/>
      <c r="AY36" s="782"/>
      <c r="AZ36" s="782"/>
      <c r="BA36" s="782"/>
      <c r="BB36" s="782"/>
      <c r="BC36" s="782"/>
      <c r="BD36" s="8"/>
      <c r="BE36" s="8"/>
      <c r="BF36" s="8"/>
      <c r="BG36" s="782"/>
      <c r="BH36" s="782"/>
      <c r="BI36" s="782"/>
      <c r="BJ36" s="782"/>
      <c r="BK36" s="782"/>
    </row>
    <row r="37" spans="1:63" s="1761" customFormat="1" x14ac:dyDescent="0.2">
      <c r="A37" s="2136"/>
      <c r="B37" s="2073"/>
      <c r="C37" s="1785" t="str">
        <f>VLOOKUP(C26,$K$65:$O$71,5,0)</f>
        <v>8903805/</v>
      </c>
      <c r="D37" s="43" t="str">
        <f t="shared" si="8"/>
        <v>TBX, Tip-on BM, L3,350-600, лев T60B3533</v>
      </c>
      <c r="E37" s="3">
        <v>1</v>
      </c>
      <c r="F37" s="12">
        <f t="shared" si="4"/>
        <v>473.28961680000003</v>
      </c>
      <c r="G37" s="160">
        <f t="shared" si="9"/>
        <v>473.28961680000003</v>
      </c>
      <c r="H37" s="2109"/>
      <c r="I37" s="782"/>
      <c r="J37" s="8"/>
      <c r="K37" s="88"/>
      <c r="L37" s="88"/>
      <c r="M37" s="88"/>
      <c r="N37" s="88"/>
      <c r="O37" s="88"/>
      <c r="P37" s="88"/>
      <c r="Q37" s="88"/>
      <c r="R37" s="88"/>
      <c r="S37" s="88"/>
      <c r="T37" s="1817"/>
      <c r="U37" s="1817"/>
      <c r="V37" s="28"/>
      <c r="W37" s="1374"/>
      <c r="X37" s="1374"/>
      <c r="Y37" s="782"/>
      <c r="Z37" s="782"/>
      <c r="AA37" s="782"/>
      <c r="AB37" s="782"/>
      <c r="AC37" s="782"/>
      <c r="AD37" s="782"/>
      <c r="AE37" s="782"/>
      <c r="AF37" s="1817"/>
      <c r="AG37" s="1817"/>
      <c r="AH37" s="28"/>
      <c r="AI37" s="1374"/>
      <c r="AJ37" s="1374"/>
      <c r="AK37" s="28"/>
      <c r="AL37" s="28"/>
      <c r="AM37" s="782"/>
      <c r="AN37" s="782"/>
      <c r="AO37" s="782"/>
      <c r="AP37" s="782"/>
      <c r="AQ37" s="782"/>
      <c r="AR37" s="1817"/>
      <c r="AS37" s="1817"/>
      <c r="AT37" s="28"/>
      <c r="AU37" s="1374"/>
      <c r="AV37" s="1374"/>
      <c r="AW37" s="782"/>
      <c r="AX37" s="782"/>
      <c r="AY37" s="782"/>
      <c r="AZ37" s="782"/>
      <c r="BA37" s="782"/>
      <c r="BB37" s="782"/>
      <c r="BC37" s="782"/>
      <c r="BD37" s="1817"/>
      <c r="BE37" s="1817"/>
      <c r="BF37" s="8"/>
      <c r="BG37" s="782"/>
      <c r="BH37" s="782"/>
      <c r="BI37" s="782"/>
      <c r="BJ37" s="782"/>
      <c r="BK37" s="782"/>
    </row>
    <row r="38" spans="1:63" x14ac:dyDescent="0.2">
      <c r="A38" s="2136"/>
      <c r="B38" s="2073"/>
      <c r="C38" s="138" t="str">
        <f>VLOOKUP(C26,$K$65:$M$71,2,FALSE)</f>
        <v>7940374/</v>
      </c>
      <c r="D38" s="701" t="str">
        <f t="shared" si="8"/>
        <v>TBX, Tip-on BM, Напр, 30 кг, 500 мм, лев</v>
      </c>
      <c r="E38" s="702">
        <v>1</v>
      </c>
      <c r="F38" s="735">
        <f t="shared" si="4"/>
        <v>600.15075120000006</v>
      </c>
      <c r="G38" s="163">
        <f t="shared" si="9"/>
        <v>600.15075120000006</v>
      </c>
      <c r="H38" s="2089"/>
      <c r="I38" s="782"/>
      <c r="J38" s="8"/>
      <c r="K38" s="88"/>
      <c r="L38" s="88"/>
      <c r="M38" s="88"/>
      <c r="N38" s="88"/>
      <c r="O38" s="88"/>
      <c r="P38" s="88"/>
      <c r="Q38" s="88"/>
      <c r="R38" s="88"/>
      <c r="S38" s="88"/>
      <c r="T38" s="1817"/>
      <c r="U38" s="1817"/>
      <c r="V38" s="28"/>
      <c r="W38" s="1374"/>
      <c r="X38" s="1374"/>
      <c r="Y38" s="782"/>
      <c r="Z38" s="782"/>
      <c r="AA38" s="782"/>
      <c r="AB38" s="782"/>
      <c r="AC38" s="782"/>
      <c r="AD38" s="782"/>
      <c r="AE38" s="782"/>
      <c r="AF38" s="1817"/>
      <c r="AG38" s="1817"/>
      <c r="AH38" s="28"/>
      <c r="AI38" s="1374"/>
      <c r="AJ38" s="1374"/>
      <c r="AK38" s="28"/>
      <c r="AL38" s="28"/>
      <c r="AM38" s="782"/>
      <c r="AN38" s="782"/>
      <c r="AO38" s="782"/>
      <c r="AP38" s="782"/>
      <c r="AQ38" s="782"/>
      <c r="AR38" s="1817"/>
      <c r="AS38" s="1817"/>
      <c r="AT38" s="28"/>
      <c r="AU38" s="1374"/>
      <c r="AV38" s="1374"/>
      <c r="AW38" s="782"/>
      <c r="AX38" s="782"/>
      <c r="AY38" s="782"/>
      <c r="AZ38" s="782"/>
      <c r="BA38" s="782"/>
      <c r="BB38" s="782"/>
      <c r="BC38" s="782"/>
      <c r="BD38" s="1817"/>
      <c r="BE38" s="1817"/>
      <c r="BF38" s="8"/>
      <c r="BG38" s="782"/>
      <c r="BH38" s="782"/>
      <c r="BI38" s="782"/>
      <c r="BJ38" s="782"/>
      <c r="BK38" s="782"/>
    </row>
    <row r="39" spans="1:63" ht="13.5" thickBot="1" x14ac:dyDescent="0.25">
      <c r="A39" s="2136"/>
      <c r="B39" s="2074"/>
      <c r="C39" s="138" t="str">
        <f>VLOOKUP(C26,$K$65:$M$71,3,FALSE)</f>
        <v>7936668/</v>
      </c>
      <c r="D39" s="705" t="str">
        <f t="shared" si="8"/>
        <v xml:space="preserve">TBX, Tip-on BM, Напр, 30 кг, 500 мм, пр </v>
      </c>
      <c r="E39" s="706">
        <v>1</v>
      </c>
      <c r="F39" s="736">
        <f t="shared" si="4"/>
        <v>600.15075120000006</v>
      </c>
      <c r="G39" s="707">
        <f t="shared" si="9"/>
        <v>600.15075120000006</v>
      </c>
      <c r="H39" s="2090"/>
      <c r="I39" s="782"/>
      <c r="K39" s="88"/>
      <c r="L39" s="88"/>
      <c r="M39" s="88"/>
      <c r="N39" s="88"/>
      <c r="O39" s="88"/>
      <c r="P39" s="88"/>
      <c r="Q39" s="88"/>
      <c r="R39" s="88"/>
      <c r="S39" s="88"/>
      <c r="T39" s="88"/>
      <c r="U39" s="88"/>
      <c r="V39" s="88"/>
      <c r="W39" s="88"/>
      <c r="X39" s="88"/>
      <c r="Y39" s="88"/>
      <c r="Z39" s="88"/>
      <c r="AA39" s="88"/>
      <c r="AB39" s="88"/>
      <c r="AC39" s="88"/>
      <c r="AD39" s="88"/>
      <c r="AE39" s="88"/>
      <c r="AF39" s="88"/>
      <c r="AG39" s="88"/>
      <c r="AH39" s="88"/>
      <c r="AI39" s="88"/>
      <c r="AJ39" s="88"/>
      <c r="AK39" s="88"/>
      <c r="AL39" s="88"/>
      <c r="AM39" s="88"/>
      <c r="AN39" s="88"/>
      <c r="AO39" s="88"/>
      <c r="AP39" s="88"/>
      <c r="AQ39" s="88"/>
      <c r="AR39" s="88"/>
      <c r="AS39" s="88"/>
      <c r="AT39" s="88"/>
      <c r="AU39" s="88"/>
      <c r="AV39" s="88"/>
      <c r="AW39" s="88"/>
      <c r="AX39" s="88"/>
      <c r="AY39" s="88"/>
      <c r="AZ39" s="88"/>
      <c r="BA39" s="88"/>
      <c r="BB39" s="88"/>
      <c r="BC39" s="88"/>
      <c r="BD39" s="88"/>
      <c r="BE39" s="88"/>
      <c r="BF39" s="8"/>
      <c r="BG39" s="782"/>
      <c r="BH39" s="782"/>
      <c r="BI39" s="782"/>
      <c r="BJ39" s="782"/>
      <c r="BK39" s="782"/>
    </row>
    <row r="40" spans="1:63" ht="15.75" thickBot="1" x14ac:dyDescent="0.25">
      <c r="A40" s="274"/>
      <c r="B40" s="69"/>
      <c r="C40" s="708"/>
      <c r="D40" s="709"/>
      <c r="E40" s="710"/>
      <c r="F40" s="711"/>
      <c r="G40" s="179"/>
      <c r="H40" s="737"/>
      <c r="I40" s="782"/>
      <c r="BF40" s="8"/>
      <c r="BG40" s="782"/>
      <c r="BH40" s="782"/>
      <c r="BI40" s="782"/>
      <c r="BJ40" s="782"/>
      <c r="BK40" s="782"/>
    </row>
    <row r="41" spans="1:63" ht="20.25" x14ac:dyDescent="0.2">
      <c r="A41" s="274"/>
      <c r="B41" s="690" t="s">
        <v>875</v>
      </c>
      <c r="C41" s="698"/>
      <c r="D41" s="2128" t="s">
        <v>1183</v>
      </c>
      <c r="E41" s="2128"/>
      <c r="F41" s="2128"/>
      <c r="G41" s="2128"/>
      <c r="H41" s="2139"/>
      <c r="I41" s="782"/>
      <c r="J41" s="782"/>
      <c r="K41" s="782"/>
      <c r="L41" s="782"/>
      <c r="M41" s="782"/>
      <c r="N41" s="782"/>
      <c r="O41" s="782"/>
      <c r="P41" s="782"/>
      <c r="Q41" s="782"/>
      <c r="R41" s="782"/>
      <c r="S41" s="782"/>
      <c r="T41" s="782"/>
      <c r="U41" s="782"/>
      <c r="V41" s="8"/>
      <c r="W41" s="8"/>
      <c r="X41" s="8"/>
      <c r="Y41" s="782"/>
      <c r="Z41" s="782"/>
      <c r="AA41" s="782"/>
      <c r="AB41" s="782"/>
      <c r="AC41" s="782"/>
      <c r="AD41" s="782"/>
      <c r="AE41" s="782"/>
      <c r="AF41" s="8"/>
      <c r="AG41" s="8"/>
      <c r="AH41" s="8"/>
      <c r="AI41" s="8"/>
      <c r="AJ41" s="8"/>
      <c r="AK41" s="782"/>
      <c r="AL41" s="782"/>
      <c r="AM41" s="782"/>
      <c r="AN41" s="782"/>
      <c r="AO41" s="782"/>
      <c r="AP41" s="782"/>
      <c r="AQ41" s="782"/>
      <c r="AR41" s="8"/>
      <c r="AS41" s="8"/>
      <c r="AT41" s="8"/>
      <c r="AU41" s="8"/>
      <c r="AV41" s="8"/>
      <c r="AW41" s="782"/>
      <c r="AX41" s="782"/>
      <c r="AY41" s="782"/>
      <c r="AZ41" s="782"/>
      <c r="BA41" s="782"/>
      <c r="BB41" s="782"/>
      <c r="BC41" s="782"/>
      <c r="BD41" s="8"/>
      <c r="BE41" s="8"/>
      <c r="BF41" s="8"/>
      <c r="BG41" s="782"/>
      <c r="BH41" s="782"/>
      <c r="BI41" s="782"/>
      <c r="BJ41" s="782"/>
      <c r="BK41" s="782"/>
    </row>
    <row r="42" spans="1:63" ht="15.75" thickBot="1" x14ac:dyDescent="0.25">
      <c r="A42" s="274"/>
      <c r="B42" s="1769" t="s">
        <v>1639</v>
      </c>
      <c r="C42" s="170">
        <v>500</v>
      </c>
      <c r="D42" s="73" t="s">
        <v>1689</v>
      </c>
      <c r="E42" s="73"/>
      <c r="F42" s="73"/>
      <c r="G42" s="93"/>
      <c r="H42" s="2125" t="str">
        <f>IF(СОДЕРЖАНИЕ!P2=1,"EUR","RUB")</f>
        <v>RUB</v>
      </c>
      <c r="I42" s="782"/>
      <c r="J42" s="782"/>
      <c r="K42" s="782"/>
      <c r="L42" s="782"/>
      <c r="M42" s="782"/>
      <c r="N42" s="782"/>
      <c r="O42" s="782"/>
      <c r="P42" s="782"/>
      <c r="Q42" s="782"/>
      <c r="R42" s="782"/>
      <c r="S42" s="782"/>
      <c r="T42" s="782"/>
      <c r="U42" s="782"/>
      <c r="V42" s="8"/>
      <c r="W42" s="8"/>
      <c r="X42" s="8"/>
      <c r="Y42" s="782"/>
      <c r="Z42" s="782"/>
      <c r="AA42" s="782"/>
      <c r="AB42" s="782"/>
      <c r="AC42" s="782"/>
      <c r="AD42" s="782"/>
      <c r="AE42" s="782"/>
      <c r="AF42" s="8"/>
      <c r="AG42" s="8"/>
      <c r="AH42" s="8"/>
      <c r="AI42" s="8"/>
      <c r="AJ42" s="8"/>
      <c r="AK42" s="782"/>
      <c r="AL42" s="782"/>
      <c r="AM42" s="782"/>
      <c r="AN42" s="782"/>
      <c r="AO42" s="782"/>
      <c r="AP42" s="782"/>
      <c r="AQ42" s="782"/>
      <c r="AR42" s="8"/>
      <c r="AS42" s="8"/>
      <c r="AT42" s="8"/>
      <c r="AU42" s="8"/>
      <c r="AV42" s="8"/>
      <c r="AW42" s="782"/>
      <c r="AX42" s="782"/>
      <c r="AY42" s="782"/>
      <c r="AZ42" s="782"/>
      <c r="BA42" s="782"/>
      <c r="BB42" s="782"/>
      <c r="BC42" s="782"/>
      <c r="BD42" s="8"/>
      <c r="BE42" s="8"/>
      <c r="BF42" s="8"/>
      <c r="BG42" s="837"/>
      <c r="BH42" s="837"/>
      <c r="BI42" s="837"/>
      <c r="BJ42" s="837"/>
      <c r="BK42" s="837"/>
    </row>
    <row r="43" spans="1:63" x14ac:dyDescent="0.2">
      <c r="A43" s="2136"/>
      <c r="B43" s="2231"/>
      <c r="C43" s="695" t="s">
        <v>1301</v>
      </c>
      <c r="D43" s="1093" t="s">
        <v>784</v>
      </c>
      <c r="E43" s="1092" t="s">
        <v>2117</v>
      </c>
      <c r="F43" s="1093"/>
      <c r="G43" s="1153" t="s">
        <v>2116</v>
      </c>
      <c r="H43" s="2126"/>
      <c r="I43" s="782"/>
      <c r="J43" s="782"/>
      <c r="K43" s="782"/>
      <c r="L43" s="782"/>
      <c r="M43" s="782"/>
      <c r="N43" s="782"/>
      <c r="O43" s="782"/>
      <c r="P43" s="782"/>
      <c r="Q43" s="782"/>
      <c r="R43" s="782"/>
      <c r="S43" s="782"/>
      <c r="T43" s="782"/>
      <c r="U43" s="782"/>
      <c r="V43" s="8"/>
      <c r="W43" s="8"/>
      <c r="X43" s="8"/>
      <c r="Y43" s="782"/>
      <c r="Z43" s="782"/>
      <c r="AA43" s="782"/>
      <c r="AB43" s="782"/>
      <c r="AC43" s="782"/>
      <c r="AD43" s="782"/>
      <c r="AE43" s="782"/>
      <c r="AF43" s="8"/>
      <c r="AG43" s="8"/>
      <c r="AH43" s="8"/>
      <c r="AI43" s="8"/>
      <c r="AJ43" s="8"/>
      <c r="AK43" s="782"/>
      <c r="AL43" s="782"/>
      <c r="AM43" s="782"/>
      <c r="AN43" s="782"/>
      <c r="AO43" s="782"/>
      <c r="AP43" s="782"/>
      <c r="AQ43" s="782"/>
      <c r="AR43" s="8"/>
      <c r="AS43" s="8"/>
      <c r="AT43" s="8"/>
      <c r="AU43" s="8"/>
      <c r="AV43" s="8"/>
      <c r="AW43" s="782"/>
      <c r="AX43" s="782"/>
      <c r="AY43" s="782"/>
      <c r="AZ43" s="782"/>
      <c r="BA43" s="782"/>
      <c r="BB43" s="782"/>
      <c r="BC43" s="782"/>
      <c r="BD43" s="8"/>
      <c r="BE43" s="8"/>
      <c r="BF43" s="8"/>
      <c r="BG43" s="838"/>
      <c r="BH43" s="838"/>
      <c r="BI43" s="838"/>
      <c r="BJ43" s="838"/>
      <c r="BK43" s="838"/>
    </row>
    <row r="44" spans="1:63" ht="12.75" customHeight="1" x14ac:dyDescent="0.2">
      <c r="A44" s="2136"/>
      <c r="B44" s="2232"/>
      <c r="C44" s="701" t="str">
        <f>VLOOKUP($C$42,MAATOBM,2,FALSE)</f>
        <v>1847502/</v>
      </c>
      <c r="D44" s="43" t="str">
        <f>IF(C44=" ","",VLOOKUP(C44,всецены,2,FALSE))</f>
        <v xml:space="preserve">TBX-A, Царга 83/500 мм, бел, лев. NEW   </v>
      </c>
      <c r="E44" s="739">
        <v>1</v>
      </c>
      <c r="F44" s="1433">
        <f t="shared" ref="F44:F57" si="11">VLOOKUP(C44,всецены,4,FALSE)</f>
        <v>395.22122640000003</v>
      </c>
      <c r="G44" s="160">
        <f>IF(C44=" "," ",F44*E44)</f>
        <v>395.22122640000003</v>
      </c>
      <c r="H44" s="2097">
        <f>SUM(G44:G57)</f>
        <v>4417.3697568000007</v>
      </c>
      <c r="I44" s="782"/>
      <c r="J44" s="782"/>
      <c r="K44" s="782"/>
      <c r="L44" s="1152" t="s">
        <v>3422</v>
      </c>
      <c r="M44" s="782"/>
      <c r="N44" s="782"/>
      <c r="O44" s="1152" t="s">
        <v>2355</v>
      </c>
      <c r="P44" s="1152" t="s">
        <v>2355</v>
      </c>
      <c r="Q44" s="1152"/>
      <c r="R44" s="1152"/>
      <c r="S44" s="1152" t="s">
        <v>1335</v>
      </c>
      <c r="T44" s="1152" t="s">
        <v>1335</v>
      </c>
      <c r="U44" s="782"/>
      <c r="V44" s="8"/>
      <c r="W44" s="8"/>
      <c r="X44" s="8"/>
      <c r="Y44" s="782"/>
      <c r="Z44" s="782"/>
      <c r="AA44" s="782"/>
      <c r="AB44" s="782"/>
      <c r="AC44" s="782"/>
      <c r="AD44" s="782"/>
      <c r="AE44" s="782"/>
      <c r="AF44" s="8"/>
      <c r="AG44" s="8"/>
      <c r="AH44" s="8"/>
      <c r="AI44" s="8"/>
      <c r="AJ44" s="8"/>
      <c r="AK44" s="782"/>
      <c r="AL44" s="782"/>
      <c r="AM44" s="782"/>
      <c r="AN44" s="782"/>
      <c r="AO44" s="782"/>
      <c r="AP44" s="782"/>
      <c r="AQ44" s="782"/>
      <c r="AR44" s="8"/>
      <c r="AS44" s="8"/>
      <c r="AT44" s="8"/>
      <c r="AU44" s="8"/>
      <c r="AV44" s="8"/>
      <c r="AW44" s="771"/>
      <c r="AX44" s="782"/>
      <c r="AY44" s="782"/>
      <c r="AZ44" s="782"/>
      <c r="BA44" s="782"/>
      <c r="BB44" s="782"/>
      <c r="BC44" s="782"/>
      <c r="BD44" s="8"/>
      <c r="BE44" s="8"/>
      <c r="BF44" s="8"/>
      <c r="BG44" s="837"/>
      <c r="BH44" s="837"/>
      <c r="BI44" s="837" t="s">
        <v>1470</v>
      </c>
      <c r="BJ44" s="837" t="s">
        <v>3174</v>
      </c>
      <c r="BK44" s="837" t="s">
        <v>5076</v>
      </c>
    </row>
    <row r="45" spans="1:63" ht="12.75" customHeight="1" x14ac:dyDescent="0.2">
      <c r="A45" s="2136"/>
      <c r="B45" s="1831"/>
      <c r="C45" s="701" t="str">
        <f>VLOOKUP($C$42,MAATOBM,3,FALSE)</f>
        <v>1838267/</v>
      </c>
      <c r="D45" s="43" t="str">
        <f>IF(C45=" ","",VLOOKUP(C45,всецены,2,FALSE))</f>
        <v xml:space="preserve">TBX-A, Царга 83/500 мм, бел, прав. NEW  </v>
      </c>
      <c r="E45" s="1155">
        <v>1</v>
      </c>
      <c r="F45" s="1434">
        <f t="shared" si="11"/>
        <v>395.22122640000003</v>
      </c>
      <c r="G45" s="160">
        <f>IF(C45=" "," ",F45*E45)</f>
        <v>395.22122640000003</v>
      </c>
      <c r="H45" s="2097"/>
      <c r="I45" s="782"/>
      <c r="J45" s="782"/>
      <c r="K45" s="1134"/>
      <c r="L45" s="1151" t="s">
        <v>3423</v>
      </c>
      <c r="M45" s="1151" t="s">
        <v>3424</v>
      </c>
      <c r="N45" s="1151" t="s">
        <v>3425</v>
      </c>
      <c r="O45" s="1151" t="s">
        <v>3426</v>
      </c>
      <c r="P45" s="1151" t="s">
        <v>3427</v>
      </c>
      <c r="Q45" s="1151"/>
      <c r="R45" s="1151"/>
      <c r="S45" s="1151" t="s">
        <v>3428</v>
      </c>
      <c r="T45" s="1151" t="s">
        <v>3429</v>
      </c>
      <c r="U45" s="1151" t="s">
        <v>3430</v>
      </c>
      <c r="V45" s="1133" t="s">
        <v>3431</v>
      </c>
      <c r="W45" s="1133" t="s">
        <v>3432</v>
      </c>
      <c r="X45" s="1133" t="s">
        <v>3433</v>
      </c>
      <c r="Y45" s="1133" t="s">
        <v>3434</v>
      </c>
      <c r="Z45" s="782"/>
      <c r="AA45" s="782"/>
      <c r="AB45" s="782"/>
      <c r="AC45" s="782"/>
      <c r="AD45" s="782"/>
      <c r="AE45" s="782"/>
      <c r="AF45" s="8"/>
      <c r="AG45" s="8"/>
      <c r="AH45" s="8"/>
      <c r="AI45" s="8"/>
      <c r="AJ45" s="8"/>
      <c r="AK45" s="782"/>
      <c r="AL45" s="782"/>
      <c r="AM45" s="782"/>
      <c r="AN45" s="782"/>
      <c r="AO45" s="782"/>
      <c r="AP45" s="782"/>
      <c r="AQ45" s="782"/>
      <c r="AR45" s="8"/>
      <c r="AS45" s="8"/>
      <c r="AT45" s="8"/>
      <c r="AU45" s="8"/>
      <c r="AV45" s="8"/>
      <c r="AW45" s="771"/>
      <c r="AX45" s="782"/>
      <c r="AY45" s="782"/>
      <c r="AZ45" s="782"/>
      <c r="BA45" s="782"/>
      <c r="BB45" s="782"/>
      <c r="BC45" s="782"/>
      <c r="BD45" s="8"/>
      <c r="BE45" s="8"/>
      <c r="BF45" s="8"/>
      <c r="BG45" s="782"/>
      <c r="BH45" s="782"/>
      <c r="BI45" s="782" t="s">
        <v>1234</v>
      </c>
      <c r="BJ45" s="782"/>
      <c r="BK45" s="782" t="s">
        <v>5077</v>
      </c>
    </row>
    <row r="46" spans="1:63" ht="12.75" customHeight="1" x14ac:dyDescent="0.2">
      <c r="A46" s="2136"/>
      <c r="B46" s="1831"/>
      <c r="C46" s="164" t="str">
        <f>VLOOKUP(C42,MAATOBM,4,FALSE)</f>
        <v>7673702/</v>
      </c>
      <c r="D46" s="43" t="str">
        <f>IF(C46=" ","",VLOOKUP(C46,всецены,2,FALSE))</f>
        <v xml:space="preserve">TBX-A, Держат задн ст, 96 мм, бел, лев  </v>
      </c>
      <c r="E46" s="1155">
        <v>1</v>
      </c>
      <c r="F46" s="1434">
        <f t="shared" si="11"/>
        <v>34.154920799999999</v>
      </c>
      <c r="G46" s="160">
        <f>IF(C46=" "," ",F46*E46)</f>
        <v>34.154920799999999</v>
      </c>
      <c r="H46" s="2097"/>
      <c r="I46" s="782"/>
      <c r="J46" s="782"/>
      <c r="K46" s="1134" t="s">
        <v>3174</v>
      </c>
      <c r="L46" s="1134" t="s">
        <v>2570</v>
      </c>
      <c r="M46" s="1134" t="s">
        <v>2572</v>
      </c>
      <c r="N46" s="1134" t="s">
        <v>1610</v>
      </c>
      <c r="O46" s="1134" t="s">
        <v>1006</v>
      </c>
      <c r="P46" s="1134" t="s">
        <v>1007</v>
      </c>
      <c r="Q46" s="1134"/>
      <c r="R46" s="1134"/>
      <c r="S46" s="1134" t="s">
        <v>1008</v>
      </c>
      <c r="T46" s="1134" t="s">
        <v>1003</v>
      </c>
      <c r="U46" s="1134" t="s">
        <v>931</v>
      </c>
      <c r="V46" s="1134" t="s">
        <v>2176</v>
      </c>
      <c r="W46" s="1134" t="s">
        <v>2175</v>
      </c>
      <c r="X46" s="1134" t="s">
        <v>1554</v>
      </c>
      <c r="Y46" s="1134" t="s">
        <v>1774</v>
      </c>
      <c r="Z46" s="782"/>
      <c r="AA46" s="782"/>
      <c r="AB46" s="782"/>
      <c r="AC46" s="782"/>
      <c r="AD46" s="782"/>
      <c r="AE46" s="782"/>
      <c r="AF46" s="8"/>
      <c r="AG46" s="8"/>
      <c r="AH46" s="8"/>
      <c r="AI46" s="8"/>
      <c r="AJ46" s="8"/>
      <c r="AK46" s="782"/>
      <c r="AL46" s="782"/>
      <c r="AM46" s="782"/>
      <c r="AN46" s="782"/>
      <c r="AO46" s="782"/>
      <c r="AP46" s="782"/>
      <c r="AQ46" s="782"/>
      <c r="AR46" s="8"/>
      <c r="AS46" s="8"/>
      <c r="AT46" s="8"/>
      <c r="AU46" s="8"/>
      <c r="AV46" s="8"/>
      <c r="AW46" s="771"/>
      <c r="AX46" s="782"/>
      <c r="AY46" s="782"/>
      <c r="AZ46" s="782"/>
      <c r="BA46" s="782"/>
      <c r="BB46" s="782"/>
      <c r="BC46" s="782"/>
      <c r="BD46" s="8"/>
      <c r="BE46" s="8"/>
      <c r="BF46" s="8"/>
      <c r="BG46" s="782"/>
      <c r="BH46" s="782"/>
      <c r="BI46" s="782" t="s">
        <v>756</v>
      </c>
      <c r="BJ46" s="782" t="s">
        <v>2357</v>
      </c>
      <c r="BK46" s="782" t="s">
        <v>5079</v>
      </c>
    </row>
    <row r="47" spans="1:63" ht="12.75" customHeight="1" x14ac:dyDescent="0.2">
      <c r="A47" s="2136"/>
      <c r="B47" s="1831"/>
      <c r="C47" s="164" t="str">
        <f>VLOOKUP(C42,MAATOBM,5,FALSE)</f>
        <v>7673882/</v>
      </c>
      <c r="D47" s="43" t="str">
        <f>IF(C47=" ","",VLOOKUP(C47,всецены,2,FALSE))</f>
        <v xml:space="preserve">TBX-A, Держат задн ст, 96 мм, бел, прав </v>
      </c>
      <c r="E47" s="1155">
        <v>1</v>
      </c>
      <c r="F47" s="1434">
        <f t="shared" si="11"/>
        <v>34.154920799999999</v>
      </c>
      <c r="G47" s="160">
        <f>IF(C47=" "," ",F47*E47)</f>
        <v>34.154920799999999</v>
      </c>
      <c r="H47" s="2097"/>
      <c r="I47" s="782"/>
      <c r="J47" s="782"/>
      <c r="K47" s="1134" t="s">
        <v>2357</v>
      </c>
      <c r="L47" s="1134" t="s">
        <v>1477</v>
      </c>
      <c r="M47" s="1134" t="s">
        <v>1478</v>
      </c>
      <c r="N47" s="1134" t="s">
        <v>1891</v>
      </c>
      <c r="O47" s="1134" t="s">
        <v>1474</v>
      </c>
      <c r="P47" s="1134" t="s">
        <v>1476</v>
      </c>
      <c r="Q47" s="1134"/>
      <c r="R47" s="1134"/>
      <c r="S47" s="1134" t="s">
        <v>1510</v>
      </c>
      <c r="T47" s="1134" t="s">
        <v>1511</v>
      </c>
      <c r="U47" s="1134" t="s">
        <v>1887</v>
      </c>
      <c r="V47" s="1134" t="s">
        <v>1415</v>
      </c>
      <c r="W47" s="1134" t="s">
        <v>1414</v>
      </c>
      <c r="X47" s="1161" t="s">
        <v>1636</v>
      </c>
      <c r="Y47" s="1134" t="s">
        <v>1634</v>
      </c>
      <c r="Z47" s="782"/>
      <c r="AA47" s="782"/>
      <c r="AB47" s="782"/>
      <c r="AC47" s="782"/>
      <c r="AD47" s="782"/>
      <c r="AE47" s="782"/>
      <c r="AF47" s="8"/>
      <c r="AG47" s="8"/>
      <c r="AH47" s="8"/>
      <c r="AI47" s="8"/>
      <c r="AJ47" s="8"/>
      <c r="AK47" s="782"/>
      <c r="AL47" s="782"/>
      <c r="AM47" s="782"/>
      <c r="AN47" s="782"/>
      <c r="AO47" s="782"/>
      <c r="AP47" s="782"/>
      <c r="AQ47" s="782"/>
      <c r="AR47" s="8"/>
      <c r="AS47" s="8"/>
      <c r="AT47" s="8"/>
      <c r="AU47" s="8"/>
      <c r="AV47" s="8"/>
      <c r="AW47" s="771"/>
      <c r="AX47" s="782"/>
      <c r="AY47" s="782"/>
      <c r="AZ47" s="782"/>
      <c r="BA47" s="782"/>
      <c r="BB47" s="782"/>
      <c r="BC47" s="782"/>
      <c r="BD47" s="8"/>
      <c r="BE47" s="8"/>
      <c r="BF47" s="8"/>
      <c r="BG47" s="782"/>
      <c r="BH47" s="782"/>
      <c r="BI47" s="782" t="s">
        <v>737</v>
      </c>
      <c r="BJ47" s="782"/>
      <c r="BK47" s="782" t="s">
        <v>5078</v>
      </c>
    </row>
    <row r="48" spans="1:63" ht="12.75" customHeight="1" x14ac:dyDescent="0.2">
      <c r="A48" s="2136"/>
      <c r="B48" s="1831"/>
      <c r="C48" s="138" t="str">
        <f>VLOOKUP(C42,$K$65:$M$71,2,FALSE)</f>
        <v>7940374/</v>
      </c>
      <c r="D48" s="1154" t="str">
        <f t="shared" ref="D48:D57" si="12">VLOOKUP(C48,всецены,2,FALSE)</f>
        <v>TBX, Tip-on BM, Напр, 30 кг, 500 мм, лев</v>
      </c>
      <c r="E48" s="1155">
        <v>1</v>
      </c>
      <c r="F48" s="1434">
        <f t="shared" ref="F48:F54" si="13">VLOOKUP(C48,всецены,4,FALSE)</f>
        <v>600.15075120000006</v>
      </c>
      <c r="G48" s="163">
        <f>F48*E48</f>
        <v>600.15075120000006</v>
      </c>
      <c r="H48" s="2097"/>
      <c r="I48" s="782"/>
      <c r="J48" s="782"/>
      <c r="K48" s="1134" t="s">
        <v>2390</v>
      </c>
      <c r="L48" s="1134" t="s">
        <v>2571</v>
      </c>
      <c r="M48" s="1134" t="s">
        <v>2573</v>
      </c>
      <c r="N48" s="1134" t="s">
        <v>1289</v>
      </c>
      <c r="O48" s="1134" t="s">
        <v>1005</v>
      </c>
      <c r="P48" s="1134" t="s">
        <v>1004</v>
      </c>
      <c r="Q48" s="1134"/>
      <c r="R48" s="1134"/>
      <c r="S48" s="1134" t="s">
        <v>1001</v>
      </c>
      <c r="T48" s="1134" t="s">
        <v>1000</v>
      </c>
      <c r="U48" s="1134" t="s">
        <v>933</v>
      </c>
      <c r="V48" s="1134" t="s">
        <v>2174</v>
      </c>
      <c r="W48" s="1134" t="s">
        <v>1009</v>
      </c>
      <c r="X48" s="1134" t="s">
        <v>2104</v>
      </c>
      <c r="Y48" s="1134" t="s">
        <v>642</v>
      </c>
      <c r="Z48" s="782"/>
      <c r="AA48" s="782"/>
      <c r="AB48" s="782"/>
      <c r="AC48" s="782"/>
      <c r="AD48" s="782"/>
      <c r="AE48" s="782"/>
      <c r="AF48" s="8"/>
      <c r="AG48" s="8"/>
      <c r="AH48" s="8"/>
      <c r="AI48" s="8"/>
      <c r="AJ48" s="8"/>
      <c r="AK48" s="782"/>
      <c r="AL48" s="782"/>
      <c r="AM48" s="782"/>
      <c r="AN48" s="782"/>
      <c r="AO48" s="782"/>
      <c r="AP48" s="782"/>
      <c r="AQ48" s="782"/>
      <c r="AR48" s="8"/>
      <c r="AS48" s="8"/>
      <c r="AT48" s="8"/>
      <c r="AU48" s="8"/>
      <c r="AV48" s="8"/>
      <c r="AW48" s="771"/>
      <c r="AX48" s="782"/>
      <c r="AY48" s="782"/>
      <c r="AZ48" s="782"/>
      <c r="BA48" s="782"/>
      <c r="BB48" s="782"/>
      <c r="BC48" s="782"/>
      <c r="BD48" s="8"/>
      <c r="BE48" s="8"/>
      <c r="BF48" s="8"/>
      <c r="BG48" s="782"/>
      <c r="BH48" s="782"/>
      <c r="BI48" s="782" t="s">
        <v>2568</v>
      </c>
      <c r="BJ48" s="782" t="s">
        <v>2390</v>
      </c>
      <c r="BK48" s="782" t="s">
        <v>5080</v>
      </c>
    </row>
    <row r="49" spans="1:63" ht="12.75" customHeight="1" x14ac:dyDescent="0.2">
      <c r="A49" s="2136"/>
      <c r="B49" s="1831"/>
      <c r="C49" s="138" t="str">
        <f>VLOOKUP(C42,$K$65:$M$71,3,FALSE)</f>
        <v>7936668/</v>
      </c>
      <c r="D49" s="1154" t="str">
        <f t="shared" si="12"/>
        <v xml:space="preserve">TBX, Tip-on BM, Напр, 30 кг, 500 мм, пр </v>
      </c>
      <c r="E49" s="1155">
        <v>1</v>
      </c>
      <c r="F49" s="1434">
        <f t="shared" si="13"/>
        <v>600.15075120000006</v>
      </c>
      <c r="G49" s="160">
        <f>IF(C49=" "," ",F49*E49)</f>
        <v>600.15075120000006</v>
      </c>
      <c r="H49" s="2097"/>
      <c r="I49" s="782"/>
      <c r="J49" s="782"/>
      <c r="K49" s="782"/>
      <c r="L49" s="781">
        <v>2</v>
      </c>
      <c r="M49" s="781">
        <v>3</v>
      </c>
      <c r="N49" s="781">
        <v>4</v>
      </c>
      <c r="O49" s="774">
        <v>5</v>
      </c>
      <c r="P49" s="774">
        <v>6</v>
      </c>
      <c r="Q49" s="774">
        <v>7</v>
      </c>
      <c r="R49" s="774">
        <v>8</v>
      </c>
      <c r="S49" s="774">
        <v>9</v>
      </c>
      <c r="T49" s="774">
        <v>10</v>
      </c>
      <c r="U49" s="781">
        <v>11</v>
      </c>
      <c r="V49" s="1767">
        <v>12</v>
      </c>
      <c r="W49" s="1767">
        <v>13</v>
      </c>
      <c r="X49" s="1767">
        <v>14</v>
      </c>
      <c r="Y49" s="781">
        <v>15</v>
      </c>
      <c r="Z49" s="782"/>
      <c r="AA49" s="782"/>
      <c r="AB49" s="782"/>
      <c r="AC49" s="782"/>
      <c r="AD49" s="782"/>
      <c r="AE49" s="782"/>
      <c r="AF49" s="8"/>
      <c r="AG49" s="8"/>
      <c r="AH49" s="8"/>
      <c r="AI49" s="8"/>
      <c r="AJ49" s="8"/>
      <c r="AK49" s="782"/>
      <c r="AL49" s="782"/>
      <c r="AM49" s="782"/>
      <c r="AN49" s="782"/>
      <c r="AO49" s="782"/>
      <c r="AP49" s="782"/>
      <c r="AQ49" s="782"/>
      <c r="AR49" s="8"/>
      <c r="AS49" s="8"/>
      <c r="AT49" s="8"/>
      <c r="AU49" s="8"/>
      <c r="AV49" s="8"/>
      <c r="AW49" s="771"/>
      <c r="AX49" s="782"/>
      <c r="AY49" s="782"/>
      <c r="AZ49" s="782"/>
      <c r="BA49" s="782"/>
      <c r="BB49" s="782"/>
      <c r="BC49" s="782"/>
      <c r="BD49" s="8"/>
      <c r="BE49" s="8"/>
      <c r="BF49" s="8"/>
      <c r="BG49" s="782"/>
      <c r="BH49" s="782"/>
      <c r="BI49" s="782" t="s">
        <v>2094</v>
      </c>
      <c r="BJ49" s="782"/>
      <c r="BK49" s="782" t="s">
        <v>5081</v>
      </c>
    </row>
    <row r="50" spans="1:63" ht="12.75" customHeight="1" x14ac:dyDescent="0.2">
      <c r="A50" s="2136"/>
      <c r="B50" s="1831"/>
      <c r="C50" s="164" t="str">
        <f>VLOOKUP(C42,MAATOBM,10,FALSE)</f>
        <v>8046152/</v>
      </c>
      <c r="D50" s="43" t="str">
        <f>IF(C50=" ","",VLOOKUP(C50,всецены,2,FALSE))</f>
        <v>TBX-A, Загл с лого, бел, сим,ZAA.532C.BL</v>
      </c>
      <c r="E50" s="1155">
        <v>2</v>
      </c>
      <c r="F50" s="1434">
        <f t="shared" si="13"/>
        <v>8.9453364000000004</v>
      </c>
      <c r="G50" s="160">
        <f>IF(C50=" "," ",F50*E50)</f>
        <v>17.890672800000001</v>
      </c>
      <c r="H50" s="2097"/>
      <c r="I50" s="782"/>
      <c r="J50" s="782"/>
      <c r="K50" s="782"/>
      <c r="L50" s="782"/>
      <c r="M50" s="782"/>
      <c r="N50" s="782"/>
      <c r="O50" s="771"/>
      <c r="P50" s="771"/>
      <c r="Q50" s="771"/>
      <c r="R50" s="771"/>
      <c r="S50" s="771"/>
      <c r="T50" s="771"/>
      <c r="U50" s="782"/>
      <c r="V50" s="8"/>
      <c r="W50" s="8"/>
      <c r="X50" s="8"/>
      <c r="Y50" s="782"/>
      <c r="Z50" s="782"/>
      <c r="AA50" s="782"/>
      <c r="AB50" s="782"/>
      <c r="AC50" s="782"/>
      <c r="AD50" s="782"/>
      <c r="AE50" s="782"/>
      <c r="AF50" s="8"/>
      <c r="AG50" s="8"/>
      <c r="AH50" s="8"/>
      <c r="AI50" s="8"/>
      <c r="AJ50" s="8"/>
      <c r="AK50" s="782"/>
      <c r="AL50" s="782"/>
      <c r="AM50" s="782"/>
      <c r="AN50" s="782"/>
      <c r="AO50" s="782"/>
      <c r="AP50" s="782"/>
      <c r="AQ50" s="782"/>
      <c r="AR50" s="8"/>
      <c r="AS50" s="8"/>
      <c r="AT50" s="8"/>
      <c r="AU50" s="8"/>
      <c r="AV50" s="8"/>
      <c r="AW50" s="771"/>
      <c r="AX50" s="782"/>
      <c r="AY50" s="782"/>
      <c r="AZ50" s="782"/>
      <c r="BA50" s="782"/>
      <c r="BB50" s="782"/>
      <c r="BC50" s="782"/>
      <c r="BD50" s="8"/>
      <c r="BE50" s="8"/>
      <c r="BF50" s="8"/>
      <c r="BG50" s="782"/>
      <c r="BH50" s="782"/>
      <c r="BI50" s="782"/>
      <c r="BJ50" s="782"/>
      <c r="BK50" s="782"/>
    </row>
    <row r="51" spans="1:63" s="1761" customFormat="1" ht="12.75" customHeight="1" x14ac:dyDescent="0.2">
      <c r="A51" s="2136"/>
      <c r="B51" s="1831"/>
      <c r="C51" s="1790" t="s">
        <v>3930</v>
      </c>
      <c r="D51" s="43" t="str">
        <f t="shared" si="12"/>
        <v xml:space="preserve">TBX, Tip-on BM, триггер, лев. T60B3009  </v>
      </c>
      <c r="E51" s="3">
        <v>1</v>
      </c>
      <c r="F51" s="12">
        <f t="shared" si="13"/>
        <v>40.660620000000002</v>
      </c>
      <c r="G51" s="442">
        <f t="shared" ref="G51:G57" si="14">F51*E51</f>
        <v>40.660620000000002</v>
      </c>
      <c r="H51" s="2097"/>
      <c r="I51" s="782"/>
      <c r="J51" s="782"/>
      <c r="K51" s="782"/>
      <c r="L51" s="782"/>
      <c r="M51" s="782"/>
      <c r="N51" s="782"/>
      <c r="O51" s="782"/>
      <c r="P51" s="782"/>
      <c r="Q51" s="782"/>
      <c r="R51" s="782"/>
      <c r="S51" s="782"/>
      <c r="T51" s="782"/>
      <c r="U51" s="782"/>
      <c r="V51" s="8"/>
      <c r="W51" s="8"/>
      <c r="X51" s="8"/>
      <c r="Y51" s="782"/>
      <c r="Z51" s="782"/>
      <c r="AA51" s="782"/>
      <c r="AB51" s="782"/>
      <c r="AC51" s="782"/>
      <c r="AD51" s="782"/>
      <c r="AE51" s="782"/>
      <c r="AF51" s="8"/>
      <c r="AG51" s="8"/>
      <c r="AH51" s="8"/>
      <c r="AI51" s="8"/>
      <c r="AJ51" s="8"/>
      <c r="AK51" s="782"/>
      <c r="AL51" s="782"/>
      <c r="AM51" s="782"/>
      <c r="AN51" s="782"/>
      <c r="AO51" s="782"/>
      <c r="AP51" s="782"/>
      <c r="AQ51" s="782"/>
      <c r="AR51" s="8"/>
      <c r="AS51" s="8"/>
      <c r="AT51" s="8"/>
      <c r="AU51" s="8"/>
      <c r="AV51" s="8"/>
      <c r="AW51" s="771"/>
      <c r="AX51" s="782"/>
      <c r="AY51" s="782"/>
      <c r="AZ51" s="782"/>
      <c r="BA51" s="782"/>
      <c r="BB51" s="782"/>
      <c r="BC51" s="782"/>
      <c r="BD51" s="8"/>
      <c r="BE51" s="8"/>
      <c r="BF51" s="8"/>
      <c r="BG51" s="782"/>
      <c r="BH51" s="782"/>
      <c r="BI51" s="782"/>
      <c r="BJ51" s="782"/>
      <c r="BK51" s="782"/>
    </row>
    <row r="52" spans="1:63" s="1761" customFormat="1" ht="12.75" customHeight="1" x14ac:dyDescent="0.2">
      <c r="A52" s="2136"/>
      <c r="B52" s="1831"/>
      <c r="C52" s="1790" t="s">
        <v>3931</v>
      </c>
      <c r="D52" s="43" t="str">
        <f t="shared" si="12"/>
        <v xml:space="preserve">TBX, Tip-on BM, триггер, прав. T60B3009 </v>
      </c>
      <c r="E52" s="3">
        <v>1</v>
      </c>
      <c r="F52" s="12">
        <f t="shared" si="13"/>
        <v>40.660620000000002</v>
      </c>
      <c r="G52" s="442">
        <f t="shared" si="14"/>
        <v>40.660620000000002</v>
      </c>
      <c r="H52" s="2097"/>
      <c r="I52" s="782"/>
      <c r="J52" s="782"/>
      <c r="K52" s="782"/>
      <c r="L52" s="782"/>
      <c r="M52" s="782"/>
      <c r="N52" s="782"/>
      <c r="O52" s="782"/>
      <c r="P52" s="782"/>
      <c r="Q52" s="782"/>
      <c r="R52" s="782"/>
      <c r="S52" s="782"/>
      <c r="T52" s="782"/>
      <c r="U52" s="782"/>
      <c r="V52" s="8"/>
      <c r="W52" s="8"/>
      <c r="X52" s="8"/>
      <c r="Y52" s="782"/>
      <c r="Z52" s="782"/>
      <c r="AA52" s="782"/>
      <c r="AB52" s="782"/>
      <c r="AC52" s="782"/>
      <c r="AD52" s="782"/>
      <c r="AE52" s="782"/>
      <c r="AF52" s="8"/>
      <c r="AG52" s="8"/>
      <c r="AH52" s="8"/>
      <c r="AI52" s="8"/>
      <c r="AJ52" s="8"/>
      <c r="AK52" s="782"/>
      <c r="AL52" s="782"/>
      <c r="AM52" s="782"/>
      <c r="AN52" s="782"/>
      <c r="AO52" s="782"/>
      <c r="AP52" s="782"/>
      <c r="AQ52" s="782"/>
      <c r="AR52" s="8"/>
      <c r="AS52" s="8"/>
      <c r="AT52" s="8"/>
      <c r="AU52" s="8"/>
      <c r="AV52" s="8"/>
      <c r="AW52" s="771"/>
      <c r="AX52" s="782"/>
      <c r="AY52" s="782"/>
      <c r="AZ52" s="782"/>
      <c r="BA52" s="782"/>
      <c r="BB52" s="782"/>
      <c r="BC52" s="782"/>
      <c r="BD52" s="8"/>
      <c r="BE52" s="8"/>
      <c r="BF52" s="8"/>
      <c r="BG52" s="782"/>
      <c r="BH52" s="782"/>
      <c r="BI52" s="782"/>
      <c r="BJ52" s="782"/>
      <c r="BK52" s="782"/>
    </row>
    <row r="53" spans="1:63" s="1761" customFormat="1" ht="12.75" customHeight="1" x14ac:dyDescent="0.2">
      <c r="A53" s="2136"/>
      <c r="B53" s="1831"/>
      <c r="C53" s="1785" t="str">
        <f>VLOOKUP(C42,$K$65:$O$71,4,0)</f>
        <v>1829780/</v>
      </c>
      <c r="D53" s="43" t="str">
        <f t="shared" si="12"/>
        <v xml:space="preserve">TBX, Tip-on BM, L3,350-600, пр T60B3533 </v>
      </c>
      <c r="E53" s="3">
        <v>1</v>
      </c>
      <c r="F53" s="12">
        <f t="shared" si="13"/>
        <v>473.28961680000003</v>
      </c>
      <c r="G53" s="442">
        <f t="shared" si="14"/>
        <v>473.28961680000003</v>
      </c>
      <c r="H53" s="2097"/>
      <c r="I53" s="782"/>
      <c r="J53" s="782"/>
      <c r="K53" s="782"/>
      <c r="L53" s="782"/>
      <c r="M53" s="782"/>
      <c r="N53" s="782"/>
      <c r="O53" s="782"/>
      <c r="P53" s="782"/>
      <c r="Q53" s="782"/>
      <c r="R53" s="782"/>
      <c r="S53" s="782"/>
      <c r="T53" s="782"/>
      <c r="U53" s="782"/>
      <c r="V53" s="8"/>
      <c r="W53" s="8"/>
      <c r="X53" s="8"/>
      <c r="Y53" s="782"/>
      <c r="Z53" s="782"/>
      <c r="AA53" s="782"/>
      <c r="AB53" s="782"/>
      <c r="AC53" s="782"/>
      <c r="AD53" s="782"/>
      <c r="AE53" s="782"/>
      <c r="AF53" s="8"/>
      <c r="AG53" s="8"/>
      <c r="AH53" s="8"/>
      <c r="AI53" s="8"/>
      <c r="AJ53" s="8"/>
      <c r="AK53" s="782"/>
      <c r="AL53" s="782"/>
      <c r="AM53" s="782"/>
      <c r="AN53" s="782"/>
      <c r="AO53" s="782"/>
      <c r="AP53" s="782"/>
      <c r="AQ53" s="782"/>
      <c r="AR53" s="8"/>
      <c r="AS53" s="8"/>
      <c r="AT53" s="8"/>
      <c r="AU53" s="8"/>
      <c r="AV53" s="8"/>
      <c r="AW53" s="771"/>
      <c r="AX53" s="782"/>
      <c r="AY53" s="782"/>
      <c r="AZ53" s="782"/>
      <c r="BA53" s="782"/>
      <c r="BB53" s="782"/>
      <c r="BC53" s="782"/>
      <c r="BD53" s="8"/>
      <c r="BE53" s="8"/>
      <c r="BF53" s="8"/>
      <c r="BG53" s="782"/>
      <c r="BH53" s="782"/>
      <c r="BI53" s="782"/>
      <c r="BJ53" s="782"/>
      <c r="BK53" s="782"/>
    </row>
    <row r="54" spans="1:63" s="1761" customFormat="1" ht="12.75" customHeight="1" x14ac:dyDescent="0.2">
      <c r="A54" s="2136"/>
      <c r="B54" s="1831"/>
      <c r="C54" s="1785" t="str">
        <f>VLOOKUP(C42,$K$65:$O$71,5,0)</f>
        <v>8903805/</v>
      </c>
      <c r="D54" s="43" t="str">
        <f t="shared" si="12"/>
        <v>TBX, Tip-on BM, L3,350-600, лев T60B3533</v>
      </c>
      <c r="E54" s="3">
        <v>1</v>
      </c>
      <c r="F54" s="12">
        <f t="shared" si="13"/>
        <v>473.28961680000003</v>
      </c>
      <c r="G54" s="442">
        <f t="shared" si="14"/>
        <v>473.28961680000003</v>
      </c>
      <c r="H54" s="2097"/>
      <c r="I54" s="782"/>
      <c r="J54" s="782"/>
      <c r="K54" s="782"/>
      <c r="L54" s="782"/>
      <c r="M54" s="782"/>
      <c r="N54" s="782"/>
      <c r="O54" s="782"/>
      <c r="P54" s="782"/>
      <c r="Q54" s="782"/>
      <c r="R54" s="782"/>
      <c r="S54" s="782"/>
      <c r="T54" s="782"/>
      <c r="U54" s="782"/>
      <c r="V54" s="8"/>
      <c r="W54" s="8"/>
      <c r="X54" s="8"/>
      <c r="Y54" s="782"/>
      <c r="Z54" s="782"/>
      <c r="AA54" s="782"/>
      <c r="AB54" s="782"/>
      <c r="AC54" s="782"/>
      <c r="AD54" s="782"/>
      <c r="AE54" s="782"/>
      <c r="AF54" s="8"/>
      <c r="AG54" s="8"/>
      <c r="AH54" s="8"/>
      <c r="AI54" s="8"/>
      <c r="AJ54" s="8"/>
      <c r="AK54" s="782"/>
      <c r="AL54" s="782"/>
      <c r="AM54" s="782"/>
      <c r="AN54" s="782"/>
      <c r="AO54" s="782"/>
      <c r="AP54" s="782"/>
      <c r="AQ54" s="782"/>
      <c r="AR54" s="8"/>
      <c r="AS54" s="8"/>
      <c r="AT54" s="8"/>
      <c r="AU54" s="8"/>
      <c r="AV54" s="8"/>
      <c r="AW54" s="771"/>
      <c r="AX54" s="782"/>
      <c r="AY54" s="782"/>
      <c r="AZ54" s="782"/>
      <c r="BA54" s="782"/>
      <c r="BB54" s="782"/>
      <c r="BC54" s="782"/>
      <c r="BD54" s="8"/>
      <c r="BE54" s="8"/>
      <c r="BF54" s="8"/>
      <c r="BG54" s="782"/>
      <c r="BH54" s="782"/>
      <c r="BI54" s="782"/>
      <c r="BJ54" s="782"/>
      <c r="BK54" s="782"/>
    </row>
    <row r="55" spans="1:63" ht="12.75" customHeight="1" x14ac:dyDescent="0.2">
      <c r="A55" s="2136"/>
      <c r="B55" s="1831"/>
      <c r="C55" s="1157" t="str">
        <f>VLOOKUP($D$3,AAвнутр.,2,FALSE)</f>
        <v>8680062/</v>
      </c>
      <c r="D55" s="1154" t="str">
        <f t="shared" si="12"/>
        <v xml:space="preserve">TBX-AA, Крепл п/п вн бел, лев ZIF.71M0  </v>
      </c>
      <c r="E55" s="1155">
        <v>1</v>
      </c>
      <c r="F55" s="1434">
        <f t="shared" si="11"/>
        <v>62.617354800000001</v>
      </c>
      <c r="G55" s="1818">
        <f t="shared" si="14"/>
        <v>62.617354800000001</v>
      </c>
      <c r="H55" s="2097"/>
      <c r="I55" s="782"/>
      <c r="J55" s="782"/>
      <c r="K55" s="782"/>
      <c r="L55" s="782"/>
      <c r="M55" s="782"/>
      <c r="N55" s="782"/>
      <c r="O55" s="782"/>
      <c r="P55" s="782"/>
      <c r="Q55" s="782"/>
      <c r="R55" s="782"/>
      <c r="S55" s="782"/>
      <c r="T55" s="782"/>
      <c r="U55" s="782"/>
      <c r="V55" s="8"/>
      <c r="W55" s="8"/>
      <c r="X55" s="8"/>
      <c r="Y55" s="782"/>
      <c r="Z55" s="782"/>
      <c r="AA55" s="782"/>
      <c r="AB55" s="782"/>
      <c r="AC55" s="782"/>
      <c r="AD55" s="782"/>
      <c r="AE55" s="782"/>
      <c r="AF55" s="8"/>
      <c r="AG55" s="8"/>
      <c r="AH55" s="8"/>
      <c r="AI55" s="8"/>
      <c r="AJ55" s="8"/>
      <c r="AK55" s="782"/>
      <c r="AL55" s="782"/>
      <c r="AM55" s="782"/>
      <c r="AN55" s="782"/>
      <c r="AO55" s="782"/>
      <c r="AP55" s="782"/>
      <c r="AQ55" s="782"/>
      <c r="AR55" s="8"/>
      <c r="AS55" s="8"/>
      <c r="AT55" s="8"/>
      <c r="AU55" s="8"/>
      <c r="AV55" s="8"/>
      <c r="AW55" s="771"/>
      <c r="AX55" s="782"/>
      <c r="AY55" s="782"/>
      <c r="AZ55" s="782"/>
      <c r="BA55" s="782"/>
      <c r="BB55" s="782"/>
      <c r="BC55" s="782"/>
      <c r="BD55" s="8"/>
      <c r="BE55" s="8"/>
      <c r="BF55" s="8"/>
      <c r="BG55" s="782"/>
      <c r="BH55" s="782"/>
      <c r="BI55" s="782"/>
      <c r="BJ55" s="782"/>
      <c r="BK55" s="782"/>
    </row>
    <row r="56" spans="1:63" ht="12.75" customHeight="1" x14ac:dyDescent="0.2">
      <c r="A56" s="274"/>
      <c r="B56" s="1831"/>
      <c r="C56" s="1157" t="str">
        <f>VLOOKUP($D$3,AAвнутр.,3,FALSE)</f>
        <v>8680132/</v>
      </c>
      <c r="D56" s="1154" t="str">
        <f t="shared" si="12"/>
        <v xml:space="preserve">TBX-AA, Крепл п/п вн бел, прав ZIF.71M0 </v>
      </c>
      <c r="E56" s="1155">
        <v>1</v>
      </c>
      <c r="F56" s="1434">
        <f t="shared" si="11"/>
        <v>62.617354800000001</v>
      </c>
      <c r="G56" s="1818">
        <f t="shared" si="14"/>
        <v>62.617354800000001</v>
      </c>
      <c r="H56" s="2097"/>
      <c r="I56" s="782"/>
      <c r="J56" s="782"/>
      <c r="K56" s="782"/>
      <c r="L56" s="782"/>
      <c r="M56" s="782"/>
      <c r="N56" s="782"/>
      <c r="O56" s="771"/>
      <c r="P56" s="782"/>
      <c r="Q56" s="782"/>
      <c r="R56" s="782"/>
      <c r="S56" s="782"/>
      <c r="T56" s="782"/>
      <c r="U56" s="771"/>
      <c r="V56" s="8"/>
      <c r="W56" s="8"/>
      <c r="X56" s="8"/>
      <c r="Y56" s="782"/>
      <c r="Z56" s="782"/>
      <c r="AA56" s="782"/>
      <c r="AB56" s="782"/>
      <c r="AC56" s="782"/>
      <c r="AD56" s="782"/>
      <c r="AE56" s="782"/>
      <c r="AF56" s="8"/>
      <c r="AG56" s="8"/>
      <c r="AH56" s="8"/>
      <c r="AI56" s="8"/>
      <c r="AJ56" s="8"/>
      <c r="AK56" s="782"/>
      <c r="AL56" s="782"/>
      <c r="AM56" s="782"/>
      <c r="AN56" s="782"/>
      <c r="AO56" s="782"/>
      <c r="AP56" s="782"/>
      <c r="AQ56" s="782"/>
      <c r="AR56" s="8"/>
      <c r="AS56" s="8"/>
      <c r="AT56" s="8"/>
      <c r="AU56" s="8"/>
      <c r="AV56" s="8"/>
      <c r="AW56" s="771"/>
      <c r="AX56" s="782"/>
      <c r="AY56" s="782"/>
      <c r="AZ56" s="782"/>
      <c r="BA56" s="782"/>
      <c r="BB56" s="782"/>
      <c r="BC56" s="782"/>
      <c r="BD56" s="8"/>
      <c r="BE56" s="8"/>
      <c r="BF56" s="8"/>
      <c r="BG56" s="782"/>
      <c r="BH56" s="782"/>
      <c r="BI56" s="782"/>
      <c r="BJ56" s="782"/>
      <c r="BK56" s="782"/>
    </row>
    <row r="57" spans="1:63" ht="12.75" customHeight="1" thickBot="1" x14ac:dyDescent="0.25">
      <c r="A57" s="274"/>
      <c r="B57" s="1832"/>
      <c r="C57" s="1158" t="str">
        <f>VLOOKUP($D$3,AAвнутр.,4,FALSE)</f>
        <v>8479022/</v>
      </c>
      <c r="D57" s="998" t="str">
        <f t="shared" si="12"/>
        <v xml:space="preserve">TBX-A, Передн панель, 1036 мм, бел, б/п </v>
      </c>
      <c r="E57" s="1061">
        <v>1</v>
      </c>
      <c r="F57" s="1435">
        <f t="shared" si="11"/>
        <v>1187.2901040000002</v>
      </c>
      <c r="G57" s="1819">
        <f t="shared" si="14"/>
        <v>1187.2901040000002</v>
      </c>
      <c r="H57" s="2138"/>
      <c r="I57" s="782"/>
      <c r="J57" s="782"/>
      <c r="K57" s="782"/>
      <c r="L57" s="782"/>
      <c r="M57" s="782"/>
      <c r="N57" s="782"/>
      <c r="O57" s="782"/>
      <c r="P57" s="782"/>
      <c r="Q57" s="782"/>
      <c r="R57" s="782"/>
      <c r="S57" s="782"/>
      <c r="T57" s="782"/>
      <c r="U57" s="782"/>
      <c r="V57" s="8"/>
      <c r="W57" s="8"/>
      <c r="X57" s="8"/>
      <c r="Y57" s="782"/>
      <c r="Z57" s="782"/>
      <c r="AA57" s="782"/>
      <c r="AB57" s="782"/>
      <c r="AC57" s="782"/>
      <c r="AD57" s="782"/>
      <c r="AE57" s="782"/>
      <c r="AF57" s="8"/>
      <c r="AG57" s="8"/>
      <c r="AH57" s="8"/>
      <c r="AI57" s="8"/>
      <c r="AJ57" s="8"/>
      <c r="AK57" s="782"/>
      <c r="AL57" s="782"/>
      <c r="AM57" s="782"/>
      <c r="AN57" s="782"/>
      <c r="AO57" s="782"/>
      <c r="AP57" s="782"/>
      <c r="AQ57" s="782"/>
      <c r="AR57" s="8"/>
      <c r="AS57" s="8"/>
      <c r="AT57" s="8"/>
      <c r="AU57" s="8"/>
      <c r="AV57" s="8" t="s">
        <v>7160</v>
      </c>
      <c r="AW57" s="771"/>
      <c r="AX57" s="782"/>
      <c r="AY57" s="782"/>
      <c r="AZ57" s="782"/>
      <c r="BA57" s="782"/>
      <c r="BB57" s="782"/>
      <c r="BC57" s="782"/>
      <c r="BD57" s="8"/>
      <c r="BE57" s="8"/>
      <c r="BF57" s="8"/>
      <c r="BG57" s="782"/>
      <c r="BH57" s="782"/>
      <c r="BI57" s="782"/>
      <c r="BJ57" s="782"/>
      <c r="BK57" s="782"/>
    </row>
    <row r="58" spans="1:63" ht="15" x14ac:dyDescent="0.2">
      <c r="A58" s="274"/>
      <c r="B58" s="69"/>
      <c r="C58" s="708"/>
      <c r="D58" s="709"/>
      <c r="E58" s="710"/>
      <c r="F58" s="711"/>
      <c r="G58" s="179"/>
      <c r="H58" s="737"/>
      <c r="I58" s="782"/>
      <c r="J58" s="782"/>
      <c r="K58" s="782"/>
      <c r="L58" s="782"/>
      <c r="M58" s="782"/>
      <c r="N58" s="782"/>
      <c r="O58" s="771"/>
      <c r="P58" s="782"/>
      <c r="Q58" s="782"/>
      <c r="R58" s="782"/>
      <c r="S58" s="771"/>
      <c r="T58" s="771"/>
      <c r="U58" s="782"/>
      <c r="V58" s="8"/>
      <c r="W58" s="8"/>
      <c r="X58" s="8"/>
      <c r="Y58" s="782"/>
      <c r="Z58" s="782"/>
      <c r="AA58" s="782"/>
      <c r="AB58" s="782"/>
      <c r="AC58" s="782"/>
      <c r="AD58" s="782"/>
      <c r="AE58" s="782"/>
      <c r="AF58" s="8"/>
      <c r="AG58" s="8"/>
      <c r="AH58" s="8"/>
      <c r="AI58" s="8"/>
      <c r="AJ58" s="8"/>
      <c r="AK58" s="782"/>
      <c r="AL58" s="782"/>
      <c r="AM58" s="782"/>
      <c r="AN58" s="782"/>
      <c r="AO58" s="782"/>
      <c r="AP58" s="782"/>
      <c r="AQ58" s="782"/>
      <c r="AR58" s="8"/>
      <c r="AS58" s="8"/>
      <c r="AT58" s="8"/>
      <c r="AU58" s="8"/>
      <c r="AV58" s="8"/>
      <c r="AW58" s="782"/>
      <c r="AX58" s="782"/>
      <c r="AY58" s="782"/>
      <c r="AZ58" s="782"/>
      <c r="BA58" s="782"/>
      <c r="BB58" s="782"/>
      <c r="BC58" s="782"/>
      <c r="BD58" s="8"/>
      <c r="BE58" s="8"/>
      <c r="BF58" s="8"/>
      <c r="BG58" s="782"/>
      <c r="BH58" s="782"/>
      <c r="BI58" s="782"/>
      <c r="BJ58" s="782"/>
      <c r="BK58" s="782"/>
    </row>
    <row r="59" spans="1:63" ht="15" x14ac:dyDescent="0.2">
      <c r="A59" s="314"/>
      <c r="B59" s="1762"/>
      <c r="C59" s="712"/>
      <c r="D59" s="713"/>
      <c r="E59" s="1770"/>
      <c r="F59" s="714"/>
      <c r="G59" s="715"/>
      <c r="H59" s="19"/>
      <c r="I59" s="782"/>
      <c r="J59" s="782"/>
      <c r="K59" s="782"/>
      <c r="L59" s="782"/>
      <c r="M59" s="782"/>
      <c r="N59" s="782"/>
      <c r="O59" s="782"/>
      <c r="P59" s="782"/>
      <c r="Q59" s="782"/>
      <c r="R59" s="782"/>
      <c r="S59" s="782"/>
      <c r="T59" s="782"/>
      <c r="U59" s="782"/>
      <c r="V59" s="8"/>
      <c r="W59" s="8"/>
      <c r="X59" s="8"/>
      <c r="Y59" s="782"/>
      <c r="Z59" s="782"/>
      <c r="AA59" s="782"/>
      <c r="AB59" s="782"/>
      <c r="AC59" s="782"/>
      <c r="AD59" s="782"/>
      <c r="AE59" s="782"/>
      <c r="AF59" s="8"/>
      <c r="AG59" s="8"/>
      <c r="AH59" s="8"/>
      <c r="AI59" s="8"/>
      <c r="AJ59" s="8"/>
      <c r="AK59" s="782"/>
      <c r="AL59" s="782"/>
      <c r="AM59" s="782"/>
      <c r="AN59" s="782"/>
      <c r="AO59" s="782"/>
      <c r="AP59" s="782"/>
      <c r="AQ59" s="782"/>
      <c r="AR59" s="8"/>
      <c r="AS59" s="8"/>
      <c r="AT59" s="8"/>
      <c r="AU59" s="8"/>
      <c r="AV59" s="8"/>
      <c r="AW59" s="782"/>
      <c r="AX59" s="782"/>
      <c r="AY59" s="782"/>
      <c r="AZ59" s="782"/>
      <c r="BA59" s="782"/>
      <c r="BB59" s="782"/>
      <c r="BC59" s="782"/>
      <c r="BD59" s="8"/>
      <c r="BE59" s="8"/>
      <c r="BF59" s="8"/>
      <c r="BG59" s="782"/>
      <c r="BH59" s="782"/>
      <c r="BI59" s="782"/>
      <c r="BJ59" s="782"/>
      <c r="BK59" s="782"/>
    </row>
    <row r="60" spans="1:63" ht="15" customHeight="1" x14ac:dyDescent="0.2">
      <c r="A60" s="274"/>
      <c r="B60" s="2127" t="s">
        <v>3448</v>
      </c>
      <c r="C60" s="2127"/>
      <c r="D60" s="2127"/>
      <c r="E60" s="2127"/>
      <c r="F60" s="2127"/>
      <c r="G60" s="2127"/>
      <c r="H60" s="716"/>
      <c r="I60" s="782"/>
      <c r="J60" s="782"/>
      <c r="K60" s="782"/>
      <c r="L60" s="782"/>
      <c r="M60" s="782"/>
      <c r="N60" s="782"/>
      <c r="O60" s="771"/>
      <c r="P60" s="771"/>
      <c r="Q60" s="771"/>
      <c r="R60" s="771"/>
      <c r="S60" s="782"/>
      <c r="T60" s="782"/>
      <c r="U60" s="782"/>
      <c r="V60" s="8"/>
      <c r="W60" s="8"/>
      <c r="X60" s="8"/>
      <c r="Y60" s="782"/>
      <c r="Z60" s="782"/>
      <c r="AA60" s="782"/>
      <c r="AB60" s="782"/>
      <c r="AC60" s="782"/>
      <c r="AD60" s="782"/>
      <c r="AE60" s="782"/>
      <c r="AF60" s="8"/>
      <c r="AG60" s="8"/>
      <c r="AH60" s="8"/>
      <c r="AI60" s="8"/>
      <c r="AJ60" s="8"/>
      <c r="AK60" s="782"/>
      <c r="AL60" s="782"/>
      <c r="AM60" s="782"/>
      <c r="AN60" s="782"/>
      <c r="AO60" s="782"/>
      <c r="AP60" s="782"/>
      <c r="AQ60" s="782"/>
      <c r="AR60" s="8"/>
      <c r="AS60" s="8"/>
      <c r="AT60" s="8"/>
      <c r="AU60" s="8"/>
      <c r="AV60" s="8"/>
      <c r="AW60" s="782"/>
      <c r="AX60" s="782"/>
      <c r="AY60" s="782"/>
      <c r="AZ60" s="782"/>
      <c r="BA60" s="782"/>
      <c r="BB60" s="782"/>
      <c r="BC60" s="782"/>
      <c r="BD60" s="8"/>
      <c r="BE60" s="8"/>
      <c r="BF60" s="8"/>
      <c r="BG60" s="782"/>
      <c r="BH60" s="782"/>
      <c r="BI60" s="782"/>
      <c r="BJ60" s="782"/>
      <c r="BK60" s="782"/>
    </row>
    <row r="61" spans="1:63" ht="15" customHeight="1" thickBot="1" x14ac:dyDescent="0.25">
      <c r="A61" s="274"/>
      <c r="B61" s="2140"/>
      <c r="C61" s="2140"/>
      <c r="D61" s="2140"/>
      <c r="E61" s="2140"/>
      <c r="F61" s="2140"/>
      <c r="G61" s="2140"/>
      <c r="H61" s="611" t="str">
        <f>D3</f>
        <v>Белый шёлк</v>
      </c>
      <c r="I61" s="782"/>
      <c r="J61" s="782"/>
      <c r="K61" s="782"/>
      <c r="L61" s="782"/>
      <c r="M61" s="782"/>
      <c r="N61" s="782"/>
      <c r="O61" s="782"/>
      <c r="P61" s="782"/>
      <c r="Q61" s="782"/>
      <c r="R61" s="782"/>
      <c r="S61" s="782"/>
      <c r="T61" s="782"/>
      <c r="U61" s="782"/>
      <c r="V61" s="8"/>
      <c r="W61" s="8"/>
      <c r="X61" s="8"/>
      <c r="Y61" s="782"/>
      <c r="Z61" s="782"/>
      <c r="AA61" s="782"/>
      <c r="AB61" s="782"/>
      <c r="AC61" s="782"/>
      <c r="AD61" s="782"/>
      <c r="AE61" s="782"/>
      <c r="AF61" s="8"/>
      <c r="AG61" s="8"/>
      <c r="AH61" s="8"/>
      <c r="AI61" s="8"/>
      <c r="AJ61" s="8"/>
      <c r="AK61" s="782"/>
      <c r="AL61" s="782"/>
      <c r="AM61" s="782"/>
      <c r="AN61" s="782"/>
      <c r="AO61" s="782"/>
      <c r="AP61" s="782"/>
      <c r="AQ61" s="782"/>
      <c r="AR61" s="8"/>
      <c r="AS61" s="8"/>
      <c r="AT61" s="8"/>
      <c r="AU61" s="8"/>
      <c r="AV61" s="8"/>
      <c r="AW61" s="782"/>
      <c r="AX61" s="782"/>
      <c r="AY61" s="782"/>
      <c r="AZ61" s="782"/>
      <c r="BA61" s="782"/>
      <c r="BB61" s="782"/>
      <c r="BC61" s="782"/>
      <c r="BD61" s="8"/>
      <c r="BE61" s="8"/>
      <c r="BF61" s="8"/>
      <c r="BG61" s="782"/>
      <c r="BH61" s="782"/>
      <c r="BI61" s="782"/>
      <c r="BJ61" s="782"/>
      <c r="BK61" s="782"/>
    </row>
    <row r="62" spans="1:63" ht="15" x14ac:dyDescent="0.2">
      <c r="A62" s="274"/>
      <c r="B62" s="717"/>
      <c r="C62" s="718"/>
      <c r="D62" s="719"/>
      <c r="E62" s="719"/>
      <c r="F62" s="719"/>
      <c r="G62" s="720"/>
      <c r="H62" s="721"/>
      <c r="I62" s="782"/>
      <c r="J62" s="782"/>
      <c r="K62" s="782"/>
      <c r="L62" s="782"/>
      <c r="M62" s="771"/>
      <c r="N62" s="771"/>
      <c r="O62" s="771"/>
      <c r="P62" s="771"/>
      <c r="Q62" s="771"/>
      <c r="R62" s="771"/>
      <c r="S62" s="771"/>
      <c r="T62" s="771"/>
      <c r="U62" s="782"/>
      <c r="V62" s="8"/>
      <c r="W62" s="158"/>
      <c r="X62" s="8"/>
      <c r="Y62" s="782"/>
      <c r="Z62" s="782"/>
      <c r="AA62" s="782"/>
      <c r="AB62" s="782"/>
      <c r="AC62" s="782"/>
      <c r="AD62" s="782"/>
      <c r="AE62" s="782"/>
      <c r="AF62" s="8"/>
      <c r="AG62" s="8"/>
      <c r="AH62" s="8"/>
      <c r="AI62" s="158"/>
      <c r="AJ62" s="8"/>
      <c r="AK62" s="782"/>
      <c r="AL62" s="782"/>
      <c r="AM62" s="782"/>
      <c r="AN62" s="782"/>
      <c r="AO62" s="782"/>
      <c r="AP62" s="782"/>
      <c r="AQ62" s="782"/>
      <c r="AR62" s="8"/>
      <c r="AS62" s="8"/>
      <c r="AT62" s="8"/>
      <c r="AU62" s="158"/>
      <c r="AV62" s="8"/>
      <c r="AW62" s="782"/>
      <c r="AX62" s="782"/>
      <c r="AY62" s="782"/>
      <c r="AZ62" s="782"/>
      <c r="BA62" s="782"/>
      <c r="BB62" s="782"/>
      <c r="BC62" s="782"/>
      <c r="BD62" s="8"/>
      <c r="BE62" s="8"/>
      <c r="BF62" s="8"/>
      <c r="BG62" s="782"/>
      <c r="BH62" s="782"/>
      <c r="BI62" s="782"/>
      <c r="BJ62" s="782"/>
      <c r="BK62" s="782"/>
    </row>
    <row r="63" spans="1:63" ht="15.75" thickBot="1" x14ac:dyDescent="0.25">
      <c r="A63" s="274"/>
      <c r="B63" s="1769" t="s">
        <v>1639</v>
      </c>
      <c r="C63" s="170">
        <v>500</v>
      </c>
      <c r="D63" s="97" t="s">
        <v>1689</v>
      </c>
      <c r="E63" s="97"/>
      <c r="F63" s="97"/>
      <c r="G63" s="722"/>
      <c r="H63" s="2125" t="str">
        <f>IF(СОДЕРЖАНИЕ!P2=1,"EUR","RUB")</f>
        <v>RUB</v>
      </c>
      <c r="I63" s="782"/>
      <c r="J63" s="782"/>
      <c r="K63" s="782"/>
      <c r="L63" s="782"/>
      <c r="M63" s="771"/>
      <c r="N63" s="771"/>
      <c r="O63" s="771"/>
      <c r="P63" s="771"/>
      <c r="Q63" s="771"/>
      <c r="R63" s="771"/>
      <c r="S63" s="782"/>
      <c r="T63" s="782"/>
      <c r="U63" s="782"/>
      <c r="V63" s="8"/>
      <c r="W63" s="8"/>
      <c r="X63" s="8"/>
      <c r="Y63" s="782"/>
      <c r="Z63" s="782"/>
      <c r="AA63" s="782"/>
      <c r="AB63" s="782"/>
      <c r="AC63" s="782"/>
      <c r="AD63" s="782"/>
      <c r="AE63" s="782"/>
      <c r="AF63" s="8"/>
      <c r="AG63" s="8"/>
      <c r="AH63" s="8"/>
      <c r="AI63" s="8"/>
      <c r="AJ63" s="8"/>
      <c r="AK63" s="782"/>
      <c r="AL63" s="782"/>
      <c r="AM63" s="782"/>
      <c r="AN63" s="782"/>
      <c r="AO63" s="782"/>
      <c r="AP63" s="782"/>
      <c r="AQ63" s="782"/>
      <c r="AR63" s="8"/>
      <c r="AS63" s="8"/>
      <c r="AT63" s="8"/>
      <c r="AU63" s="8"/>
      <c r="AV63" s="8"/>
      <c r="AW63" s="782"/>
      <c r="AX63" s="782"/>
      <c r="AY63" s="782"/>
      <c r="AZ63" s="782"/>
      <c r="BA63" s="782"/>
      <c r="BB63" s="782"/>
      <c r="BC63" s="782"/>
      <c r="BD63" s="8"/>
      <c r="BE63" s="8"/>
      <c r="BF63" s="8"/>
      <c r="BG63" s="782"/>
      <c r="BH63" s="782"/>
      <c r="BI63" s="782"/>
      <c r="BJ63" s="782"/>
      <c r="BK63" s="782"/>
    </row>
    <row r="64" spans="1:63" x14ac:dyDescent="0.2">
      <c r="A64" s="2136"/>
      <c r="B64" s="2231"/>
      <c r="C64" s="135" t="s">
        <v>1301</v>
      </c>
      <c r="D64" s="139" t="s">
        <v>784</v>
      </c>
      <c r="E64" s="140" t="s">
        <v>2117</v>
      </c>
      <c r="F64" s="139"/>
      <c r="G64" s="178" t="s">
        <v>2116</v>
      </c>
      <c r="H64" s="2126"/>
      <c r="I64" s="786"/>
      <c r="J64" s="782"/>
      <c r="K64" s="782"/>
      <c r="L64" s="782"/>
      <c r="M64" s="782"/>
      <c r="N64" s="782"/>
      <c r="O64" s="782"/>
      <c r="P64" s="782"/>
      <c r="Q64" s="782"/>
      <c r="R64" s="782"/>
      <c r="S64" s="782"/>
      <c r="T64" s="782"/>
      <c r="U64" s="782"/>
      <c r="V64" s="8"/>
      <c r="W64" s="8"/>
      <c r="X64" s="8"/>
      <c r="Y64" s="782"/>
      <c r="Z64" s="782"/>
      <c r="AA64" s="782"/>
      <c r="AB64" s="782"/>
      <c r="AC64" s="782"/>
      <c r="AD64" s="782"/>
      <c r="AE64" s="782"/>
      <c r="AF64" s="8"/>
      <c r="AG64" s="8"/>
      <c r="AH64" s="8"/>
      <c r="AI64" s="8"/>
      <c r="AJ64" s="8"/>
      <c r="AK64" s="782"/>
      <c r="AL64" s="782"/>
      <c r="AM64" s="782"/>
      <c r="AN64" s="782"/>
      <c r="AO64" s="782"/>
      <c r="AP64" s="782"/>
      <c r="AQ64" s="782"/>
      <c r="AR64" s="8"/>
      <c r="AS64" s="8"/>
      <c r="AT64" s="8"/>
      <c r="AU64" s="8"/>
      <c r="AV64" s="8"/>
      <c r="AW64" s="782"/>
      <c r="AX64" s="782"/>
      <c r="AY64" s="782"/>
      <c r="AZ64" s="782"/>
      <c r="BA64" s="782"/>
      <c r="BB64" s="782"/>
      <c r="BC64" s="782"/>
      <c r="BD64" s="8"/>
      <c r="BE64" s="8"/>
      <c r="BF64" s="8"/>
      <c r="BG64" s="782"/>
      <c r="BH64" s="782"/>
      <c r="BI64" s="782"/>
      <c r="BJ64" s="782"/>
      <c r="BK64" s="782"/>
    </row>
    <row r="65" spans="1:63" x14ac:dyDescent="0.2">
      <c r="A65" s="2136"/>
      <c r="B65" s="2232"/>
      <c r="C65" s="1154" t="str">
        <f>VLOOKUP($C$63,MAATOBM,2,FALSE)</f>
        <v>1847502/</v>
      </c>
      <c r="D65" s="43" t="str">
        <f>IF(C65=" ","",VLOOKUP(C65,всецены,2,FALSE))</f>
        <v xml:space="preserve">TBX-A, Царга 83/500 мм, бел, лев. NEW   </v>
      </c>
      <c r="E65" s="80">
        <v>1</v>
      </c>
      <c r="F65" s="63">
        <f t="shared" ref="F65:F78" si="15">VLOOKUP(C65,всецены,4,FALSE)</f>
        <v>395.22122640000003</v>
      </c>
      <c r="G65" s="160">
        <f>IF(C65=" "," ",F65*E65)</f>
        <v>395.22122640000003</v>
      </c>
      <c r="H65" s="2091">
        <f>SUM(G65:G78)</f>
        <v>3622.0480296000005</v>
      </c>
      <c r="I65" s="782"/>
      <c r="J65" s="786"/>
      <c r="K65" s="786"/>
      <c r="L65" s="8" t="s">
        <v>1641</v>
      </c>
      <c r="M65" s="8" t="s">
        <v>1642</v>
      </c>
      <c r="N65" s="8" t="s">
        <v>5189</v>
      </c>
      <c r="O65" s="8" t="s">
        <v>5190</v>
      </c>
      <c r="P65" s="786"/>
      <c r="Q65" s="786"/>
      <c r="R65" s="786"/>
      <c r="S65" s="786"/>
      <c r="T65" s="786"/>
      <c r="U65" s="786"/>
      <c r="V65" s="8"/>
      <c r="W65" s="88"/>
      <c r="X65" s="8"/>
      <c r="Y65" s="786"/>
      <c r="Z65" s="786"/>
      <c r="AA65" s="786"/>
      <c r="AB65" s="786"/>
      <c r="AC65" s="786"/>
      <c r="AD65" s="786"/>
      <c r="AE65" s="786"/>
      <c r="AF65" s="8"/>
      <c r="AG65" s="8"/>
      <c r="AH65" s="8"/>
      <c r="AI65" s="88"/>
      <c r="AJ65" s="8"/>
      <c r="AK65" s="786"/>
      <c r="AL65" s="786"/>
      <c r="AM65" s="786"/>
      <c r="AN65" s="786"/>
      <c r="AO65" s="786"/>
      <c r="AP65" s="786"/>
      <c r="AQ65" s="786"/>
      <c r="AR65" s="8"/>
      <c r="AS65" s="8"/>
      <c r="AT65" s="8"/>
      <c r="AU65" s="88"/>
      <c r="AV65" s="8"/>
      <c r="AW65" s="786"/>
      <c r="AX65" s="786"/>
      <c r="AY65" s="786"/>
      <c r="AZ65" s="786"/>
      <c r="BA65" s="786"/>
      <c r="BB65" s="786"/>
      <c r="BC65" s="786"/>
      <c r="BD65" s="8"/>
      <c r="BE65" s="8"/>
      <c r="BF65" s="8"/>
      <c r="BG65" s="782"/>
      <c r="BH65" s="782"/>
      <c r="BI65" s="782"/>
      <c r="BJ65" s="782"/>
      <c r="BK65" s="782"/>
    </row>
    <row r="66" spans="1:63" x14ac:dyDescent="0.2">
      <c r="A66" s="2136"/>
      <c r="B66" s="1831"/>
      <c r="C66" s="1154" t="str">
        <f>VLOOKUP($C$63,MAATOBM,3,FALSE)</f>
        <v>1838267/</v>
      </c>
      <c r="D66" s="43" t="str">
        <f>IF(C66=" ","",VLOOKUP(C66,всецены,2,FALSE))</f>
        <v xml:space="preserve">TBX-A, Царга 83/500 мм, бел, прав. NEW  </v>
      </c>
      <c r="E66" s="80">
        <v>1</v>
      </c>
      <c r="F66" s="63">
        <f t="shared" si="15"/>
        <v>395.22122640000003</v>
      </c>
      <c r="G66" s="160">
        <f>IF(C66=" "," ",F66*E66)</f>
        <v>395.22122640000003</v>
      </c>
      <c r="H66" s="2092"/>
      <c r="I66" s="782"/>
      <c r="J66" s="771"/>
      <c r="K66" s="8">
        <v>270</v>
      </c>
      <c r="L66" s="1761" t="s">
        <v>3934</v>
      </c>
      <c r="M66" s="1761" t="s">
        <v>3933</v>
      </c>
      <c r="N66" s="1761" t="s">
        <v>3919</v>
      </c>
      <c r="O66" s="1761" t="s">
        <v>3932</v>
      </c>
      <c r="P66" s="782"/>
      <c r="Q66" s="782"/>
      <c r="R66" s="782"/>
      <c r="S66" s="782"/>
      <c r="T66" s="782"/>
      <c r="U66" s="782"/>
      <c r="V66" s="96"/>
      <c r="W66" s="28"/>
      <c r="X66" s="28"/>
      <c r="Y66" s="782"/>
      <c r="Z66" s="782"/>
      <c r="AA66" s="782"/>
      <c r="AB66" s="782"/>
      <c r="AC66" s="782"/>
      <c r="AD66" s="782"/>
      <c r="AE66" s="782"/>
      <c r="AF66" s="8"/>
      <c r="AG66" s="8"/>
      <c r="AH66" s="106" t="s">
        <v>1185</v>
      </c>
      <c r="AI66" s="8"/>
      <c r="AJ66" s="8"/>
      <c r="AK66" s="782"/>
      <c r="AL66" s="782"/>
      <c r="AM66" s="782"/>
      <c r="AN66" s="782"/>
      <c r="AO66" s="782"/>
      <c r="AP66" s="782"/>
      <c r="AQ66" s="782"/>
      <c r="AR66" s="8"/>
      <c r="AS66" s="8"/>
      <c r="AT66" s="106" t="s">
        <v>1185</v>
      </c>
      <c r="AU66" s="8"/>
      <c r="AV66" s="8"/>
      <c r="AW66" s="782"/>
      <c r="AX66" s="782"/>
      <c r="AY66" s="782"/>
      <c r="AZ66" s="782"/>
      <c r="BA66" s="782"/>
      <c r="BB66" s="782"/>
      <c r="BC66" s="782"/>
      <c r="BD66" s="8"/>
      <c r="BE66" s="8"/>
      <c r="BF66" s="1767"/>
      <c r="BG66" s="782"/>
      <c r="BH66" s="782"/>
      <c r="BI66" s="782"/>
      <c r="BJ66" s="782"/>
      <c r="BK66" s="782"/>
    </row>
    <row r="67" spans="1:63" x14ac:dyDescent="0.2">
      <c r="A67" s="2136"/>
      <c r="B67" s="1831"/>
      <c r="C67" s="1154" t="str">
        <f>VLOOKUP($D$3,AAвнутр.,12,FALSE)</f>
        <v>3258062/</v>
      </c>
      <c r="D67" s="43" t="str">
        <f t="shared" ref="D67:D78" si="16">VLOOKUP(C67,всецены,2,FALSE)</f>
        <v>TBX-AA, Держат. задн. ст, 191 мм, бел, L</v>
      </c>
      <c r="E67" s="80">
        <v>1</v>
      </c>
      <c r="F67" s="63">
        <f t="shared" si="15"/>
        <v>85.387302000000005</v>
      </c>
      <c r="G67" s="723">
        <f t="shared" ref="G67:G74" si="17">F67*E67</f>
        <v>85.387302000000005</v>
      </c>
      <c r="H67" s="2092"/>
      <c r="I67" s="782"/>
      <c r="J67" s="771"/>
      <c r="K67" s="8">
        <v>300</v>
      </c>
      <c r="L67" s="1761" t="s">
        <v>3937</v>
      </c>
      <c r="M67" s="1761" t="s">
        <v>3936</v>
      </c>
      <c r="N67" s="1761" t="s">
        <v>3919</v>
      </c>
      <c r="O67" s="1761" t="s">
        <v>3932</v>
      </c>
      <c r="P67" s="782"/>
      <c r="Q67" s="782"/>
      <c r="R67" s="782"/>
      <c r="S67" s="782"/>
      <c r="T67" s="782"/>
      <c r="U67" s="782"/>
      <c r="V67" s="28"/>
      <c r="W67" s="781"/>
      <c r="X67" s="781"/>
      <c r="Y67" s="782"/>
      <c r="Z67" s="782"/>
      <c r="AA67" s="782"/>
      <c r="AB67" s="782"/>
      <c r="AC67" s="782"/>
      <c r="AD67" s="782"/>
      <c r="AE67" s="782"/>
      <c r="AF67" s="8" t="s">
        <v>1188</v>
      </c>
      <c r="AG67" s="8" t="s">
        <v>1189</v>
      </c>
      <c r="AH67" s="8"/>
      <c r="AI67" s="1767" t="s">
        <v>1186</v>
      </c>
      <c r="AJ67" s="1767" t="s">
        <v>1187</v>
      </c>
      <c r="AK67" s="782"/>
      <c r="AL67" s="782"/>
      <c r="AM67" s="782"/>
      <c r="AN67" s="782"/>
      <c r="AO67" s="782"/>
      <c r="AP67" s="782"/>
      <c r="AQ67" s="782"/>
      <c r="AR67" s="8" t="s">
        <v>1188</v>
      </c>
      <c r="AS67" s="8" t="s">
        <v>1189</v>
      </c>
      <c r="AT67" s="8"/>
      <c r="AU67" s="1767" t="s">
        <v>1186</v>
      </c>
      <c r="AV67" s="1767" t="s">
        <v>1187</v>
      </c>
      <c r="AW67" s="782"/>
      <c r="AX67" s="782"/>
      <c r="AY67" s="782"/>
      <c r="AZ67" s="782"/>
      <c r="BA67" s="782"/>
      <c r="BB67" s="782"/>
      <c r="BC67" s="782"/>
      <c r="BD67" s="8" t="s">
        <v>1188</v>
      </c>
      <c r="BE67" s="8" t="s">
        <v>1189</v>
      </c>
      <c r="BF67" s="28"/>
      <c r="BG67" s="771"/>
      <c r="BH67" s="771"/>
      <c r="BI67" s="771"/>
      <c r="BJ67" s="771"/>
      <c r="BK67" s="771"/>
    </row>
    <row r="68" spans="1:63" x14ac:dyDescent="0.2">
      <c r="A68" s="2136"/>
      <c r="B68" s="1831"/>
      <c r="C68" s="1154" t="str">
        <f>VLOOKUP($D$3,AAвнутр.,13,FALSE)</f>
        <v>3257902/</v>
      </c>
      <c r="D68" s="43" t="str">
        <f t="shared" si="16"/>
        <v>TBX-AA, Держат. задн. ст, 191 мм, бел, R</v>
      </c>
      <c r="E68" s="80">
        <v>1</v>
      </c>
      <c r="F68" s="63">
        <f t="shared" si="15"/>
        <v>85.387302000000005</v>
      </c>
      <c r="G68" s="723">
        <f t="shared" si="17"/>
        <v>85.387302000000005</v>
      </c>
      <c r="H68" s="2092"/>
      <c r="I68" s="782"/>
      <c r="J68" s="782"/>
      <c r="K68" s="8">
        <v>350</v>
      </c>
      <c r="L68" s="1761" t="s">
        <v>3940</v>
      </c>
      <c r="M68" s="1761" t="s">
        <v>3939</v>
      </c>
      <c r="N68" s="1761" t="s">
        <v>3918</v>
      </c>
      <c r="O68" s="1761" t="s">
        <v>3954</v>
      </c>
      <c r="P68" s="782"/>
      <c r="Q68" s="782"/>
      <c r="R68" s="782"/>
      <c r="S68" s="782"/>
      <c r="T68" s="782"/>
      <c r="U68" s="782"/>
      <c r="V68" s="28"/>
      <c r="W68" s="1160"/>
      <c r="X68" s="1160"/>
      <c r="Y68" s="782"/>
      <c r="Z68" s="782"/>
      <c r="AA68" s="782"/>
      <c r="AB68" s="782"/>
      <c r="AC68" s="782"/>
      <c r="AD68" s="782"/>
      <c r="AE68" s="782"/>
      <c r="AF68" s="696"/>
      <c r="AG68" s="696"/>
      <c r="AH68" s="8">
        <v>269</v>
      </c>
      <c r="AI68" s="696" t="s">
        <v>763</v>
      </c>
      <c r="AJ68" s="696" t="s">
        <v>26</v>
      </c>
      <c r="AK68" s="782"/>
      <c r="AL68" s="782"/>
      <c r="AM68" s="782"/>
      <c r="AN68" s="782"/>
      <c r="AO68" s="782"/>
      <c r="AP68" s="782"/>
      <c r="AQ68" s="782"/>
      <c r="AR68" s="696"/>
      <c r="AS68" s="696"/>
      <c r="AT68" s="8">
        <v>270</v>
      </c>
      <c r="AU68" s="696" t="s">
        <v>763</v>
      </c>
      <c r="AV68" s="696" t="s">
        <v>26</v>
      </c>
      <c r="AW68" s="782"/>
      <c r="AX68" s="782"/>
      <c r="AY68" s="782"/>
      <c r="AZ68" s="782"/>
      <c r="BA68" s="782"/>
      <c r="BB68" s="782"/>
      <c r="BC68" s="782"/>
      <c r="BD68" s="696"/>
      <c r="BE68" s="696"/>
      <c r="BF68" s="28"/>
      <c r="BG68" s="771"/>
      <c r="BH68" s="771"/>
      <c r="BI68" s="771"/>
      <c r="BJ68" s="771"/>
      <c r="BK68" s="771"/>
    </row>
    <row r="69" spans="1:63" x14ac:dyDescent="0.2">
      <c r="A69" s="2136"/>
      <c r="B69" s="1831"/>
      <c r="C69" s="138" t="str">
        <f>VLOOKUP(C63,$K$65:$M$71,2,FALSE)</f>
        <v>7940374/</v>
      </c>
      <c r="D69" s="43" t="str">
        <f t="shared" si="16"/>
        <v>TBX, Tip-on BM, Напр, 30 кг, 500 мм, лев</v>
      </c>
      <c r="E69" s="80">
        <v>1</v>
      </c>
      <c r="F69" s="63">
        <f t="shared" si="15"/>
        <v>600.15075120000006</v>
      </c>
      <c r="G69" s="723">
        <f t="shared" si="17"/>
        <v>600.15075120000006</v>
      </c>
      <c r="H69" s="2092"/>
      <c r="I69" s="782"/>
      <c r="J69" s="28"/>
      <c r="K69" s="8">
        <v>400</v>
      </c>
      <c r="L69" s="1761" t="s">
        <v>3943</v>
      </c>
      <c r="M69" s="1761" t="s">
        <v>3942</v>
      </c>
      <c r="N69" s="1761" t="s">
        <v>3918</v>
      </c>
      <c r="O69" s="1761" t="s">
        <v>3954</v>
      </c>
      <c r="P69" s="782"/>
      <c r="Q69" s="782"/>
      <c r="R69" s="782"/>
      <c r="S69" s="782"/>
      <c r="T69" s="782"/>
      <c r="U69" s="782"/>
      <c r="V69" s="28"/>
      <c r="W69" s="1160"/>
      <c r="X69" s="1160"/>
      <c r="Y69" s="782"/>
      <c r="Z69" s="782"/>
      <c r="AA69" s="782"/>
      <c r="AB69" s="782"/>
      <c r="AC69" s="782"/>
      <c r="AD69" s="782"/>
      <c r="AE69" s="782"/>
      <c r="AF69" s="696" t="s">
        <v>2027</v>
      </c>
      <c r="AG69" s="696" t="s">
        <v>36</v>
      </c>
      <c r="AH69" s="8">
        <v>349</v>
      </c>
      <c r="AI69" s="696" t="s">
        <v>1</v>
      </c>
      <c r="AJ69" s="696" t="s">
        <v>32</v>
      </c>
      <c r="AK69" s="782"/>
      <c r="AL69" s="782"/>
      <c r="AM69" s="782"/>
      <c r="AN69" s="782"/>
      <c r="AO69" s="782"/>
      <c r="AP69" s="782"/>
      <c r="AQ69" s="782"/>
      <c r="AR69" s="696" t="s">
        <v>2027</v>
      </c>
      <c r="AS69" s="696" t="s">
        <v>36</v>
      </c>
      <c r="AT69" s="8">
        <v>350</v>
      </c>
      <c r="AU69" s="696" t="s">
        <v>1</v>
      </c>
      <c r="AV69" s="696" t="s">
        <v>32</v>
      </c>
      <c r="AW69" s="782"/>
      <c r="AX69" s="782"/>
      <c r="AY69" s="782"/>
      <c r="AZ69" s="782"/>
      <c r="BA69" s="782"/>
      <c r="BB69" s="782"/>
      <c r="BC69" s="782"/>
      <c r="BD69" s="696" t="s">
        <v>2027</v>
      </c>
      <c r="BE69" s="696" t="s">
        <v>36</v>
      </c>
      <c r="BF69" s="28"/>
      <c r="BG69" s="771"/>
      <c r="BH69" s="771"/>
      <c r="BI69" s="771"/>
      <c r="BJ69" s="771"/>
      <c r="BK69" s="771"/>
    </row>
    <row r="70" spans="1:63" x14ac:dyDescent="0.2">
      <c r="A70" s="2136"/>
      <c r="B70" s="1831"/>
      <c r="C70" s="138" t="str">
        <f>VLOOKUP(C63,$K$65:$M$71,3,FALSE)</f>
        <v>7936668/</v>
      </c>
      <c r="D70" s="43" t="str">
        <f t="shared" si="16"/>
        <v xml:space="preserve">TBX, Tip-on BM, Напр, 30 кг, 500 мм, пр </v>
      </c>
      <c r="E70" s="80">
        <v>1</v>
      </c>
      <c r="F70" s="63">
        <f t="shared" si="15"/>
        <v>600.15075120000006</v>
      </c>
      <c r="G70" s="723">
        <f t="shared" si="17"/>
        <v>600.15075120000006</v>
      </c>
      <c r="H70" s="2092"/>
      <c r="I70" s="782"/>
      <c r="J70" s="28"/>
      <c r="K70" s="8">
        <v>450</v>
      </c>
      <c r="L70" s="1761" t="s">
        <v>3946</v>
      </c>
      <c r="M70" s="1761" t="s">
        <v>3945</v>
      </c>
      <c r="N70" s="1761" t="s">
        <v>3918</v>
      </c>
      <c r="O70" s="1761" t="s">
        <v>3954</v>
      </c>
      <c r="P70" s="782"/>
      <c r="Q70" s="782"/>
      <c r="R70" s="782"/>
      <c r="S70" s="782"/>
      <c r="T70" s="782"/>
      <c r="U70" s="782"/>
      <c r="V70" s="28"/>
      <c r="W70" s="1160"/>
      <c r="X70" s="1160"/>
      <c r="Y70" s="782"/>
      <c r="Z70" s="782"/>
      <c r="AA70" s="782"/>
      <c r="AB70" s="782"/>
      <c r="AC70" s="782"/>
      <c r="AD70" s="782"/>
      <c r="AE70" s="782"/>
      <c r="AF70" s="696" t="s">
        <v>2037</v>
      </c>
      <c r="AG70" s="696" t="s">
        <v>738</v>
      </c>
      <c r="AH70" s="8">
        <v>399</v>
      </c>
      <c r="AI70" s="696" t="s">
        <v>1858</v>
      </c>
      <c r="AJ70" s="696" t="s">
        <v>1547</v>
      </c>
      <c r="AK70" s="782"/>
      <c r="AL70" s="782"/>
      <c r="AM70" s="782"/>
      <c r="AN70" s="782"/>
      <c r="AO70" s="782"/>
      <c r="AP70" s="782"/>
      <c r="AQ70" s="782"/>
      <c r="AR70" s="696" t="s">
        <v>2037</v>
      </c>
      <c r="AS70" s="696" t="s">
        <v>738</v>
      </c>
      <c r="AT70" s="8">
        <v>400</v>
      </c>
      <c r="AU70" s="696" t="s">
        <v>1858</v>
      </c>
      <c r="AV70" s="696" t="s">
        <v>1547</v>
      </c>
      <c r="AW70" s="782"/>
      <c r="AX70" s="782"/>
      <c r="AY70" s="782"/>
      <c r="AZ70" s="782"/>
      <c r="BA70" s="782"/>
      <c r="BB70" s="782"/>
      <c r="BC70" s="782"/>
      <c r="BD70" s="696" t="s">
        <v>2037</v>
      </c>
      <c r="BE70" s="696" t="s">
        <v>738</v>
      </c>
      <c r="BF70" s="28"/>
      <c r="BG70" s="771"/>
      <c r="BH70" s="771"/>
      <c r="BI70" s="771"/>
      <c r="BJ70" s="771"/>
      <c r="BK70" s="771"/>
    </row>
    <row r="71" spans="1:63" s="1761" customFormat="1" x14ac:dyDescent="0.2">
      <c r="A71" s="2136"/>
      <c r="B71" s="1831"/>
      <c r="C71" s="1790" t="s">
        <v>3930</v>
      </c>
      <c r="D71" s="43" t="str">
        <f t="shared" si="16"/>
        <v xml:space="preserve">TBX, Tip-on BM, триггер, лев. T60B3009  </v>
      </c>
      <c r="E71" s="3">
        <v>1</v>
      </c>
      <c r="F71" s="12">
        <f t="shared" si="15"/>
        <v>40.660620000000002</v>
      </c>
      <c r="G71" s="442">
        <f t="shared" si="17"/>
        <v>40.660620000000002</v>
      </c>
      <c r="H71" s="2092"/>
      <c r="I71" s="782"/>
      <c r="J71" s="28"/>
      <c r="K71" s="8">
        <v>500</v>
      </c>
      <c r="L71" s="1761" t="s">
        <v>3949</v>
      </c>
      <c r="M71" s="1761" t="s">
        <v>3948</v>
      </c>
      <c r="N71" s="1761" t="s">
        <v>3918</v>
      </c>
      <c r="O71" s="1761" t="s">
        <v>3954</v>
      </c>
      <c r="P71" s="782"/>
      <c r="Q71" s="782"/>
      <c r="R71" s="782"/>
      <c r="S71" s="782"/>
      <c r="T71" s="782"/>
      <c r="U71" s="782"/>
      <c r="V71" s="28"/>
      <c r="W71" s="1160"/>
      <c r="X71" s="1160"/>
      <c r="Y71" s="782"/>
      <c r="Z71" s="782"/>
      <c r="AA71" s="782"/>
      <c r="AB71" s="782"/>
      <c r="AC71" s="782"/>
      <c r="AD71" s="782"/>
      <c r="AE71" s="782"/>
      <c r="AF71" s="696" t="s">
        <v>8</v>
      </c>
      <c r="AG71" s="696" t="s">
        <v>1539</v>
      </c>
      <c r="AH71" s="8">
        <v>449</v>
      </c>
      <c r="AI71" s="696" t="s">
        <v>729</v>
      </c>
      <c r="AJ71" s="696" t="s">
        <v>31</v>
      </c>
      <c r="AK71" s="782"/>
      <c r="AL71" s="782"/>
      <c r="AM71" s="782"/>
      <c r="AN71" s="782"/>
      <c r="AO71" s="782"/>
      <c r="AP71" s="782"/>
      <c r="AQ71" s="782"/>
      <c r="AR71" s="696" t="s">
        <v>8</v>
      </c>
      <c r="AS71" s="696" t="s">
        <v>1539</v>
      </c>
      <c r="AT71" s="8">
        <v>450</v>
      </c>
      <c r="AU71" s="696" t="s">
        <v>729</v>
      </c>
      <c r="AV71" s="696" t="s">
        <v>31</v>
      </c>
      <c r="AW71" s="782"/>
      <c r="AX71" s="782"/>
      <c r="AY71" s="782"/>
      <c r="AZ71" s="782"/>
      <c r="BA71" s="782"/>
      <c r="BB71" s="782"/>
      <c r="BC71" s="782"/>
      <c r="BD71" s="696" t="s">
        <v>8</v>
      </c>
      <c r="BE71" s="696" t="s">
        <v>1539</v>
      </c>
      <c r="BF71" s="28"/>
      <c r="BG71" s="771"/>
      <c r="BH71" s="771"/>
      <c r="BI71" s="771"/>
      <c r="BJ71" s="771"/>
      <c r="BK71" s="771"/>
    </row>
    <row r="72" spans="1:63" s="1761" customFormat="1" x14ac:dyDescent="0.2">
      <c r="A72" s="2136"/>
      <c r="B72" s="1831"/>
      <c r="C72" s="1790" t="s">
        <v>3931</v>
      </c>
      <c r="D72" s="43" t="str">
        <f t="shared" si="16"/>
        <v xml:space="preserve">TBX, Tip-on BM, триггер, прав. T60B3009 </v>
      </c>
      <c r="E72" s="3">
        <v>1</v>
      </c>
      <c r="F72" s="12">
        <f t="shared" si="15"/>
        <v>40.660620000000002</v>
      </c>
      <c r="G72" s="442">
        <f t="shared" si="17"/>
        <v>40.660620000000002</v>
      </c>
      <c r="H72" s="2092"/>
      <c r="I72" s="782"/>
      <c r="J72" s="28"/>
      <c r="K72" s="8"/>
      <c r="P72" s="782"/>
      <c r="Q72" s="782"/>
      <c r="R72" s="782"/>
      <c r="S72" s="782"/>
      <c r="T72" s="782"/>
      <c r="U72" s="782"/>
      <c r="V72" s="28"/>
      <c r="W72" s="1160"/>
      <c r="X72" s="1160"/>
      <c r="Y72" s="782"/>
      <c r="Z72" s="782"/>
      <c r="AA72" s="782"/>
      <c r="AB72" s="782"/>
      <c r="AC72" s="782"/>
      <c r="AD72" s="782"/>
      <c r="AE72" s="782"/>
      <c r="AF72" s="1822"/>
      <c r="AG72" s="1822"/>
      <c r="AH72" s="8"/>
      <c r="AI72" s="1822"/>
      <c r="AJ72" s="1822"/>
      <c r="AK72" s="782"/>
      <c r="AL72" s="782"/>
      <c r="AM72" s="782"/>
      <c r="AN72" s="782"/>
      <c r="AO72" s="782"/>
      <c r="AP72" s="782"/>
      <c r="AQ72" s="782"/>
      <c r="AR72" s="1822"/>
      <c r="AS72" s="1822"/>
      <c r="AT72" s="8"/>
      <c r="AU72" s="1822"/>
      <c r="AV72" s="1822"/>
      <c r="AW72" s="782"/>
      <c r="AX72" s="782"/>
      <c r="AY72" s="782"/>
      <c r="AZ72" s="782"/>
      <c r="BA72" s="782"/>
      <c r="BB72" s="782"/>
      <c r="BC72" s="782"/>
      <c r="BD72" s="1822"/>
      <c r="BE72" s="1822"/>
      <c r="BF72" s="28"/>
      <c r="BG72" s="771"/>
      <c r="BH72" s="771"/>
      <c r="BI72" s="771"/>
      <c r="BJ72" s="771"/>
      <c r="BK72" s="771"/>
    </row>
    <row r="73" spans="1:63" s="1761" customFormat="1" x14ac:dyDescent="0.2">
      <c r="A73" s="2136"/>
      <c r="B73" s="1831"/>
      <c r="C73" s="1785" t="str">
        <f>VLOOKUP(C63,$K$65:$O$71,4,0)</f>
        <v>1829780/</v>
      </c>
      <c r="D73" s="43" t="str">
        <f t="shared" si="16"/>
        <v xml:space="preserve">TBX, Tip-on BM, L3,350-600, пр T60B3533 </v>
      </c>
      <c r="E73" s="3">
        <v>1</v>
      </c>
      <c r="F73" s="12">
        <f t="shared" si="15"/>
        <v>473.28961680000003</v>
      </c>
      <c r="G73" s="442">
        <f t="shared" si="17"/>
        <v>473.28961680000003</v>
      </c>
      <c r="H73" s="2092"/>
      <c r="I73" s="782"/>
      <c r="J73" s="28"/>
      <c r="K73" s="8"/>
      <c r="P73" s="782"/>
      <c r="Q73" s="782"/>
      <c r="R73" s="782"/>
      <c r="S73" s="782"/>
      <c r="T73" s="782"/>
      <c r="U73" s="782"/>
      <c r="V73" s="28"/>
      <c r="W73" s="1160"/>
      <c r="X73" s="1160"/>
      <c r="Y73" s="782"/>
      <c r="Z73" s="782"/>
      <c r="AA73" s="782"/>
      <c r="AB73" s="782"/>
      <c r="AC73" s="782"/>
      <c r="AD73" s="782"/>
      <c r="AE73" s="782"/>
      <c r="AF73" s="1822"/>
      <c r="AG73" s="1822"/>
      <c r="AH73" s="8"/>
      <c r="AI73" s="1822"/>
      <c r="AJ73" s="1822"/>
      <c r="AK73" s="782"/>
      <c r="AL73" s="782"/>
      <c r="AM73" s="782"/>
      <c r="AN73" s="782"/>
      <c r="AO73" s="782"/>
      <c r="AP73" s="782"/>
      <c r="AQ73" s="782"/>
      <c r="AR73" s="1822"/>
      <c r="AS73" s="1822"/>
      <c r="AT73" s="8"/>
      <c r="AU73" s="1822"/>
      <c r="AV73" s="1822"/>
      <c r="AW73" s="782"/>
      <c r="AX73" s="782"/>
      <c r="AY73" s="782"/>
      <c r="AZ73" s="782"/>
      <c r="BA73" s="782"/>
      <c r="BB73" s="782"/>
      <c r="BC73" s="782"/>
      <c r="BD73" s="1822"/>
      <c r="BE73" s="1822"/>
      <c r="BF73" s="28"/>
      <c r="BG73" s="771"/>
      <c r="BH73" s="771"/>
      <c r="BI73" s="771"/>
      <c r="BJ73" s="771"/>
      <c r="BK73" s="771"/>
    </row>
    <row r="74" spans="1:63" s="1761" customFormat="1" x14ac:dyDescent="0.2">
      <c r="A74" s="2136"/>
      <c r="B74" s="1831"/>
      <c r="C74" s="1785" t="str">
        <f>VLOOKUP(C63,$K$65:$O$71,5,0)</f>
        <v>8903805/</v>
      </c>
      <c r="D74" s="43" t="str">
        <f t="shared" si="16"/>
        <v>TBX, Tip-on BM, L3,350-600, лев T60B3533</v>
      </c>
      <c r="E74" s="3">
        <v>1</v>
      </c>
      <c r="F74" s="12">
        <f t="shared" si="15"/>
        <v>473.28961680000003</v>
      </c>
      <c r="G74" s="442">
        <f t="shared" si="17"/>
        <v>473.28961680000003</v>
      </c>
      <c r="H74" s="2092"/>
      <c r="I74" s="782"/>
      <c r="J74" s="28"/>
      <c r="K74" s="8"/>
      <c r="P74" s="782"/>
      <c r="Q74" s="782"/>
      <c r="R74" s="782"/>
      <c r="S74" s="782"/>
      <c r="T74" s="782"/>
      <c r="U74" s="782"/>
      <c r="V74" s="28"/>
      <c r="W74" s="1160"/>
      <c r="X74" s="1160"/>
      <c r="Y74" s="782"/>
      <c r="Z74" s="782"/>
      <c r="AA74" s="782"/>
      <c r="AB74" s="782"/>
      <c r="AC74" s="782"/>
      <c r="AD74" s="782"/>
      <c r="AE74" s="782"/>
      <c r="AF74" s="1822"/>
      <c r="AG74" s="1822"/>
      <c r="AH74" s="8"/>
      <c r="AI74" s="1822"/>
      <c r="AJ74" s="1822"/>
      <c r="AK74" s="782"/>
      <c r="AL74" s="782"/>
      <c r="AM74" s="782"/>
      <c r="AN74" s="782"/>
      <c r="AO74" s="782"/>
      <c r="AP74" s="782"/>
      <c r="AQ74" s="782"/>
      <c r="AR74" s="1822"/>
      <c r="AS74" s="1822"/>
      <c r="AT74" s="8"/>
      <c r="AU74" s="1822"/>
      <c r="AV74" s="1822"/>
      <c r="AW74" s="782"/>
      <c r="AX74" s="782"/>
      <c r="AY74" s="782"/>
      <c r="AZ74" s="782"/>
      <c r="BA74" s="782"/>
      <c r="BB74" s="782"/>
      <c r="BC74" s="782"/>
      <c r="BD74" s="1822"/>
      <c r="BE74" s="1822"/>
      <c r="BF74" s="28"/>
      <c r="BG74" s="771"/>
      <c r="BH74" s="771"/>
      <c r="BI74" s="771"/>
      <c r="BJ74" s="771"/>
      <c r="BK74" s="771"/>
    </row>
    <row r="75" spans="1:63" x14ac:dyDescent="0.2">
      <c r="A75" s="2136"/>
      <c r="B75" s="1831"/>
      <c r="C75" s="1154" t="str">
        <f>VLOOKUP($C$63,MAATOBM,10,FALSE)</f>
        <v>8046152/</v>
      </c>
      <c r="D75" s="43" t="str">
        <f>IF(C75=" ","",VLOOKUP(C75,всецены,2,FALSE))</f>
        <v>TBX-A, Загл с лого, бел, сим,ZAA.532C.BL</v>
      </c>
      <c r="E75" s="80">
        <v>2</v>
      </c>
      <c r="F75" s="63">
        <f t="shared" si="15"/>
        <v>8.9453364000000004</v>
      </c>
      <c r="G75" s="160">
        <f>IF(C75=" "," ",F75*E75)</f>
        <v>17.890672800000001</v>
      </c>
      <c r="H75" s="2092"/>
      <c r="I75" s="782"/>
      <c r="J75" s="28"/>
      <c r="K75" s="8"/>
      <c r="L75" s="1761"/>
      <c r="M75" s="1761"/>
      <c r="N75" s="1761"/>
      <c r="O75" s="1761"/>
      <c r="P75" s="782"/>
      <c r="Q75" s="782"/>
      <c r="R75" s="782"/>
      <c r="S75" s="782"/>
      <c r="T75" s="782"/>
      <c r="U75" s="782"/>
      <c r="V75" s="28"/>
      <c r="W75" s="1160"/>
      <c r="X75" s="1160"/>
      <c r="Y75" s="782"/>
      <c r="Z75" s="782"/>
      <c r="AA75" s="782"/>
      <c r="AB75" s="782"/>
      <c r="AC75" s="782"/>
      <c r="AD75" s="782"/>
      <c r="AE75" s="782"/>
      <c r="AF75" s="1822"/>
      <c r="AG75" s="1822"/>
      <c r="AH75" s="8"/>
      <c r="AI75" s="1822"/>
      <c r="AJ75" s="1822"/>
      <c r="AK75" s="782"/>
      <c r="AL75" s="782"/>
      <c r="AM75" s="782"/>
      <c r="AN75" s="782"/>
      <c r="AO75" s="782"/>
      <c r="AP75" s="782"/>
      <c r="AQ75" s="782"/>
      <c r="AR75" s="1822"/>
      <c r="AS75" s="1822"/>
      <c r="AT75" s="8"/>
      <c r="AU75" s="1822"/>
      <c r="AV75" s="1822"/>
      <c r="AW75" s="782"/>
      <c r="AX75" s="782"/>
      <c r="AY75" s="782"/>
      <c r="AZ75" s="782"/>
      <c r="BA75" s="782"/>
      <c r="BB75" s="782"/>
      <c r="BC75" s="782"/>
      <c r="BD75" s="1822"/>
      <c r="BE75" s="1822"/>
      <c r="BF75" s="28"/>
      <c r="BG75" s="771"/>
      <c r="BH75" s="771"/>
      <c r="BI75" s="771"/>
      <c r="BJ75" s="771"/>
      <c r="BK75" s="771"/>
    </row>
    <row r="76" spans="1:63" x14ac:dyDescent="0.2">
      <c r="A76" s="2136"/>
      <c r="B76" s="1831"/>
      <c r="C76" s="1157" t="str">
        <f>VLOOKUP($C$63,MAATOBM,6,FALSE)</f>
        <v>1785452/</v>
      </c>
      <c r="D76" s="43" t="str">
        <f>IF(C76=" ","",VLOOKUP(C76,всецены,2,FALSE))</f>
        <v xml:space="preserve">TBX-AA, Рел прод 500 мм, бел, лев       </v>
      </c>
      <c r="E76" s="80">
        <v>1</v>
      </c>
      <c r="F76" s="63">
        <f t="shared" si="15"/>
        <v>163.45569239999998</v>
      </c>
      <c r="G76" s="160">
        <f>IF(C76=" "," ",F76*E76)</f>
        <v>163.45569239999998</v>
      </c>
      <c r="H76" s="2092"/>
      <c r="I76" s="782"/>
      <c r="J76" s="28"/>
      <c r="K76" s="782"/>
      <c r="L76" s="1814"/>
      <c r="M76" s="1814"/>
      <c r="N76" s="782"/>
      <c r="O76" s="782"/>
      <c r="P76" s="782"/>
      <c r="Q76" s="782"/>
      <c r="R76" s="782"/>
      <c r="S76" s="782"/>
      <c r="T76" s="782"/>
      <c r="U76" s="782"/>
      <c r="V76" s="28"/>
      <c r="W76" s="1160"/>
      <c r="X76" s="1160"/>
      <c r="Y76" s="782"/>
      <c r="Z76" s="782"/>
      <c r="AA76" s="782"/>
      <c r="AB76" s="782"/>
      <c r="AC76" s="782"/>
      <c r="AD76" s="782"/>
      <c r="AE76" s="782"/>
      <c r="AF76" s="696" t="s">
        <v>2023</v>
      </c>
      <c r="AG76" s="696" t="s">
        <v>59</v>
      </c>
      <c r="AH76" s="8">
        <v>499</v>
      </c>
      <c r="AI76" s="696" t="s">
        <v>2028</v>
      </c>
      <c r="AJ76" s="696" t="s">
        <v>62</v>
      </c>
      <c r="AK76" s="782"/>
      <c r="AL76" s="782"/>
      <c r="AM76" s="782"/>
      <c r="AN76" s="782"/>
      <c r="AO76" s="782"/>
      <c r="AP76" s="782"/>
      <c r="AQ76" s="782"/>
      <c r="AR76" s="696" t="s">
        <v>2023</v>
      </c>
      <c r="AS76" s="696" t="s">
        <v>59</v>
      </c>
      <c r="AT76" s="8">
        <v>500</v>
      </c>
      <c r="AU76" s="696" t="s">
        <v>2028</v>
      </c>
      <c r="AV76" s="696" t="s">
        <v>62</v>
      </c>
      <c r="AW76" s="782"/>
      <c r="AX76" s="782"/>
      <c r="AY76" s="782"/>
      <c r="AZ76" s="782"/>
      <c r="BA76" s="782"/>
      <c r="BB76" s="782"/>
      <c r="BC76" s="782"/>
      <c r="BD76" s="696" t="s">
        <v>2023</v>
      </c>
      <c r="BE76" s="696" t="s">
        <v>59</v>
      </c>
      <c r="BF76" s="8"/>
      <c r="BG76" s="771"/>
      <c r="BH76" s="771"/>
      <c r="BI76" s="771"/>
      <c r="BJ76" s="771"/>
      <c r="BK76" s="771"/>
    </row>
    <row r="77" spans="1:63" x14ac:dyDescent="0.2">
      <c r="A77" s="2136"/>
      <c r="B77" s="1831"/>
      <c r="C77" s="1157" t="str">
        <f>VLOOKUP($C$63,MAATOBM,7,FALSE)</f>
        <v>7403462/</v>
      </c>
      <c r="D77" s="43" t="str">
        <f>IF(C77=" ","",VLOOKUP(C77,всецены,2,FALSE))</f>
        <v xml:space="preserve">TBX-AA, Рел прод 500 мм, бел, прав      </v>
      </c>
      <c r="E77" s="80">
        <v>1</v>
      </c>
      <c r="F77" s="63">
        <f t="shared" si="15"/>
        <v>163.45569239999998</v>
      </c>
      <c r="G77" s="160">
        <f>IF(C77=" "," ",F77*E77)</f>
        <v>163.45569239999998</v>
      </c>
      <c r="H77" s="2092"/>
      <c r="I77" s="782"/>
      <c r="J77" s="28"/>
      <c r="K77" s="782"/>
      <c r="L77" s="782"/>
      <c r="M77" s="782"/>
      <c r="N77" s="782"/>
      <c r="O77" s="782"/>
      <c r="P77" s="782"/>
      <c r="Q77" s="782"/>
      <c r="R77" s="782"/>
      <c r="S77" s="782"/>
      <c r="T77" s="782"/>
      <c r="U77" s="782"/>
      <c r="V77" s="28"/>
      <c r="W77" s="28"/>
      <c r="X77" s="28"/>
      <c r="Y77" s="782"/>
      <c r="Z77" s="782"/>
      <c r="AA77" s="782"/>
      <c r="AB77" s="782"/>
      <c r="AC77" s="782"/>
      <c r="AD77" s="782"/>
      <c r="AE77" s="782"/>
      <c r="AF77" s="8"/>
      <c r="AG77" s="8"/>
      <c r="AH77" s="8"/>
      <c r="AI77" s="8"/>
      <c r="AJ77" s="8"/>
      <c r="AK77" s="782"/>
      <c r="AL77" s="782"/>
      <c r="AM77" s="782"/>
      <c r="AN77" s="782"/>
      <c r="AO77" s="782"/>
      <c r="AP77" s="782"/>
      <c r="AQ77" s="782"/>
      <c r="AR77" s="8"/>
      <c r="AS77" s="8"/>
      <c r="AT77" s="8"/>
      <c r="AU77" s="8"/>
      <c r="AV77" s="8"/>
      <c r="AW77" s="782"/>
      <c r="AX77" s="782"/>
      <c r="AY77" s="782"/>
      <c r="AZ77" s="782"/>
      <c r="BA77" s="782"/>
      <c r="BB77" s="782"/>
      <c r="BC77" s="782"/>
      <c r="BD77" s="8"/>
      <c r="BE77" s="8"/>
      <c r="BF77" s="8"/>
      <c r="BG77" s="771"/>
      <c r="BH77" s="771"/>
      <c r="BI77" s="771"/>
      <c r="BJ77" s="771"/>
      <c r="BK77" s="771"/>
    </row>
    <row r="78" spans="1:63" ht="13.5" thickBot="1" x14ac:dyDescent="0.25">
      <c r="A78" s="2136"/>
      <c r="B78" s="1832"/>
      <c r="C78" s="1139" t="s">
        <v>4511</v>
      </c>
      <c r="D78" s="404" t="str">
        <f t="shared" si="16"/>
        <v xml:space="preserve">TBX, Крепл фасада INSERTA, NEW ZSF.39A2 </v>
      </c>
      <c r="E78" s="381">
        <v>2</v>
      </c>
      <c r="F78" s="435">
        <f t="shared" si="15"/>
        <v>43.913469600000006</v>
      </c>
      <c r="G78" s="726">
        <f>F78*E78</f>
        <v>87.826939200000012</v>
      </c>
      <c r="H78" s="2093"/>
      <c r="I78" s="782"/>
      <c r="J78" s="782"/>
      <c r="K78" s="782"/>
      <c r="L78" s="782"/>
      <c r="M78" s="782"/>
      <c r="N78" s="782"/>
      <c r="O78" s="782"/>
      <c r="P78" s="782"/>
      <c r="Q78" s="782"/>
      <c r="R78" s="782"/>
      <c r="S78" s="782"/>
      <c r="T78" s="782"/>
      <c r="U78" s="782"/>
      <c r="V78" s="8"/>
      <c r="W78" s="8"/>
      <c r="X78" s="8"/>
      <c r="Y78" s="782"/>
      <c r="Z78" s="782"/>
      <c r="AA78" s="782"/>
      <c r="AB78" s="782"/>
      <c r="AC78" s="782"/>
      <c r="AD78" s="782"/>
      <c r="AE78" s="782"/>
      <c r="AF78" s="8"/>
      <c r="AG78" s="8"/>
      <c r="AH78" s="8"/>
      <c r="AI78" s="8"/>
      <c r="AJ78" s="8"/>
      <c r="AK78" s="782"/>
      <c r="AL78" s="782"/>
      <c r="AM78" s="782"/>
      <c r="AN78" s="782"/>
      <c r="AO78" s="782"/>
      <c r="AP78" s="782"/>
      <c r="AQ78" s="782"/>
      <c r="AR78" s="8"/>
      <c r="AS78" s="8"/>
      <c r="AT78" s="8"/>
      <c r="AU78" s="8"/>
      <c r="AV78" s="8"/>
      <c r="AW78" s="782"/>
      <c r="AX78" s="782"/>
      <c r="AY78" s="782"/>
      <c r="AZ78" s="782"/>
      <c r="BA78" s="782"/>
      <c r="BB78" s="782"/>
      <c r="BC78" s="782"/>
      <c r="BD78" s="8"/>
      <c r="BE78" s="8"/>
      <c r="BF78" s="8"/>
      <c r="BG78" s="771"/>
      <c r="BH78" s="771"/>
      <c r="BI78" s="771"/>
      <c r="BJ78" s="771"/>
      <c r="BK78" s="771"/>
    </row>
    <row r="79" spans="1:63" ht="15.75" thickBot="1" x14ac:dyDescent="0.25">
      <c r="A79" s="274"/>
      <c r="B79" s="727"/>
      <c r="C79" s="176"/>
      <c r="D79" s="75"/>
      <c r="E79" s="169"/>
      <c r="F79" s="114"/>
      <c r="G79" s="177"/>
      <c r="H79" s="728"/>
      <c r="I79" s="782"/>
      <c r="J79" s="782"/>
      <c r="K79" s="782"/>
      <c r="L79" s="782"/>
      <c r="M79" s="782"/>
      <c r="N79" s="782"/>
      <c r="O79" s="782"/>
      <c r="P79" s="782"/>
      <c r="Q79" s="782"/>
      <c r="R79" s="782"/>
      <c r="S79" s="782"/>
      <c r="T79" s="782"/>
      <c r="U79" s="782"/>
      <c r="V79" s="8"/>
      <c r="W79" s="8"/>
      <c r="X79" s="8"/>
      <c r="Y79" s="782"/>
      <c r="Z79" s="782"/>
      <c r="AA79" s="782"/>
      <c r="AB79" s="782"/>
      <c r="AC79" s="782"/>
      <c r="AD79" s="782"/>
      <c r="AE79" s="782"/>
      <c r="AF79" s="8"/>
      <c r="AG79" s="8"/>
      <c r="AH79" s="8"/>
      <c r="AI79" s="8"/>
      <c r="AJ79" s="8"/>
      <c r="AK79" s="782"/>
      <c r="AL79" s="782"/>
      <c r="AM79" s="782"/>
      <c r="AN79" s="782"/>
      <c r="AO79" s="782"/>
      <c r="AP79" s="782"/>
      <c r="AQ79" s="782"/>
      <c r="AR79" s="8"/>
      <c r="AS79" s="8"/>
      <c r="AT79" s="8"/>
      <c r="AU79" s="8"/>
      <c r="AV79" s="8"/>
      <c r="AW79" s="782"/>
      <c r="AX79" s="782"/>
      <c r="AY79" s="782"/>
      <c r="AZ79" s="782"/>
      <c r="BA79" s="782"/>
      <c r="BB79" s="782"/>
      <c r="BC79" s="782"/>
      <c r="BD79" s="8"/>
      <c r="BE79" s="8"/>
      <c r="BF79" s="8"/>
      <c r="BG79" s="771"/>
      <c r="BH79" s="771"/>
      <c r="BI79" s="771"/>
      <c r="BJ79" s="771"/>
      <c r="BK79" s="771"/>
    </row>
    <row r="80" spans="1:63" ht="15" x14ac:dyDescent="0.2">
      <c r="A80" s="274"/>
      <c r="B80" s="729"/>
      <c r="C80" s="719"/>
      <c r="D80" s="2144" t="s">
        <v>1183</v>
      </c>
      <c r="E80" s="2144"/>
      <c r="F80" s="2144"/>
      <c r="G80" s="2144"/>
      <c r="H80" s="2145"/>
      <c r="I80" s="782"/>
      <c r="J80" s="782"/>
      <c r="K80" s="782"/>
      <c r="L80" s="782"/>
      <c r="M80" s="782"/>
      <c r="N80" s="782"/>
      <c r="O80" s="782"/>
      <c r="P80" s="782"/>
      <c r="Q80" s="782"/>
      <c r="R80" s="782"/>
      <c r="S80" s="782"/>
      <c r="T80" s="782"/>
      <c r="U80" s="782"/>
      <c r="V80" s="8"/>
      <c r="W80" s="8"/>
      <c r="X80" s="8"/>
      <c r="Y80" s="782"/>
      <c r="Z80" s="782"/>
      <c r="AA80" s="782"/>
      <c r="AB80" s="782"/>
      <c r="AC80" s="782"/>
      <c r="AD80" s="782"/>
      <c r="AE80" s="782"/>
      <c r="AF80" s="8"/>
      <c r="AG80" s="8"/>
      <c r="AH80" s="8"/>
      <c r="AI80" s="8"/>
      <c r="AJ80" s="8"/>
      <c r="AK80" s="782"/>
      <c r="AL80" s="782"/>
      <c r="AM80" s="782"/>
      <c r="AN80" s="782"/>
      <c r="AO80" s="782"/>
      <c r="AP80" s="782"/>
      <c r="AQ80" s="782"/>
      <c r="AR80" s="8"/>
      <c r="AS80" s="8"/>
      <c r="AT80" s="8"/>
      <c r="AU80" s="8"/>
      <c r="AV80" s="8"/>
      <c r="AW80" s="782"/>
      <c r="AX80" s="782"/>
      <c r="AY80" s="782"/>
      <c r="AZ80" s="782"/>
      <c r="BA80" s="782"/>
      <c r="BB80" s="782"/>
      <c r="BC80" s="782"/>
      <c r="BD80" s="8"/>
      <c r="BE80" s="8"/>
      <c r="BF80" s="8"/>
      <c r="BG80" s="771"/>
      <c r="BH80" s="771"/>
      <c r="BI80" s="771"/>
      <c r="BJ80" s="771"/>
      <c r="BK80" s="771"/>
    </row>
    <row r="81" spans="1:63" ht="15.75" thickBot="1" x14ac:dyDescent="0.25">
      <c r="A81" s="274"/>
      <c r="B81" s="1769" t="s">
        <v>1639</v>
      </c>
      <c r="C81" s="170">
        <v>500</v>
      </c>
      <c r="D81" s="97" t="s">
        <v>1689</v>
      </c>
      <c r="E81" s="730"/>
      <c r="F81" s="730"/>
      <c r="G81" s="731"/>
      <c r="H81" s="2125" t="str">
        <f>IF(СОДЕРЖАНИЕ!P2=1,"EUR","RUB")</f>
        <v>RUB</v>
      </c>
      <c r="I81" s="782"/>
      <c r="J81" s="782"/>
      <c r="K81" s="782"/>
      <c r="L81" s="782"/>
      <c r="M81" s="782"/>
      <c r="N81" s="782"/>
      <c r="O81" s="782"/>
      <c r="P81" s="782"/>
      <c r="Q81" s="782"/>
      <c r="R81" s="782"/>
      <c r="S81" s="782"/>
      <c r="T81" s="782"/>
      <c r="U81" s="782"/>
      <c r="V81" s="8"/>
      <c r="W81" s="8"/>
      <c r="X81" s="8"/>
      <c r="Y81" s="782"/>
      <c r="Z81" s="782"/>
      <c r="AA81" s="782"/>
      <c r="AB81" s="782"/>
      <c r="AC81" s="782"/>
      <c r="AD81" s="782"/>
      <c r="AE81" s="782"/>
      <c r="AF81" s="8"/>
      <c r="AG81" s="8"/>
      <c r="AH81" s="8"/>
      <c r="AI81" s="8"/>
      <c r="AJ81" s="8"/>
      <c r="AK81" s="782"/>
      <c r="AL81" s="782"/>
      <c r="AM81" s="782"/>
      <c r="AN81" s="782"/>
      <c r="AO81" s="782"/>
      <c r="AP81" s="782"/>
      <c r="AQ81" s="782"/>
      <c r="AR81" s="8"/>
      <c r="AS81" s="8"/>
      <c r="AT81" s="8"/>
      <c r="AU81" s="8"/>
      <c r="AV81" s="8"/>
      <c r="AW81" s="782"/>
      <c r="AX81" s="782"/>
      <c r="AY81" s="782"/>
      <c r="AZ81" s="782"/>
      <c r="BA81" s="782"/>
      <c r="BB81" s="782"/>
      <c r="BC81" s="782"/>
      <c r="BD81" s="8"/>
      <c r="BE81" s="8"/>
      <c r="BF81" s="8"/>
      <c r="BG81" s="771"/>
      <c r="BH81" s="771"/>
      <c r="BI81" s="771"/>
      <c r="BJ81" s="771"/>
      <c r="BK81" s="771"/>
    </row>
    <row r="82" spans="1:63" x14ac:dyDescent="0.2">
      <c r="A82" s="2136"/>
      <c r="B82" s="2231"/>
      <c r="C82" s="135" t="s">
        <v>1301</v>
      </c>
      <c r="D82" s="139" t="s">
        <v>784</v>
      </c>
      <c r="E82" s="140" t="s">
        <v>2117</v>
      </c>
      <c r="F82" s="139"/>
      <c r="G82" s="178" t="s">
        <v>2116</v>
      </c>
      <c r="H82" s="2126"/>
      <c r="I82" s="782"/>
      <c r="J82" s="782"/>
      <c r="K82" s="782"/>
      <c r="L82" s="782"/>
      <c r="M82" s="782"/>
      <c r="N82" s="782"/>
      <c r="O82" s="771"/>
      <c r="P82" s="782"/>
      <c r="Q82" s="782"/>
      <c r="R82" s="782"/>
      <c r="S82" s="782"/>
      <c r="T82" s="782"/>
      <c r="U82" s="782"/>
      <c r="V82" s="8"/>
      <c r="W82" s="8"/>
      <c r="X82" s="8"/>
      <c r="Y82" s="782"/>
      <c r="Z82" s="782"/>
      <c r="AA82" s="782"/>
      <c r="AB82" s="782"/>
      <c r="AC82" s="782"/>
      <c r="AD82" s="782"/>
      <c r="AE82" s="782"/>
      <c r="AF82" s="8"/>
      <c r="AG82" s="8"/>
      <c r="AH82" s="8"/>
      <c r="AI82" s="8"/>
      <c r="AJ82" s="8"/>
      <c r="AK82" s="782"/>
      <c r="AL82" s="782"/>
      <c r="AM82" s="782"/>
      <c r="AN82" s="782"/>
      <c r="AO82" s="782"/>
      <c r="AP82" s="782"/>
      <c r="AQ82" s="782"/>
      <c r="AR82" s="8"/>
      <c r="AS82" s="8"/>
      <c r="AT82" s="8"/>
      <c r="AU82" s="8"/>
      <c r="AV82" s="8"/>
      <c r="AW82" s="782"/>
      <c r="AX82" s="782"/>
      <c r="AY82" s="782"/>
      <c r="AZ82" s="782"/>
      <c r="BA82" s="782"/>
      <c r="BB82" s="782"/>
      <c r="BC82" s="782"/>
      <c r="BD82" s="8"/>
      <c r="BE82" s="8"/>
      <c r="BF82" s="8"/>
      <c r="BG82" s="771"/>
      <c r="BH82" s="771"/>
      <c r="BI82" s="771"/>
      <c r="BJ82" s="771"/>
      <c r="BK82" s="771"/>
    </row>
    <row r="83" spans="1:63" ht="12.75" customHeight="1" x14ac:dyDescent="0.2">
      <c r="A83" s="2136"/>
      <c r="B83" s="2232"/>
      <c r="C83" s="1154" t="str">
        <f>VLOOKUP($C$81,MAATOBM,2,FALSE)</f>
        <v>1847502/</v>
      </c>
      <c r="D83" s="43" t="str">
        <f>IF(C83=" ","",VLOOKUP(C83,всецены,2,FALSE))</f>
        <v xml:space="preserve">TBX-A, Царга 83/500 мм, бел, лев. NEW   </v>
      </c>
      <c r="E83" s="80">
        <v>1</v>
      </c>
      <c r="F83" s="63">
        <f t="shared" ref="F83:F100" si="18">VLOOKUP(C83,всецены,4,FALSE)</f>
        <v>395.22122640000003</v>
      </c>
      <c r="G83" s="160">
        <f>IF(C83=" "," ",F83*E83)</f>
        <v>395.22122640000003</v>
      </c>
      <c r="H83" s="2141">
        <f>SUM(G83:G100)</f>
        <v>5615.2316220000002</v>
      </c>
      <c r="I83" s="782"/>
      <c r="J83" s="782"/>
      <c r="K83" s="782"/>
      <c r="L83" s="782"/>
      <c r="M83" s="782"/>
      <c r="N83" s="782"/>
      <c r="O83" s="771"/>
      <c r="P83" s="782"/>
      <c r="Q83" s="782"/>
      <c r="R83" s="782"/>
      <c r="S83" s="782"/>
      <c r="T83" s="782"/>
      <c r="U83" s="782"/>
      <c r="V83" s="8"/>
      <c r="W83" s="8"/>
      <c r="X83" s="8"/>
      <c r="Y83" s="782"/>
      <c r="Z83" s="782"/>
      <c r="AA83" s="782"/>
      <c r="AB83" s="782"/>
      <c r="AC83" s="782"/>
      <c r="AD83" s="782"/>
      <c r="AE83" s="782"/>
      <c r="AF83" s="8"/>
      <c r="AG83" s="8"/>
      <c r="AH83" s="8"/>
      <c r="AI83" s="8"/>
      <c r="AJ83" s="8"/>
      <c r="AK83" s="782"/>
      <c r="AL83" s="782"/>
      <c r="AM83" s="782"/>
      <c r="AN83" s="782"/>
      <c r="AO83" s="782"/>
      <c r="AP83" s="782"/>
      <c r="AQ83" s="782"/>
      <c r="AR83" s="8"/>
      <c r="AS83" s="8"/>
      <c r="AT83" s="8"/>
      <c r="AU83" s="8"/>
      <c r="AV83" s="8"/>
      <c r="AW83" s="782"/>
      <c r="AX83" s="782"/>
      <c r="AY83" s="782"/>
      <c r="AZ83" s="782"/>
      <c r="BA83" s="782"/>
      <c r="BB83" s="782"/>
      <c r="BC83" s="782"/>
      <c r="BD83" s="8"/>
      <c r="BE83" s="8"/>
      <c r="BF83" s="8"/>
      <c r="BG83" s="771"/>
      <c r="BH83" s="771"/>
      <c r="BI83" s="771"/>
      <c r="BJ83" s="771"/>
      <c r="BK83" s="771"/>
    </row>
    <row r="84" spans="1:63" ht="12.75" customHeight="1" x14ac:dyDescent="0.2">
      <c r="A84" s="2136"/>
      <c r="B84" s="1831"/>
      <c r="C84" s="1154" t="str">
        <f>VLOOKUP($C$81,MAATOBM,3,FALSE)</f>
        <v>1838267/</v>
      </c>
      <c r="D84" s="43" t="str">
        <f>IF(C84=" ","",VLOOKUP(C84,всецены,2,FALSE))</f>
        <v xml:space="preserve">TBX-A, Царга 83/500 мм, бел, прав. NEW  </v>
      </c>
      <c r="E84" s="80">
        <v>1</v>
      </c>
      <c r="F84" s="63">
        <f t="shared" si="18"/>
        <v>395.22122640000003</v>
      </c>
      <c r="G84" s="160">
        <f>IF(C84=" "," ",F84*E84)</f>
        <v>395.22122640000003</v>
      </c>
      <c r="H84" s="2142"/>
      <c r="I84" s="782"/>
      <c r="J84" s="782"/>
      <c r="K84" s="782"/>
      <c r="L84" s="782"/>
      <c r="M84" s="782"/>
      <c r="N84" s="782"/>
      <c r="O84" s="771"/>
      <c r="P84" s="782"/>
      <c r="Q84" s="782"/>
      <c r="R84" s="782"/>
      <c r="S84" s="782"/>
      <c r="T84" s="782"/>
      <c r="U84" s="782"/>
      <c r="V84" s="8"/>
      <c r="W84" s="8"/>
      <c r="X84" s="8"/>
      <c r="Y84" s="782"/>
      <c r="Z84" s="782"/>
      <c r="AA84" s="782"/>
      <c r="AB84" s="782"/>
      <c r="AC84" s="782"/>
      <c r="AD84" s="782"/>
      <c r="AE84" s="782"/>
      <c r="AF84" s="8"/>
      <c r="AG84" s="8"/>
      <c r="AH84" s="8"/>
      <c r="AI84" s="8"/>
      <c r="AJ84" s="8"/>
      <c r="AK84" s="782"/>
      <c r="AL84" s="782"/>
      <c r="AM84" s="782"/>
      <c r="AN84" s="782"/>
      <c r="AO84" s="782"/>
      <c r="AP84" s="782"/>
      <c r="AQ84" s="782"/>
      <c r="AR84" s="8"/>
      <c r="AS84" s="8"/>
      <c r="AT84" s="8"/>
      <c r="AU84" s="8"/>
      <c r="AV84" s="8"/>
      <c r="AW84" s="782"/>
      <c r="AX84" s="782"/>
      <c r="AY84" s="782"/>
      <c r="AZ84" s="782"/>
      <c r="BA84" s="782"/>
      <c r="BB84" s="782"/>
      <c r="BC84" s="782"/>
      <c r="BD84" s="8"/>
      <c r="BE84" s="8"/>
      <c r="BF84" s="8"/>
      <c r="BG84" s="771"/>
      <c r="BH84" s="771"/>
      <c r="BI84" s="771"/>
      <c r="BJ84" s="771"/>
      <c r="BK84" s="771"/>
    </row>
    <row r="85" spans="1:63" ht="12.75" customHeight="1" x14ac:dyDescent="0.2">
      <c r="A85" s="2136"/>
      <c r="B85" s="1831"/>
      <c r="C85" s="138" t="str">
        <f>VLOOKUP(C81,$K$65:$M$71,2,FALSE)</f>
        <v>7940374/</v>
      </c>
      <c r="D85" s="43" t="str">
        <f t="shared" ref="D85:D98" si="19">VLOOKUP(C85,всецены,2,FALSE)</f>
        <v>TBX, Tip-on BM, Напр, 30 кг, 500 мм, лев</v>
      </c>
      <c r="E85" s="80">
        <v>1</v>
      </c>
      <c r="F85" s="63">
        <f t="shared" si="18"/>
        <v>600.15075120000006</v>
      </c>
      <c r="G85" s="723">
        <f t="shared" ref="G85:G98" si="20">F85*E85</f>
        <v>600.15075120000006</v>
      </c>
      <c r="H85" s="2142"/>
      <c r="I85" s="782"/>
      <c r="J85" s="782"/>
      <c r="K85" s="782"/>
      <c r="L85" s="782"/>
      <c r="M85" s="782"/>
      <c r="N85" s="782"/>
      <c r="O85" s="771"/>
      <c r="P85" s="782"/>
      <c r="Q85" s="782"/>
      <c r="R85" s="782"/>
      <c r="S85" s="782"/>
      <c r="T85" s="782"/>
      <c r="U85" s="782"/>
      <c r="V85" s="8"/>
      <c r="W85" s="8"/>
      <c r="X85" s="8"/>
      <c r="Y85" s="782"/>
      <c r="Z85" s="782"/>
      <c r="AA85" s="782"/>
      <c r="AB85" s="782"/>
      <c r="AC85" s="782"/>
      <c r="AD85" s="782"/>
      <c r="AE85" s="782"/>
      <c r="AF85" s="8"/>
      <c r="AG85" s="8"/>
      <c r="AH85" s="8"/>
      <c r="AI85" s="8"/>
      <c r="AJ85" s="8"/>
      <c r="AK85" s="782"/>
      <c r="AL85" s="782"/>
      <c r="AM85" s="782"/>
      <c r="AN85" s="782"/>
      <c r="AO85" s="782"/>
      <c r="AP85" s="782"/>
      <c r="AQ85" s="782"/>
      <c r="AR85" s="8"/>
      <c r="AS85" s="8"/>
      <c r="AT85" s="8"/>
      <c r="AU85" s="8"/>
      <c r="AV85" s="8"/>
      <c r="AW85" s="782"/>
      <c r="AX85" s="782"/>
      <c r="AY85" s="782"/>
      <c r="AZ85" s="782"/>
      <c r="BA85" s="782"/>
      <c r="BB85" s="782"/>
      <c r="BC85" s="782"/>
      <c r="BD85" s="8"/>
      <c r="BE85" s="8"/>
      <c r="BF85" s="8"/>
      <c r="BG85" s="771"/>
      <c r="BH85" s="771"/>
      <c r="BI85" s="771"/>
      <c r="BJ85" s="771"/>
      <c r="BK85" s="771"/>
    </row>
    <row r="86" spans="1:63" ht="12.75" customHeight="1" x14ac:dyDescent="0.2">
      <c r="A86" s="2136"/>
      <c r="B86" s="1831"/>
      <c r="C86" s="138" t="str">
        <f>VLOOKUP(C81,$K$65:$M$71,3,FALSE)</f>
        <v>7936668/</v>
      </c>
      <c r="D86" s="43" t="str">
        <f t="shared" si="19"/>
        <v xml:space="preserve">TBX, Tip-on BM, Напр, 30 кг, 500 мм, пр </v>
      </c>
      <c r="E86" s="80">
        <v>1</v>
      </c>
      <c r="F86" s="63">
        <f t="shared" si="18"/>
        <v>600.15075120000006</v>
      </c>
      <c r="G86" s="723">
        <f t="shared" si="20"/>
        <v>600.15075120000006</v>
      </c>
      <c r="H86" s="2142"/>
      <c r="I86" s="782"/>
      <c r="J86" s="782"/>
      <c r="K86" s="782"/>
      <c r="L86" s="782"/>
      <c r="M86" s="782"/>
      <c r="N86" s="782"/>
      <c r="O86" s="771"/>
      <c r="P86" s="771"/>
      <c r="Q86" s="771"/>
      <c r="R86" s="771"/>
      <c r="S86" s="771"/>
      <c r="T86" s="771"/>
      <c r="U86" s="782"/>
      <c r="V86" s="8"/>
      <c r="W86" s="8"/>
      <c r="X86" s="8"/>
      <c r="Y86" s="782"/>
      <c r="Z86" s="782"/>
      <c r="AA86" s="782"/>
      <c r="AB86" s="782"/>
      <c r="AC86" s="782"/>
      <c r="AD86" s="782"/>
      <c r="AE86" s="782"/>
      <c r="AF86" s="8"/>
      <c r="AG86" s="8"/>
      <c r="AH86" s="8"/>
      <c r="AI86" s="8"/>
      <c r="AJ86" s="8"/>
      <c r="AK86" s="782"/>
      <c r="AL86" s="782"/>
      <c r="AM86" s="782"/>
      <c r="AN86" s="782"/>
      <c r="AO86" s="782"/>
      <c r="AP86" s="782"/>
      <c r="AQ86" s="782"/>
      <c r="AR86" s="8"/>
      <c r="AS86" s="8"/>
      <c r="AT86" s="8"/>
      <c r="AU86" s="8"/>
      <c r="AV86" s="8"/>
      <c r="AW86" s="782"/>
      <c r="AX86" s="782"/>
      <c r="AY86" s="782"/>
      <c r="AZ86" s="782"/>
      <c r="BA86" s="782"/>
      <c r="BB86" s="782"/>
      <c r="BC86" s="782"/>
      <c r="BD86" s="8"/>
      <c r="BE86" s="8"/>
      <c r="BF86" s="8"/>
      <c r="BG86" s="771"/>
      <c r="BH86" s="771"/>
      <c r="BI86" s="771"/>
      <c r="BJ86" s="771"/>
      <c r="BK86" s="771"/>
    </row>
    <row r="87" spans="1:63" s="1761" customFormat="1" ht="12.75" customHeight="1" x14ac:dyDescent="0.2">
      <c r="A87" s="2136"/>
      <c r="B87" s="1831"/>
      <c r="C87" s="1790" t="s">
        <v>3930</v>
      </c>
      <c r="D87" s="43" t="str">
        <f t="shared" si="19"/>
        <v xml:space="preserve">TBX, Tip-on BM, триггер, лев. T60B3009  </v>
      </c>
      <c r="E87" s="3">
        <v>1</v>
      </c>
      <c r="F87" s="12">
        <f t="shared" si="18"/>
        <v>40.660620000000002</v>
      </c>
      <c r="G87" s="442">
        <f t="shared" si="20"/>
        <v>40.660620000000002</v>
      </c>
      <c r="H87" s="2142"/>
      <c r="I87" s="782"/>
      <c r="J87" s="782"/>
      <c r="K87" s="782"/>
      <c r="L87" s="782"/>
      <c r="M87" s="782"/>
      <c r="N87" s="782"/>
      <c r="O87" s="782"/>
      <c r="P87" s="782"/>
      <c r="Q87" s="782"/>
      <c r="R87" s="782"/>
      <c r="S87" s="782"/>
      <c r="T87" s="782"/>
      <c r="U87" s="782"/>
      <c r="V87" s="8"/>
      <c r="W87" s="8"/>
      <c r="X87" s="8"/>
      <c r="Y87" s="782"/>
      <c r="Z87" s="782"/>
      <c r="AA87" s="782"/>
      <c r="AB87" s="782"/>
      <c r="AC87" s="782"/>
      <c r="AD87" s="782"/>
      <c r="AE87" s="782"/>
      <c r="AF87" s="8"/>
      <c r="AG87" s="8"/>
      <c r="AH87" s="8"/>
      <c r="AI87" s="8"/>
      <c r="AJ87" s="8"/>
      <c r="AK87" s="782"/>
      <c r="AL87" s="782"/>
      <c r="AM87" s="782"/>
      <c r="AN87" s="782"/>
      <c r="AO87" s="782"/>
      <c r="AP87" s="782"/>
      <c r="AQ87" s="782"/>
      <c r="AR87" s="8"/>
      <c r="AS87" s="8"/>
      <c r="AT87" s="8"/>
      <c r="AU87" s="8"/>
      <c r="AV87" s="8"/>
      <c r="AW87" s="782"/>
      <c r="AX87" s="782"/>
      <c r="AY87" s="782"/>
      <c r="AZ87" s="782"/>
      <c r="BA87" s="782"/>
      <c r="BB87" s="782"/>
      <c r="BC87" s="782"/>
      <c r="BD87" s="8"/>
      <c r="BE87" s="8"/>
      <c r="BF87" s="8"/>
      <c r="BG87" s="771"/>
      <c r="BH87" s="771"/>
      <c r="BI87" s="771"/>
      <c r="BJ87" s="771"/>
      <c r="BK87" s="771"/>
    </row>
    <row r="88" spans="1:63" s="1761" customFormat="1" ht="12.75" customHeight="1" x14ac:dyDescent="0.2">
      <c r="A88" s="2136"/>
      <c r="B88" s="1831"/>
      <c r="C88" s="1790" t="s">
        <v>3931</v>
      </c>
      <c r="D88" s="43" t="str">
        <f t="shared" si="19"/>
        <v xml:space="preserve">TBX, Tip-on BM, триггер, прав. T60B3009 </v>
      </c>
      <c r="E88" s="3">
        <v>1</v>
      </c>
      <c r="F88" s="12">
        <f t="shared" si="18"/>
        <v>40.660620000000002</v>
      </c>
      <c r="G88" s="442">
        <f t="shared" si="20"/>
        <v>40.660620000000002</v>
      </c>
      <c r="H88" s="2142"/>
      <c r="I88" s="782"/>
      <c r="J88" s="782"/>
      <c r="K88" s="782"/>
      <c r="L88" s="782"/>
      <c r="M88" s="782"/>
      <c r="N88" s="782"/>
      <c r="O88" s="782"/>
      <c r="P88" s="782"/>
      <c r="Q88" s="782"/>
      <c r="R88" s="782"/>
      <c r="S88" s="782"/>
      <c r="T88" s="782"/>
      <c r="U88" s="782"/>
      <c r="V88" s="8"/>
      <c r="W88" s="8"/>
      <c r="X88" s="8"/>
      <c r="Y88" s="782"/>
      <c r="Z88" s="782"/>
      <c r="AA88" s="782"/>
      <c r="AB88" s="782"/>
      <c r="AC88" s="782"/>
      <c r="AD88" s="782"/>
      <c r="AE88" s="782"/>
      <c r="AF88" s="8"/>
      <c r="AG88" s="8"/>
      <c r="AH88" s="8"/>
      <c r="AI88" s="8"/>
      <c r="AJ88" s="8"/>
      <c r="AK88" s="782"/>
      <c r="AL88" s="782"/>
      <c r="AM88" s="782"/>
      <c r="AN88" s="782"/>
      <c r="AO88" s="782"/>
      <c r="AP88" s="782"/>
      <c r="AQ88" s="782"/>
      <c r="AR88" s="8"/>
      <c r="AS88" s="8"/>
      <c r="AT88" s="8"/>
      <c r="AU88" s="8"/>
      <c r="AV88" s="8"/>
      <c r="AW88" s="782"/>
      <c r="AX88" s="782"/>
      <c r="AY88" s="782"/>
      <c r="AZ88" s="782"/>
      <c r="BA88" s="782"/>
      <c r="BB88" s="782"/>
      <c r="BC88" s="782"/>
      <c r="BD88" s="8"/>
      <c r="BE88" s="8"/>
      <c r="BF88" s="8"/>
      <c r="BG88" s="771"/>
      <c r="BH88" s="771"/>
      <c r="BI88" s="771"/>
      <c r="BJ88" s="771"/>
      <c r="BK88" s="771"/>
    </row>
    <row r="89" spans="1:63" s="1761" customFormat="1" ht="12.75" customHeight="1" x14ac:dyDescent="0.2">
      <c r="A89" s="2136"/>
      <c r="B89" s="1831"/>
      <c r="C89" s="1785" t="str">
        <f>VLOOKUP(C81,$K$65:$O$71,4,0)</f>
        <v>1829780/</v>
      </c>
      <c r="D89" s="43" t="str">
        <f t="shared" si="19"/>
        <v xml:space="preserve">TBX, Tip-on BM, L3,350-600, пр T60B3533 </v>
      </c>
      <c r="E89" s="3">
        <v>1</v>
      </c>
      <c r="F89" s="12">
        <f t="shared" si="18"/>
        <v>473.28961680000003</v>
      </c>
      <c r="G89" s="442">
        <f t="shared" si="20"/>
        <v>473.28961680000003</v>
      </c>
      <c r="H89" s="2142"/>
      <c r="I89" s="782"/>
      <c r="J89" s="782"/>
      <c r="K89" s="782"/>
      <c r="L89" s="782"/>
      <c r="M89" s="782"/>
      <c r="N89" s="782"/>
      <c r="O89" s="782"/>
      <c r="P89" s="782"/>
      <c r="Q89" s="782"/>
      <c r="R89" s="782"/>
      <c r="S89" s="782"/>
      <c r="T89" s="782"/>
      <c r="U89" s="782"/>
      <c r="V89" s="8"/>
      <c r="W89" s="8"/>
      <c r="X89" s="8"/>
      <c r="Y89" s="782"/>
      <c r="Z89" s="782"/>
      <c r="AA89" s="782"/>
      <c r="AB89" s="782"/>
      <c r="AC89" s="782"/>
      <c r="AD89" s="782"/>
      <c r="AE89" s="782"/>
      <c r="AF89" s="8"/>
      <c r="AG89" s="8"/>
      <c r="AH89" s="8"/>
      <c r="AI89" s="8"/>
      <c r="AJ89" s="8"/>
      <c r="AK89" s="782"/>
      <c r="AL89" s="782"/>
      <c r="AM89" s="782"/>
      <c r="AN89" s="782"/>
      <c r="AO89" s="782"/>
      <c r="AP89" s="782"/>
      <c r="AQ89" s="782"/>
      <c r="AR89" s="8"/>
      <c r="AS89" s="8"/>
      <c r="AT89" s="8"/>
      <c r="AU89" s="8"/>
      <c r="AV89" s="8"/>
      <c r="AW89" s="782"/>
      <c r="AX89" s="782"/>
      <c r="AY89" s="782"/>
      <c r="AZ89" s="782"/>
      <c r="BA89" s="782"/>
      <c r="BB89" s="782"/>
      <c r="BC89" s="782"/>
      <c r="BD89" s="8"/>
      <c r="BE89" s="8"/>
      <c r="BF89" s="8"/>
      <c r="BG89" s="771"/>
      <c r="BH89" s="771"/>
      <c r="BI89" s="771"/>
      <c r="BJ89" s="771"/>
      <c r="BK89" s="771"/>
    </row>
    <row r="90" spans="1:63" s="1761" customFormat="1" ht="12.75" customHeight="1" x14ac:dyDescent="0.2">
      <c r="A90" s="2136"/>
      <c r="B90" s="1831"/>
      <c r="C90" s="1785" t="str">
        <f>VLOOKUP(C81,$K$65:$O$71,5,0)</f>
        <v>8903805/</v>
      </c>
      <c r="D90" s="43" t="str">
        <f t="shared" si="19"/>
        <v>TBX, Tip-on BM, L3,350-600, лев T60B3533</v>
      </c>
      <c r="E90" s="3">
        <v>1</v>
      </c>
      <c r="F90" s="12">
        <f t="shared" si="18"/>
        <v>473.28961680000003</v>
      </c>
      <c r="G90" s="442">
        <f t="shared" si="20"/>
        <v>473.28961680000003</v>
      </c>
      <c r="H90" s="2142"/>
      <c r="I90" s="782"/>
      <c r="J90" s="782"/>
      <c r="K90" s="782"/>
      <c r="L90" s="782"/>
      <c r="M90" s="782"/>
      <c r="N90" s="782"/>
      <c r="O90" s="782"/>
      <c r="P90" s="782"/>
      <c r="Q90" s="782"/>
      <c r="R90" s="782"/>
      <c r="S90" s="782"/>
      <c r="T90" s="782"/>
      <c r="U90" s="782"/>
      <c r="V90" s="8"/>
      <c r="W90" s="8"/>
      <c r="X90" s="8"/>
      <c r="Y90" s="782"/>
      <c r="Z90" s="782"/>
      <c r="AA90" s="782"/>
      <c r="AB90" s="782"/>
      <c r="AC90" s="782"/>
      <c r="AD90" s="782"/>
      <c r="AE90" s="782"/>
      <c r="AF90" s="8"/>
      <c r="AG90" s="8"/>
      <c r="AH90" s="8"/>
      <c r="AI90" s="8"/>
      <c r="AJ90" s="8"/>
      <c r="AK90" s="782"/>
      <c r="AL90" s="782"/>
      <c r="AM90" s="782"/>
      <c r="AN90" s="782"/>
      <c r="AO90" s="782"/>
      <c r="AP90" s="782"/>
      <c r="AQ90" s="782"/>
      <c r="AR90" s="8"/>
      <c r="AS90" s="8"/>
      <c r="AT90" s="8"/>
      <c r="AU90" s="8"/>
      <c r="AV90" s="8"/>
      <c r="AW90" s="782"/>
      <c r="AX90" s="782"/>
      <c r="AY90" s="782"/>
      <c r="AZ90" s="782"/>
      <c r="BA90" s="782"/>
      <c r="BB90" s="782"/>
      <c r="BC90" s="782"/>
      <c r="BD90" s="8"/>
      <c r="BE90" s="8"/>
      <c r="BF90" s="8"/>
      <c r="BG90" s="771"/>
      <c r="BH90" s="771"/>
      <c r="BI90" s="771"/>
      <c r="BJ90" s="771"/>
      <c r="BK90" s="771"/>
    </row>
    <row r="91" spans="1:63" ht="12.75" customHeight="1" x14ac:dyDescent="0.2">
      <c r="A91" s="2136"/>
      <c r="B91" s="1831"/>
      <c r="C91" s="1154" t="str">
        <f>VLOOKUP($C$81,MAATOBM,10,FALSE)</f>
        <v>8046152/</v>
      </c>
      <c r="D91" s="43" t="str">
        <f>IF(C91=" ","",VLOOKUP(C91,всецены,2,FALSE))</f>
        <v>TBX-A, Загл с лого, бел, сим,ZAA.532C.BL</v>
      </c>
      <c r="E91" s="80">
        <v>2</v>
      </c>
      <c r="F91" s="63">
        <f t="shared" si="18"/>
        <v>8.9453364000000004</v>
      </c>
      <c r="G91" s="160">
        <f>IF(C91=" "," ",F91*E91)</f>
        <v>17.890672800000001</v>
      </c>
      <c r="H91" s="2142"/>
      <c r="I91" s="782"/>
      <c r="J91" s="782"/>
      <c r="K91" s="782"/>
      <c r="L91" s="782"/>
      <c r="M91" s="782"/>
      <c r="N91" s="782"/>
      <c r="O91" s="782"/>
      <c r="P91" s="782"/>
      <c r="Q91" s="782"/>
      <c r="R91" s="782"/>
      <c r="S91" s="782"/>
      <c r="T91" s="782"/>
      <c r="U91" s="782"/>
      <c r="V91" s="8"/>
      <c r="W91" s="8"/>
      <c r="X91" s="8"/>
      <c r="Y91" s="782"/>
      <c r="Z91" s="782"/>
      <c r="AA91" s="782"/>
      <c r="AB91" s="782"/>
      <c r="AC91" s="782"/>
      <c r="AD91" s="782"/>
      <c r="AE91" s="782"/>
      <c r="AF91" s="8"/>
      <c r="AG91" s="8"/>
      <c r="AH91" s="8"/>
      <c r="AI91" s="8"/>
      <c r="AJ91" s="8"/>
      <c r="AK91" s="782"/>
      <c r="AL91" s="782"/>
      <c r="AM91" s="782"/>
      <c r="AN91" s="782"/>
      <c r="AO91" s="782"/>
      <c r="AP91" s="782"/>
      <c r="AQ91" s="782"/>
      <c r="AR91" s="8"/>
      <c r="AS91" s="8"/>
      <c r="AT91" s="8"/>
      <c r="AU91" s="8"/>
      <c r="AV91" s="8"/>
      <c r="AW91" s="782"/>
      <c r="AX91" s="782"/>
      <c r="AY91" s="782"/>
      <c r="AZ91" s="782"/>
      <c r="BA91" s="782"/>
      <c r="BB91" s="782"/>
      <c r="BC91" s="782"/>
      <c r="BD91" s="8"/>
      <c r="BE91" s="8"/>
      <c r="BF91" s="1761"/>
      <c r="BG91" s="771"/>
      <c r="BH91" s="771"/>
      <c r="BI91" s="771"/>
      <c r="BJ91" s="771"/>
      <c r="BK91" s="771"/>
    </row>
    <row r="92" spans="1:63" ht="12.75" customHeight="1" x14ac:dyDescent="0.2">
      <c r="A92" s="2136"/>
      <c r="B92" s="1831"/>
      <c r="C92" s="1157" t="str">
        <f>VLOOKUP($D$3,AAвнутр.,5,FALSE)</f>
        <v>8679792/</v>
      </c>
      <c r="D92" s="43" t="str">
        <f t="shared" si="19"/>
        <v xml:space="preserve">TBX-AA, Крепл п/пан вн, 191мм, бел, лев </v>
      </c>
      <c r="E92" s="80">
        <v>1</v>
      </c>
      <c r="F92" s="63">
        <f t="shared" si="18"/>
        <v>115.4761608</v>
      </c>
      <c r="G92" s="723">
        <f t="shared" si="20"/>
        <v>115.4761608</v>
      </c>
      <c r="H92" s="2142"/>
      <c r="I92" s="782"/>
      <c r="J92" s="782"/>
      <c r="K92" s="782"/>
      <c r="L92" s="782"/>
      <c r="M92" s="782"/>
      <c r="N92" s="782"/>
      <c r="O92" s="782"/>
      <c r="P92" s="782"/>
      <c r="Q92" s="782"/>
      <c r="R92" s="782"/>
      <c r="S92" s="782"/>
      <c r="T92" s="782"/>
      <c r="U92" s="782"/>
      <c r="V92" s="1761"/>
      <c r="W92" s="1761"/>
      <c r="X92" s="1761"/>
      <c r="Y92" s="782"/>
      <c r="Z92" s="782"/>
      <c r="AA92" s="782"/>
      <c r="AB92" s="782"/>
      <c r="AC92" s="782"/>
      <c r="AD92" s="782"/>
      <c r="AE92" s="782"/>
      <c r="AF92" s="1761"/>
      <c r="AG92" s="1761"/>
      <c r="AH92" s="1761"/>
      <c r="AI92" s="1761"/>
      <c r="AJ92" s="1761"/>
      <c r="AK92" s="782"/>
      <c r="AL92" s="782"/>
      <c r="AM92" s="782"/>
      <c r="AN92" s="782"/>
      <c r="AO92" s="782"/>
      <c r="AP92" s="782"/>
      <c r="AQ92" s="782"/>
      <c r="AR92" s="1761"/>
      <c r="AS92" s="1761"/>
      <c r="AT92" s="1761"/>
      <c r="AU92" s="1761"/>
      <c r="AV92" s="1761"/>
      <c r="AW92" s="782"/>
      <c r="AX92" s="782"/>
      <c r="AY92" s="782"/>
      <c r="AZ92" s="782"/>
      <c r="BA92" s="782"/>
      <c r="BB92" s="782"/>
      <c r="BC92" s="782"/>
      <c r="BD92" s="1761"/>
      <c r="BE92" s="1761"/>
      <c r="BF92" s="1761"/>
      <c r="BG92" s="771"/>
      <c r="BH92" s="771"/>
      <c r="BI92" s="771"/>
      <c r="BJ92" s="771"/>
      <c r="BK92" s="771"/>
    </row>
    <row r="93" spans="1:63" ht="12.75" customHeight="1" x14ac:dyDescent="0.2">
      <c r="A93" s="2136"/>
      <c r="B93" s="1831"/>
      <c r="C93" s="1157" t="str">
        <f>VLOOKUP($D$3,AAвнутр.,6,FALSE)</f>
        <v>8679862/</v>
      </c>
      <c r="D93" s="43" t="str">
        <f t="shared" si="19"/>
        <v>TBX-AA, Крепл п/пан вн, 191мм, бел, прав</v>
      </c>
      <c r="E93" s="80">
        <v>1</v>
      </c>
      <c r="F93" s="63">
        <f t="shared" si="18"/>
        <v>115.4761608</v>
      </c>
      <c r="G93" s="723">
        <f t="shared" si="20"/>
        <v>115.4761608</v>
      </c>
      <c r="H93" s="2142"/>
      <c r="I93" s="782"/>
      <c r="J93" s="782"/>
      <c r="K93" s="782"/>
      <c r="L93" s="782"/>
      <c r="M93" s="782"/>
      <c r="N93" s="782"/>
      <c r="O93" s="782"/>
      <c r="P93" s="782"/>
      <c r="Q93" s="782"/>
      <c r="R93" s="782"/>
      <c r="S93" s="782"/>
      <c r="T93" s="782"/>
      <c r="U93" s="782"/>
      <c r="V93" s="1761"/>
      <c r="W93" s="1761"/>
      <c r="X93" s="1761"/>
      <c r="Y93" s="782"/>
      <c r="Z93" s="782"/>
      <c r="AA93" s="782"/>
      <c r="AB93" s="782"/>
      <c r="AC93" s="782"/>
      <c r="AD93" s="782"/>
      <c r="AE93" s="782"/>
      <c r="AF93" s="1761"/>
      <c r="AG93" s="1761"/>
      <c r="AH93" s="1761"/>
      <c r="AI93" s="1761"/>
      <c r="AJ93" s="1761"/>
      <c r="AK93" s="782"/>
      <c r="AL93" s="782"/>
      <c r="AM93" s="782"/>
      <c r="AN93" s="782"/>
      <c r="AO93" s="782"/>
      <c r="AP93" s="782"/>
      <c r="AQ93" s="782"/>
      <c r="AR93" s="1761"/>
      <c r="AS93" s="1761"/>
      <c r="AT93" s="1761"/>
      <c r="AU93" s="1761"/>
      <c r="AV93" s="1761"/>
      <c r="AW93" s="782"/>
      <c r="AX93" s="782"/>
      <c r="AY93" s="782"/>
      <c r="AZ93" s="782"/>
      <c r="BA93" s="782"/>
      <c r="BB93" s="782"/>
      <c r="BC93" s="782"/>
      <c r="BD93" s="1761"/>
      <c r="BE93" s="1761"/>
      <c r="BF93" s="1761"/>
      <c r="BG93" s="771"/>
      <c r="BH93" s="771"/>
      <c r="BI93" s="771"/>
      <c r="BJ93" s="771"/>
      <c r="BK93" s="771"/>
    </row>
    <row r="94" spans="1:63" ht="12.75" customHeight="1" x14ac:dyDescent="0.2">
      <c r="A94" s="2136"/>
      <c r="B94" s="1831"/>
      <c r="C94" s="1157" t="str">
        <f>VLOOKUP($C$81,MAATOBM,8,FALSE)</f>
        <v>1511532/</v>
      </c>
      <c r="D94" s="43" t="str">
        <f>IF(C94=" ","",VLOOKUP(C94,всецены,2,FALSE))</f>
        <v xml:space="preserve">TBX-AA, Рел прод д/вн, 500мм, бел, лев  </v>
      </c>
      <c r="E94" s="80">
        <v>1</v>
      </c>
      <c r="F94" s="63">
        <f t="shared" si="18"/>
        <v>214.68807360000002</v>
      </c>
      <c r="G94" s="160">
        <f>IF(C94=" "," ",F94*E94)</f>
        <v>214.68807360000002</v>
      </c>
      <c r="H94" s="2142"/>
      <c r="I94" s="782"/>
      <c r="J94" s="782"/>
      <c r="K94" s="782"/>
      <c r="L94" s="782"/>
      <c r="M94" s="782"/>
      <c r="N94" s="782"/>
      <c r="O94" s="782"/>
      <c r="P94" s="782"/>
      <c r="Q94" s="782"/>
      <c r="R94" s="782"/>
      <c r="S94" s="782"/>
      <c r="T94" s="782"/>
      <c r="U94" s="782"/>
      <c r="V94" s="1761"/>
      <c r="W94" s="1761"/>
      <c r="X94" s="1761"/>
      <c r="Y94" s="782"/>
      <c r="Z94" s="782"/>
      <c r="AA94" s="782"/>
      <c r="AB94" s="782"/>
      <c r="AC94" s="782"/>
      <c r="AD94" s="782"/>
      <c r="AE94" s="782"/>
      <c r="AF94" s="1761"/>
      <c r="AG94" s="1761"/>
      <c r="AH94" s="1761"/>
      <c r="AI94" s="1761"/>
      <c r="AJ94" s="1761"/>
      <c r="AK94" s="782"/>
      <c r="AL94" s="782"/>
      <c r="AM94" s="782"/>
      <c r="AN94" s="782"/>
      <c r="AO94" s="782"/>
      <c r="AP94" s="782"/>
      <c r="AQ94" s="782"/>
      <c r="AR94" s="1761"/>
      <c r="AS94" s="1761"/>
      <c r="AT94" s="1761"/>
      <c r="AU94" s="1761"/>
      <c r="AV94" s="1761"/>
      <c r="AW94" s="782"/>
      <c r="AX94" s="782"/>
      <c r="AY94" s="782"/>
      <c r="AZ94" s="782"/>
      <c r="BA94" s="782"/>
      <c r="BB94" s="782"/>
      <c r="BC94" s="782"/>
      <c r="BD94" s="1761"/>
      <c r="BE94" s="1761"/>
      <c r="BF94" s="1761"/>
      <c r="BG94" s="771"/>
      <c r="BH94" s="771"/>
      <c r="BI94" s="771"/>
      <c r="BJ94" s="771"/>
      <c r="BK94" s="771"/>
    </row>
    <row r="95" spans="1:63" ht="12.75" customHeight="1" x14ac:dyDescent="0.2">
      <c r="A95" s="2136"/>
      <c r="B95" s="1831"/>
      <c r="C95" s="1157" t="str">
        <f>VLOOKUP($C$81,MAATOBM,9,FALSE)</f>
        <v>7271392/</v>
      </c>
      <c r="D95" s="43" t="str">
        <f>IF(C95=" ","",VLOOKUP(C95,всецены,2,FALSE))</f>
        <v>TBX-AA, Рел прод д/вн, 500 мм, бел, прав</v>
      </c>
      <c r="E95" s="80">
        <v>1</v>
      </c>
      <c r="F95" s="63">
        <f t="shared" si="18"/>
        <v>214.68807360000002</v>
      </c>
      <c r="G95" s="160">
        <f>IF(C95=" "," ",F95*E95)</f>
        <v>214.68807360000002</v>
      </c>
      <c r="H95" s="2142"/>
      <c r="I95" s="782"/>
      <c r="J95" s="782"/>
      <c r="K95" s="782"/>
      <c r="L95" s="782"/>
      <c r="M95" s="782"/>
      <c r="N95" s="782"/>
      <c r="O95" s="782"/>
      <c r="P95" s="782"/>
      <c r="Q95" s="782"/>
      <c r="R95" s="782"/>
      <c r="S95" s="782"/>
      <c r="T95" s="782"/>
      <c r="U95" s="782"/>
      <c r="V95" s="1761"/>
      <c r="W95" s="1761"/>
      <c r="X95" s="1761"/>
      <c r="Y95" s="782"/>
      <c r="Z95" s="782"/>
      <c r="AA95" s="782"/>
      <c r="AB95" s="782"/>
      <c r="AC95" s="782"/>
      <c r="AD95" s="782"/>
      <c r="AE95" s="782"/>
      <c r="AF95" s="1761"/>
      <c r="AG95" s="1761"/>
      <c r="AH95" s="1761"/>
      <c r="AI95" s="1761"/>
      <c r="AJ95" s="1761"/>
      <c r="AK95" s="782"/>
      <c r="AL95" s="782"/>
      <c r="AM95" s="782"/>
      <c r="AN95" s="782"/>
      <c r="AO95" s="782"/>
      <c r="AP95" s="782"/>
      <c r="AQ95" s="782"/>
      <c r="AR95" s="1761"/>
      <c r="AS95" s="1761"/>
      <c r="AT95" s="1761"/>
      <c r="AU95" s="1761"/>
      <c r="AV95" s="1761"/>
      <c r="AW95" s="782"/>
      <c r="AX95" s="782"/>
      <c r="AY95" s="782"/>
      <c r="AZ95" s="782"/>
      <c r="BA95" s="782"/>
      <c r="BB95" s="782"/>
      <c r="BC95" s="782"/>
      <c r="BD95" s="1761"/>
      <c r="BE95" s="1761"/>
      <c r="BF95" s="1761"/>
      <c r="BG95" s="771"/>
      <c r="BH95" s="771"/>
      <c r="BI95" s="771"/>
      <c r="BJ95" s="771"/>
      <c r="BK95" s="771"/>
    </row>
    <row r="96" spans="1:63" ht="12.75" customHeight="1" x14ac:dyDescent="0.2">
      <c r="A96" s="2136"/>
      <c r="B96" s="1831"/>
      <c r="C96" s="1154" t="str">
        <f>VLOOKUP($D$3,AAвнутр.,12,FALSE)</f>
        <v>3258062/</v>
      </c>
      <c r="D96" s="43" t="str">
        <f t="shared" si="19"/>
        <v>TBX-AA, Держат. задн. ст, 191 мм, бел, L</v>
      </c>
      <c r="E96" s="80">
        <v>1</v>
      </c>
      <c r="F96" s="63">
        <f t="shared" si="18"/>
        <v>85.387302000000005</v>
      </c>
      <c r="G96" s="723">
        <f t="shared" si="20"/>
        <v>85.387302000000005</v>
      </c>
      <c r="H96" s="2142"/>
      <c r="I96" s="782"/>
      <c r="J96" s="782"/>
      <c r="K96" s="782"/>
      <c r="L96" s="782"/>
      <c r="M96" s="782"/>
      <c r="N96" s="782"/>
      <c r="O96" s="782"/>
      <c r="P96" s="782"/>
      <c r="Q96" s="782"/>
      <c r="R96" s="782"/>
      <c r="S96" s="782"/>
      <c r="T96" s="782"/>
      <c r="U96" s="782"/>
      <c r="V96" s="1761"/>
      <c r="W96" s="1761"/>
      <c r="X96" s="1761"/>
      <c r="Y96" s="782"/>
      <c r="Z96" s="782"/>
      <c r="AA96" s="782"/>
      <c r="AB96" s="782"/>
      <c r="AC96" s="782"/>
      <c r="AD96" s="782"/>
      <c r="AE96" s="782"/>
      <c r="AF96" s="1761"/>
      <c r="AG96" s="1761"/>
      <c r="AH96" s="1761"/>
      <c r="AI96" s="1761"/>
      <c r="AJ96" s="1761"/>
      <c r="AK96" s="782"/>
      <c r="AL96" s="782"/>
      <c r="AM96" s="782"/>
      <c r="AN96" s="782"/>
      <c r="AO96" s="782"/>
      <c r="AP96" s="782"/>
      <c r="AQ96" s="782"/>
      <c r="AR96" s="1761"/>
      <c r="AS96" s="1761"/>
      <c r="AT96" s="1761"/>
      <c r="AU96" s="1761"/>
      <c r="AV96" s="1761"/>
      <c r="AW96" s="782"/>
      <c r="AX96" s="782"/>
      <c r="AY96" s="782"/>
      <c r="AZ96" s="782"/>
      <c r="BA96" s="782"/>
      <c r="BB96" s="782"/>
      <c r="BC96" s="782"/>
      <c r="BD96" s="1761"/>
      <c r="BE96" s="1761"/>
      <c r="BF96" s="1761"/>
      <c r="BG96" s="771"/>
      <c r="BH96" s="771"/>
      <c r="BI96" s="771"/>
      <c r="BJ96" s="771"/>
      <c r="BK96" s="771"/>
    </row>
    <row r="97" spans="1:63" ht="12.75" customHeight="1" x14ac:dyDescent="0.2">
      <c r="A97" s="1764"/>
      <c r="B97" s="1831"/>
      <c r="C97" s="1154" t="str">
        <f>VLOOKUP($D$3,AAвнутр.,13,FALSE)</f>
        <v>3257902/</v>
      </c>
      <c r="D97" s="43" t="str">
        <f t="shared" si="19"/>
        <v>TBX-AA, Держат. задн. ст, 191 мм, бел, R</v>
      </c>
      <c r="E97" s="80">
        <v>1</v>
      </c>
      <c r="F97" s="63">
        <f t="shared" si="18"/>
        <v>85.387302000000005</v>
      </c>
      <c r="G97" s="723">
        <f t="shared" si="20"/>
        <v>85.387302000000005</v>
      </c>
      <c r="H97" s="2142"/>
      <c r="I97" s="782"/>
      <c r="J97" s="782"/>
      <c r="K97" s="782"/>
      <c r="L97" s="782"/>
      <c r="M97" s="782"/>
      <c r="N97" s="782"/>
      <c r="O97" s="782"/>
      <c r="P97" s="782"/>
      <c r="Q97" s="782"/>
      <c r="R97" s="782"/>
      <c r="S97" s="782"/>
      <c r="T97" s="782"/>
      <c r="U97" s="782"/>
      <c r="V97" s="1761"/>
      <c r="W97" s="1761"/>
      <c r="X97" s="1761"/>
      <c r="Y97" s="782"/>
      <c r="Z97" s="782"/>
      <c r="AA97" s="782"/>
      <c r="AB97" s="782"/>
      <c r="AC97" s="782"/>
      <c r="AD97" s="782"/>
      <c r="AE97" s="782"/>
      <c r="AF97" s="1761"/>
      <c r="AG97" s="1761"/>
      <c r="AH97" s="1761"/>
      <c r="AI97" s="1761"/>
      <c r="AJ97" s="1761"/>
      <c r="AK97" s="782"/>
      <c r="AL97" s="782"/>
      <c r="AM97" s="782"/>
      <c r="AN97" s="782"/>
      <c r="AO97" s="782"/>
      <c r="AP97" s="782"/>
      <c r="AQ97" s="782"/>
      <c r="AR97" s="1761"/>
      <c r="AS97" s="1761"/>
      <c r="AT97" s="1761"/>
      <c r="AU97" s="1761"/>
      <c r="AV97" s="1761"/>
      <c r="AW97" s="782"/>
      <c r="AX97" s="782"/>
      <c r="AY97" s="782"/>
      <c r="AZ97" s="782"/>
      <c r="BA97" s="782"/>
      <c r="BB97" s="782"/>
      <c r="BC97" s="782"/>
      <c r="BD97" s="1761"/>
      <c r="BE97" s="1761"/>
      <c r="BF97" s="1761"/>
      <c r="BG97" s="771"/>
      <c r="BH97" s="771"/>
      <c r="BI97" s="771"/>
      <c r="BJ97" s="771"/>
      <c r="BK97" s="771"/>
    </row>
    <row r="98" spans="1:63" ht="12.75" customHeight="1" x14ac:dyDescent="0.2">
      <c r="A98" s="274"/>
      <c r="B98" s="1831"/>
      <c r="C98" s="1157" t="str">
        <f>VLOOKUP($D$3,AAвнутр.,4,FALSE)</f>
        <v>8479022/</v>
      </c>
      <c r="D98" s="43" t="str">
        <f t="shared" si="19"/>
        <v xml:space="preserve">TBX-A, Передн панель, 1036 мм, бел, б/п </v>
      </c>
      <c r="E98" s="80">
        <v>1</v>
      </c>
      <c r="F98" s="63">
        <f t="shared" si="18"/>
        <v>1187.2901040000002</v>
      </c>
      <c r="G98" s="723">
        <f t="shared" si="20"/>
        <v>1187.2901040000002</v>
      </c>
      <c r="H98" s="2142"/>
      <c r="I98" s="782"/>
      <c r="J98" s="782"/>
      <c r="K98" s="782"/>
      <c r="L98" s="782"/>
      <c r="M98" s="782"/>
      <c r="N98" s="782"/>
      <c r="O98" s="782"/>
      <c r="P98" s="782"/>
      <c r="Q98" s="782"/>
      <c r="R98" s="782"/>
      <c r="S98" s="782"/>
      <c r="T98" s="782"/>
      <c r="U98" s="782"/>
      <c r="V98" s="1761"/>
      <c r="W98" s="1761"/>
      <c r="X98" s="1761"/>
      <c r="Y98" s="782"/>
      <c r="Z98" s="782"/>
      <c r="AA98" s="782"/>
      <c r="AB98" s="782"/>
      <c r="AC98" s="782"/>
      <c r="AD98" s="782"/>
      <c r="AE98" s="782"/>
      <c r="AF98" s="1761"/>
      <c r="AG98" s="1761"/>
      <c r="AH98" s="1761"/>
      <c r="AI98" s="1761"/>
      <c r="AJ98" s="1761"/>
      <c r="AK98" s="782"/>
      <c r="AL98" s="782"/>
      <c r="AM98" s="782"/>
      <c r="AN98" s="782"/>
      <c r="AO98" s="782"/>
      <c r="AP98" s="782"/>
      <c r="AQ98" s="782"/>
      <c r="AR98" s="1761"/>
      <c r="AS98" s="1761"/>
      <c r="AT98" s="1761"/>
      <c r="AU98" s="1761"/>
      <c r="AV98" s="1761"/>
      <c r="AW98" s="782"/>
      <c r="AX98" s="782"/>
      <c r="AY98" s="782"/>
      <c r="AZ98" s="782"/>
      <c r="BA98" s="782"/>
      <c r="BB98" s="782"/>
      <c r="BC98" s="782"/>
      <c r="BD98" s="1761"/>
      <c r="BE98" s="1761"/>
      <c r="BF98" s="1761"/>
      <c r="BG98" s="771"/>
      <c r="BH98" s="771"/>
      <c r="BI98" s="771"/>
      <c r="BJ98" s="771"/>
      <c r="BK98" s="771"/>
    </row>
    <row r="99" spans="1:63" s="1761" customFormat="1" ht="12.75" customHeight="1" x14ac:dyDescent="0.2">
      <c r="A99" s="274"/>
      <c r="B99" s="1831"/>
      <c r="C99" s="1828" t="str">
        <f>VLOOKUP($D$3,AAвнутр.,11,FALSE)</f>
        <v>8473392/</v>
      </c>
      <c r="D99" s="1786" t="str">
        <f>VLOOKUP(C99,всецены,2,FALSE)</f>
        <v>TBX-A, Релинг д/пер. панели, 1046мм, бел</v>
      </c>
      <c r="E99" s="1820">
        <v>1</v>
      </c>
      <c r="F99" s="1802">
        <f>VLOOKUP(C99,всецены,4,FALSE)</f>
        <v>560.30334359999995</v>
      </c>
      <c r="G99" s="1821">
        <f>F99*E99</f>
        <v>560.30334359999995</v>
      </c>
      <c r="H99" s="2142"/>
      <c r="I99" s="782"/>
      <c r="J99" s="782"/>
      <c r="K99" s="782"/>
      <c r="L99" s="782"/>
      <c r="M99" s="782"/>
      <c r="N99" s="782"/>
      <c r="O99" s="782"/>
      <c r="P99" s="782"/>
      <c r="Q99" s="782"/>
      <c r="R99" s="782"/>
      <c r="S99" s="782"/>
      <c r="T99" s="782"/>
      <c r="U99" s="782"/>
      <c r="Y99" s="782"/>
      <c r="Z99" s="782"/>
      <c r="AA99" s="782"/>
      <c r="AB99" s="782"/>
      <c r="AC99" s="782"/>
      <c r="AD99" s="782"/>
      <c r="AE99" s="782"/>
      <c r="AK99" s="782"/>
      <c r="AL99" s="782"/>
      <c r="AM99" s="782"/>
      <c r="AN99" s="782"/>
      <c r="AO99" s="782"/>
      <c r="AP99" s="782"/>
      <c r="AQ99" s="782"/>
      <c r="AW99" s="782"/>
      <c r="AX99" s="782"/>
      <c r="AY99" s="782"/>
      <c r="AZ99" s="782"/>
      <c r="BA99" s="782"/>
      <c r="BB99" s="782"/>
      <c r="BC99" s="782"/>
      <c r="BG99" s="771"/>
      <c r="BH99" s="771"/>
      <c r="BI99" s="771"/>
      <c r="BJ99" s="771"/>
      <c r="BK99" s="771"/>
    </row>
    <row r="100" spans="1:63" ht="12.75" customHeight="1" thickBot="1" x14ac:dyDescent="0.25">
      <c r="A100" s="314"/>
      <c r="B100" s="1832"/>
      <c r="C100" s="1823" t="str">
        <f>IF(C81=270,"3069959/",IF(C81=300,"3069959/",""))</f>
        <v/>
      </c>
      <c r="D100" s="1824" t="str">
        <f>IF(C100="","",VLOOKUP(C100,всецены,2,FALSE))</f>
        <v/>
      </c>
      <c r="E100" s="1825" t="str">
        <f>IF(C100="","",2)</f>
        <v/>
      </c>
      <c r="F100" s="1826" t="e">
        <f t="shared" si="18"/>
        <v>#N/A</v>
      </c>
      <c r="G100" s="1827" t="str">
        <f>IF(C100="","",F100*E100)</f>
        <v/>
      </c>
      <c r="H100" s="2143"/>
      <c r="I100" s="782"/>
      <c r="J100" s="782"/>
      <c r="K100" s="782"/>
      <c r="L100" s="782"/>
      <c r="M100" s="782"/>
      <c r="N100" s="782"/>
      <c r="O100" s="782"/>
      <c r="P100" s="782"/>
      <c r="Q100" s="782"/>
      <c r="R100" s="782"/>
      <c r="S100" s="782"/>
      <c r="T100" s="782"/>
      <c r="U100" s="782"/>
      <c r="V100" s="1761"/>
      <c r="W100" s="1761"/>
      <c r="X100" s="1761"/>
      <c r="Y100" s="782"/>
      <c r="Z100" s="782"/>
      <c r="AA100" s="782"/>
      <c r="AB100" s="782"/>
      <c r="AC100" s="782"/>
      <c r="AD100" s="782"/>
      <c r="AE100" s="782"/>
      <c r="AF100" s="1761"/>
      <c r="AG100" s="1761"/>
      <c r="AH100" s="1761"/>
      <c r="AI100" s="1761"/>
      <c r="AJ100" s="1761"/>
      <c r="AK100" s="782"/>
      <c r="AL100" s="782"/>
      <c r="AM100" s="782"/>
      <c r="AN100" s="782"/>
      <c r="AO100" s="782"/>
      <c r="AP100" s="782"/>
      <c r="AQ100" s="782"/>
      <c r="AR100" s="1761"/>
      <c r="AS100" s="1761"/>
      <c r="AT100" s="1761"/>
      <c r="AU100" s="1761"/>
      <c r="AV100" s="1761"/>
      <c r="AW100" s="782"/>
      <c r="AX100" s="782"/>
      <c r="AY100" s="782"/>
      <c r="AZ100" s="782"/>
      <c r="BA100" s="782"/>
      <c r="BB100" s="782"/>
      <c r="BC100" s="782"/>
      <c r="BD100" s="1761"/>
      <c r="BE100" s="1761"/>
      <c r="BF100" s="1761"/>
      <c r="BG100" s="771"/>
      <c r="BH100" s="771"/>
      <c r="BI100" s="771"/>
      <c r="BJ100" s="771"/>
      <c r="BK100" s="771"/>
    </row>
    <row r="101" spans="1:63" ht="15" x14ac:dyDescent="0.2">
      <c r="A101" s="314"/>
      <c r="B101" s="8"/>
      <c r="C101" s="8"/>
      <c r="D101" s="8"/>
      <c r="E101" s="1767"/>
      <c r="F101" s="8"/>
      <c r="G101" s="37"/>
      <c r="H101" s="35"/>
      <c r="I101" s="771"/>
      <c r="J101" s="782"/>
      <c r="K101" s="782"/>
      <c r="L101" s="782"/>
      <c r="M101" s="782"/>
      <c r="N101" s="782"/>
      <c r="O101" s="782"/>
      <c r="P101" s="782"/>
      <c r="Q101" s="782"/>
      <c r="R101" s="782"/>
      <c r="S101" s="782"/>
      <c r="T101" s="782"/>
      <c r="U101" s="782"/>
      <c r="V101" s="1761"/>
      <c r="W101" s="1761"/>
      <c r="X101" s="1761"/>
      <c r="Y101" s="782"/>
      <c r="Z101" s="782"/>
      <c r="AA101" s="782"/>
      <c r="AB101" s="782"/>
      <c r="AC101" s="782"/>
      <c r="AD101" s="782"/>
      <c r="AE101" s="782"/>
      <c r="AF101" s="1761"/>
      <c r="AG101" s="1761"/>
      <c r="AH101" s="1761"/>
      <c r="AI101" s="1761"/>
      <c r="AJ101" s="1761"/>
      <c r="AK101" s="782"/>
      <c r="AL101" s="782"/>
      <c r="AM101" s="782"/>
      <c r="AN101" s="782"/>
      <c r="AO101" s="782"/>
      <c r="AP101" s="782"/>
      <c r="AQ101" s="782"/>
      <c r="AR101" s="1761"/>
      <c r="AS101" s="1761"/>
      <c r="AT101" s="1761"/>
      <c r="AU101" s="1761"/>
      <c r="AV101" s="1761"/>
      <c r="AW101" s="782"/>
      <c r="AX101" s="782"/>
      <c r="AY101" s="782"/>
      <c r="AZ101" s="782"/>
      <c r="BA101" s="782"/>
      <c r="BB101" s="782"/>
      <c r="BC101" s="782"/>
      <c r="BD101" s="1761"/>
      <c r="BE101" s="1761"/>
      <c r="BF101" s="1761"/>
      <c r="BG101" s="771"/>
      <c r="BH101" s="771"/>
      <c r="BI101" s="771"/>
      <c r="BJ101" s="771"/>
      <c r="BK101" s="771"/>
    </row>
    <row r="102" spans="1:63" ht="15" x14ac:dyDescent="0.2">
      <c r="A102" s="274"/>
      <c r="B102" s="2127" t="s">
        <v>3438</v>
      </c>
      <c r="C102" s="2127"/>
      <c r="D102" s="2127"/>
      <c r="E102" s="2127"/>
      <c r="F102" s="2127"/>
      <c r="G102" s="2127"/>
      <c r="H102" s="716"/>
      <c r="I102" s="771"/>
      <c r="J102" s="771"/>
      <c r="K102" s="771"/>
      <c r="L102" s="771"/>
      <c r="M102" s="771"/>
      <c r="N102" s="771"/>
      <c r="O102" s="771"/>
      <c r="P102" s="771"/>
      <c r="Q102" s="771"/>
      <c r="R102" s="771"/>
      <c r="S102" s="771"/>
      <c r="T102" s="771"/>
      <c r="U102" s="771"/>
      <c r="V102" s="1761"/>
      <c r="W102" s="1761"/>
      <c r="X102" s="1761"/>
      <c r="Y102" s="771"/>
      <c r="Z102" s="771"/>
      <c r="AA102" s="771"/>
      <c r="AB102" s="771"/>
      <c r="AC102" s="771"/>
      <c r="AD102" s="771"/>
      <c r="AE102" s="771"/>
      <c r="AF102" s="1761"/>
      <c r="AG102" s="1761"/>
      <c r="AH102" s="1761"/>
      <c r="AI102" s="1761"/>
      <c r="AJ102" s="1761"/>
      <c r="AK102" s="771"/>
      <c r="AL102" s="771"/>
      <c r="AM102" s="771"/>
      <c r="AN102" s="771"/>
      <c r="AO102" s="771"/>
      <c r="AP102" s="771"/>
      <c r="AQ102" s="771"/>
      <c r="AR102" s="1761"/>
      <c r="AS102" s="1761"/>
      <c r="AT102" s="1761"/>
      <c r="AU102" s="1761"/>
      <c r="AV102" s="1761"/>
      <c r="AW102" s="771"/>
      <c r="AX102" s="771"/>
      <c r="AY102" s="771"/>
      <c r="AZ102" s="771"/>
      <c r="BA102" s="771"/>
      <c r="BB102" s="771"/>
      <c r="BC102" s="771"/>
      <c r="BD102" s="1761"/>
      <c r="BE102" s="1761"/>
      <c r="BF102" s="1761"/>
      <c r="BG102" s="771"/>
      <c r="BH102" s="771"/>
      <c r="BI102" s="771"/>
      <c r="BJ102" s="771"/>
      <c r="BK102" s="771"/>
    </row>
    <row r="103" spans="1:63" ht="15.75" thickBot="1" x14ac:dyDescent="0.25">
      <c r="A103" s="274"/>
      <c r="B103" s="2140"/>
      <c r="C103" s="2140"/>
      <c r="D103" s="2140"/>
      <c r="E103" s="2140"/>
      <c r="F103" s="2140"/>
      <c r="G103" s="2140"/>
      <c r="H103" s="611" t="str">
        <f>D3</f>
        <v>Белый шёлк</v>
      </c>
      <c r="I103" s="771"/>
      <c r="J103" s="771"/>
      <c r="K103" s="771"/>
      <c r="L103" s="771"/>
      <c r="M103" s="771"/>
      <c r="N103" s="771"/>
      <c r="O103" s="771"/>
      <c r="P103" s="771"/>
      <c r="Q103" s="771"/>
      <c r="R103" s="771"/>
      <c r="S103" s="771"/>
      <c r="T103" s="771"/>
      <c r="U103" s="771"/>
      <c r="V103" s="1761"/>
      <c r="W103" s="1761"/>
      <c r="X103" s="1761"/>
      <c r="Y103" s="771"/>
      <c r="Z103" s="771"/>
      <c r="AA103" s="771"/>
      <c r="AB103" s="771"/>
      <c r="AC103" s="771"/>
      <c r="AD103" s="771"/>
      <c r="AE103" s="771"/>
      <c r="AF103" s="1761"/>
      <c r="AG103" s="1761"/>
      <c r="AH103" s="1761"/>
      <c r="AI103" s="1761"/>
      <c r="AJ103" s="1761"/>
      <c r="AK103" s="771"/>
      <c r="AL103" s="771"/>
      <c r="AM103" s="771"/>
      <c r="AN103" s="771"/>
      <c r="AO103" s="771"/>
      <c r="AP103" s="771"/>
      <c r="AQ103" s="771"/>
      <c r="AR103" s="1761"/>
      <c r="AS103" s="1761"/>
      <c r="AT103" s="1761"/>
      <c r="AU103" s="1761"/>
      <c r="AV103" s="1761"/>
      <c r="AW103" s="771"/>
      <c r="AX103" s="771"/>
      <c r="AY103" s="771"/>
      <c r="AZ103" s="771"/>
      <c r="BA103" s="771"/>
      <c r="BB103" s="771"/>
      <c r="BC103" s="771"/>
      <c r="BD103" s="1761"/>
      <c r="BE103" s="1761"/>
      <c r="BF103" s="1761"/>
      <c r="BG103" s="771"/>
      <c r="BH103" s="771"/>
      <c r="BI103" s="771"/>
      <c r="BJ103" s="771"/>
      <c r="BK103" s="771"/>
    </row>
    <row r="104" spans="1:63" ht="15" x14ac:dyDescent="0.2">
      <c r="A104" s="274"/>
      <c r="B104" s="717"/>
      <c r="C104" s="718"/>
      <c r="D104" s="719"/>
      <c r="E104" s="719"/>
      <c r="F104" s="719"/>
      <c r="G104" s="720"/>
      <c r="H104" s="721"/>
      <c r="I104" s="771"/>
      <c r="J104" s="771"/>
      <c r="K104" s="771"/>
      <c r="L104" s="771"/>
      <c r="M104" s="771"/>
      <c r="N104" s="771"/>
      <c r="O104" s="771"/>
      <c r="P104" s="771"/>
      <c r="Q104" s="771"/>
      <c r="R104" s="771"/>
      <c r="S104" s="771"/>
      <c r="T104" s="771"/>
      <c r="U104" s="771"/>
      <c r="V104" s="1761"/>
      <c r="W104" s="1761"/>
      <c r="X104" s="1761"/>
      <c r="Y104" s="771"/>
      <c r="Z104" s="771"/>
      <c r="AA104" s="771"/>
      <c r="AB104" s="771"/>
      <c r="AC104" s="771"/>
      <c r="AD104" s="771"/>
      <c r="AE104" s="771"/>
      <c r="AF104" s="1761"/>
      <c r="AG104" s="1761"/>
      <c r="AH104" s="1761"/>
      <c r="AI104" s="1761"/>
      <c r="AJ104" s="1761"/>
      <c r="AK104" s="771"/>
      <c r="AL104" s="771"/>
      <c r="AM104" s="771"/>
      <c r="AN104" s="771"/>
      <c r="AO104" s="771"/>
      <c r="AP104" s="771"/>
      <c r="AQ104" s="771"/>
      <c r="AR104" s="1761"/>
      <c r="AS104" s="1761"/>
      <c r="AT104" s="1761"/>
      <c r="AU104" s="1761"/>
      <c r="AV104" s="1761"/>
      <c r="AW104" s="771"/>
      <c r="AX104" s="771"/>
      <c r="AY104" s="771"/>
      <c r="AZ104" s="771"/>
      <c r="BA104" s="771"/>
      <c r="BB104" s="771"/>
      <c r="BC104" s="771"/>
      <c r="BD104" s="1761"/>
      <c r="BE104" s="1761"/>
      <c r="BF104" s="1761"/>
      <c r="BG104" s="771"/>
      <c r="BH104" s="771"/>
      <c r="BI104" s="771"/>
      <c r="BJ104" s="771"/>
      <c r="BK104" s="771"/>
    </row>
    <row r="105" spans="1:63" ht="15.75" thickBot="1" x14ac:dyDescent="0.25">
      <c r="A105" s="274"/>
      <c r="B105" s="1769" t="s">
        <v>1639</v>
      </c>
      <c r="C105" s="170">
        <v>500</v>
      </c>
      <c r="D105" s="97" t="s">
        <v>1689</v>
      </c>
      <c r="E105" s="97"/>
      <c r="F105" s="97"/>
      <c r="G105" s="722"/>
      <c r="H105" s="2125" t="str">
        <f>IF(СОДЕРЖАНИЕ!P2=1,"EUR","RUB")</f>
        <v>RUB</v>
      </c>
      <c r="I105" s="771"/>
      <c r="J105" s="771"/>
      <c r="K105" s="771"/>
      <c r="L105" s="771"/>
      <c r="M105" s="771"/>
      <c r="N105" s="771"/>
      <c r="O105" s="771"/>
      <c r="P105" s="771"/>
      <c r="Q105" s="771"/>
      <c r="R105" s="771"/>
      <c r="S105" s="771"/>
      <c r="T105" s="771"/>
      <c r="U105" s="771"/>
      <c r="V105" s="1761"/>
      <c r="W105" s="1761"/>
      <c r="X105" s="1761"/>
      <c r="Y105" s="771"/>
      <c r="Z105" s="771"/>
      <c r="AA105" s="771"/>
      <c r="AB105" s="771"/>
      <c r="AC105" s="771"/>
      <c r="AD105" s="771"/>
      <c r="AE105" s="771"/>
      <c r="AF105" s="1761"/>
      <c r="AG105" s="1761"/>
      <c r="AH105" s="1761"/>
      <c r="AI105" s="1761"/>
      <c r="AJ105" s="1761"/>
      <c r="AK105" s="771"/>
      <c r="AL105" s="771"/>
      <c r="AM105" s="771"/>
      <c r="AN105" s="771"/>
      <c r="AO105" s="771"/>
      <c r="AP105" s="771"/>
      <c r="AQ105" s="771"/>
      <c r="AR105" s="1761"/>
      <c r="AS105" s="1761"/>
      <c r="AT105" s="1761"/>
      <c r="AU105" s="1761"/>
      <c r="AV105" s="1761"/>
      <c r="AW105" s="771"/>
      <c r="AX105" s="771"/>
      <c r="AY105" s="771"/>
      <c r="AZ105" s="771"/>
      <c r="BA105" s="771"/>
      <c r="BB105" s="771"/>
      <c r="BC105" s="771"/>
      <c r="BD105" s="1761"/>
      <c r="BE105" s="1761"/>
      <c r="BF105" s="1761"/>
      <c r="BG105" s="771"/>
      <c r="BH105" s="771"/>
      <c r="BI105" s="771"/>
      <c r="BJ105" s="771"/>
      <c r="BK105" s="771"/>
    </row>
    <row r="106" spans="1:63" ht="15" x14ac:dyDescent="0.2">
      <c r="A106" s="274"/>
      <c r="B106" s="2231"/>
      <c r="C106" s="135" t="s">
        <v>1301</v>
      </c>
      <c r="D106" s="139" t="s">
        <v>784</v>
      </c>
      <c r="E106" s="140" t="s">
        <v>2117</v>
      </c>
      <c r="F106" s="139"/>
      <c r="G106" s="178" t="s">
        <v>2116</v>
      </c>
      <c r="H106" s="2126"/>
      <c r="I106" s="771"/>
      <c r="J106" s="771"/>
      <c r="K106" s="771"/>
      <c r="L106" s="771"/>
      <c r="M106" s="771"/>
      <c r="N106" s="771"/>
      <c r="O106" s="771"/>
      <c r="P106" s="771"/>
      <c r="Q106" s="771"/>
      <c r="R106" s="771"/>
      <c r="S106" s="771"/>
      <c r="T106" s="771"/>
      <c r="U106" s="771"/>
      <c r="V106" s="1761"/>
      <c r="W106" s="1761"/>
      <c r="X106" s="1761"/>
      <c r="Y106" s="771"/>
      <c r="Z106" s="771"/>
      <c r="AA106" s="771"/>
      <c r="AB106" s="771"/>
      <c r="AC106" s="771"/>
      <c r="AD106" s="771"/>
      <c r="AE106" s="771"/>
      <c r="AF106" s="1761"/>
      <c r="AG106" s="1761"/>
      <c r="AH106" s="1761"/>
      <c r="AI106" s="1761"/>
      <c r="AJ106" s="1761"/>
      <c r="AK106" s="771"/>
      <c r="AL106" s="771"/>
      <c r="AM106" s="771"/>
      <c r="AN106" s="771"/>
      <c r="AO106" s="771"/>
      <c r="AP106" s="771"/>
      <c r="AQ106" s="771"/>
      <c r="AR106" s="1761"/>
      <c r="AS106" s="1761"/>
      <c r="AT106" s="1761"/>
      <c r="AU106" s="1761"/>
      <c r="AV106" s="1761"/>
      <c r="AW106" s="771"/>
      <c r="AX106" s="771"/>
      <c r="AY106" s="771"/>
      <c r="AZ106" s="771"/>
      <c r="BA106" s="771"/>
      <c r="BB106" s="771"/>
      <c r="BC106" s="771"/>
      <c r="BD106" s="1761"/>
      <c r="BE106" s="1761"/>
      <c r="BF106" s="1761"/>
      <c r="BG106" s="771"/>
      <c r="BH106" s="771"/>
      <c r="BI106" s="771"/>
      <c r="BJ106" s="771"/>
      <c r="BK106" s="771"/>
    </row>
    <row r="107" spans="1:63" x14ac:dyDescent="0.2">
      <c r="A107" s="2136"/>
      <c r="B107" s="2232"/>
      <c r="C107" s="1154" t="str">
        <f>VLOOKUP($C$105,MAATOBM,2,FALSE)</f>
        <v>1847502/</v>
      </c>
      <c r="D107" s="43" t="str">
        <f>IF(C107=" ","",VLOOKUP(C107,всецены,2,FALSE))</f>
        <v xml:space="preserve">TBX-A, Царга 83/500 мм, бел, лев. NEW   </v>
      </c>
      <c r="E107" s="80">
        <v>1</v>
      </c>
      <c r="F107" s="63">
        <f t="shared" ref="F107:F120" si="21">VLOOKUP(C107,всецены,4,FALSE)</f>
        <v>395.22122640000003</v>
      </c>
      <c r="G107" s="160">
        <f>IF(C107=" "," ",F107*E107)</f>
        <v>395.22122640000003</v>
      </c>
      <c r="H107" s="2091">
        <f>SUM(G107:G120)</f>
        <v>3586.2666840000011</v>
      </c>
      <c r="I107" s="771"/>
      <c r="J107" s="771"/>
      <c r="K107" s="771"/>
      <c r="L107" s="771"/>
      <c r="M107" s="771"/>
      <c r="N107" s="771"/>
      <c r="O107" s="771"/>
      <c r="P107" s="771"/>
      <c r="Q107" s="771"/>
      <c r="R107" s="771"/>
      <c r="S107" s="771"/>
      <c r="T107" s="771"/>
      <c r="U107" s="771"/>
      <c r="V107" s="1761"/>
      <c r="W107" s="1761"/>
      <c r="X107" s="1761"/>
      <c r="Y107" s="771"/>
      <c r="Z107" s="771"/>
      <c r="AA107" s="771"/>
      <c r="AB107" s="771"/>
      <c r="AC107" s="771"/>
      <c r="AD107" s="771"/>
      <c r="AE107" s="771"/>
      <c r="AF107" s="1761"/>
      <c r="AG107" s="1761"/>
      <c r="AH107" s="1761"/>
      <c r="AI107" s="1761"/>
      <c r="AJ107" s="1761"/>
      <c r="AK107" s="771"/>
      <c r="AL107" s="771"/>
      <c r="AM107" s="771"/>
      <c r="AN107" s="771"/>
      <c r="AO107" s="771"/>
      <c r="AP107" s="771"/>
      <c r="AQ107" s="771"/>
      <c r="AR107" s="1761"/>
      <c r="AS107" s="1761"/>
      <c r="AT107" s="1761"/>
      <c r="AU107" s="1761"/>
      <c r="AV107" s="1761"/>
      <c r="AW107" s="771"/>
      <c r="AX107" s="771"/>
      <c r="AY107" s="771"/>
      <c r="AZ107" s="771"/>
      <c r="BA107" s="771"/>
      <c r="BB107" s="771"/>
      <c r="BC107" s="771"/>
      <c r="BD107" s="1761"/>
      <c r="BE107" s="1761"/>
      <c r="BF107" s="1761"/>
      <c r="BG107" s="771"/>
      <c r="BH107" s="771"/>
      <c r="BI107" s="771"/>
      <c r="BJ107" s="771"/>
      <c r="BK107" s="771"/>
    </row>
    <row r="108" spans="1:63" x14ac:dyDescent="0.2">
      <c r="A108" s="2136"/>
      <c r="B108" s="1831"/>
      <c r="C108" s="1154" t="str">
        <f>VLOOKUP($C$105,MAATOBM,3,FALSE)</f>
        <v>1838267/</v>
      </c>
      <c r="D108" s="43" t="str">
        <f>IF(C108=" ","",VLOOKUP(C108,всецены,2,FALSE))</f>
        <v xml:space="preserve">TBX-A, Царга 83/500 мм, бел, прав. NEW  </v>
      </c>
      <c r="E108" s="80">
        <v>1</v>
      </c>
      <c r="F108" s="63">
        <f t="shared" si="21"/>
        <v>395.22122640000003</v>
      </c>
      <c r="G108" s="160">
        <f>IF(C108=" "," ",F108*E108)</f>
        <v>395.22122640000003</v>
      </c>
      <c r="H108" s="2092"/>
      <c r="I108" s="771"/>
      <c r="J108" s="771"/>
      <c r="K108" s="771"/>
      <c r="L108" s="771"/>
      <c r="M108" s="771"/>
      <c r="N108" s="771"/>
      <c r="O108" s="771"/>
      <c r="P108" s="771"/>
      <c r="Q108" s="771"/>
      <c r="R108" s="771"/>
      <c r="S108" s="771"/>
      <c r="T108" s="771"/>
      <c r="U108" s="771"/>
      <c r="V108" s="1761"/>
      <c r="W108" s="1761"/>
      <c r="X108" s="1761"/>
      <c r="Y108" s="771"/>
      <c r="Z108" s="771"/>
      <c r="AA108" s="771"/>
      <c r="AB108" s="771"/>
      <c r="AC108" s="771"/>
      <c r="AD108" s="771"/>
      <c r="AE108" s="771"/>
      <c r="AF108" s="1761"/>
      <c r="AG108" s="1761"/>
      <c r="AH108" s="1761"/>
      <c r="AI108" s="1761"/>
      <c r="AJ108" s="1761"/>
      <c r="AK108" s="771"/>
      <c r="AL108" s="771"/>
      <c r="AM108" s="771"/>
      <c r="AN108" s="771"/>
      <c r="AO108" s="771"/>
      <c r="AP108" s="771"/>
      <c r="AQ108" s="771"/>
      <c r="AR108" s="1761"/>
      <c r="AS108" s="1761"/>
      <c r="AT108" s="1761"/>
      <c r="AU108" s="1761"/>
      <c r="AV108" s="1761"/>
      <c r="AW108" s="771"/>
      <c r="AX108" s="771"/>
      <c r="AY108" s="771"/>
      <c r="AZ108" s="771"/>
      <c r="BA108" s="771"/>
      <c r="BB108" s="771"/>
      <c r="BC108" s="771"/>
      <c r="BD108" s="1761"/>
      <c r="BE108" s="1761"/>
      <c r="BF108" s="1761"/>
      <c r="BG108" s="771"/>
      <c r="BH108" s="771"/>
      <c r="BI108" s="771"/>
      <c r="BJ108" s="771"/>
      <c r="BK108" s="771"/>
    </row>
    <row r="109" spans="1:63" x14ac:dyDescent="0.2">
      <c r="A109" s="2136"/>
      <c r="B109" s="1831"/>
      <c r="C109" s="1154" t="str">
        <f>VLOOKUP($D$3,AAвнутр.,14,FALSE)</f>
        <v>4722052/</v>
      </c>
      <c r="D109" s="43" t="str">
        <f t="shared" ref="D109:D120" si="22">VLOOKUP(C109,всецены,2,FALSE)</f>
        <v xml:space="preserve">TBX-A, Держат задн ст, 224 мм, бел, лев </v>
      </c>
      <c r="E109" s="80">
        <v>1</v>
      </c>
      <c r="F109" s="63">
        <f t="shared" si="21"/>
        <v>67.496629200000001</v>
      </c>
      <c r="G109" s="723">
        <f t="shared" ref="G109:G120" si="23">F109*E109</f>
        <v>67.496629200000001</v>
      </c>
      <c r="H109" s="2092"/>
      <c r="I109" s="771"/>
      <c r="J109" s="771"/>
      <c r="K109" s="771"/>
      <c r="L109" s="771"/>
      <c r="M109" s="771"/>
      <c r="N109" s="771"/>
      <c r="O109" s="771"/>
      <c r="P109" s="771"/>
      <c r="Q109" s="771"/>
      <c r="R109" s="771"/>
      <c r="S109" s="771"/>
      <c r="T109" s="771"/>
      <c r="U109" s="771"/>
      <c r="V109" s="1761"/>
      <c r="W109" s="1761"/>
      <c r="X109" s="1761"/>
      <c r="Y109" s="771"/>
      <c r="Z109" s="771"/>
      <c r="AA109" s="771"/>
      <c r="AB109" s="771"/>
      <c r="AC109" s="771"/>
      <c r="AD109" s="771"/>
      <c r="AE109" s="771"/>
      <c r="AF109" s="1761"/>
      <c r="AG109" s="1761"/>
      <c r="AH109" s="1761"/>
      <c r="AI109" s="1761"/>
      <c r="AJ109" s="1761"/>
      <c r="AK109" s="771"/>
      <c r="AL109" s="771"/>
      <c r="AM109" s="771"/>
      <c r="AN109" s="771"/>
      <c r="AO109" s="771"/>
      <c r="AP109" s="771"/>
      <c r="AQ109" s="771"/>
      <c r="AR109" s="1761"/>
      <c r="AS109" s="1761"/>
      <c r="AT109" s="1761"/>
      <c r="AU109" s="1761"/>
      <c r="AV109" s="1761"/>
      <c r="AW109" s="771"/>
      <c r="AX109" s="771"/>
      <c r="AY109" s="771"/>
      <c r="AZ109" s="771"/>
      <c r="BA109" s="771"/>
      <c r="BB109" s="771"/>
      <c r="BC109" s="771"/>
      <c r="BD109" s="1761"/>
      <c r="BE109" s="1761"/>
      <c r="BF109" s="1761"/>
      <c r="BG109" s="771"/>
      <c r="BH109" s="771"/>
      <c r="BI109" s="771"/>
      <c r="BJ109" s="771"/>
      <c r="BK109" s="771"/>
    </row>
    <row r="110" spans="1:63" x14ac:dyDescent="0.2">
      <c r="A110" s="2136"/>
      <c r="B110" s="1831"/>
      <c r="C110" s="1154" t="str">
        <f>VLOOKUP($D$3,AAвнутр.,15,FALSE)</f>
        <v>4721832/</v>
      </c>
      <c r="D110" s="43" t="str">
        <f t="shared" si="22"/>
        <v>TBX-A, Держат задн ст, 224 мм, бел, прав</v>
      </c>
      <c r="E110" s="80">
        <v>1</v>
      </c>
      <c r="F110" s="63">
        <f t="shared" si="21"/>
        <v>67.496629200000001</v>
      </c>
      <c r="G110" s="723">
        <f t="shared" si="23"/>
        <v>67.496629200000001</v>
      </c>
      <c r="H110" s="2092"/>
      <c r="I110" s="771"/>
      <c r="J110" s="771"/>
      <c r="K110" s="771"/>
      <c r="L110" s="771"/>
      <c r="M110" s="771"/>
      <c r="N110" s="771"/>
      <c r="O110" s="771"/>
      <c r="P110" s="771"/>
      <c r="Q110" s="771"/>
      <c r="R110" s="771"/>
      <c r="S110" s="771"/>
      <c r="T110" s="771"/>
      <c r="U110" s="771"/>
      <c r="V110" s="1761"/>
      <c r="W110" s="1761"/>
      <c r="X110" s="1761"/>
      <c r="Y110" s="771"/>
      <c r="Z110" s="771"/>
      <c r="AA110" s="771"/>
      <c r="AB110" s="771"/>
      <c r="AC110" s="771"/>
      <c r="AD110" s="771"/>
      <c r="AE110" s="771"/>
      <c r="AF110" s="1761"/>
      <c r="AG110" s="1761"/>
      <c r="AH110" s="1761"/>
      <c r="AI110" s="1761"/>
      <c r="AJ110" s="1761"/>
      <c r="AK110" s="771"/>
      <c r="AL110" s="771"/>
      <c r="AM110" s="771"/>
      <c r="AN110" s="771"/>
      <c r="AO110" s="771"/>
      <c r="AP110" s="771"/>
      <c r="AQ110" s="771"/>
      <c r="AR110" s="1761"/>
      <c r="AS110" s="1761"/>
      <c r="AT110" s="1761"/>
      <c r="AU110" s="1761"/>
      <c r="AV110" s="1761"/>
      <c r="AW110" s="771"/>
      <c r="AX110" s="771"/>
      <c r="AY110" s="771"/>
      <c r="AZ110" s="771"/>
      <c r="BA110" s="771"/>
      <c r="BB110" s="771"/>
      <c r="BC110" s="771"/>
      <c r="BD110" s="1761"/>
      <c r="BE110" s="1761"/>
      <c r="BF110" s="1761"/>
      <c r="BG110" s="771"/>
      <c r="BH110" s="771"/>
      <c r="BI110" s="771"/>
      <c r="BJ110" s="771"/>
      <c r="BK110" s="771"/>
    </row>
    <row r="111" spans="1:63" x14ac:dyDescent="0.2">
      <c r="A111" s="2136"/>
      <c r="B111" s="1831"/>
      <c r="C111" s="138" t="str">
        <f>VLOOKUP(C105,$K$65:$M$71,2,FALSE)</f>
        <v>7940374/</v>
      </c>
      <c r="D111" s="43" t="str">
        <f t="shared" si="22"/>
        <v>TBX, Tip-on BM, Напр, 30 кг, 500 мм, лев</v>
      </c>
      <c r="E111" s="80">
        <v>1</v>
      </c>
      <c r="F111" s="63">
        <f t="shared" si="21"/>
        <v>600.15075120000006</v>
      </c>
      <c r="G111" s="723">
        <f t="shared" si="23"/>
        <v>600.15075120000006</v>
      </c>
      <c r="H111" s="2092"/>
      <c r="I111" s="771"/>
      <c r="J111" s="771"/>
      <c r="K111" s="771"/>
      <c r="L111" s="771"/>
      <c r="M111" s="771"/>
      <c r="N111" s="771"/>
      <c r="O111" s="771"/>
      <c r="P111" s="771"/>
      <c r="Q111" s="771"/>
      <c r="R111" s="771"/>
      <c r="S111" s="771"/>
      <c r="T111" s="771"/>
      <c r="U111" s="771"/>
      <c r="V111" s="1761"/>
      <c r="W111" s="1761"/>
      <c r="X111" s="1761"/>
      <c r="Y111" s="771"/>
      <c r="Z111" s="771"/>
      <c r="AA111" s="771"/>
      <c r="AB111" s="771"/>
      <c r="AC111" s="771"/>
      <c r="AD111" s="771"/>
      <c r="AE111" s="771"/>
      <c r="AF111" s="1761"/>
      <c r="AG111" s="1761"/>
      <c r="AH111" s="1761"/>
      <c r="AI111" s="1761"/>
      <c r="AJ111" s="1761"/>
      <c r="AK111" s="771"/>
      <c r="AL111" s="771"/>
      <c r="AM111" s="771"/>
      <c r="AN111" s="771"/>
      <c r="AO111" s="771"/>
      <c r="AP111" s="771"/>
      <c r="AQ111" s="771"/>
      <c r="AR111" s="1761"/>
      <c r="AS111" s="1761"/>
      <c r="AT111" s="1761"/>
      <c r="AU111" s="1761"/>
      <c r="AV111" s="1761"/>
      <c r="AW111" s="771"/>
      <c r="AX111" s="771"/>
      <c r="AY111" s="771"/>
      <c r="AZ111" s="771"/>
      <c r="BA111" s="771"/>
      <c r="BB111" s="771"/>
      <c r="BC111" s="771"/>
      <c r="BD111" s="1761"/>
      <c r="BE111" s="1761"/>
      <c r="BF111" s="1761"/>
      <c r="BG111" s="771"/>
      <c r="BH111" s="771"/>
      <c r="BI111" s="771"/>
      <c r="BJ111" s="771"/>
      <c r="BK111" s="771"/>
    </row>
    <row r="112" spans="1:63" x14ac:dyDescent="0.2">
      <c r="A112" s="2136"/>
      <c r="B112" s="1831"/>
      <c r="C112" s="138" t="str">
        <f>VLOOKUP(C105,$K$65:$M$71,3,FALSE)</f>
        <v>7936668/</v>
      </c>
      <c r="D112" s="43" t="str">
        <f t="shared" si="22"/>
        <v xml:space="preserve">TBX, Tip-on BM, Напр, 30 кг, 500 мм, пр </v>
      </c>
      <c r="E112" s="80">
        <v>1</v>
      </c>
      <c r="F112" s="63">
        <f t="shared" si="21"/>
        <v>600.15075120000006</v>
      </c>
      <c r="G112" s="723">
        <f t="shared" si="23"/>
        <v>600.15075120000006</v>
      </c>
      <c r="H112" s="2092"/>
      <c r="I112" s="771"/>
      <c r="J112" s="771"/>
      <c r="K112" s="771"/>
      <c r="L112" s="771"/>
      <c r="M112" s="771"/>
      <c r="N112" s="771"/>
      <c r="O112" s="771"/>
      <c r="P112" s="771"/>
      <c r="Q112" s="771"/>
      <c r="R112" s="771"/>
      <c r="S112" s="771"/>
      <c r="T112" s="771"/>
      <c r="U112" s="771"/>
      <c r="V112" s="1761"/>
      <c r="W112" s="1761"/>
      <c r="X112" s="1761"/>
      <c r="Y112" s="771"/>
      <c r="Z112" s="771"/>
      <c r="AA112" s="771"/>
      <c r="AB112" s="771"/>
      <c r="AC112" s="771"/>
      <c r="AD112" s="771"/>
      <c r="AE112" s="771"/>
      <c r="AF112" s="1761"/>
      <c r="AG112" s="1761"/>
      <c r="AH112" s="1761"/>
      <c r="AI112" s="1761"/>
      <c r="AJ112" s="1761"/>
      <c r="AK112" s="771"/>
      <c r="AL112" s="771"/>
      <c r="AM112" s="771"/>
      <c r="AN112" s="771"/>
      <c r="AO112" s="771"/>
      <c r="AP112" s="771"/>
      <c r="AQ112" s="771"/>
      <c r="AR112" s="1761"/>
      <c r="AS112" s="1761"/>
      <c r="AT112" s="1761"/>
      <c r="AU112" s="1761"/>
      <c r="AV112" s="1761"/>
      <c r="AW112" s="771"/>
      <c r="AX112" s="771"/>
      <c r="AY112" s="771"/>
      <c r="AZ112" s="771"/>
      <c r="BA112" s="771"/>
      <c r="BB112" s="771"/>
      <c r="BC112" s="771"/>
      <c r="BD112" s="1761"/>
      <c r="BE112" s="1761"/>
      <c r="BF112" s="1761"/>
      <c r="BG112" s="771"/>
      <c r="BH112" s="771"/>
      <c r="BI112" s="771"/>
      <c r="BJ112" s="771"/>
      <c r="BK112" s="771"/>
    </row>
    <row r="113" spans="1:63" s="1761" customFormat="1" x14ac:dyDescent="0.2">
      <c r="A113" s="2136"/>
      <c r="B113" s="1831"/>
      <c r="C113" s="1790" t="s">
        <v>3930</v>
      </c>
      <c r="D113" s="43" t="str">
        <f t="shared" si="22"/>
        <v xml:space="preserve">TBX, Tip-on BM, триггер, лев. T60B3009  </v>
      </c>
      <c r="E113" s="3">
        <v>1</v>
      </c>
      <c r="F113" s="12">
        <f t="shared" si="21"/>
        <v>40.660620000000002</v>
      </c>
      <c r="G113" s="442">
        <f t="shared" si="23"/>
        <v>40.660620000000002</v>
      </c>
      <c r="H113" s="2092"/>
      <c r="I113" s="771"/>
      <c r="J113" s="771"/>
      <c r="K113" s="771"/>
      <c r="L113" s="771"/>
      <c r="M113" s="771"/>
      <c r="N113" s="771"/>
      <c r="O113" s="771"/>
      <c r="P113" s="771"/>
      <c r="Q113" s="771"/>
      <c r="R113" s="771"/>
      <c r="S113" s="771"/>
      <c r="T113" s="771"/>
      <c r="U113" s="771"/>
      <c r="Y113" s="771"/>
      <c r="Z113" s="771"/>
      <c r="AA113" s="771"/>
      <c r="AB113" s="771"/>
      <c r="AC113" s="771"/>
      <c r="AD113" s="771"/>
      <c r="AE113" s="771"/>
      <c r="AK113" s="771"/>
      <c r="AL113" s="771"/>
      <c r="AM113" s="771"/>
      <c r="AN113" s="771"/>
      <c r="AO113" s="771"/>
      <c r="AP113" s="771"/>
      <c r="AQ113" s="771"/>
      <c r="AW113" s="771"/>
      <c r="AX113" s="771"/>
      <c r="AY113" s="771"/>
      <c r="AZ113" s="771"/>
      <c r="BA113" s="771"/>
      <c r="BB113" s="771"/>
      <c r="BC113" s="771"/>
      <c r="BG113" s="771"/>
      <c r="BH113" s="771"/>
      <c r="BI113" s="771"/>
      <c r="BJ113" s="771"/>
      <c r="BK113" s="771"/>
    </row>
    <row r="114" spans="1:63" s="1761" customFormat="1" x14ac:dyDescent="0.2">
      <c r="A114" s="2136"/>
      <c r="B114" s="1831"/>
      <c r="C114" s="1790" t="s">
        <v>3931</v>
      </c>
      <c r="D114" s="43" t="str">
        <f t="shared" si="22"/>
        <v xml:space="preserve">TBX, Tip-on BM, триггер, прав. T60B3009 </v>
      </c>
      <c r="E114" s="3">
        <v>1</v>
      </c>
      <c r="F114" s="12">
        <f t="shared" si="21"/>
        <v>40.660620000000002</v>
      </c>
      <c r="G114" s="442">
        <f t="shared" si="23"/>
        <v>40.660620000000002</v>
      </c>
      <c r="H114" s="2092"/>
      <c r="I114" s="771"/>
      <c r="J114" s="771"/>
      <c r="K114" s="771"/>
      <c r="L114" s="771"/>
      <c r="M114" s="771"/>
      <c r="N114" s="771"/>
      <c r="O114" s="771"/>
      <c r="P114" s="771"/>
      <c r="Q114" s="771"/>
      <c r="R114" s="771"/>
      <c r="S114" s="771"/>
      <c r="T114" s="771"/>
      <c r="U114" s="771"/>
      <c r="Y114" s="771"/>
      <c r="Z114" s="771"/>
      <c r="AA114" s="771"/>
      <c r="AB114" s="771"/>
      <c r="AC114" s="771"/>
      <c r="AD114" s="771"/>
      <c r="AE114" s="771"/>
      <c r="AK114" s="771"/>
      <c r="AL114" s="771"/>
      <c r="AM114" s="771"/>
      <c r="AN114" s="771"/>
      <c r="AO114" s="771"/>
      <c r="AP114" s="771"/>
      <c r="AQ114" s="771"/>
      <c r="AW114" s="771"/>
      <c r="AX114" s="771"/>
      <c r="AY114" s="771"/>
      <c r="AZ114" s="771"/>
      <c r="BA114" s="771"/>
      <c r="BB114" s="771"/>
      <c r="BC114" s="771"/>
      <c r="BG114" s="771"/>
      <c r="BH114" s="771"/>
      <c r="BI114" s="771"/>
      <c r="BJ114" s="771"/>
      <c r="BK114" s="771"/>
    </row>
    <row r="115" spans="1:63" s="1761" customFormat="1" x14ac:dyDescent="0.2">
      <c r="A115" s="2136"/>
      <c r="B115" s="1831"/>
      <c r="C115" s="1785" t="str">
        <f>VLOOKUP(C105,$K$65:$O$71,4,0)</f>
        <v>1829780/</v>
      </c>
      <c r="D115" s="43" t="str">
        <f t="shared" si="22"/>
        <v xml:space="preserve">TBX, Tip-on BM, L3,350-600, пр T60B3533 </v>
      </c>
      <c r="E115" s="3">
        <v>1</v>
      </c>
      <c r="F115" s="12">
        <f t="shared" si="21"/>
        <v>473.28961680000003</v>
      </c>
      <c r="G115" s="442">
        <f t="shared" si="23"/>
        <v>473.28961680000003</v>
      </c>
      <c r="H115" s="2092"/>
      <c r="I115" s="771"/>
      <c r="J115" s="771"/>
      <c r="K115" s="771"/>
      <c r="L115" s="771"/>
      <c r="M115" s="771"/>
      <c r="N115" s="771"/>
      <c r="O115" s="771"/>
      <c r="P115" s="771"/>
      <c r="Q115" s="771"/>
      <c r="R115" s="771"/>
      <c r="S115" s="771"/>
      <c r="T115" s="771"/>
      <c r="U115" s="771"/>
      <c r="Y115" s="771"/>
      <c r="Z115" s="771"/>
      <c r="AA115" s="771"/>
      <c r="AB115" s="771"/>
      <c r="AC115" s="771"/>
      <c r="AD115" s="771"/>
      <c r="AE115" s="771"/>
      <c r="AK115" s="771"/>
      <c r="AL115" s="771"/>
      <c r="AM115" s="771"/>
      <c r="AN115" s="771"/>
      <c r="AO115" s="771"/>
      <c r="AP115" s="771"/>
      <c r="AQ115" s="771"/>
      <c r="AW115" s="771"/>
      <c r="AX115" s="771"/>
      <c r="AY115" s="771"/>
      <c r="AZ115" s="771"/>
      <c r="BA115" s="771"/>
      <c r="BB115" s="771"/>
      <c r="BC115" s="771"/>
      <c r="BG115" s="771"/>
      <c r="BH115" s="771"/>
      <c r="BI115" s="771"/>
      <c r="BJ115" s="771"/>
      <c r="BK115" s="771"/>
    </row>
    <row r="116" spans="1:63" s="1761" customFormat="1" x14ac:dyDescent="0.2">
      <c r="A116" s="2136"/>
      <c r="B116" s="1831"/>
      <c r="C116" s="1785" t="str">
        <f>VLOOKUP(C105,$K$65:$O$71,5,0)</f>
        <v>8903805/</v>
      </c>
      <c r="D116" s="43" t="str">
        <f t="shared" si="22"/>
        <v>TBX, Tip-on BM, L3,350-600, лев T60B3533</v>
      </c>
      <c r="E116" s="3">
        <v>1</v>
      </c>
      <c r="F116" s="12">
        <f t="shared" si="21"/>
        <v>473.28961680000003</v>
      </c>
      <c r="G116" s="442">
        <f t="shared" si="23"/>
        <v>473.28961680000003</v>
      </c>
      <c r="H116" s="2092"/>
      <c r="I116" s="771"/>
      <c r="J116" s="771"/>
      <c r="K116" s="771"/>
      <c r="L116" s="771"/>
      <c r="M116" s="771"/>
      <c r="N116" s="771"/>
      <c r="O116" s="771"/>
      <c r="P116" s="771"/>
      <c r="Q116" s="771"/>
      <c r="R116" s="771"/>
      <c r="S116" s="771"/>
      <c r="T116" s="771"/>
      <c r="U116" s="771"/>
      <c r="Y116" s="771"/>
      <c r="Z116" s="771"/>
      <c r="AA116" s="771"/>
      <c r="AB116" s="771"/>
      <c r="AC116" s="771"/>
      <c r="AD116" s="771"/>
      <c r="AE116" s="771"/>
      <c r="AK116" s="771"/>
      <c r="AL116" s="771"/>
      <c r="AM116" s="771"/>
      <c r="AN116" s="771"/>
      <c r="AO116" s="771"/>
      <c r="AP116" s="771"/>
      <c r="AQ116" s="771"/>
      <c r="AW116" s="771"/>
      <c r="AX116" s="771"/>
      <c r="AY116" s="771"/>
      <c r="AZ116" s="771"/>
      <c r="BA116" s="771"/>
      <c r="BB116" s="771"/>
      <c r="BC116" s="771"/>
      <c r="BG116" s="771"/>
      <c r="BH116" s="771"/>
      <c r="BI116" s="771"/>
      <c r="BJ116" s="771"/>
      <c r="BK116" s="771"/>
    </row>
    <row r="117" spans="1:63" x14ac:dyDescent="0.2">
      <c r="A117" s="2136"/>
      <c r="B117" s="1831"/>
      <c r="C117" s="1154" t="str">
        <f>VLOOKUP($C$105,MAATOBM,10,FALSE)</f>
        <v>8046152/</v>
      </c>
      <c r="D117" s="43" t="str">
        <f>IF(C117=" ","",VLOOKUP(C117,всецены,2,FALSE))</f>
        <v>TBX-A, Загл с лого, бел, сим,ZAA.532C.BL</v>
      </c>
      <c r="E117" s="80">
        <v>2</v>
      </c>
      <c r="F117" s="63">
        <f t="shared" si="21"/>
        <v>8.9453364000000004</v>
      </c>
      <c r="G117" s="160">
        <f>IF(C117=" "," ",F117*E117)</f>
        <v>17.890672800000001</v>
      </c>
      <c r="H117" s="2092"/>
      <c r="I117" s="771"/>
      <c r="J117" s="771"/>
      <c r="K117" s="771"/>
      <c r="L117" s="771"/>
      <c r="M117" s="771"/>
      <c r="N117" s="771"/>
      <c r="O117" s="771"/>
      <c r="P117" s="771"/>
      <c r="Q117" s="771"/>
      <c r="R117" s="771"/>
      <c r="S117" s="771"/>
      <c r="T117" s="771"/>
      <c r="U117" s="771"/>
      <c r="V117" s="1761"/>
      <c r="W117" s="1761"/>
      <c r="X117" s="1761"/>
      <c r="Y117" s="771"/>
      <c r="Z117" s="771"/>
      <c r="AA117" s="771"/>
      <c r="AB117" s="771"/>
      <c r="AC117" s="771"/>
      <c r="AD117" s="771"/>
      <c r="AE117" s="771"/>
      <c r="AF117" s="1761"/>
      <c r="AG117" s="1761"/>
      <c r="AH117" s="1761"/>
      <c r="AI117" s="1761"/>
      <c r="AJ117" s="1761"/>
      <c r="AK117" s="771"/>
      <c r="AL117" s="771"/>
      <c r="AM117" s="771"/>
      <c r="AN117" s="771"/>
      <c r="AO117" s="771"/>
      <c r="AP117" s="771"/>
      <c r="AQ117" s="771"/>
      <c r="AR117" s="1761"/>
      <c r="AS117" s="1761"/>
      <c r="AT117" s="1761"/>
      <c r="AU117" s="1761"/>
      <c r="AV117" s="1761"/>
      <c r="AW117" s="771"/>
      <c r="AX117" s="771"/>
      <c r="AY117" s="771"/>
      <c r="AZ117" s="771"/>
      <c r="BA117" s="771"/>
      <c r="BB117" s="771"/>
      <c r="BC117" s="771"/>
      <c r="BD117" s="1761"/>
      <c r="BE117" s="1761"/>
      <c r="BF117" s="1761"/>
      <c r="BG117" s="771"/>
      <c r="BH117" s="771"/>
      <c r="BI117" s="771"/>
      <c r="BJ117" s="771"/>
      <c r="BK117" s="771"/>
    </row>
    <row r="118" spans="1:63" x14ac:dyDescent="0.2">
      <c r="A118" s="2136"/>
      <c r="B118" s="1831"/>
      <c r="C118" s="1157" t="str">
        <f>VLOOKUP($C$105,MAATOBM,6,FALSE)</f>
        <v>1785452/</v>
      </c>
      <c r="D118" s="43" t="str">
        <f>IF(C118=" ","",VLOOKUP(C118,всецены,2,FALSE))</f>
        <v xml:space="preserve">TBX-AA, Рел прод 500 мм, бел, лев       </v>
      </c>
      <c r="E118" s="80">
        <v>1</v>
      </c>
      <c r="F118" s="63">
        <f t="shared" si="21"/>
        <v>163.45569239999998</v>
      </c>
      <c r="G118" s="160">
        <f>IF(C118=" "," ",F118*E118)</f>
        <v>163.45569239999998</v>
      </c>
      <c r="H118" s="2092"/>
      <c r="I118" s="771"/>
      <c r="J118" s="771"/>
      <c r="K118" s="771"/>
      <c r="L118" s="771"/>
      <c r="M118" s="771"/>
      <c r="N118" s="771"/>
      <c r="O118" s="771"/>
      <c r="P118" s="771"/>
      <c r="Q118" s="771"/>
      <c r="R118" s="771"/>
      <c r="S118" s="771"/>
      <c r="T118" s="771"/>
      <c r="U118" s="771"/>
      <c r="V118" s="1761"/>
      <c r="W118" s="1761"/>
      <c r="X118" s="1761"/>
      <c r="Y118" s="771"/>
      <c r="Z118" s="771"/>
      <c r="AA118" s="771"/>
      <c r="AB118" s="771"/>
      <c r="AC118" s="771"/>
      <c r="AD118" s="771"/>
      <c r="AE118" s="771"/>
      <c r="AF118" s="1761"/>
      <c r="AG118" s="1761"/>
      <c r="AH118" s="1761"/>
      <c r="AI118" s="1761"/>
      <c r="AJ118" s="1761"/>
      <c r="AK118" s="771"/>
      <c r="AL118" s="771"/>
      <c r="AM118" s="771"/>
      <c r="AN118" s="771"/>
      <c r="AO118" s="771"/>
      <c r="AP118" s="771"/>
      <c r="AQ118" s="771"/>
      <c r="AR118" s="1761"/>
      <c r="AS118" s="1761"/>
      <c r="AT118" s="1761"/>
      <c r="AU118" s="1761"/>
      <c r="AV118" s="1761"/>
      <c r="AW118" s="771"/>
      <c r="AX118" s="771"/>
      <c r="AY118" s="771"/>
      <c r="AZ118" s="771"/>
      <c r="BA118" s="771"/>
      <c r="BB118" s="771"/>
      <c r="BC118" s="771"/>
      <c r="BD118" s="1761"/>
      <c r="BE118" s="1761"/>
      <c r="BF118" s="1761"/>
      <c r="BG118" s="771"/>
      <c r="BH118" s="771"/>
      <c r="BI118" s="771"/>
      <c r="BJ118" s="771"/>
      <c r="BK118" s="771"/>
    </row>
    <row r="119" spans="1:63" x14ac:dyDescent="0.2">
      <c r="A119" s="2136"/>
      <c r="B119" s="1831"/>
      <c r="C119" s="1157" t="str">
        <f>VLOOKUP($C$105,MAATOBM,7,FALSE)</f>
        <v>7403462/</v>
      </c>
      <c r="D119" s="43" t="str">
        <f>IF(C119=" ","",VLOOKUP(C119,всецены,2,FALSE))</f>
        <v xml:space="preserve">TBX-AA, Рел прод 500 мм, бел, прав      </v>
      </c>
      <c r="E119" s="80">
        <v>1</v>
      </c>
      <c r="F119" s="63">
        <f t="shared" si="21"/>
        <v>163.45569239999998</v>
      </c>
      <c r="G119" s="160">
        <f>IF(C119=" "," ",F119*E119)</f>
        <v>163.45569239999998</v>
      </c>
      <c r="H119" s="2092"/>
      <c r="I119" s="771"/>
      <c r="J119" s="771"/>
      <c r="K119" s="771"/>
      <c r="L119" s="771"/>
      <c r="M119" s="771"/>
      <c r="N119" s="771"/>
      <c r="O119" s="771"/>
      <c r="P119" s="771"/>
      <c r="Q119" s="771"/>
      <c r="R119" s="771"/>
      <c r="S119" s="771"/>
      <c r="T119" s="771"/>
      <c r="U119" s="771"/>
      <c r="V119" s="1761"/>
      <c r="W119" s="1761"/>
      <c r="X119" s="1761"/>
      <c r="Y119" s="771"/>
      <c r="Z119" s="771"/>
      <c r="AA119" s="771"/>
      <c r="AB119" s="771"/>
      <c r="AC119" s="771"/>
      <c r="AD119" s="771"/>
      <c r="AE119" s="771"/>
      <c r="AF119" s="1761"/>
      <c r="AG119" s="1761"/>
      <c r="AH119" s="1761"/>
      <c r="AI119" s="1761"/>
      <c r="AJ119" s="1761"/>
      <c r="AK119" s="771"/>
      <c r="AL119" s="771"/>
      <c r="AM119" s="771"/>
      <c r="AN119" s="771"/>
      <c r="AO119" s="771"/>
      <c r="AP119" s="771"/>
      <c r="AQ119" s="771"/>
      <c r="AR119" s="1761"/>
      <c r="AS119" s="1761"/>
      <c r="AT119" s="1761"/>
      <c r="AU119" s="1761"/>
      <c r="AV119" s="1761"/>
      <c r="AW119" s="771"/>
      <c r="AX119" s="771"/>
      <c r="AY119" s="771"/>
      <c r="AZ119" s="771"/>
      <c r="BA119" s="771"/>
      <c r="BB119" s="771"/>
      <c r="BC119" s="771"/>
      <c r="BD119" s="1761"/>
      <c r="BE119" s="1761"/>
      <c r="BF119" s="1761"/>
      <c r="BG119" s="771"/>
      <c r="BH119" s="771"/>
      <c r="BI119" s="771"/>
      <c r="BJ119" s="771"/>
      <c r="BK119" s="771"/>
    </row>
    <row r="120" spans="1:63" ht="13.5" thickBot="1" x14ac:dyDescent="0.25">
      <c r="A120" s="2136"/>
      <c r="B120" s="1832"/>
      <c r="C120" s="1139" t="s">
        <v>4511</v>
      </c>
      <c r="D120" s="404" t="str">
        <f t="shared" si="22"/>
        <v xml:space="preserve">TBX, Крепл фасада INSERTA, NEW ZSF.39A2 </v>
      </c>
      <c r="E120" s="381">
        <v>2</v>
      </c>
      <c r="F120" s="435">
        <f t="shared" si="21"/>
        <v>43.913469600000006</v>
      </c>
      <c r="G120" s="726">
        <f t="shared" si="23"/>
        <v>87.826939200000012</v>
      </c>
      <c r="H120" s="2093"/>
      <c r="I120" s="771"/>
      <c r="J120" s="771"/>
      <c r="K120" s="771"/>
      <c r="L120" s="771"/>
      <c r="M120" s="771"/>
      <c r="N120" s="771"/>
      <c r="O120" s="771"/>
      <c r="P120" s="771"/>
      <c r="Q120" s="771"/>
      <c r="R120" s="771"/>
      <c r="S120" s="771"/>
      <c r="T120" s="771"/>
      <c r="U120" s="771"/>
      <c r="V120" s="1761"/>
      <c r="W120" s="1761"/>
      <c r="X120" s="1761"/>
      <c r="Y120" s="771"/>
      <c r="Z120" s="771"/>
      <c r="AA120" s="771"/>
      <c r="AB120" s="771"/>
      <c r="AC120" s="771"/>
      <c r="AD120" s="771"/>
      <c r="AE120" s="771"/>
      <c r="AF120" s="1761"/>
      <c r="AG120" s="1761"/>
      <c r="AH120" s="1761"/>
      <c r="AI120" s="1761"/>
      <c r="AJ120" s="1761"/>
      <c r="AK120" s="771"/>
      <c r="AL120" s="771"/>
      <c r="AM120" s="771"/>
      <c r="AN120" s="771"/>
      <c r="AO120" s="771"/>
      <c r="AP120" s="771"/>
      <c r="AQ120" s="771"/>
      <c r="AR120" s="1761"/>
      <c r="AS120" s="1761"/>
      <c r="AT120" s="1761"/>
      <c r="AU120" s="1761"/>
      <c r="AV120" s="1761"/>
      <c r="AW120" s="771"/>
      <c r="AX120" s="771"/>
      <c r="AY120" s="771"/>
      <c r="AZ120" s="771"/>
      <c r="BA120" s="771"/>
      <c r="BB120" s="771"/>
      <c r="BC120" s="771"/>
      <c r="BD120" s="1761"/>
      <c r="BE120" s="1761"/>
      <c r="BF120" s="1761"/>
      <c r="BG120" s="771"/>
      <c r="BH120" s="771"/>
      <c r="BI120" s="771"/>
      <c r="BJ120" s="771"/>
      <c r="BK120" s="771"/>
    </row>
    <row r="121" spans="1:63" ht="15.75" thickBot="1" x14ac:dyDescent="0.25">
      <c r="A121" s="274"/>
      <c r="B121" s="733"/>
      <c r="C121" s="176"/>
      <c r="D121" s="75"/>
      <c r="E121" s="169"/>
      <c r="F121" s="114"/>
      <c r="G121" s="177"/>
      <c r="H121" s="728"/>
      <c r="I121" s="771"/>
      <c r="J121" s="771"/>
      <c r="K121" s="771"/>
      <c r="L121" s="771"/>
      <c r="M121" s="771"/>
      <c r="N121" s="771"/>
      <c r="O121" s="771"/>
      <c r="P121" s="771"/>
      <c r="Q121" s="771"/>
      <c r="R121" s="771"/>
      <c r="S121" s="771"/>
      <c r="T121" s="771"/>
      <c r="U121" s="771"/>
      <c r="V121" s="1761"/>
      <c r="W121" s="1761"/>
      <c r="X121" s="1761"/>
      <c r="Y121" s="771"/>
      <c r="Z121" s="771"/>
      <c r="AA121" s="771"/>
      <c r="AB121" s="771"/>
      <c r="AC121" s="771"/>
      <c r="AD121" s="771"/>
      <c r="AE121" s="771"/>
      <c r="AF121" s="1761"/>
      <c r="AG121" s="1761"/>
      <c r="AH121" s="1761"/>
      <c r="AI121" s="1761"/>
      <c r="AJ121" s="1761"/>
      <c r="AK121" s="771"/>
      <c r="AL121" s="771"/>
      <c r="AM121" s="771"/>
      <c r="AN121" s="771"/>
      <c r="AO121" s="771"/>
      <c r="AP121" s="771"/>
      <c r="AQ121" s="771"/>
      <c r="AR121" s="1761"/>
      <c r="AS121" s="1761"/>
      <c r="AT121" s="1761"/>
      <c r="AU121" s="1761"/>
      <c r="AV121" s="1761"/>
      <c r="AW121" s="771"/>
      <c r="AX121" s="771"/>
      <c r="AY121" s="771"/>
      <c r="AZ121" s="771"/>
      <c r="BA121" s="771"/>
      <c r="BB121" s="771"/>
      <c r="BC121" s="771"/>
      <c r="BD121" s="1761"/>
      <c r="BE121" s="1761"/>
      <c r="BF121" s="1761"/>
      <c r="BG121" s="771"/>
      <c r="BH121" s="771"/>
      <c r="BI121" s="771"/>
      <c r="BJ121" s="771"/>
      <c r="BK121" s="771"/>
    </row>
    <row r="122" spans="1:63" ht="15" x14ac:dyDescent="0.2">
      <c r="A122" s="274"/>
      <c r="B122" s="729"/>
      <c r="C122" s="719"/>
      <c r="D122" s="2144" t="s">
        <v>1183</v>
      </c>
      <c r="E122" s="2144"/>
      <c r="F122" s="2144"/>
      <c r="G122" s="2144"/>
      <c r="H122" s="2145"/>
      <c r="I122" s="771"/>
      <c r="J122" s="771"/>
      <c r="K122" s="771"/>
      <c r="L122" s="771"/>
      <c r="M122" s="771"/>
      <c r="N122" s="771"/>
      <c r="O122" s="771"/>
      <c r="P122" s="771"/>
      <c r="Q122" s="771"/>
      <c r="R122" s="771"/>
      <c r="S122" s="771"/>
      <c r="T122" s="771"/>
      <c r="U122" s="771"/>
      <c r="V122" s="1761"/>
      <c r="W122" s="1761"/>
      <c r="X122" s="1761"/>
      <c r="Y122" s="771"/>
      <c r="Z122" s="771"/>
      <c r="AA122" s="771"/>
      <c r="AB122" s="771"/>
      <c r="AC122" s="771"/>
      <c r="AD122" s="771"/>
      <c r="AE122" s="771"/>
      <c r="AF122" s="1761"/>
      <c r="AG122" s="1761"/>
      <c r="AH122" s="1761"/>
      <c r="AI122" s="1761"/>
      <c r="AJ122" s="1761"/>
      <c r="AK122" s="771"/>
      <c r="AL122" s="771"/>
      <c r="AM122" s="771"/>
      <c r="AN122" s="771"/>
      <c r="AO122" s="771"/>
      <c r="AP122" s="771"/>
      <c r="AQ122" s="771"/>
      <c r="AR122" s="1761"/>
      <c r="AS122" s="1761"/>
      <c r="AT122" s="1761"/>
      <c r="AU122" s="1761"/>
      <c r="AV122" s="1761"/>
      <c r="AW122" s="771"/>
      <c r="AX122" s="771"/>
      <c r="AY122" s="771"/>
      <c r="AZ122" s="771"/>
      <c r="BA122" s="771"/>
      <c r="BB122" s="771"/>
      <c r="BC122" s="771"/>
      <c r="BD122" s="1761"/>
      <c r="BE122" s="1761"/>
      <c r="BF122" s="1761"/>
      <c r="BG122" s="771"/>
      <c r="BH122" s="771"/>
      <c r="BI122" s="771"/>
      <c r="BJ122" s="771"/>
      <c r="BK122" s="771"/>
    </row>
    <row r="123" spans="1:63" ht="15.75" thickBot="1" x14ac:dyDescent="0.25">
      <c r="A123" s="274"/>
      <c r="B123" s="1769" t="s">
        <v>1639</v>
      </c>
      <c r="C123" s="170">
        <v>500</v>
      </c>
      <c r="D123" s="97" t="s">
        <v>1689</v>
      </c>
      <c r="E123" s="730"/>
      <c r="F123" s="730"/>
      <c r="G123" s="731"/>
      <c r="H123" s="2125" t="str">
        <f>IF(СОДЕРЖАНИЕ!P2=1,"EUR","RUB")</f>
        <v>RUB</v>
      </c>
      <c r="I123" s="771"/>
      <c r="J123" s="771"/>
      <c r="K123" s="771"/>
      <c r="L123" s="771"/>
      <c r="M123" s="771"/>
      <c r="N123" s="771"/>
      <c r="O123" s="771"/>
      <c r="P123" s="771"/>
      <c r="Q123" s="771"/>
      <c r="R123" s="771"/>
      <c r="S123" s="771"/>
      <c r="T123" s="771"/>
      <c r="U123" s="771"/>
      <c r="V123" s="1761"/>
      <c r="W123" s="1761"/>
      <c r="X123" s="1761"/>
      <c r="Y123" s="771"/>
      <c r="Z123" s="771"/>
      <c r="AA123" s="771"/>
      <c r="AB123" s="771"/>
      <c r="AC123" s="771"/>
      <c r="AD123" s="771"/>
      <c r="AE123" s="771"/>
      <c r="AF123" s="1761"/>
      <c r="AG123" s="1761"/>
      <c r="AH123" s="1761"/>
      <c r="AI123" s="1761"/>
      <c r="AJ123" s="1761"/>
      <c r="AK123" s="771"/>
      <c r="AL123" s="771"/>
      <c r="AM123" s="771"/>
      <c r="AN123" s="771"/>
      <c r="AO123" s="771"/>
      <c r="AP123" s="771"/>
      <c r="AQ123" s="771"/>
      <c r="AR123" s="1761"/>
      <c r="AS123" s="1761"/>
      <c r="AT123" s="1761"/>
      <c r="AU123" s="1761"/>
      <c r="AV123" s="1761"/>
      <c r="AW123" s="771"/>
      <c r="AX123" s="771"/>
      <c r="AY123" s="771"/>
      <c r="AZ123" s="771"/>
      <c r="BA123" s="771"/>
      <c r="BB123" s="771"/>
      <c r="BC123" s="771"/>
      <c r="BD123" s="1761"/>
      <c r="BE123" s="1761"/>
      <c r="BF123" s="1761"/>
      <c r="BG123" s="771"/>
      <c r="BH123" s="771"/>
      <c r="BI123" s="771"/>
      <c r="BJ123" s="771"/>
      <c r="BK123" s="771"/>
    </row>
    <row r="124" spans="1:63" ht="15" x14ac:dyDescent="0.2">
      <c r="A124" s="274"/>
      <c r="B124" s="2231"/>
      <c r="C124" s="135" t="s">
        <v>1301</v>
      </c>
      <c r="D124" s="139" t="s">
        <v>784</v>
      </c>
      <c r="E124" s="140" t="s">
        <v>2117</v>
      </c>
      <c r="F124" s="139"/>
      <c r="G124" s="178" t="s">
        <v>2116</v>
      </c>
      <c r="H124" s="2126"/>
      <c r="I124" s="771"/>
      <c r="J124" s="771"/>
      <c r="K124" s="771"/>
      <c r="L124" s="771"/>
      <c r="M124" s="771"/>
      <c r="N124" s="771"/>
      <c r="O124" s="771"/>
      <c r="P124" s="771"/>
      <c r="Q124" s="771"/>
      <c r="R124" s="771"/>
      <c r="S124" s="771"/>
      <c r="T124" s="771"/>
      <c r="U124" s="771"/>
      <c r="V124" s="1761"/>
      <c r="W124" s="1761"/>
      <c r="X124" s="1761"/>
      <c r="Y124" s="771"/>
      <c r="Z124" s="771"/>
      <c r="AA124" s="771"/>
      <c r="AB124" s="771"/>
      <c r="AC124" s="771"/>
      <c r="AD124" s="771"/>
      <c r="AE124" s="771"/>
      <c r="AF124" s="1761"/>
      <c r="AG124" s="1761"/>
      <c r="AH124" s="1761"/>
      <c r="AI124" s="1761"/>
      <c r="AJ124" s="1761"/>
      <c r="AK124" s="771"/>
      <c r="AL124" s="771"/>
      <c r="AM124" s="771"/>
      <c r="AN124" s="771"/>
      <c r="AO124" s="771"/>
      <c r="AP124" s="771"/>
      <c r="AQ124" s="771"/>
      <c r="AR124" s="1761"/>
      <c r="AS124" s="1761"/>
      <c r="AT124" s="1761"/>
      <c r="AU124" s="1761"/>
      <c r="AV124" s="1761"/>
      <c r="AW124" s="771"/>
      <c r="AX124" s="771"/>
      <c r="AY124" s="771"/>
      <c r="AZ124" s="771"/>
      <c r="BA124" s="771"/>
      <c r="BB124" s="771"/>
      <c r="BC124" s="771"/>
      <c r="BD124" s="1761"/>
      <c r="BE124" s="1761"/>
      <c r="BF124" s="1761"/>
      <c r="BG124" s="771"/>
      <c r="BH124" s="771"/>
      <c r="BI124" s="771"/>
      <c r="BJ124" s="771"/>
      <c r="BK124" s="771"/>
    </row>
    <row r="125" spans="1:63" ht="12.75" customHeight="1" x14ac:dyDescent="0.2">
      <c r="A125" s="2136"/>
      <c r="B125" s="2232"/>
      <c r="C125" s="1154" t="str">
        <f>VLOOKUP($C$123,MAATOBM,2,FALSE)</f>
        <v>1847502/</v>
      </c>
      <c r="D125" s="43" t="str">
        <f>IF(C125=" ","",VLOOKUP(C125,всецены,2,FALSE))</f>
        <v xml:space="preserve">TBX-A, Царга 83/500 мм, бел, лев. NEW   </v>
      </c>
      <c r="E125" s="80">
        <v>1</v>
      </c>
      <c r="F125" s="63">
        <f t="shared" ref="F125:F140" si="24">VLOOKUP(C125,всецены,4,FALSE)</f>
        <v>395.22122640000003</v>
      </c>
      <c r="G125" s="160">
        <f>IF(C125=" "," ",F125*E125)</f>
        <v>395.22122640000003</v>
      </c>
      <c r="H125" s="2091">
        <f>SUM(G125:G142)</f>
        <v>5600.5937988000005</v>
      </c>
      <c r="I125" s="771"/>
      <c r="J125" s="771"/>
      <c r="K125" s="771"/>
      <c r="L125" s="771"/>
      <c r="M125" s="771"/>
      <c r="N125" s="771"/>
      <c r="O125" s="771"/>
      <c r="P125" s="771"/>
      <c r="Q125" s="771"/>
      <c r="R125" s="771"/>
      <c r="S125" s="771"/>
      <c r="T125" s="771"/>
      <c r="U125" s="771"/>
      <c r="V125" s="1761"/>
      <c r="W125" s="1761"/>
      <c r="X125" s="1761"/>
      <c r="Y125" s="771"/>
      <c r="Z125" s="771"/>
      <c r="AA125" s="771"/>
      <c r="AB125" s="771"/>
      <c r="AC125" s="771"/>
      <c r="AD125" s="771"/>
      <c r="AE125" s="771"/>
      <c r="AF125" s="1761"/>
      <c r="AG125" s="1761"/>
      <c r="AH125" s="1761"/>
      <c r="AI125" s="1761"/>
      <c r="AJ125" s="1761"/>
      <c r="AK125" s="771"/>
      <c r="AL125" s="771"/>
      <c r="AM125" s="771"/>
      <c r="AN125" s="771"/>
      <c r="AO125" s="771"/>
      <c r="AP125" s="771"/>
      <c r="AQ125" s="771"/>
      <c r="AR125" s="1761"/>
      <c r="AS125" s="1761"/>
      <c r="AT125" s="1761"/>
      <c r="AU125" s="1761"/>
      <c r="AV125" s="1761"/>
      <c r="AW125" s="771"/>
      <c r="AX125" s="771"/>
      <c r="AY125" s="771"/>
      <c r="AZ125" s="771"/>
      <c r="BA125" s="771"/>
      <c r="BB125" s="771"/>
      <c r="BC125" s="771"/>
      <c r="BD125" s="1761"/>
      <c r="BE125" s="1761"/>
      <c r="BF125" s="1761"/>
      <c r="BG125" s="771"/>
      <c r="BH125" s="771"/>
      <c r="BI125" s="771"/>
      <c r="BJ125" s="771"/>
      <c r="BK125" s="771"/>
    </row>
    <row r="126" spans="1:63" ht="12.75" customHeight="1" x14ac:dyDescent="0.2">
      <c r="A126" s="2136"/>
      <c r="B126" s="1831"/>
      <c r="C126" s="1154" t="str">
        <f>VLOOKUP($C$123,MAATOBM,3,FALSE)</f>
        <v>1838267/</v>
      </c>
      <c r="D126" s="43" t="str">
        <f>IF(C126=" ","",VLOOKUP(C126,всецены,2,FALSE))</f>
        <v xml:space="preserve">TBX-A, Царга 83/500 мм, бел, прав. NEW  </v>
      </c>
      <c r="E126" s="80">
        <v>1</v>
      </c>
      <c r="F126" s="63">
        <f t="shared" si="24"/>
        <v>395.22122640000003</v>
      </c>
      <c r="G126" s="160">
        <f>IF(C126=" "," ",F126*E126)</f>
        <v>395.22122640000003</v>
      </c>
      <c r="H126" s="2092"/>
      <c r="I126" s="771"/>
      <c r="J126" s="771"/>
      <c r="K126" s="771"/>
      <c r="L126" s="771"/>
      <c r="M126" s="771"/>
      <c r="N126" s="771"/>
      <c r="O126" s="771"/>
      <c r="P126" s="771"/>
      <c r="Q126" s="771"/>
      <c r="R126" s="771"/>
      <c r="S126" s="771"/>
      <c r="T126" s="771"/>
      <c r="U126" s="771"/>
      <c r="V126" s="1761"/>
      <c r="W126" s="1761"/>
      <c r="X126" s="1761"/>
      <c r="Y126" s="771"/>
      <c r="Z126" s="771"/>
      <c r="AA126" s="771"/>
      <c r="AB126" s="771"/>
      <c r="AC126" s="771"/>
      <c r="AD126" s="771"/>
      <c r="AE126" s="771"/>
      <c r="AF126" s="1761"/>
      <c r="AG126" s="1761"/>
      <c r="AH126" s="1761"/>
      <c r="AI126" s="1761"/>
      <c r="AJ126" s="1761"/>
      <c r="AK126" s="771"/>
      <c r="AL126" s="771"/>
      <c r="AM126" s="771"/>
      <c r="AN126" s="771"/>
      <c r="AO126" s="771"/>
      <c r="AP126" s="771"/>
      <c r="AQ126" s="771"/>
      <c r="AR126" s="1761"/>
      <c r="AS126" s="1761"/>
      <c r="AT126" s="1761"/>
      <c r="AU126" s="1761"/>
      <c r="AV126" s="1761"/>
      <c r="AW126" s="771"/>
      <c r="AX126" s="771"/>
      <c r="AY126" s="771"/>
      <c r="AZ126" s="771"/>
      <c r="BA126" s="771"/>
      <c r="BB126" s="771"/>
      <c r="BC126" s="771"/>
      <c r="BD126" s="1761"/>
      <c r="BE126" s="1761"/>
      <c r="BF126" s="1761"/>
      <c r="BG126" s="771"/>
      <c r="BH126" s="771"/>
      <c r="BI126" s="771"/>
      <c r="BJ126" s="771"/>
      <c r="BK126" s="771"/>
    </row>
    <row r="127" spans="1:63" ht="12.75" customHeight="1" x14ac:dyDescent="0.2">
      <c r="A127" s="2136"/>
      <c r="B127" s="1831"/>
      <c r="C127" s="138" t="str">
        <f>VLOOKUP(C123,$K$65:$M$71,2,FALSE)</f>
        <v>7940374/</v>
      </c>
      <c r="D127" s="43" t="str">
        <f t="shared" ref="D127:D140" si="25">VLOOKUP(C127,всецены,2,FALSE)</f>
        <v>TBX, Tip-on BM, Напр, 30 кг, 500 мм, лев</v>
      </c>
      <c r="E127" s="80">
        <v>1</v>
      </c>
      <c r="F127" s="63">
        <f t="shared" si="24"/>
        <v>600.15075120000006</v>
      </c>
      <c r="G127" s="723">
        <f t="shared" ref="G127:G140" si="26">F127*E127</f>
        <v>600.15075120000006</v>
      </c>
      <c r="H127" s="2092"/>
      <c r="I127" s="771"/>
      <c r="J127" s="771"/>
      <c r="K127" s="771"/>
      <c r="L127" s="771"/>
      <c r="M127" s="771"/>
      <c r="N127" s="771"/>
      <c r="O127" s="771"/>
      <c r="P127" s="771"/>
      <c r="Q127" s="771"/>
      <c r="R127" s="771"/>
      <c r="S127" s="771"/>
      <c r="T127" s="771"/>
      <c r="U127" s="771"/>
      <c r="V127" s="1761"/>
      <c r="W127" s="1761"/>
      <c r="X127" s="1761"/>
      <c r="Y127" s="771"/>
      <c r="Z127" s="771"/>
      <c r="AA127" s="771"/>
      <c r="AB127" s="771"/>
      <c r="AC127" s="771"/>
      <c r="AD127" s="771"/>
      <c r="AE127" s="771"/>
      <c r="AF127" s="1761"/>
      <c r="AG127" s="1761"/>
      <c r="AH127" s="1761"/>
      <c r="AI127" s="1761"/>
      <c r="AJ127" s="1761"/>
      <c r="AK127" s="771"/>
      <c r="AL127" s="771"/>
      <c r="AM127" s="771"/>
      <c r="AN127" s="771"/>
      <c r="AO127" s="771"/>
      <c r="AP127" s="771"/>
      <c r="AQ127" s="771"/>
      <c r="AR127" s="1761"/>
      <c r="AS127" s="1761"/>
      <c r="AT127" s="1761"/>
      <c r="AU127" s="1761"/>
      <c r="AV127" s="1761"/>
      <c r="AW127" s="771"/>
      <c r="AX127" s="771"/>
      <c r="AY127" s="771"/>
      <c r="AZ127" s="771"/>
      <c r="BA127" s="771"/>
      <c r="BB127" s="771"/>
      <c r="BC127" s="771"/>
      <c r="BD127" s="1761"/>
      <c r="BE127" s="1761"/>
      <c r="BF127" s="1761"/>
      <c r="BG127" s="771"/>
      <c r="BH127" s="771"/>
      <c r="BI127" s="771"/>
      <c r="BJ127" s="771"/>
      <c r="BK127" s="771"/>
    </row>
    <row r="128" spans="1:63" ht="12.75" customHeight="1" x14ac:dyDescent="0.2">
      <c r="A128" s="2136"/>
      <c r="B128" s="1831"/>
      <c r="C128" s="138" t="str">
        <f>VLOOKUP(C123,$K$65:$M$71,3,FALSE)</f>
        <v>7936668/</v>
      </c>
      <c r="D128" s="43" t="str">
        <f t="shared" si="25"/>
        <v xml:space="preserve">TBX, Tip-on BM, Напр, 30 кг, 500 мм, пр </v>
      </c>
      <c r="E128" s="80">
        <v>1</v>
      </c>
      <c r="F128" s="63">
        <f t="shared" si="24"/>
        <v>600.15075120000006</v>
      </c>
      <c r="G128" s="723">
        <f t="shared" si="26"/>
        <v>600.15075120000006</v>
      </c>
      <c r="H128" s="2092"/>
      <c r="I128" s="771"/>
      <c r="J128" s="771"/>
      <c r="K128" s="771"/>
      <c r="L128" s="771"/>
      <c r="M128" s="771"/>
      <c r="N128" s="771"/>
      <c r="O128" s="771"/>
      <c r="P128" s="771"/>
      <c r="Q128" s="771"/>
      <c r="R128" s="771"/>
      <c r="S128" s="771"/>
      <c r="T128" s="771"/>
      <c r="U128" s="771"/>
      <c r="V128" s="1761"/>
      <c r="W128" s="1761"/>
      <c r="X128" s="1761"/>
      <c r="Y128" s="771"/>
      <c r="Z128" s="771"/>
      <c r="AA128" s="771"/>
      <c r="AB128" s="771"/>
      <c r="AC128" s="771"/>
      <c r="AD128" s="771"/>
      <c r="AE128" s="771"/>
      <c r="AF128" s="1761"/>
      <c r="AG128" s="1761"/>
      <c r="AH128" s="1761"/>
      <c r="AI128" s="1761"/>
      <c r="AJ128" s="1761"/>
      <c r="AK128" s="771"/>
      <c r="AL128" s="771"/>
      <c r="AM128" s="771"/>
      <c r="AN128" s="771"/>
      <c r="AO128" s="771"/>
      <c r="AP128" s="771"/>
      <c r="AQ128" s="771"/>
      <c r="AR128" s="1761"/>
      <c r="AS128" s="1761"/>
      <c r="AT128" s="1761"/>
      <c r="AU128" s="1761"/>
      <c r="AV128" s="1761"/>
      <c r="AW128" s="771"/>
      <c r="AX128" s="771"/>
      <c r="AY128" s="771"/>
      <c r="AZ128" s="771"/>
      <c r="BA128" s="771"/>
      <c r="BB128" s="771"/>
      <c r="BC128" s="771"/>
      <c r="BD128" s="1761"/>
      <c r="BE128" s="1761"/>
      <c r="BF128" s="1761"/>
      <c r="BG128" s="771"/>
      <c r="BH128" s="771"/>
      <c r="BI128" s="771"/>
      <c r="BJ128" s="771"/>
      <c r="BK128" s="771"/>
    </row>
    <row r="129" spans="1:63" s="1761" customFormat="1" ht="12.75" customHeight="1" x14ac:dyDescent="0.2">
      <c r="A129" s="2136"/>
      <c r="B129" s="1831"/>
      <c r="C129" s="1790" t="s">
        <v>3930</v>
      </c>
      <c r="D129" s="43" t="str">
        <f t="shared" si="25"/>
        <v xml:space="preserve">TBX, Tip-on BM, триггер, лев. T60B3009  </v>
      </c>
      <c r="E129" s="3">
        <v>1</v>
      </c>
      <c r="F129" s="12">
        <f t="shared" si="24"/>
        <v>40.660620000000002</v>
      </c>
      <c r="G129" s="442">
        <f t="shared" si="26"/>
        <v>40.660620000000002</v>
      </c>
      <c r="H129" s="2092"/>
      <c r="I129" s="771"/>
      <c r="J129" s="771"/>
      <c r="K129" s="771"/>
      <c r="L129" s="771"/>
      <c r="M129" s="771"/>
      <c r="N129" s="771"/>
      <c r="O129" s="771"/>
      <c r="P129" s="771"/>
      <c r="Q129" s="771"/>
      <c r="R129" s="771"/>
      <c r="S129" s="771"/>
      <c r="T129" s="771"/>
      <c r="U129" s="771"/>
      <c r="Y129" s="771"/>
      <c r="Z129" s="771"/>
      <c r="AA129" s="771"/>
      <c r="AB129" s="771"/>
      <c r="AC129" s="771"/>
      <c r="AD129" s="771"/>
      <c r="AE129" s="771"/>
      <c r="AK129" s="771"/>
      <c r="AL129" s="771"/>
      <c r="AM129" s="771"/>
      <c r="AN129" s="771"/>
      <c r="AO129" s="771"/>
      <c r="AP129" s="771"/>
      <c r="AQ129" s="771"/>
      <c r="AW129" s="771"/>
      <c r="AX129" s="771"/>
      <c r="AY129" s="771"/>
      <c r="AZ129" s="771"/>
      <c r="BA129" s="771"/>
      <c r="BB129" s="771"/>
      <c r="BC129" s="771"/>
      <c r="BG129" s="771"/>
      <c r="BH129" s="771"/>
      <c r="BI129" s="771"/>
      <c r="BJ129" s="771"/>
      <c r="BK129" s="771"/>
    </row>
    <row r="130" spans="1:63" s="1761" customFormat="1" ht="12.75" customHeight="1" x14ac:dyDescent="0.2">
      <c r="A130" s="2136"/>
      <c r="B130" s="1831"/>
      <c r="C130" s="1790" t="s">
        <v>3931</v>
      </c>
      <c r="D130" s="43" t="str">
        <f t="shared" si="25"/>
        <v xml:space="preserve">TBX, Tip-on BM, триггер, прав. T60B3009 </v>
      </c>
      <c r="E130" s="3">
        <v>1</v>
      </c>
      <c r="F130" s="12">
        <f t="shared" si="24"/>
        <v>40.660620000000002</v>
      </c>
      <c r="G130" s="442">
        <f t="shared" si="26"/>
        <v>40.660620000000002</v>
      </c>
      <c r="H130" s="2092"/>
      <c r="I130" s="771"/>
      <c r="J130" s="771"/>
      <c r="K130" s="771"/>
      <c r="L130" s="771"/>
      <c r="M130" s="771"/>
      <c r="N130" s="771"/>
      <c r="O130" s="771"/>
      <c r="P130" s="771"/>
      <c r="Q130" s="771"/>
      <c r="R130" s="771"/>
      <c r="S130" s="771"/>
      <c r="T130" s="771"/>
      <c r="U130" s="771"/>
      <c r="Y130" s="771"/>
      <c r="Z130" s="771"/>
      <c r="AA130" s="771"/>
      <c r="AB130" s="771"/>
      <c r="AC130" s="771"/>
      <c r="AD130" s="771"/>
      <c r="AE130" s="771"/>
      <c r="AK130" s="771"/>
      <c r="AL130" s="771"/>
      <c r="AM130" s="771"/>
      <c r="AN130" s="771"/>
      <c r="AO130" s="771"/>
      <c r="AP130" s="771"/>
      <c r="AQ130" s="771"/>
      <c r="AW130" s="771"/>
      <c r="AX130" s="771"/>
      <c r="AY130" s="771"/>
      <c r="AZ130" s="771"/>
      <c r="BA130" s="771"/>
      <c r="BB130" s="771"/>
      <c r="BC130" s="771"/>
      <c r="BG130" s="771"/>
      <c r="BH130" s="771"/>
      <c r="BI130" s="771"/>
      <c r="BJ130" s="771"/>
      <c r="BK130" s="771"/>
    </row>
    <row r="131" spans="1:63" s="1761" customFormat="1" ht="12.75" customHeight="1" x14ac:dyDescent="0.2">
      <c r="A131" s="2136"/>
      <c r="B131" s="1831"/>
      <c r="C131" s="1785" t="str">
        <f>VLOOKUP(C123,$K$65:$O$71,4,0)</f>
        <v>1829780/</v>
      </c>
      <c r="D131" s="43" t="str">
        <f t="shared" si="25"/>
        <v xml:space="preserve">TBX, Tip-on BM, L3,350-600, пр T60B3533 </v>
      </c>
      <c r="E131" s="3">
        <v>1</v>
      </c>
      <c r="F131" s="12">
        <f t="shared" si="24"/>
        <v>473.28961680000003</v>
      </c>
      <c r="G131" s="442">
        <f t="shared" si="26"/>
        <v>473.28961680000003</v>
      </c>
      <c r="H131" s="2092"/>
      <c r="I131" s="771"/>
      <c r="J131" s="771"/>
      <c r="K131" s="771"/>
      <c r="L131" s="771"/>
      <c r="M131" s="771"/>
      <c r="N131" s="771"/>
      <c r="O131" s="771"/>
      <c r="P131" s="771"/>
      <c r="Q131" s="771"/>
      <c r="R131" s="771"/>
      <c r="S131" s="771"/>
      <c r="T131" s="771"/>
      <c r="U131" s="771"/>
      <c r="Y131" s="771"/>
      <c r="Z131" s="771"/>
      <c r="AA131" s="771"/>
      <c r="AB131" s="771"/>
      <c r="AC131" s="771"/>
      <c r="AD131" s="771"/>
      <c r="AE131" s="771"/>
      <c r="AK131" s="771"/>
      <c r="AL131" s="771"/>
      <c r="AM131" s="771"/>
      <c r="AN131" s="771"/>
      <c r="AO131" s="771"/>
      <c r="AP131" s="771"/>
      <c r="AQ131" s="771"/>
      <c r="AW131" s="771"/>
      <c r="AX131" s="771"/>
      <c r="AY131" s="771"/>
      <c r="AZ131" s="771"/>
      <c r="BA131" s="771"/>
      <c r="BB131" s="771"/>
      <c r="BC131" s="771"/>
      <c r="BG131" s="771"/>
      <c r="BH131" s="771"/>
      <c r="BI131" s="771"/>
      <c r="BJ131" s="771"/>
      <c r="BK131" s="771"/>
    </row>
    <row r="132" spans="1:63" s="1761" customFormat="1" ht="12.75" customHeight="1" x14ac:dyDescent="0.2">
      <c r="A132" s="2136"/>
      <c r="B132" s="1831"/>
      <c r="C132" s="1785" t="str">
        <f>VLOOKUP(C123,$K$65:$O$71,5,0)</f>
        <v>8903805/</v>
      </c>
      <c r="D132" s="43" t="str">
        <f t="shared" si="25"/>
        <v>TBX, Tip-on BM, L3,350-600, лев T60B3533</v>
      </c>
      <c r="E132" s="3">
        <v>1</v>
      </c>
      <c r="F132" s="12">
        <f t="shared" si="24"/>
        <v>473.28961680000003</v>
      </c>
      <c r="G132" s="442">
        <f t="shared" si="26"/>
        <v>473.28961680000003</v>
      </c>
      <c r="H132" s="2092"/>
      <c r="I132" s="771"/>
      <c r="J132" s="771"/>
      <c r="K132" s="771"/>
      <c r="L132" s="771"/>
      <c r="M132" s="771"/>
      <c r="N132" s="771"/>
      <c r="O132" s="771"/>
      <c r="P132" s="771"/>
      <c r="Q132" s="771"/>
      <c r="R132" s="771"/>
      <c r="S132" s="771"/>
      <c r="T132" s="771"/>
      <c r="U132" s="771"/>
      <c r="Y132" s="771"/>
      <c r="Z132" s="771"/>
      <c r="AA132" s="771"/>
      <c r="AB132" s="771"/>
      <c r="AC132" s="771"/>
      <c r="AD132" s="771"/>
      <c r="AE132" s="771"/>
      <c r="AK132" s="771"/>
      <c r="AL132" s="771"/>
      <c r="AM132" s="771"/>
      <c r="AN132" s="771"/>
      <c r="AO132" s="771"/>
      <c r="AP132" s="771"/>
      <c r="AQ132" s="771"/>
      <c r="AW132" s="771"/>
      <c r="AX132" s="771"/>
      <c r="AY132" s="771"/>
      <c r="AZ132" s="771"/>
      <c r="BA132" s="771"/>
      <c r="BB132" s="771"/>
      <c r="BC132" s="771"/>
      <c r="BG132" s="771"/>
      <c r="BH132" s="771"/>
      <c r="BI132" s="771"/>
      <c r="BJ132" s="771"/>
      <c r="BK132" s="771"/>
    </row>
    <row r="133" spans="1:63" ht="12.75" customHeight="1" x14ac:dyDescent="0.2">
      <c r="A133" s="2136"/>
      <c r="B133" s="1831"/>
      <c r="C133" s="1154" t="str">
        <f>VLOOKUP($C$123,MAATOBM,10,FALSE)</f>
        <v>8046152/</v>
      </c>
      <c r="D133" s="43" t="str">
        <f>IF(C133=" ","",VLOOKUP(C133,всецены,2,FALSE))</f>
        <v>TBX-A, Загл с лого, бел, сим,ZAA.532C.BL</v>
      </c>
      <c r="E133" s="80">
        <v>2</v>
      </c>
      <c r="F133" s="63">
        <f t="shared" si="24"/>
        <v>8.9453364000000004</v>
      </c>
      <c r="G133" s="160">
        <f>IF(C133=" "," ",F133*E133)</f>
        <v>17.890672800000001</v>
      </c>
      <c r="H133" s="2092"/>
      <c r="I133" s="771"/>
      <c r="J133" s="771"/>
      <c r="K133" s="771"/>
      <c r="L133" s="771"/>
      <c r="M133" s="771"/>
      <c r="N133" s="771"/>
      <c r="O133" s="771"/>
      <c r="P133" s="771"/>
      <c r="Q133" s="771"/>
      <c r="R133" s="771"/>
      <c r="S133" s="771"/>
      <c r="T133" s="771"/>
      <c r="U133" s="771"/>
      <c r="V133" s="1761"/>
      <c r="W133" s="1761"/>
      <c r="X133" s="1761"/>
      <c r="Y133" s="771"/>
      <c r="Z133" s="771"/>
      <c r="AA133" s="771"/>
      <c r="AB133" s="771"/>
      <c r="AC133" s="771"/>
      <c r="AD133" s="771"/>
      <c r="AE133" s="771"/>
      <c r="AF133" s="1761"/>
      <c r="AG133" s="1761"/>
      <c r="AH133" s="1761"/>
      <c r="AI133" s="1761"/>
      <c r="AJ133" s="1761"/>
      <c r="AK133" s="771"/>
      <c r="AL133" s="771"/>
      <c r="AM133" s="771"/>
      <c r="AN133" s="771"/>
      <c r="AO133" s="771"/>
      <c r="AP133" s="771"/>
      <c r="AQ133" s="771"/>
      <c r="AR133" s="1761"/>
      <c r="AS133" s="1761"/>
      <c r="AT133" s="1761"/>
      <c r="AU133" s="1761"/>
      <c r="AV133" s="1761"/>
      <c r="AW133" s="771"/>
      <c r="AX133" s="771"/>
      <c r="AY133" s="771"/>
      <c r="AZ133" s="771"/>
      <c r="BA133" s="771"/>
      <c r="BB133" s="771"/>
      <c r="BC133" s="771"/>
      <c r="BD133" s="1761"/>
      <c r="BE133" s="1761"/>
      <c r="BF133" s="1761"/>
      <c r="BG133" s="771"/>
      <c r="BH133" s="771"/>
      <c r="BI133" s="771"/>
      <c r="BJ133" s="771"/>
      <c r="BK133" s="771"/>
    </row>
    <row r="134" spans="1:63" ht="12.75" customHeight="1" x14ac:dyDescent="0.2">
      <c r="A134" s="2136"/>
      <c r="B134" s="1831"/>
      <c r="C134" s="1157" t="str">
        <f>VLOOKUP($D$3,AAвнутр.,9,FALSE)</f>
        <v>8784182/</v>
      </c>
      <c r="D134" s="43" t="str">
        <f t="shared" si="25"/>
        <v>TBX-AA, Крепл п/пан вн, 224мм, бел, прав</v>
      </c>
      <c r="E134" s="80">
        <v>1</v>
      </c>
      <c r="F134" s="63">
        <f t="shared" si="24"/>
        <v>126.047922</v>
      </c>
      <c r="G134" s="723">
        <f t="shared" si="26"/>
        <v>126.047922</v>
      </c>
      <c r="H134" s="2092"/>
      <c r="I134" s="771"/>
      <c r="J134" s="771"/>
      <c r="K134" s="771"/>
      <c r="L134" s="771"/>
      <c r="M134" s="771"/>
      <c r="N134" s="771"/>
      <c r="O134" s="771"/>
      <c r="P134" s="771"/>
      <c r="Q134" s="771"/>
      <c r="R134" s="771"/>
      <c r="S134" s="771"/>
      <c r="T134" s="771"/>
      <c r="U134" s="771"/>
      <c r="V134" s="1761"/>
      <c r="W134" s="1761"/>
      <c r="X134" s="1761"/>
      <c r="Y134" s="771"/>
      <c r="Z134" s="771"/>
      <c r="AA134" s="771"/>
      <c r="AB134" s="771"/>
      <c r="AC134" s="771"/>
      <c r="AD134" s="771"/>
      <c r="AE134" s="771"/>
      <c r="AF134" s="1761"/>
      <c r="AG134" s="1761"/>
      <c r="AH134" s="1761"/>
      <c r="AI134" s="1761"/>
      <c r="AJ134" s="1761"/>
      <c r="AK134" s="771"/>
      <c r="AL134" s="771"/>
      <c r="AM134" s="771"/>
      <c r="AN134" s="771"/>
      <c r="AO134" s="771"/>
      <c r="AP134" s="771"/>
      <c r="AQ134" s="771"/>
      <c r="AR134" s="1761"/>
      <c r="AS134" s="1761"/>
      <c r="AT134" s="1761"/>
      <c r="AU134" s="1761"/>
      <c r="AV134" s="1761"/>
      <c r="AW134" s="771"/>
      <c r="AX134" s="771"/>
      <c r="AY134" s="771"/>
      <c r="AZ134" s="771"/>
      <c r="BA134" s="771"/>
      <c r="BB134" s="771"/>
      <c r="BC134" s="771"/>
      <c r="BD134" s="1761"/>
      <c r="BE134" s="1761"/>
      <c r="BF134" s="1761"/>
      <c r="BG134" s="771"/>
      <c r="BH134" s="771"/>
      <c r="BI134" s="771"/>
      <c r="BJ134" s="771"/>
      <c r="BK134" s="771"/>
    </row>
    <row r="135" spans="1:63" ht="12.75" customHeight="1" x14ac:dyDescent="0.2">
      <c r="A135" s="2136"/>
      <c r="B135" s="1831"/>
      <c r="C135" s="1157" t="str">
        <f>VLOOKUP($D$3,AAвнутр.,10,FALSE)</f>
        <v>8784012/</v>
      </c>
      <c r="D135" s="43" t="str">
        <f t="shared" si="25"/>
        <v xml:space="preserve">TBX-AA, Крепл п/пан вн, 224мм, бел, лев </v>
      </c>
      <c r="E135" s="80">
        <v>1</v>
      </c>
      <c r="F135" s="63">
        <f t="shared" si="24"/>
        <v>126.047922</v>
      </c>
      <c r="G135" s="723">
        <f t="shared" si="26"/>
        <v>126.047922</v>
      </c>
      <c r="H135" s="2092"/>
      <c r="I135" s="771"/>
      <c r="J135" s="771"/>
      <c r="K135" s="771"/>
      <c r="L135" s="771"/>
      <c r="M135" s="771"/>
      <c r="N135" s="771"/>
      <c r="O135" s="771"/>
      <c r="P135" s="771"/>
      <c r="Q135" s="771"/>
      <c r="R135" s="771"/>
      <c r="S135" s="771"/>
      <c r="T135" s="771"/>
      <c r="U135" s="771"/>
      <c r="V135" s="1761"/>
      <c r="W135" s="1761"/>
      <c r="X135" s="1761"/>
      <c r="Y135" s="771"/>
      <c r="Z135" s="771"/>
      <c r="AA135" s="771"/>
      <c r="AB135" s="771"/>
      <c r="AC135" s="771"/>
      <c r="AD135" s="771"/>
      <c r="AE135" s="771"/>
      <c r="AF135" s="1761"/>
      <c r="AG135" s="1761"/>
      <c r="AH135" s="1761"/>
      <c r="AI135" s="1761"/>
      <c r="AJ135" s="1761"/>
      <c r="AK135" s="771"/>
      <c r="AL135" s="771"/>
      <c r="AM135" s="771"/>
      <c r="AN135" s="771"/>
      <c r="AO135" s="771"/>
      <c r="AP135" s="771"/>
      <c r="AQ135" s="771"/>
      <c r="AR135" s="1761"/>
      <c r="AS135" s="1761"/>
      <c r="AT135" s="1761"/>
      <c r="AU135" s="1761"/>
      <c r="AV135" s="1761"/>
      <c r="AW135" s="771"/>
      <c r="AX135" s="771"/>
      <c r="AY135" s="771"/>
      <c r="AZ135" s="771"/>
      <c r="BA135" s="771"/>
      <c r="BB135" s="771"/>
      <c r="BC135" s="771"/>
      <c r="BD135" s="1761"/>
      <c r="BE135" s="1761"/>
      <c r="BF135" s="1761"/>
      <c r="BG135" s="771"/>
      <c r="BH135" s="771"/>
      <c r="BI135" s="771"/>
      <c r="BJ135" s="771"/>
      <c r="BK135" s="771"/>
    </row>
    <row r="136" spans="1:63" ht="12.75" customHeight="1" x14ac:dyDescent="0.2">
      <c r="A136" s="2136"/>
      <c r="B136" s="1831"/>
      <c r="C136" s="1157" t="str">
        <f>VLOOKUP($C$123,MAATOBM,8,FALSE)</f>
        <v>1511532/</v>
      </c>
      <c r="D136" s="43" t="str">
        <f>IF(C136=" ","",VLOOKUP(C136,всецены,2,FALSE))</f>
        <v xml:space="preserve">TBX-AA, Рел прод д/вн, 500мм, бел, лев  </v>
      </c>
      <c r="E136" s="80">
        <v>1</v>
      </c>
      <c r="F136" s="63">
        <f t="shared" si="24"/>
        <v>214.68807360000002</v>
      </c>
      <c r="G136" s="160">
        <f>IF(C136=" "," ",F136*E136)</f>
        <v>214.68807360000002</v>
      </c>
      <c r="H136" s="2092"/>
      <c r="I136" s="771"/>
      <c r="J136" s="771"/>
      <c r="K136" s="771"/>
      <c r="L136" s="771"/>
      <c r="M136" s="771"/>
      <c r="N136" s="771"/>
      <c r="O136" s="771"/>
      <c r="P136" s="771"/>
      <c r="Q136" s="771"/>
      <c r="R136" s="771"/>
      <c r="S136" s="771"/>
      <c r="T136" s="771"/>
      <c r="U136" s="771"/>
      <c r="V136" s="1761"/>
      <c r="W136" s="1761"/>
      <c r="X136" s="1761"/>
      <c r="Y136" s="771"/>
      <c r="Z136" s="771"/>
      <c r="AA136" s="771"/>
      <c r="AB136" s="771"/>
      <c r="AC136" s="771"/>
      <c r="AD136" s="771"/>
      <c r="AE136" s="771"/>
      <c r="AF136" s="1761"/>
      <c r="AG136" s="1761"/>
      <c r="AH136" s="1761"/>
      <c r="AI136" s="1761"/>
      <c r="AJ136" s="1761"/>
      <c r="AK136" s="771"/>
      <c r="AL136" s="771"/>
      <c r="AM136" s="771"/>
      <c r="AN136" s="771"/>
      <c r="AO136" s="771"/>
      <c r="AP136" s="771"/>
      <c r="AQ136" s="771"/>
      <c r="AR136" s="1761"/>
      <c r="AS136" s="1761"/>
      <c r="AT136" s="1761"/>
      <c r="AU136" s="1761"/>
      <c r="AV136" s="1761"/>
      <c r="AW136" s="771"/>
      <c r="AX136" s="771"/>
      <c r="AY136" s="771"/>
      <c r="AZ136" s="771"/>
      <c r="BA136" s="771"/>
      <c r="BB136" s="771"/>
      <c r="BC136" s="771"/>
      <c r="BD136" s="1761"/>
      <c r="BE136" s="1761"/>
      <c r="BF136" s="1761"/>
      <c r="BG136" s="771"/>
      <c r="BH136" s="771"/>
      <c r="BI136" s="771"/>
      <c r="BJ136" s="771"/>
      <c r="BK136" s="771"/>
    </row>
    <row r="137" spans="1:63" ht="12.75" customHeight="1" x14ac:dyDescent="0.2">
      <c r="A137" s="2136"/>
      <c r="B137" s="1831"/>
      <c r="C137" s="1157" t="str">
        <f>VLOOKUP($C$123,MAATOBM,9,FALSE)</f>
        <v>7271392/</v>
      </c>
      <c r="D137" s="43" t="str">
        <f>IF(C137=" ","",VLOOKUP(C137,всецены,2,FALSE))</f>
        <v>TBX-AA, Рел прод д/вн, 500 мм, бел, прав</v>
      </c>
      <c r="E137" s="80">
        <v>1</v>
      </c>
      <c r="F137" s="63">
        <f t="shared" si="24"/>
        <v>214.68807360000002</v>
      </c>
      <c r="G137" s="160">
        <f>IF(C137=" "," ",F137*E137)</f>
        <v>214.68807360000002</v>
      </c>
      <c r="H137" s="2092"/>
      <c r="I137" s="771"/>
      <c r="J137" s="771"/>
      <c r="K137" s="771"/>
      <c r="L137" s="771"/>
      <c r="M137" s="771"/>
      <c r="N137" s="771"/>
      <c r="O137" s="771"/>
      <c r="P137" s="771"/>
      <c r="Q137" s="771"/>
      <c r="R137" s="771"/>
      <c r="S137" s="771"/>
      <c r="T137" s="771"/>
      <c r="U137" s="771"/>
      <c r="V137" s="1761"/>
      <c r="W137" s="1761"/>
      <c r="X137" s="1761"/>
      <c r="Y137" s="771"/>
      <c r="Z137" s="771"/>
      <c r="AA137" s="771"/>
      <c r="AB137" s="771"/>
      <c r="AC137" s="771"/>
      <c r="AD137" s="771"/>
      <c r="AE137" s="771"/>
      <c r="AF137" s="1761"/>
      <c r="AG137" s="1761"/>
      <c r="AH137" s="1761"/>
      <c r="AI137" s="1761"/>
      <c r="AJ137" s="1761"/>
      <c r="AK137" s="771"/>
      <c r="AL137" s="771"/>
      <c r="AM137" s="771"/>
      <c r="AN137" s="771"/>
      <c r="AO137" s="771"/>
      <c r="AP137" s="771"/>
      <c r="AQ137" s="771"/>
      <c r="AR137" s="1761"/>
      <c r="AS137" s="1761"/>
      <c r="AT137" s="1761"/>
      <c r="AU137" s="1761"/>
      <c r="AV137" s="1761"/>
      <c r="AW137" s="771"/>
      <c r="AX137" s="771"/>
      <c r="AY137" s="771"/>
      <c r="AZ137" s="771"/>
      <c r="BA137" s="771"/>
      <c r="BB137" s="771"/>
      <c r="BC137" s="771"/>
      <c r="BD137" s="1761"/>
      <c r="BE137" s="1761"/>
      <c r="BF137" s="1761"/>
      <c r="BG137" s="771"/>
      <c r="BH137" s="771"/>
      <c r="BI137" s="771"/>
      <c r="BJ137" s="771"/>
      <c r="BK137" s="771"/>
    </row>
    <row r="138" spans="1:63" ht="12.75" customHeight="1" x14ac:dyDescent="0.2">
      <c r="A138" s="2136"/>
      <c r="B138" s="1831"/>
      <c r="C138" s="1154" t="str">
        <f>VLOOKUP($D$3,AAвнутр.,14,FALSE)</f>
        <v>4722052/</v>
      </c>
      <c r="D138" s="43" t="str">
        <f t="shared" si="25"/>
        <v xml:space="preserve">TBX-A, Держат задн ст, 224 мм, бел, лев </v>
      </c>
      <c r="E138" s="80">
        <v>1</v>
      </c>
      <c r="F138" s="63">
        <f t="shared" si="24"/>
        <v>67.496629200000001</v>
      </c>
      <c r="G138" s="723">
        <f t="shared" si="26"/>
        <v>67.496629200000001</v>
      </c>
      <c r="H138" s="2092"/>
      <c r="I138" s="771"/>
      <c r="J138" s="771"/>
      <c r="K138" s="771"/>
      <c r="L138" s="771"/>
      <c r="M138" s="771"/>
      <c r="N138" s="771"/>
      <c r="O138" s="771"/>
      <c r="P138" s="771"/>
      <c r="Q138" s="771"/>
      <c r="R138" s="771"/>
      <c r="S138" s="771"/>
      <c r="T138" s="771"/>
      <c r="U138" s="771"/>
      <c r="V138" s="1761"/>
      <c r="W138" s="1761"/>
      <c r="X138" s="1761"/>
      <c r="Y138" s="771"/>
      <c r="Z138" s="771"/>
      <c r="AA138" s="771"/>
      <c r="AB138" s="771"/>
      <c r="AC138" s="771"/>
      <c r="AD138" s="771"/>
      <c r="AE138" s="771"/>
      <c r="AF138" s="1761"/>
      <c r="AG138" s="1761"/>
      <c r="AH138" s="1761"/>
      <c r="AI138" s="1761"/>
      <c r="AJ138" s="1761"/>
      <c r="AK138" s="771"/>
      <c r="AL138" s="771"/>
      <c r="AM138" s="771"/>
      <c r="AN138" s="771"/>
      <c r="AO138" s="771"/>
      <c r="AP138" s="771"/>
      <c r="AQ138" s="771"/>
      <c r="AR138" s="1761"/>
      <c r="AS138" s="1761"/>
      <c r="AT138" s="1761"/>
      <c r="AU138" s="1761"/>
      <c r="AV138" s="1761"/>
      <c r="AW138" s="771"/>
      <c r="AX138" s="771"/>
      <c r="AY138" s="771"/>
      <c r="AZ138" s="771"/>
      <c r="BA138" s="771"/>
      <c r="BB138" s="771"/>
      <c r="BC138" s="771"/>
      <c r="BD138" s="1761"/>
      <c r="BE138" s="1761"/>
      <c r="BF138" s="1761"/>
      <c r="BG138" s="771"/>
      <c r="BH138" s="771"/>
      <c r="BI138" s="771"/>
      <c r="BJ138" s="771"/>
      <c r="BK138" s="771"/>
    </row>
    <row r="139" spans="1:63" ht="12.75" customHeight="1" x14ac:dyDescent="0.2">
      <c r="A139" s="274"/>
      <c r="B139" s="1831"/>
      <c r="C139" s="1154" t="str">
        <f>VLOOKUP($D$3,AAвнутр.,15,FALSE)</f>
        <v>4721832/</v>
      </c>
      <c r="D139" s="43" t="str">
        <f t="shared" si="25"/>
        <v>TBX-A, Держат задн ст, 224 мм, бел, прав</v>
      </c>
      <c r="E139" s="80">
        <v>1</v>
      </c>
      <c r="F139" s="63">
        <f t="shared" si="24"/>
        <v>67.496629200000001</v>
      </c>
      <c r="G139" s="723">
        <f t="shared" si="26"/>
        <v>67.496629200000001</v>
      </c>
      <c r="H139" s="2092"/>
      <c r="I139" s="771"/>
      <c r="J139" s="771"/>
      <c r="K139" s="771"/>
      <c r="L139" s="771"/>
      <c r="M139" s="771"/>
      <c r="N139" s="771"/>
      <c r="O139" s="771"/>
      <c r="P139" s="771"/>
      <c r="Q139" s="771"/>
      <c r="R139" s="771"/>
      <c r="S139" s="771"/>
      <c r="T139" s="771"/>
      <c r="U139" s="771"/>
      <c r="V139" s="1761"/>
      <c r="W139" s="1761"/>
      <c r="X139" s="1761"/>
      <c r="Y139" s="771"/>
      <c r="Z139" s="771"/>
      <c r="AA139" s="771"/>
      <c r="AB139" s="771"/>
      <c r="AC139" s="771"/>
      <c r="AD139" s="771"/>
      <c r="AE139" s="771"/>
      <c r="AF139" s="1761"/>
      <c r="AG139" s="1761"/>
      <c r="AH139" s="1761"/>
      <c r="AI139" s="1761"/>
      <c r="AJ139" s="1761"/>
      <c r="AK139" s="771"/>
      <c r="AL139" s="771"/>
      <c r="AM139" s="771"/>
      <c r="AN139" s="771"/>
      <c r="AO139" s="771"/>
      <c r="AP139" s="771"/>
      <c r="AQ139" s="771"/>
      <c r="AR139" s="1761"/>
      <c r="AS139" s="1761"/>
      <c r="AT139" s="1761"/>
      <c r="AU139" s="1761"/>
      <c r="AV139" s="1761"/>
      <c r="AW139" s="771"/>
      <c r="AX139" s="771"/>
      <c r="AY139" s="771"/>
      <c r="AZ139" s="771"/>
      <c r="BA139" s="771"/>
      <c r="BB139" s="771"/>
      <c r="BC139" s="771"/>
      <c r="BD139" s="1761"/>
      <c r="BE139" s="1761"/>
      <c r="BF139" s="1761"/>
      <c r="BG139" s="771"/>
      <c r="BH139" s="771"/>
      <c r="BI139" s="771"/>
      <c r="BJ139" s="771"/>
      <c r="BK139" s="771"/>
    </row>
    <row r="140" spans="1:63" ht="12.75" customHeight="1" x14ac:dyDescent="0.2">
      <c r="A140" s="274"/>
      <c r="B140" s="1831"/>
      <c r="C140" s="1157" t="str">
        <f>VLOOKUP($D$3,AAвнутр.,4,FALSE)</f>
        <v>8479022/</v>
      </c>
      <c r="D140" s="43" t="str">
        <f t="shared" si="25"/>
        <v xml:space="preserve">TBX-A, Передн панель, 1036 мм, бел, б/п </v>
      </c>
      <c r="E140" s="80">
        <v>1</v>
      </c>
      <c r="F140" s="63">
        <f t="shared" si="24"/>
        <v>1187.2901040000002</v>
      </c>
      <c r="G140" s="723">
        <f t="shared" si="26"/>
        <v>1187.2901040000002</v>
      </c>
      <c r="H140" s="2092"/>
      <c r="I140" s="771"/>
      <c r="J140" s="771"/>
      <c r="K140" s="771"/>
      <c r="L140" s="771"/>
      <c r="M140" s="771"/>
      <c r="N140" s="771"/>
      <c r="O140" s="771"/>
      <c r="P140" s="771"/>
      <c r="Q140" s="771"/>
      <c r="R140" s="771"/>
      <c r="S140" s="771"/>
      <c r="T140" s="771"/>
      <c r="U140" s="771"/>
      <c r="V140" s="1761"/>
      <c r="W140" s="1761"/>
      <c r="X140" s="1761"/>
      <c r="Y140" s="771"/>
      <c r="Z140" s="771"/>
      <c r="AA140" s="771"/>
      <c r="AB140" s="771"/>
      <c r="AC140" s="771"/>
      <c r="AD140" s="771"/>
      <c r="AE140" s="771"/>
      <c r="AF140" s="1761"/>
      <c r="AG140" s="1761"/>
      <c r="AH140" s="1761"/>
      <c r="AI140" s="1761"/>
      <c r="AJ140" s="1761"/>
      <c r="AK140" s="771"/>
      <c r="AL140" s="771"/>
      <c r="AM140" s="771"/>
      <c r="AN140" s="771"/>
      <c r="AO140" s="771"/>
      <c r="AP140" s="771"/>
      <c r="AQ140" s="771"/>
      <c r="AR140" s="1761"/>
      <c r="AS140" s="1761"/>
      <c r="AT140" s="1761"/>
      <c r="AU140" s="1761"/>
      <c r="AV140" s="1761"/>
      <c r="AW140" s="771"/>
      <c r="AX140" s="771"/>
      <c r="AY140" s="771"/>
      <c r="AZ140" s="771"/>
      <c r="BA140" s="771"/>
      <c r="BB140" s="771"/>
      <c r="BC140" s="771"/>
      <c r="BD140" s="1761"/>
      <c r="BE140" s="1761"/>
      <c r="BF140" s="1761"/>
      <c r="BG140" s="771"/>
      <c r="BH140" s="771"/>
      <c r="BI140" s="771"/>
      <c r="BJ140" s="771"/>
      <c r="BK140" s="771"/>
    </row>
    <row r="141" spans="1:63" s="1761" customFormat="1" ht="12.75" customHeight="1" x14ac:dyDescent="0.2">
      <c r="A141" s="274"/>
      <c r="B141" s="1831"/>
      <c r="C141" s="1828" t="str">
        <f>VLOOKUP($D$3,AAвнутр.,11,FALSE)</f>
        <v>8473392/</v>
      </c>
      <c r="D141" s="1786" t="str">
        <f>VLOOKUP(C141,всецены,2,FALSE)</f>
        <v>TBX-A, Релинг д/пер. панели, 1046мм, бел</v>
      </c>
      <c r="E141" s="1820">
        <v>1</v>
      </c>
      <c r="F141" s="1802">
        <f>VLOOKUP(C141,всецены,4,FALSE)</f>
        <v>560.30334359999995</v>
      </c>
      <c r="G141" s="1821">
        <f>F141*E141</f>
        <v>560.30334359999995</v>
      </c>
      <c r="H141" s="2092"/>
      <c r="I141" s="771"/>
      <c r="J141" s="771"/>
      <c r="K141" s="771"/>
      <c r="L141" s="771"/>
      <c r="M141" s="771"/>
      <c r="N141" s="771"/>
      <c r="O141" s="771"/>
      <c r="P141" s="771"/>
      <c r="Q141" s="771"/>
      <c r="R141" s="771"/>
      <c r="S141" s="771"/>
      <c r="T141" s="771"/>
      <c r="U141" s="771"/>
      <c r="Y141" s="771"/>
      <c r="Z141" s="771"/>
      <c r="AA141" s="771"/>
      <c r="AB141" s="771"/>
      <c r="AC141" s="771"/>
      <c r="AD141" s="771"/>
      <c r="AE141" s="771"/>
      <c r="AK141" s="771"/>
      <c r="AL141" s="771"/>
      <c r="AM141" s="771"/>
      <c r="AN141" s="771"/>
      <c r="AO141" s="771"/>
      <c r="AP141" s="771"/>
      <c r="AQ141" s="771"/>
      <c r="AW141" s="771"/>
      <c r="AX141" s="771"/>
      <c r="AY141" s="771"/>
      <c r="AZ141" s="771"/>
      <c r="BA141" s="771"/>
      <c r="BB141" s="771"/>
      <c r="BC141" s="771"/>
      <c r="BG141" s="771"/>
      <c r="BH141" s="771"/>
      <c r="BI141" s="771"/>
      <c r="BJ141" s="771"/>
      <c r="BK141" s="771"/>
    </row>
    <row r="142" spans="1:63" ht="12.75" customHeight="1" thickBot="1" x14ac:dyDescent="0.25">
      <c r="A142" s="314"/>
      <c r="B142" s="1832"/>
      <c r="C142" s="1823" t="str">
        <f>IF(C123=270,"3069959/",IF(C123=300,"3069959/",""))</f>
        <v/>
      </c>
      <c r="D142" s="1824" t="str">
        <f>IF(C142="","",VLOOKUP(C142,всецены,2,FALSE))</f>
        <v/>
      </c>
      <c r="E142" s="1825" t="str">
        <f>IF(C142="","",2)</f>
        <v/>
      </c>
      <c r="F142" s="1826" t="e">
        <f>VLOOKUP(C142,всецены,4,FALSE)</f>
        <v>#N/A</v>
      </c>
      <c r="G142" s="1827" t="str">
        <f>IF(C142="","",F142*E142)</f>
        <v/>
      </c>
      <c r="H142" s="2093"/>
      <c r="I142" s="771"/>
      <c r="J142" s="771"/>
      <c r="K142" s="771"/>
      <c r="L142" s="771"/>
      <c r="M142" s="771"/>
      <c r="N142" s="771"/>
      <c r="O142" s="771"/>
      <c r="P142" s="771"/>
      <c r="Q142" s="771"/>
      <c r="R142" s="771"/>
      <c r="S142" s="771"/>
      <c r="T142" s="771"/>
      <c r="U142" s="771"/>
      <c r="V142" s="1761"/>
      <c r="W142" s="1761"/>
      <c r="X142" s="1761"/>
      <c r="Y142" s="771"/>
      <c r="Z142" s="771"/>
      <c r="AA142" s="771"/>
      <c r="AB142" s="771"/>
      <c r="AC142" s="771"/>
      <c r="AD142" s="771"/>
      <c r="AE142" s="771"/>
      <c r="AF142" s="1761"/>
      <c r="AG142" s="1761"/>
      <c r="AH142" s="1761"/>
      <c r="AI142" s="1761"/>
      <c r="AJ142" s="1761"/>
      <c r="AK142" s="771"/>
      <c r="AL142" s="771"/>
      <c r="AM142" s="771"/>
      <c r="AN142" s="771"/>
      <c r="AO142" s="771"/>
      <c r="AP142" s="771"/>
      <c r="AQ142" s="771"/>
      <c r="AR142" s="1761"/>
      <c r="AS142" s="1761"/>
      <c r="AT142" s="1761"/>
      <c r="AU142" s="1761"/>
      <c r="AV142" s="1761"/>
      <c r="AW142" s="771"/>
      <c r="AX142" s="771"/>
      <c r="AY142" s="771"/>
      <c r="AZ142" s="771"/>
      <c r="BA142" s="771"/>
      <c r="BB142" s="771"/>
      <c r="BC142" s="771"/>
      <c r="BD142" s="1761"/>
      <c r="BE142" s="1761"/>
      <c r="BF142" s="1761"/>
      <c r="BG142" s="771"/>
      <c r="BH142" s="771"/>
      <c r="BI142" s="771"/>
      <c r="BJ142" s="771"/>
      <c r="BK142" s="771"/>
    </row>
    <row r="143" spans="1:63" ht="15.75" thickBot="1" x14ac:dyDescent="0.25">
      <c r="A143" s="314"/>
      <c r="B143" s="8"/>
      <c r="C143" s="8"/>
      <c r="D143" s="8"/>
      <c r="E143" s="1767"/>
      <c r="F143" s="8"/>
      <c r="G143" s="37"/>
      <c r="H143" s="35"/>
      <c r="I143" s="771"/>
      <c r="J143" s="771"/>
      <c r="K143" s="771"/>
      <c r="L143" s="771"/>
      <c r="M143" s="771"/>
      <c r="N143" s="771"/>
      <c r="O143" s="771"/>
      <c r="P143" s="771"/>
      <c r="Q143" s="771"/>
      <c r="R143" s="771"/>
      <c r="S143" s="771"/>
      <c r="T143" s="771"/>
      <c r="U143" s="771"/>
      <c r="V143" s="1761"/>
      <c r="W143" s="1761"/>
      <c r="X143" s="1761"/>
      <c r="Y143" s="771"/>
      <c r="Z143" s="771"/>
      <c r="AA143" s="771"/>
      <c r="AB143" s="771"/>
      <c r="AC143" s="771"/>
      <c r="AD143" s="771"/>
      <c r="AE143" s="771"/>
      <c r="AF143" s="1761"/>
      <c r="AG143" s="1761"/>
      <c r="AH143" s="1761"/>
      <c r="AI143" s="1761"/>
      <c r="AJ143" s="1761"/>
      <c r="AK143" s="771"/>
      <c r="AL143" s="771"/>
      <c r="AM143" s="771"/>
      <c r="AN143" s="771"/>
      <c r="AO143" s="771"/>
      <c r="AP143" s="771"/>
      <c r="AQ143" s="771"/>
      <c r="AR143" s="1761"/>
      <c r="AS143" s="1761"/>
      <c r="AT143" s="1761"/>
      <c r="AU143" s="1761"/>
      <c r="AV143" s="1761"/>
      <c r="AW143" s="771"/>
      <c r="AX143" s="771"/>
      <c r="AY143" s="771"/>
      <c r="AZ143" s="771"/>
      <c r="BA143" s="771"/>
      <c r="BB143" s="771"/>
      <c r="BC143" s="771"/>
      <c r="BD143" s="1761"/>
      <c r="BE143" s="1761"/>
      <c r="BF143" s="1761"/>
      <c r="BG143" s="771"/>
      <c r="BH143" s="771"/>
      <c r="BI143" s="771"/>
      <c r="BJ143" s="771"/>
      <c r="BK143" s="771"/>
    </row>
    <row r="144" spans="1:63" s="1761" customFormat="1" ht="20.25" x14ac:dyDescent="0.2">
      <c r="A144" s="8"/>
      <c r="B144" s="2015" t="s">
        <v>5193</v>
      </c>
      <c r="C144" s="2016"/>
      <c r="D144" s="2016"/>
      <c r="E144" s="2016"/>
      <c r="F144" s="2016"/>
      <c r="G144" s="2016"/>
      <c r="H144" s="372"/>
      <c r="J144" s="771"/>
      <c r="K144" s="771"/>
      <c r="L144" s="771"/>
      <c r="M144" s="771"/>
      <c r="N144" s="771"/>
      <c r="O144" s="771"/>
      <c r="P144" s="771"/>
      <c r="Q144" s="771"/>
      <c r="R144" s="771"/>
      <c r="S144" s="771"/>
      <c r="T144" s="771"/>
      <c r="U144" s="771"/>
      <c r="Y144" s="771"/>
      <c r="Z144" s="771"/>
      <c r="AA144" s="771"/>
      <c r="AB144" s="771"/>
      <c r="AC144" s="771"/>
      <c r="AD144" s="771"/>
      <c r="AE144" s="771"/>
      <c r="AK144" s="771"/>
      <c r="AL144" s="771"/>
      <c r="AM144" s="771"/>
      <c r="AN144" s="771"/>
      <c r="AO144" s="771"/>
      <c r="AP144" s="771"/>
      <c r="AQ144" s="771"/>
      <c r="AW144" s="771"/>
      <c r="AX144" s="771"/>
      <c r="AY144" s="771"/>
      <c r="AZ144" s="771"/>
      <c r="BA144" s="771"/>
      <c r="BB144" s="771"/>
      <c r="BC144" s="771"/>
    </row>
    <row r="145" spans="1:63" s="1761" customFormat="1" ht="20.25" x14ac:dyDescent="0.2">
      <c r="A145" s="17"/>
      <c r="B145" s="2018"/>
      <c r="C145" s="2019"/>
      <c r="D145" s="2019"/>
      <c r="E145" s="2019"/>
      <c r="F145" s="2019"/>
      <c r="G145" s="2019"/>
      <c r="H145" s="374"/>
    </row>
    <row r="146" spans="1:63" s="1761" customFormat="1" ht="26.25" customHeight="1" x14ac:dyDescent="0.2">
      <c r="A146" s="17"/>
      <c r="B146" s="2229" t="s">
        <v>5194</v>
      </c>
      <c r="C146" s="2230"/>
      <c r="D146" s="2230"/>
      <c r="E146" s="2230"/>
      <c r="F146" s="2230"/>
      <c r="G146" s="2230"/>
      <c r="H146" s="426"/>
    </row>
    <row r="147" spans="1:63" s="1761" customFormat="1" ht="15" x14ac:dyDescent="0.2">
      <c r="A147" s="17"/>
      <c r="B147" s="1769"/>
      <c r="C147" s="441"/>
      <c r="D147" s="95"/>
      <c r="E147" s="1760"/>
      <c r="F147" s="73"/>
      <c r="G147" s="95"/>
      <c r="H147" s="1765" t="str">
        <f>IF(СОДЕРЖАНИЕ!K48=1,"EUR","RUB")</f>
        <v>RUB</v>
      </c>
    </row>
    <row r="148" spans="1:63" s="1761" customFormat="1" x14ac:dyDescent="0.2">
      <c r="A148" s="17"/>
      <c r="B148" s="2072"/>
      <c r="C148" s="135" t="s">
        <v>1301</v>
      </c>
      <c r="D148" s="139" t="s">
        <v>784</v>
      </c>
      <c r="E148" s="140" t="s">
        <v>2117</v>
      </c>
      <c r="F148" s="139"/>
      <c r="G148" s="141" t="s">
        <v>2116</v>
      </c>
      <c r="H148" s="411"/>
    </row>
    <row r="149" spans="1:63" s="1761" customFormat="1" x14ac:dyDescent="0.2">
      <c r="A149" s="17"/>
      <c r="B149" s="2073"/>
      <c r="C149" s="1815" t="s">
        <v>3546</v>
      </c>
      <c r="D149" s="43" t="str">
        <f>VLOOKUP(C149,всецены,2,FALSE)</f>
        <v xml:space="preserve">LBX, Вал синхрониз. Tip-on BM T60L1118W </v>
      </c>
      <c r="E149" s="3">
        <v>1</v>
      </c>
      <c r="F149" s="12">
        <f>VLOOKUP(C149,всецены,4,FALSE)</f>
        <v>289.50361440000006</v>
      </c>
      <c r="G149" s="442">
        <f>F149*E149</f>
        <v>289.50361440000006</v>
      </c>
      <c r="H149" s="387">
        <f>G149</f>
        <v>289.50361440000006</v>
      </c>
    </row>
    <row r="150" spans="1:63" s="1761" customFormat="1" ht="13.5" thickBot="1" x14ac:dyDescent="0.25">
      <c r="A150" s="17"/>
      <c r="B150" s="2074"/>
      <c r="C150" s="1050" t="s">
        <v>3543</v>
      </c>
      <c r="D150" s="404" t="str">
        <f>VLOOKUP(C150,всецены,2,FALSE)</f>
        <v xml:space="preserve">LBX, Шестерня синхр. Tip-on BM T60.000D </v>
      </c>
      <c r="E150" s="355">
        <v>2</v>
      </c>
      <c r="F150" s="356">
        <f>VLOOKUP(C150,всецены,4,FALSE)</f>
        <v>16.264248000000002</v>
      </c>
      <c r="G150" s="443">
        <f>F150*E150</f>
        <v>32.528496000000004</v>
      </c>
      <c r="H150" s="390">
        <f>G150</f>
        <v>32.528496000000004</v>
      </c>
    </row>
    <row r="151" spans="1:63" s="1761" customFormat="1" x14ac:dyDescent="0.2">
      <c r="A151" s="17"/>
      <c r="B151" s="17"/>
      <c r="C151" s="17"/>
      <c r="D151" s="17"/>
      <c r="E151" s="1768"/>
      <c r="F151" s="17"/>
      <c r="G151" s="17"/>
      <c r="H151" s="35"/>
    </row>
    <row r="152" spans="1:63" x14ac:dyDescent="0.2">
      <c r="A152" s="1761"/>
      <c r="B152" s="8"/>
      <c r="C152" s="8"/>
      <c r="D152" s="8"/>
      <c r="E152" s="1767"/>
      <c r="F152" s="8"/>
      <c r="G152" s="37"/>
      <c r="H152" s="35"/>
      <c r="I152" s="771"/>
      <c r="J152" s="1761"/>
      <c r="K152" s="1761"/>
      <c r="L152" s="1761"/>
      <c r="M152" s="1761"/>
      <c r="N152" s="1761"/>
      <c r="O152" s="1761"/>
      <c r="P152" s="1761"/>
      <c r="Q152" s="1761"/>
      <c r="R152" s="1761"/>
      <c r="S152" s="1761"/>
      <c r="T152" s="1761"/>
      <c r="U152" s="1761"/>
      <c r="V152" s="1761"/>
      <c r="W152" s="1761"/>
      <c r="X152" s="1761"/>
      <c r="Y152" s="1761"/>
      <c r="Z152" s="1761"/>
      <c r="AA152" s="1761"/>
      <c r="AB152" s="1761"/>
      <c r="AC152" s="1761"/>
      <c r="AD152" s="1761"/>
      <c r="AE152" s="1761"/>
      <c r="AF152" s="1761"/>
      <c r="AG152" s="1761"/>
      <c r="AH152" s="1761"/>
      <c r="AI152" s="1761"/>
      <c r="AJ152" s="1761"/>
      <c r="AK152" s="1761"/>
      <c r="AL152" s="1761"/>
      <c r="AM152" s="1761"/>
      <c r="AN152" s="1761"/>
      <c r="AO152" s="1761"/>
      <c r="AP152" s="1761"/>
      <c r="AQ152" s="1761"/>
      <c r="AR152" s="1761"/>
      <c r="AS152" s="1761"/>
      <c r="AT152" s="1761"/>
      <c r="AU152" s="1761"/>
      <c r="AV152" s="1761"/>
      <c r="AW152" s="1761"/>
      <c r="AX152" s="1761"/>
      <c r="AY152" s="1761"/>
      <c r="AZ152" s="1761"/>
      <c r="BA152" s="1761"/>
      <c r="BB152" s="1761"/>
      <c r="BC152" s="1761"/>
      <c r="BD152" s="1761"/>
      <c r="BE152" s="1761"/>
      <c r="BF152" s="1761"/>
      <c r="BG152" s="771"/>
      <c r="BH152" s="771"/>
      <c r="BI152" s="771"/>
      <c r="BJ152" s="771"/>
      <c r="BK152" s="771"/>
    </row>
    <row r="153" spans="1:63" x14ac:dyDescent="0.2">
      <c r="A153" s="1761"/>
      <c r="B153" s="8"/>
      <c r="C153" s="8"/>
      <c r="D153" s="8"/>
      <c r="E153" s="1767"/>
      <c r="F153" s="8"/>
      <c r="G153" s="37"/>
      <c r="H153" s="35"/>
      <c r="I153" s="771"/>
      <c r="J153" s="771"/>
      <c r="K153" s="771"/>
      <c r="L153" s="771"/>
      <c r="M153" s="771"/>
      <c r="N153" s="771"/>
      <c r="O153" s="771"/>
      <c r="P153" s="771"/>
      <c r="Q153" s="771"/>
      <c r="R153" s="771"/>
      <c r="S153" s="771"/>
      <c r="T153" s="771"/>
      <c r="U153" s="771"/>
      <c r="V153" s="1761"/>
      <c r="W153" s="1761"/>
      <c r="X153" s="1761"/>
      <c r="Y153" s="771"/>
      <c r="Z153" s="771"/>
      <c r="AA153" s="771"/>
      <c r="AB153" s="771"/>
      <c r="AC153" s="771"/>
      <c r="AD153" s="771"/>
      <c r="AE153" s="771"/>
      <c r="AF153" s="1761"/>
      <c r="AG153" s="1761"/>
      <c r="AH153" s="1761"/>
      <c r="AI153" s="1761"/>
      <c r="AJ153" s="1761"/>
      <c r="AK153" s="771"/>
      <c r="AL153" s="771"/>
      <c r="AM153" s="771"/>
      <c r="AN153" s="771"/>
      <c r="AO153" s="771"/>
      <c r="AP153" s="771"/>
      <c r="AQ153" s="771"/>
      <c r="AR153" s="1761"/>
      <c r="AS153" s="1761"/>
      <c r="AT153" s="1761"/>
      <c r="AU153" s="1761"/>
      <c r="AV153" s="1761"/>
      <c r="AW153" s="771"/>
      <c r="AX153" s="771"/>
      <c r="AY153" s="771"/>
      <c r="AZ153" s="771"/>
      <c r="BA153" s="771"/>
      <c r="BB153" s="771"/>
      <c r="BC153" s="771"/>
      <c r="BD153" s="1761"/>
      <c r="BE153" s="1761"/>
      <c r="BF153" s="1761"/>
      <c r="BG153" s="771"/>
      <c r="BH153" s="771"/>
      <c r="BI153" s="771"/>
      <c r="BJ153" s="771"/>
      <c r="BK153" s="771"/>
    </row>
    <row r="154" spans="1:63" x14ac:dyDescent="0.2">
      <c r="A154" s="1761"/>
      <c r="B154" s="8"/>
      <c r="C154" s="8"/>
      <c r="D154" s="8"/>
      <c r="E154" s="1767"/>
      <c r="F154" s="8"/>
      <c r="G154" s="37"/>
      <c r="H154" s="35"/>
      <c r="I154" s="771"/>
      <c r="J154" s="771"/>
      <c r="K154" s="771"/>
      <c r="L154" s="771"/>
      <c r="M154" s="771"/>
      <c r="N154" s="771"/>
      <c r="O154" s="771"/>
      <c r="P154" s="771"/>
      <c r="Q154" s="771"/>
      <c r="R154" s="771"/>
      <c r="S154" s="771"/>
      <c r="T154" s="771"/>
      <c r="U154" s="771"/>
      <c r="V154" s="1761"/>
      <c r="W154" s="1761"/>
      <c r="X154" s="1761"/>
      <c r="Y154" s="771"/>
      <c r="Z154" s="771"/>
      <c r="AA154" s="771"/>
      <c r="AB154" s="771"/>
      <c r="AC154" s="771"/>
      <c r="AD154" s="771"/>
      <c r="AE154" s="771"/>
      <c r="AF154" s="1761"/>
      <c r="AG154" s="1761"/>
      <c r="AH154" s="1761"/>
      <c r="AI154" s="1761"/>
      <c r="AJ154" s="1761"/>
      <c r="AK154" s="771"/>
      <c r="AL154" s="771"/>
      <c r="AM154" s="771"/>
      <c r="AN154" s="771"/>
      <c r="AO154" s="771"/>
      <c r="AP154" s="771"/>
      <c r="AQ154" s="771"/>
      <c r="AR154" s="1761"/>
      <c r="AS154" s="1761"/>
      <c r="AT154" s="1761"/>
      <c r="AU154" s="1761"/>
      <c r="AV154" s="1761"/>
      <c r="AW154" s="771"/>
      <c r="AX154" s="771"/>
      <c r="AY154" s="771"/>
      <c r="AZ154" s="771"/>
      <c r="BA154" s="771"/>
      <c r="BB154" s="771"/>
      <c r="BC154" s="771"/>
      <c r="BD154" s="1761"/>
      <c r="BE154" s="1761"/>
      <c r="BF154" s="1761"/>
      <c r="BG154" s="771"/>
      <c r="BH154" s="771"/>
      <c r="BI154" s="771"/>
      <c r="BJ154" s="771"/>
      <c r="BK154" s="771"/>
    </row>
    <row r="155" spans="1:63" x14ac:dyDescent="0.2">
      <c r="A155" s="1761"/>
      <c r="B155" s="8"/>
      <c r="C155" s="8"/>
      <c r="D155" s="8"/>
      <c r="E155" s="1767"/>
      <c r="F155" s="8"/>
      <c r="G155" s="37"/>
      <c r="H155" s="35"/>
      <c r="I155" s="771"/>
      <c r="J155" s="771"/>
      <c r="K155" s="771"/>
      <c r="L155" s="771"/>
      <c r="M155" s="771"/>
      <c r="N155" s="771"/>
      <c r="O155" s="771"/>
      <c r="P155" s="771"/>
      <c r="Q155" s="771"/>
      <c r="R155" s="771"/>
      <c r="S155" s="771"/>
      <c r="T155" s="771"/>
      <c r="U155" s="771"/>
      <c r="V155" s="1761"/>
      <c r="W155" s="1761"/>
      <c r="X155" s="1761"/>
      <c r="Y155" s="771"/>
      <c r="Z155" s="771"/>
      <c r="AA155" s="771"/>
      <c r="AB155" s="771"/>
      <c r="AC155" s="771"/>
      <c r="AD155" s="771"/>
      <c r="AE155" s="771"/>
      <c r="AF155" s="1761"/>
      <c r="AG155" s="1761"/>
      <c r="AH155" s="1761"/>
      <c r="AI155" s="1761"/>
      <c r="AJ155" s="1761"/>
      <c r="AK155" s="771"/>
      <c r="AL155" s="771"/>
      <c r="AM155" s="771"/>
      <c r="AN155" s="771"/>
      <c r="AO155" s="771"/>
      <c r="AP155" s="771"/>
      <c r="AQ155" s="771"/>
      <c r="AR155" s="1761"/>
      <c r="AS155" s="1761"/>
      <c r="AT155" s="1761"/>
      <c r="AU155" s="1761"/>
      <c r="AV155" s="1761"/>
      <c r="AW155" s="771"/>
      <c r="AX155" s="771"/>
      <c r="AY155" s="771"/>
      <c r="AZ155" s="771"/>
      <c r="BA155" s="771"/>
      <c r="BB155" s="771"/>
      <c r="BC155" s="771"/>
      <c r="BD155" s="1761"/>
      <c r="BE155" s="1761"/>
      <c r="BF155" s="1761"/>
      <c r="BG155" s="771"/>
      <c r="BH155" s="771"/>
      <c r="BI155" s="771"/>
      <c r="BJ155" s="771"/>
      <c r="BK155" s="771"/>
    </row>
    <row r="156" spans="1:63" x14ac:dyDescent="0.2">
      <c r="A156" s="1761"/>
      <c r="B156" s="8"/>
      <c r="C156" s="8"/>
      <c r="D156" s="8"/>
      <c r="E156" s="1767"/>
      <c r="F156" s="8"/>
      <c r="G156" s="37"/>
      <c r="H156" s="35"/>
      <c r="I156" s="771"/>
      <c r="J156" s="771"/>
      <c r="K156" s="771"/>
      <c r="L156" s="771"/>
      <c r="M156" s="771"/>
      <c r="N156" s="771"/>
      <c r="O156" s="771"/>
      <c r="P156" s="771"/>
      <c r="Q156" s="771"/>
      <c r="R156" s="771"/>
      <c r="S156" s="771"/>
      <c r="T156" s="771"/>
      <c r="U156" s="771"/>
      <c r="V156" s="1761"/>
      <c r="W156" s="1761"/>
      <c r="X156" s="1761"/>
      <c r="Y156" s="771"/>
      <c r="Z156" s="771"/>
      <c r="AA156" s="771"/>
      <c r="AB156" s="771"/>
      <c r="AC156" s="771"/>
      <c r="AD156" s="771"/>
      <c r="AE156" s="771"/>
      <c r="AF156" s="1761"/>
      <c r="AG156" s="1761"/>
      <c r="AH156" s="1761"/>
      <c r="AI156" s="1761"/>
      <c r="AJ156" s="1761"/>
      <c r="AK156" s="771"/>
      <c r="AL156" s="771"/>
      <c r="AM156" s="771"/>
      <c r="AN156" s="771"/>
      <c r="AO156" s="771"/>
      <c r="AP156" s="771"/>
      <c r="AQ156" s="771"/>
      <c r="AR156" s="1761"/>
      <c r="AS156" s="1761"/>
      <c r="AT156" s="1761"/>
      <c r="AU156" s="1761"/>
      <c r="AV156" s="1761"/>
      <c r="AW156" s="771"/>
      <c r="AX156" s="771"/>
      <c r="AY156" s="771"/>
      <c r="AZ156" s="771"/>
      <c r="BA156" s="771"/>
      <c r="BB156" s="771"/>
      <c r="BC156" s="771"/>
      <c r="BD156" s="1761"/>
      <c r="BE156" s="1761"/>
      <c r="BF156" s="1761"/>
      <c r="BG156" s="771"/>
      <c r="BH156" s="771"/>
      <c r="BI156" s="771"/>
      <c r="BJ156" s="771"/>
      <c r="BK156" s="771"/>
    </row>
    <row r="157" spans="1:63" x14ac:dyDescent="0.2">
      <c r="A157" s="1761"/>
      <c r="B157" s="8"/>
      <c r="C157" s="8"/>
      <c r="D157" s="8"/>
      <c r="E157" s="1767"/>
      <c r="F157" s="8"/>
      <c r="G157" s="37"/>
      <c r="H157" s="35"/>
      <c r="I157" s="771"/>
      <c r="J157" s="771"/>
      <c r="K157" s="771"/>
      <c r="L157" s="771"/>
      <c r="M157" s="771"/>
      <c r="N157" s="771"/>
      <c r="O157" s="771"/>
      <c r="P157" s="771"/>
      <c r="Q157" s="771"/>
      <c r="R157" s="771"/>
      <c r="S157" s="771"/>
      <c r="T157" s="771"/>
      <c r="U157" s="771"/>
      <c r="V157" s="1761"/>
      <c r="W157" s="1761"/>
      <c r="X157" s="1761"/>
      <c r="Y157" s="771"/>
      <c r="Z157" s="771"/>
      <c r="AA157" s="771"/>
      <c r="AB157" s="771"/>
      <c r="AC157" s="771"/>
      <c r="AD157" s="771"/>
      <c r="AE157" s="771"/>
      <c r="AF157" s="1761"/>
      <c r="AG157" s="1761"/>
      <c r="AH157" s="1761"/>
      <c r="AI157" s="1761"/>
      <c r="AJ157" s="1761"/>
      <c r="AK157" s="771"/>
      <c r="AL157" s="771"/>
      <c r="AM157" s="771"/>
      <c r="AN157" s="771"/>
      <c r="AO157" s="771"/>
      <c r="AP157" s="771"/>
      <c r="AQ157" s="771"/>
      <c r="AR157" s="1761"/>
      <c r="AS157" s="1761"/>
      <c r="AT157" s="1761"/>
      <c r="AU157" s="1761"/>
      <c r="AV157" s="1761"/>
      <c r="AW157" s="771"/>
      <c r="AX157" s="771"/>
      <c r="AY157" s="771"/>
      <c r="AZ157" s="771"/>
      <c r="BA157" s="771"/>
      <c r="BB157" s="771"/>
      <c r="BC157" s="771"/>
      <c r="BD157" s="1761"/>
      <c r="BE157" s="1761"/>
      <c r="BF157" s="1761"/>
      <c r="BG157" s="771"/>
      <c r="BH157" s="771"/>
      <c r="BI157" s="771"/>
      <c r="BJ157" s="771"/>
      <c r="BK157" s="771"/>
    </row>
    <row r="158" spans="1:63" x14ac:dyDescent="0.2">
      <c r="A158" s="1761"/>
      <c r="B158" s="8"/>
      <c r="C158" s="8"/>
      <c r="D158" s="8"/>
      <c r="E158" s="1767"/>
      <c r="F158" s="8"/>
      <c r="G158" s="37"/>
      <c r="H158" s="35"/>
      <c r="I158" s="771"/>
      <c r="J158" s="771"/>
      <c r="K158" s="771"/>
      <c r="L158" s="771"/>
      <c r="M158" s="771"/>
      <c r="N158" s="771"/>
      <c r="O158" s="771"/>
      <c r="P158" s="771"/>
      <c r="Q158" s="771"/>
      <c r="R158" s="771"/>
      <c r="S158" s="771"/>
      <c r="T158" s="771"/>
      <c r="U158" s="771"/>
      <c r="V158" s="1761"/>
      <c r="W158" s="1761"/>
      <c r="X158" s="1761"/>
      <c r="Y158" s="771"/>
      <c r="Z158" s="771"/>
      <c r="AA158" s="771"/>
      <c r="AB158" s="771"/>
      <c r="AC158" s="771"/>
      <c r="AD158" s="771"/>
      <c r="AE158" s="771"/>
      <c r="AF158" s="1761"/>
      <c r="AG158" s="1761"/>
      <c r="AH158" s="1761"/>
      <c r="AI158" s="1761"/>
      <c r="AJ158" s="1761"/>
      <c r="AK158" s="771"/>
      <c r="AL158" s="771"/>
      <c r="AM158" s="771"/>
      <c r="AN158" s="771"/>
      <c r="AO158" s="771"/>
      <c r="AP158" s="771"/>
      <c r="AQ158" s="771"/>
      <c r="AR158" s="1761"/>
      <c r="AS158" s="1761"/>
      <c r="AT158" s="1761"/>
      <c r="AU158" s="1761"/>
      <c r="AV158" s="1761"/>
      <c r="AW158" s="771"/>
      <c r="AX158" s="771"/>
      <c r="AY158" s="771"/>
      <c r="AZ158" s="771"/>
      <c r="BA158" s="771"/>
      <c r="BB158" s="771"/>
      <c r="BC158" s="771"/>
      <c r="BD158" s="1761"/>
      <c r="BE158" s="1761"/>
      <c r="BF158" s="1761"/>
      <c r="BG158" s="771"/>
      <c r="BH158" s="771"/>
      <c r="BI158" s="771"/>
      <c r="BJ158" s="771"/>
      <c r="BK158" s="771"/>
    </row>
    <row r="159" spans="1:63" x14ac:dyDescent="0.2">
      <c r="A159" s="1761"/>
      <c r="B159" s="8"/>
      <c r="C159" s="8"/>
      <c r="D159" s="8"/>
      <c r="E159" s="1767"/>
      <c r="F159" s="8"/>
      <c r="G159" s="37"/>
      <c r="H159" s="35"/>
      <c r="I159" s="771"/>
      <c r="J159" s="771"/>
      <c r="K159" s="771"/>
      <c r="L159" s="771"/>
      <c r="M159" s="771"/>
      <c r="N159" s="771"/>
      <c r="O159" s="771"/>
      <c r="P159" s="771"/>
      <c r="Q159" s="771"/>
      <c r="R159" s="771"/>
      <c r="S159" s="771"/>
      <c r="T159" s="771"/>
      <c r="U159" s="771"/>
      <c r="V159" s="1761"/>
      <c r="W159" s="1761"/>
      <c r="X159" s="1761"/>
      <c r="Y159" s="771"/>
      <c r="Z159" s="771"/>
      <c r="AA159" s="771"/>
      <c r="AB159" s="771"/>
      <c r="AC159" s="771"/>
      <c r="AD159" s="771"/>
      <c r="AE159" s="771"/>
      <c r="AF159" s="1761"/>
      <c r="AG159" s="1761"/>
      <c r="AH159" s="1761"/>
      <c r="AI159" s="1761"/>
      <c r="AJ159" s="1761"/>
      <c r="AK159" s="771"/>
      <c r="AL159" s="771"/>
      <c r="AM159" s="771"/>
      <c r="AN159" s="771"/>
      <c r="AO159" s="771"/>
      <c r="AP159" s="771"/>
      <c r="AQ159" s="771"/>
      <c r="AR159" s="1761"/>
      <c r="AS159" s="1761"/>
      <c r="AT159" s="1761"/>
      <c r="AU159" s="1761"/>
      <c r="AV159" s="1761"/>
      <c r="AW159" s="771"/>
      <c r="AX159" s="771"/>
      <c r="AY159" s="771"/>
      <c r="AZ159" s="771"/>
      <c r="BA159" s="771"/>
      <c r="BB159" s="771"/>
      <c r="BC159" s="771"/>
      <c r="BD159" s="1761"/>
      <c r="BE159" s="1761"/>
      <c r="BF159" s="1761"/>
      <c r="BG159" s="771"/>
      <c r="BH159" s="771"/>
      <c r="BI159" s="771"/>
      <c r="BJ159" s="771"/>
      <c r="BK159" s="771"/>
    </row>
    <row r="160" spans="1:63" x14ac:dyDescent="0.2">
      <c r="A160" s="1761"/>
      <c r="B160" s="8"/>
      <c r="C160" s="8"/>
      <c r="D160" s="8"/>
      <c r="E160" s="1767"/>
      <c r="F160" s="8"/>
      <c r="G160" s="37"/>
      <c r="H160" s="35"/>
      <c r="I160" s="771"/>
      <c r="J160" s="771"/>
      <c r="K160" s="771"/>
      <c r="L160" s="771"/>
      <c r="M160" s="771"/>
      <c r="N160" s="771"/>
      <c r="O160" s="771"/>
      <c r="P160" s="771"/>
      <c r="Q160" s="771"/>
      <c r="R160" s="771"/>
      <c r="S160" s="771"/>
      <c r="T160" s="771"/>
      <c r="U160" s="771"/>
      <c r="V160" s="1761"/>
      <c r="W160" s="1761"/>
      <c r="X160" s="1761"/>
      <c r="Y160" s="771"/>
      <c r="Z160" s="771"/>
      <c r="AA160" s="771"/>
      <c r="AB160" s="771"/>
      <c r="AC160" s="771"/>
      <c r="AD160" s="771"/>
      <c r="AE160" s="771"/>
      <c r="AF160" s="1761"/>
      <c r="AG160" s="1761"/>
      <c r="AH160" s="1761"/>
      <c r="AI160" s="1761"/>
      <c r="AJ160" s="1761"/>
      <c r="AK160" s="771"/>
      <c r="AL160" s="771"/>
      <c r="AM160" s="771"/>
      <c r="AN160" s="771"/>
      <c r="AO160" s="771"/>
      <c r="AP160" s="771"/>
      <c r="AQ160" s="771"/>
      <c r="AR160" s="1761"/>
      <c r="AS160" s="1761"/>
      <c r="AT160" s="1761"/>
      <c r="AU160" s="1761"/>
      <c r="AV160" s="1761"/>
      <c r="AW160" s="771"/>
      <c r="AX160" s="771"/>
      <c r="AY160" s="771"/>
      <c r="AZ160" s="771"/>
      <c r="BA160" s="771"/>
      <c r="BB160" s="771"/>
      <c r="BC160" s="771"/>
      <c r="BD160" s="1761"/>
      <c r="BE160" s="1761"/>
      <c r="BF160" s="1761"/>
      <c r="BG160" s="771"/>
      <c r="BH160" s="771"/>
      <c r="BI160" s="771"/>
      <c r="BJ160" s="771"/>
      <c r="BK160" s="771"/>
    </row>
    <row r="161" spans="1:63" x14ac:dyDescent="0.2">
      <c r="A161" s="1761"/>
      <c r="B161" s="8"/>
      <c r="C161" s="8"/>
      <c r="D161" s="8"/>
      <c r="E161" s="1767"/>
      <c r="F161" s="8"/>
      <c r="G161" s="37"/>
      <c r="H161" s="35"/>
      <c r="I161" s="771"/>
      <c r="J161" s="771"/>
      <c r="K161" s="771"/>
      <c r="L161" s="771"/>
      <c r="M161" s="771"/>
      <c r="N161" s="771"/>
      <c r="O161" s="771"/>
      <c r="P161" s="771"/>
      <c r="Q161" s="771"/>
      <c r="R161" s="771"/>
      <c r="S161" s="771"/>
      <c r="T161" s="771"/>
      <c r="U161" s="771"/>
      <c r="V161" s="1761"/>
      <c r="W161" s="1761"/>
      <c r="X161" s="1761"/>
      <c r="Y161" s="771"/>
      <c r="Z161" s="771"/>
      <c r="AA161" s="771"/>
      <c r="AB161" s="771"/>
      <c r="AC161" s="771"/>
      <c r="AD161" s="771"/>
      <c r="AE161" s="771"/>
      <c r="AF161" s="1761"/>
      <c r="AG161" s="1761"/>
      <c r="AH161" s="1761"/>
      <c r="AI161" s="1761"/>
      <c r="AJ161" s="1761"/>
      <c r="AK161" s="771"/>
      <c r="AL161" s="771"/>
      <c r="AM161" s="771"/>
      <c r="AN161" s="771"/>
      <c r="AO161" s="771"/>
      <c r="AP161" s="771"/>
      <c r="AQ161" s="771"/>
      <c r="AR161" s="1761"/>
      <c r="AS161" s="1761"/>
      <c r="AT161" s="1761"/>
      <c r="AU161" s="1761"/>
      <c r="AV161" s="1761"/>
      <c r="AW161" s="771"/>
      <c r="AX161" s="771"/>
      <c r="AY161" s="771"/>
      <c r="AZ161" s="771"/>
      <c r="BA161" s="771"/>
      <c r="BB161" s="771"/>
      <c r="BC161" s="771"/>
      <c r="BD161" s="1761"/>
      <c r="BE161" s="1761"/>
      <c r="BF161" s="1761"/>
      <c r="BG161" s="771"/>
      <c r="BH161" s="771"/>
      <c r="BI161" s="771"/>
      <c r="BJ161" s="771"/>
      <c r="BK161" s="771"/>
    </row>
    <row r="162" spans="1:63" x14ac:dyDescent="0.2">
      <c r="A162" s="1761"/>
      <c r="B162" s="8"/>
      <c r="C162" s="8"/>
      <c r="D162" s="8"/>
      <c r="E162" s="1767"/>
      <c r="F162" s="8"/>
      <c r="G162" s="37"/>
      <c r="H162" s="35"/>
      <c r="I162" s="771"/>
      <c r="J162" s="771"/>
      <c r="K162" s="771"/>
      <c r="L162" s="771"/>
      <c r="M162" s="771"/>
      <c r="N162" s="771"/>
      <c r="O162" s="771"/>
      <c r="P162" s="771"/>
      <c r="Q162" s="771"/>
      <c r="R162" s="771"/>
      <c r="S162" s="771"/>
      <c r="T162" s="771"/>
      <c r="U162" s="771"/>
      <c r="V162" s="1761"/>
      <c r="W162" s="1761"/>
      <c r="X162" s="1761"/>
      <c r="Y162" s="771"/>
      <c r="Z162" s="771"/>
      <c r="AA162" s="771"/>
      <c r="AB162" s="771"/>
      <c r="AC162" s="771"/>
      <c r="AD162" s="771"/>
      <c r="AE162" s="771"/>
      <c r="AF162" s="1761"/>
      <c r="AG162" s="1761"/>
      <c r="AH162" s="1761"/>
      <c r="AI162" s="1761"/>
      <c r="AJ162" s="1761"/>
      <c r="AK162" s="771"/>
      <c r="AL162" s="771"/>
      <c r="AM162" s="771"/>
      <c r="AN162" s="771"/>
      <c r="AO162" s="771"/>
      <c r="AP162" s="771"/>
      <c r="AQ162" s="771"/>
      <c r="AR162" s="1761"/>
      <c r="AS162" s="1761"/>
      <c r="AT162" s="1761"/>
      <c r="AU162" s="1761"/>
      <c r="AV162" s="1761"/>
      <c r="AW162" s="771"/>
      <c r="AX162" s="771"/>
      <c r="AY162" s="771"/>
      <c r="AZ162" s="771"/>
      <c r="BA162" s="771"/>
      <c r="BB162" s="771"/>
      <c r="BC162" s="771"/>
      <c r="BD162" s="1761"/>
      <c r="BE162" s="1761"/>
      <c r="BF162" s="1761"/>
      <c r="BG162" s="771"/>
      <c r="BH162" s="771"/>
      <c r="BI162" s="771"/>
      <c r="BJ162" s="771"/>
      <c r="BK162" s="771"/>
    </row>
    <row r="163" spans="1:63" x14ac:dyDescent="0.2">
      <c r="A163" s="1761"/>
      <c r="B163" s="8"/>
      <c r="C163" s="8"/>
      <c r="D163" s="8"/>
      <c r="E163" s="1767"/>
      <c r="F163" s="8"/>
      <c r="G163" s="37"/>
      <c r="H163" s="35"/>
      <c r="I163" s="771"/>
      <c r="J163" s="771"/>
      <c r="K163" s="771"/>
      <c r="L163" s="771"/>
      <c r="M163" s="771"/>
      <c r="N163" s="771"/>
      <c r="O163" s="771"/>
      <c r="P163" s="771"/>
      <c r="Q163" s="771"/>
      <c r="R163" s="771"/>
      <c r="S163" s="771"/>
      <c r="T163" s="771"/>
      <c r="U163" s="771"/>
      <c r="V163" s="1761"/>
      <c r="W163" s="1761"/>
      <c r="X163" s="1761"/>
      <c r="Y163" s="771"/>
      <c r="Z163" s="771"/>
      <c r="AA163" s="771"/>
      <c r="AB163" s="771"/>
      <c r="AC163" s="771"/>
      <c r="AD163" s="771"/>
      <c r="AE163" s="771"/>
      <c r="AF163" s="1761"/>
      <c r="AG163" s="1761"/>
      <c r="AH163" s="1761"/>
      <c r="AI163" s="1761"/>
      <c r="AJ163" s="1761"/>
      <c r="AK163" s="771"/>
      <c r="AL163" s="771"/>
      <c r="AM163" s="771"/>
      <c r="AN163" s="771"/>
      <c r="AO163" s="771"/>
      <c r="AP163" s="771"/>
      <c r="AQ163" s="771"/>
      <c r="AR163" s="1761"/>
      <c r="AS163" s="1761"/>
      <c r="AT163" s="1761"/>
      <c r="AU163" s="1761"/>
      <c r="AV163" s="1761"/>
      <c r="AW163" s="771"/>
      <c r="AX163" s="771"/>
      <c r="AY163" s="771"/>
      <c r="AZ163" s="771"/>
      <c r="BA163" s="771"/>
      <c r="BB163" s="771"/>
      <c r="BC163" s="771"/>
      <c r="BD163" s="1761"/>
      <c r="BE163" s="1761"/>
      <c r="BF163" s="1761"/>
      <c r="BG163" s="771"/>
      <c r="BH163" s="771"/>
      <c r="BI163" s="771"/>
      <c r="BJ163" s="771"/>
      <c r="BK163" s="771"/>
    </row>
    <row r="164" spans="1:63" x14ac:dyDescent="0.2">
      <c r="A164" s="1761"/>
      <c r="B164" s="8"/>
      <c r="C164" s="8"/>
      <c r="D164" s="8"/>
      <c r="E164" s="1767"/>
      <c r="F164" s="8"/>
      <c r="G164" s="37"/>
      <c r="H164" s="35"/>
      <c r="I164" s="771"/>
      <c r="J164" s="771"/>
      <c r="K164" s="771"/>
      <c r="L164" s="771"/>
      <c r="M164" s="771"/>
      <c r="N164" s="771"/>
      <c r="O164" s="771"/>
      <c r="P164" s="771"/>
      <c r="Q164" s="771"/>
      <c r="R164" s="771"/>
      <c r="S164" s="771"/>
      <c r="T164" s="771"/>
      <c r="U164" s="771"/>
      <c r="V164" s="1761"/>
      <c r="W164" s="1761"/>
      <c r="X164" s="1761"/>
      <c r="Y164" s="771"/>
      <c r="Z164" s="771"/>
      <c r="AA164" s="771"/>
      <c r="AB164" s="771"/>
      <c r="AC164" s="771"/>
      <c r="AD164" s="771"/>
      <c r="AE164" s="771"/>
      <c r="AF164" s="1761"/>
      <c r="AG164" s="1761"/>
      <c r="AH164" s="1761"/>
      <c r="AI164" s="1761"/>
      <c r="AJ164" s="1761"/>
      <c r="AK164" s="771"/>
      <c r="AL164" s="771"/>
      <c r="AM164" s="771"/>
      <c r="AN164" s="771"/>
      <c r="AO164" s="771"/>
      <c r="AP164" s="771"/>
      <c r="AQ164" s="771"/>
      <c r="AR164" s="1761"/>
      <c r="AS164" s="1761"/>
      <c r="AT164" s="1761"/>
      <c r="AU164" s="1761"/>
      <c r="AV164" s="1761"/>
      <c r="AW164" s="771"/>
      <c r="AX164" s="771"/>
      <c r="AY164" s="771"/>
      <c r="AZ164" s="771"/>
      <c r="BA164" s="771"/>
      <c r="BB164" s="771"/>
      <c r="BC164" s="771"/>
      <c r="BD164" s="1761"/>
      <c r="BE164" s="1761"/>
      <c r="BF164" s="1761"/>
      <c r="BG164" s="771"/>
      <c r="BH164" s="771"/>
      <c r="BI164" s="771"/>
      <c r="BJ164" s="771"/>
      <c r="BK164" s="771"/>
    </row>
    <row r="165" spans="1:63" x14ac:dyDescent="0.2">
      <c r="A165" s="1761"/>
      <c r="B165" s="8"/>
      <c r="C165" s="8"/>
      <c r="D165" s="8"/>
      <c r="E165" s="1767"/>
      <c r="F165" s="8"/>
      <c r="G165" s="37"/>
      <c r="H165" s="35"/>
      <c r="I165" s="771"/>
      <c r="J165" s="771"/>
      <c r="K165" s="771"/>
      <c r="L165" s="771"/>
      <c r="M165" s="771"/>
      <c r="N165" s="771"/>
      <c r="O165" s="771"/>
      <c r="P165" s="771"/>
      <c r="Q165" s="771"/>
      <c r="R165" s="771"/>
      <c r="S165" s="771"/>
      <c r="T165" s="771"/>
      <c r="U165" s="771"/>
      <c r="V165" s="1761"/>
      <c r="W165" s="1761"/>
      <c r="X165" s="1761"/>
      <c r="Y165" s="771"/>
      <c r="Z165" s="771"/>
      <c r="AA165" s="771"/>
      <c r="AB165" s="771"/>
      <c r="AC165" s="771"/>
      <c r="AD165" s="771"/>
      <c r="AE165" s="771"/>
      <c r="AF165" s="1761"/>
      <c r="AG165" s="1761"/>
      <c r="AH165" s="1761"/>
      <c r="AI165" s="1761"/>
      <c r="AJ165" s="1761"/>
      <c r="AK165" s="771"/>
      <c r="AL165" s="771"/>
      <c r="AM165" s="771"/>
      <c r="AN165" s="771"/>
      <c r="AO165" s="771"/>
      <c r="AP165" s="771"/>
      <c r="AQ165" s="771"/>
      <c r="AR165" s="1761"/>
      <c r="AS165" s="1761"/>
      <c r="AT165" s="1761"/>
      <c r="AU165" s="1761"/>
      <c r="AV165" s="1761"/>
      <c r="AW165" s="771"/>
      <c r="AX165" s="771"/>
      <c r="AY165" s="771"/>
      <c r="AZ165" s="771"/>
      <c r="BA165" s="771"/>
      <c r="BB165" s="771"/>
      <c r="BC165" s="771"/>
      <c r="BD165" s="1761"/>
      <c r="BE165" s="1761"/>
      <c r="BF165" s="1761"/>
      <c r="BG165" s="771"/>
      <c r="BH165" s="771"/>
      <c r="BI165" s="771"/>
      <c r="BJ165" s="771"/>
      <c r="BK165" s="771"/>
    </row>
    <row r="166" spans="1:63" x14ac:dyDescent="0.2">
      <c r="A166" s="1761"/>
      <c r="B166" s="8"/>
      <c r="C166" s="8"/>
      <c r="D166" s="8"/>
      <c r="E166" s="1767"/>
      <c r="F166" s="8"/>
      <c r="G166" s="37"/>
      <c r="H166" s="35"/>
      <c r="I166" s="771"/>
      <c r="J166" s="771"/>
      <c r="K166" s="771"/>
      <c r="L166" s="771"/>
      <c r="M166" s="771"/>
      <c r="N166" s="771"/>
      <c r="O166" s="771"/>
      <c r="P166" s="771"/>
      <c r="Q166" s="771"/>
      <c r="R166" s="771"/>
      <c r="S166" s="771"/>
      <c r="T166" s="771"/>
      <c r="U166" s="771"/>
      <c r="V166" s="1761"/>
      <c r="W166" s="1761"/>
      <c r="X166" s="1761"/>
      <c r="Y166" s="771"/>
      <c r="Z166" s="771"/>
      <c r="AA166" s="771"/>
      <c r="AB166" s="771"/>
      <c r="AC166" s="771"/>
      <c r="AD166" s="771"/>
      <c r="AE166" s="771"/>
      <c r="AF166" s="1761"/>
      <c r="AG166" s="1761"/>
      <c r="AH166" s="1761"/>
      <c r="AI166" s="1761"/>
      <c r="AJ166" s="1761"/>
      <c r="AK166" s="771"/>
      <c r="AL166" s="771"/>
      <c r="AM166" s="771"/>
      <c r="AN166" s="771"/>
      <c r="AO166" s="771"/>
      <c r="AP166" s="771"/>
      <c r="AQ166" s="771"/>
      <c r="AR166" s="1761"/>
      <c r="AS166" s="1761"/>
      <c r="AT166" s="1761"/>
      <c r="AU166" s="1761"/>
      <c r="AV166" s="1761"/>
      <c r="AW166" s="771"/>
      <c r="AX166" s="771"/>
      <c r="AY166" s="771"/>
      <c r="AZ166" s="771"/>
      <c r="BA166" s="771"/>
      <c r="BB166" s="771"/>
      <c r="BC166" s="771"/>
      <c r="BD166" s="1761"/>
      <c r="BE166" s="1761"/>
      <c r="BF166" s="1761"/>
      <c r="BG166" s="771"/>
      <c r="BH166" s="771"/>
      <c r="BI166" s="771"/>
      <c r="BJ166" s="771"/>
      <c r="BK166" s="771"/>
    </row>
    <row r="167" spans="1:63" x14ac:dyDescent="0.2">
      <c r="A167" s="1761"/>
      <c r="B167" s="8"/>
      <c r="C167" s="8"/>
      <c r="D167" s="8"/>
      <c r="E167" s="1767"/>
      <c r="F167" s="8"/>
      <c r="G167" s="37"/>
      <c r="H167" s="35"/>
      <c r="I167" s="771"/>
      <c r="J167" s="771"/>
      <c r="K167" s="771"/>
      <c r="L167" s="771"/>
      <c r="M167" s="771"/>
      <c r="N167" s="771"/>
      <c r="O167" s="771"/>
      <c r="P167" s="771"/>
      <c r="Q167" s="771"/>
      <c r="R167" s="771"/>
      <c r="S167" s="771"/>
      <c r="T167" s="771"/>
      <c r="U167" s="771"/>
      <c r="V167" s="1761"/>
      <c r="W167" s="1761"/>
      <c r="X167" s="1761"/>
      <c r="Y167" s="771"/>
      <c r="Z167" s="771"/>
      <c r="AA167" s="771"/>
      <c r="AB167" s="771"/>
      <c r="AC167" s="771"/>
      <c r="AD167" s="771"/>
      <c r="AE167" s="771"/>
      <c r="AF167" s="1761"/>
      <c r="AG167" s="1761"/>
      <c r="AH167" s="1761"/>
      <c r="AI167" s="1761"/>
      <c r="AJ167" s="1761"/>
      <c r="AK167" s="771"/>
      <c r="AL167" s="771"/>
      <c r="AM167" s="771"/>
      <c r="AN167" s="771"/>
      <c r="AO167" s="771"/>
      <c r="AP167" s="771"/>
      <c r="AQ167" s="771"/>
      <c r="AR167" s="1761"/>
      <c r="AS167" s="1761"/>
      <c r="AT167" s="1761"/>
      <c r="AU167" s="1761"/>
      <c r="AV167" s="1761"/>
      <c r="AW167" s="771"/>
      <c r="AX167" s="771"/>
      <c r="AY167" s="771"/>
      <c r="AZ167" s="771"/>
      <c r="BA167" s="771"/>
      <c r="BB167" s="771"/>
      <c r="BC167" s="771"/>
      <c r="BD167" s="1761"/>
      <c r="BE167" s="1761"/>
      <c r="BF167" s="1761"/>
      <c r="BG167" s="771"/>
      <c r="BH167" s="771"/>
      <c r="BI167" s="771"/>
      <c r="BJ167" s="771"/>
      <c r="BK167" s="771"/>
    </row>
    <row r="168" spans="1:63" x14ac:dyDescent="0.2">
      <c r="A168" s="1761"/>
      <c r="B168" s="8"/>
      <c r="C168" s="8"/>
      <c r="D168" s="8"/>
      <c r="E168" s="1767"/>
      <c r="F168" s="8"/>
      <c r="G168" s="37"/>
      <c r="H168" s="35"/>
      <c r="I168" s="771"/>
      <c r="J168" s="771"/>
      <c r="K168" s="771"/>
      <c r="L168" s="771"/>
      <c r="M168" s="771"/>
      <c r="N168" s="771"/>
      <c r="O168" s="771"/>
      <c r="P168" s="771"/>
      <c r="Q168" s="771"/>
      <c r="R168" s="771"/>
      <c r="S168" s="771"/>
      <c r="T168" s="771"/>
      <c r="U168" s="771"/>
      <c r="V168" s="1761"/>
      <c r="W168" s="1761"/>
      <c r="X168" s="1761"/>
      <c r="Y168" s="771"/>
      <c r="Z168" s="771"/>
      <c r="AA168" s="771"/>
      <c r="AB168" s="771"/>
      <c r="AC168" s="771"/>
      <c r="AD168" s="771"/>
      <c r="AE168" s="771"/>
      <c r="AF168" s="1761"/>
      <c r="AG168" s="1761"/>
      <c r="AH168" s="1761"/>
      <c r="AI168" s="1761"/>
      <c r="AJ168" s="1761"/>
      <c r="AK168" s="771"/>
      <c r="AL168" s="771"/>
      <c r="AM168" s="771"/>
      <c r="AN168" s="771"/>
      <c r="AO168" s="771"/>
      <c r="AP168" s="771"/>
      <c r="AQ168" s="771"/>
      <c r="AR168" s="1761"/>
      <c r="AS168" s="1761"/>
      <c r="AT168" s="1761"/>
      <c r="AU168" s="1761"/>
      <c r="AV168" s="1761"/>
      <c r="AW168" s="771"/>
      <c r="AX168" s="771"/>
      <c r="AY168" s="771"/>
      <c r="AZ168" s="771"/>
      <c r="BA168" s="771"/>
      <c r="BB168" s="771"/>
      <c r="BC168" s="771"/>
      <c r="BD168" s="1761"/>
      <c r="BE168" s="1761"/>
      <c r="BF168" s="1761"/>
      <c r="BG168" s="771"/>
      <c r="BH168" s="771"/>
      <c r="BI168" s="771"/>
      <c r="BJ168" s="771"/>
      <c r="BK168" s="771"/>
    </row>
    <row r="169" spans="1:63" x14ac:dyDescent="0.2">
      <c r="A169" s="1761"/>
      <c r="B169" s="8"/>
      <c r="C169" s="8"/>
      <c r="D169" s="8"/>
      <c r="E169" s="1767"/>
      <c r="F169" s="8"/>
      <c r="G169" s="37"/>
      <c r="H169" s="35"/>
      <c r="I169" s="771"/>
      <c r="J169" s="771"/>
      <c r="K169" s="771"/>
      <c r="L169" s="771"/>
      <c r="M169" s="771"/>
      <c r="N169" s="771"/>
      <c r="O169" s="771"/>
      <c r="P169" s="771"/>
      <c r="Q169" s="771"/>
      <c r="R169" s="771"/>
      <c r="S169" s="771"/>
      <c r="T169" s="771"/>
      <c r="U169" s="771"/>
      <c r="V169" s="1761"/>
      <c r="W169" s="1761"/>
      <c r="X169" s="1761"/>
      <c r="Y169" s="771"/>
      <c r="Z169" s="771"/>
      <c r="AA169" s="771"/>
      <c r="AB169" s="771"/>
      <c r="AC169" s="771"/>
      <c r="AD169" s="771"/>
      <c r="AE169" s="771"/>
      <c r="AF169" s="1761"/>
      <c r="AG169" s="1761"/>
      <c r="AH169" s="1761"/>
      <c r="AI169" s="1761"/>
      <c r="AJ169" s="1761"/>
      <c r="AK169" s="771"/>
      <c r="AL169" s="771"/>
      <c r="AM169" s="771"/>
      <c r="AN169" s="771"/>
      <c r="AO169" s="771"/>
      <c r="AP169" s="771"/>
      <c r="AQ169" s="771"/>
      <c r="AR169" s="1761"/>
      <c r="AS169" s="1761"/>
      <c r="AT169" s="1761"/>
      <c r="AU169" s="1761"/>
      <c r="AV169" s="1761"/>
      <c r="AW169" s="771"/>
      <c r="AX169" s="771"/>
      <c r="AY169" s="771"/>
      <c r="AZ169" s="771"/>
      <c r="BA169" s="771"/>
      <c r="BB169" s="771"/>
      <c r="BC169" s="771"/>
      <c r="BD169" s="1761"/>
      <c r="BE169" s="1761"/>
      <c r="BF169" s="1761"/>
      <c r="BG169" s="771"/>
      <c r="BH169" s="771"/>
      <c r="BI169" s="771"/>
      <c r="BJ169" s="771"/>
      <c r="BK169" s="771"/>
    </row>
    <row r="170" spans="1:63" x14ac:dyDescent="0.2">
      <c r="A170" s="1761"/>
      <c r="B170" s="8"/>
      <c r="C170" s="8"/>
      <c r="D170" s="8"/>
      <c r="E170" s="1767"/>
      <c r="F170" s="8"/>
      <c r="G170" s="37"/>
      <c r="H170" s="35"/>
      <c r="I170" s="771"/>
      <c r="J170" s="771"/>
      <c r="K170" s="771"/>
      <c r="L170" s="771"/>
      <c r="M170" s="771"/>
      <c r="N170" s="771"/>
      <c r="O170" s="771"/>
      <c r="P170" s="771"/>
      <c r="Q170" s="771"/>
      <c r="R170" s="771"/>
      <c r="S170" s="771"/>
      <c r="T170" s="771"/>
      <c r="U170" s="771"/>
      <c r="V170" s="1761"/>
      <c r="W170" s="1761"/>
      <c r="X170" s="1761"/>
      <c r="Y170" s="771"/>
      <c r="Z170" s="771"/>
      <c r="AA170" s="771"/>
      <c r="AB170" s="771"/>
      <c r="AC170" s="771"/>
      <c r="AD170" s="771"/>
      <c r="AE170" s="771"/>
      <c r="AF170" s="1761"/>
      <c r="AG170" s="1761"/>
      <c r="AH170" s="1761"/>
      <c r="AI170" s="1761"/>
      <c r="AJ170" s="1761"/>
      <c r="AK170" s="771"/>
      <c r="AL170" s="771"/>
      <c r="AM170" s="771"/>
      <c r="AN170" s="771"/>
      <c r="AO170" s="771"/>
      <c r="AP170" s="771"/>
      <c r="AQ170" s="771"/>
      <c r="AR170" s="1761"/>
      <c r="AS170" s="1761"/>
      <c r="AT170" s="1761"/>
      <c r="AU170" s="1761"/>
      <c r="AV170" s="1761"/>
      <c r="AW170" s="771"/>
      <c r="AX170" s="771"/>
      <c r="AY170" s="771"/>
      <c r="AZ170" s="771"/>
      <c r="BA170" s="771"/>
      <c r="BB170" s="771"/>
      <c r="BC170" s="771"/>
      <c r="BD170" s="1761"/>
      <c r="BE170" s="1761"/>
      <c r="BF170" s="1761"/>
      <c r="BG170" s="771"/>
      <c r="BH170" s="771"/>
      <c r="BI170" s="771"/>
      <c r="BJ170" s="771"/>
      <c r="BK170" s="771"/>
    </row>
    <row r="171" spans="1:63" x14ac:dyDescent="0.2">
      <c r="A171" s="1761"/>
      <c r="B171" s="8"/>
      <c r="C171" s="8"/>
      <c r="D171" s="8"/>
      <c r="E171" s="1767"/>
      <c r="F171" s="8"/>
      <c r="G171" s="37"/>
      <c r="H171" s="35"/>
      <c r="I171" s="771"/>
      <c r="J171" s="771"/>
      <c r="K171" s="771"/>
      <c r="L171" s="771"/>
      <c r="M171" s="771"/>
      <c r="N171" s="771"/>
      <c r="O171" s="771"/>
      <c r="P171" s="771"/>
      <c r="Q171" s="771"/>
      <c r="R171" s="771"/>
      <c r="S171" s="771"/>
      <c r="T171" s="771"/>
      <c r="U171" s="771"/>
      <c r="V171" s="1761"/>
      <c r="W171" s="1761"/>
      <c r="X171" s="1761"/>
      <c r="Y171" s="771"/>
      <c r="Z171" s="771"/>
      <c r="AA171" s="771"/>
      <c r="AB171" s="771"/>
      <c r="AC171" s="771"/>
      <c r="AD171" s="771"/>
      <c r="AE171" s="771"/>
      <c r="AF171" s="1761"/>
      <c r="AG171" s="1761"/>
      <c r="AH171" s="1761"/>
      <c r="AI171" s="1761"/>
      <c r="AJ171" s="1761"/>
      <c r="AK171" s="771"/>
      <c r="AL171" s="771"/>
      <c r="AM171" s="771"/>
      <c r="AN171" s="771"/>
      <c r="AO171" s="771"/>
      <c r="AP171" s="771"/>
      <c r="AQ171" s="771"/>
      <c r="AR171" s="1761"/>
      <c r="AS171" s="1761"/>
      <c r="AT171" s="1761"/>
      <c r="AU171" s="1761"/>
      <c r="AV171" s="1761"/>
      <c r="AW171" s="771"/>
      <c r="AX171" s="771"/>
      <c r="AY171" s="771"/>
      <c r="AZ171" s="771"/>
      <c r="BA171" s="771"/>
      <c r="BB171" s="771"/>
      <c r="BC171" s="771"/>
      <c r="BD171" s="1761"/>
      <c r="BE171" s="1761"/>
      <c r="BF171" s="1761"/>
      <c r="BG171" s="771"/>
      <c r="BH171" s="771"/>
      <c r="BI171" s="771"/>
      <c r="BJ171" s="771"/>
      <c r="BK171" s="771"/>
    </row>
    <row r="172" spans="1:63" x14ac:dyDescent="0.2">
      <c r="A172" s="1761"/>
      <c r="B172" s="8"/>
      <c r="C172" s="8"/>
      <c r="D172" s="8"/>
      <c r="E172" s="1767"/>
      <c r="F172" s="8"/>
      <c r="G172" s="37"/>
      <c r="H172" s="35"/>
      <c r="I172" s="771"/>
      <c r="J172" s="771"/>
      <c r="K172" s="771"/>
      <c r="L172" s="771"/>
      <c r="M172" s="771"/>
      <c r="N172" s="771"/>
      <c r="O172" s="771"/>
      <c r="P172" s="771"/>
      <c r="Q172" s="771"/>
      <c r="R172" s="771"/>
      <c r="S172" s="771"/>
      <c r="T172" s="771"/>
      <c r="U172" s="771"/>
      <c r="V172" s="1761"/>
      <c r="W172" s="1761"/>
      <c r="X172" s="1761"/>
      <c r="Y172" s="771"/>
      <c r="Z172" s="771"/>
      <c r="AA172" s="771"/>
      <c r="AB172" s="771"/>
      <c r="AC172" s="771"/>
      <c r="AD172" s="771"/>
      <c r="AE172" s="771"/>
      <c r="AF172" s="1761"/>
      <c r="AG172" s="1761"/>
      <c r="AH172" s="1761"/>
      <c r="AI172" s="1761"/>
      <c r="AJ172" s="1761"/>
      <c r="AK172" s="771"/>
      <c r="AL172" s="771"/>
      <c r="AM172" s="771"/>
      <c r="AN172" s="771"/>
      <c r="AO172" s="771"/>
      <c r="AP172" s="771"/>
      <c r="AQ172" s="771"/>
      <c r="AR172" s="1761"/>
      <c r="AS172" s="1761"/>
      <c r="AT172" s="1761"/>
      <c r="AU172" s="1761"/>
      <c r="AV172" s="1761"/>
      <c r="AW172" s="771"/>
      <c r="AX172" s="771"/>
      <c r="AY172" s="771"/>
      <c r="AZ172" s="771"/>
      <c r="BA172" s="771"/>
      <c r="BB172" s="771"/>
      <c r="BC172" s="771"/>
      <c r="BD172" s="1761"/>
      <c r="BE172" s="1761"/>
      <c r="BF172" s="1761"/>
      <c r="BG172" s="771"/>
      <c r="BH172" s="771"/>
      <c r="BI172" s="771"/>
      <c r="BJ172" s="771"/>
      <c r="BK172" s="771"/>
    </row>
    <row r="173" spans="1:63" x14ac:dyDescent="0.2">
      <c r="A173" s="1761"/>
      <c r="B173" s="8"/>
      <c r="C173" s="8"/>
      <c r="D173" s="8"/>
      <c r="E173" s="1767"/>
      <c r="F173" s="8"/>
      <c r="G173" s="37"/>
      <c r="H173" s="35"/>
      <c r="I173" s="771"/>
      <c r="J173" s="771"/>
      <c r="K173" s="771"/>
      <c r="L173" s="771"/>
      <c r="M173" s="771"/>
      <c r="N173" s="771"/>
      <c r="O173" s="771"/>
      <c r="P173" s="771"/>
      <c r="Q173" s="771"/>
      <c r="R173" s="771"/>
      <c r="S173" s="771"/>
      <c r="T173" s="771"/>
      <c r="U173" s="771"/>
      <c r="V173" s="1761"/>
      <c r="W173" s="1761"/>
      <c r="X173" s="1761"/>
      <c r="Y173" s="771"/>
      <c r="Z173" s="771"/>
      <c r="AA173" s="771"/>
      <c r="AB173" s="771"/>
      <c r="AC173" s="771"/>
      <c r="AD173" s="771"/>
      <c r="AE173" s="771"/>
      <c r="AF173" s="1761"/>
      <c r="AG173" s="1761"/>
      <c r="AH173" s="1761"/>
      <c r="AI173" s="1761"/>
      <c r="AJ173" s="1761"/>
      <c r="AK173" s="771"/>
      <c r="AL173" s="771"/>
      <c r="AM173" s="771"/>
      <c r="AN173" s="771"/>
      <c r="AO173" s="771"/>
      <c r="AP173" s="771"/>
      <c r="AQ173" s="771"/>
      <c r="AR173" s="1761"/>
      <c r="AS173" s="1761"/>
      <c r="AT173" s="1761"/>
      <c r="AU173" s="1761"/>
      <c r="AV173" s="1761"/>
      <c r="AW173" s="771"/>
      <c r="AX173" s="771"/>
      <c r="AY173" s="771"/>
      <c r="AZ173" s="771"/>
      <c r="BA173" s="771"/>
      <c r="BB173" s="771"/>
      <c r="BC173" s="771"/>
      <c r="BD173" s="1761"/>
      <c r="BE173" s="1761"/>
      <c r="BF173" s="1761"/>
      <c r="BG173" s="771"/>
      <c r="BH173" s="771"/>
      <c r="BI173" s="771"/>
      <c r="BJ173" s="771"/>
      <c r="BK173" s="771"/>
    </row>
    <row r="174" spans="1:63" x14ac:dyDescent="0.2">
      <c r="A174" s="1761"/>
      <c r="B174" s="8"/>
      <c r="C174" s="8"/>
      <c r="D174" s="8"/>
      <c r="E174" s="1767"/>
      <c r="F174" s="8"/>
      <c r="G174" s="37"/>
      <c r="H174" s="35"/>
      <c r="I174" s="771"/>
      <c r="J174" s="771"/>
      <c r="K174" s="771"/>
      <c r="L174" s="771"/>
      <c r="M174" s="771"/>
      <c r="N174" s="771"/>
      <c r="O174" s="771"/>
      <c r="P174" s="771"/>
      <c r="Q174" s="771"/>
      <c r="R174" s="771"/>
      <c r="S174" s="771"/>
      <c r="T174" s="771"/>
      <c r="U174" s="771"/>
      <c r="V174" s="1761"/>
      <c r="W174" s="1761"/>
      <c r="X174" s="1761"/>
      <c r="Y174" s="771"/>
      <c r="Z174" s="771"/>
      <c r="AA174" s="771"/>
      <c r="AB174" s="771"/>
      <c r="AC174" s="771"/>
      <c r="AD174" s="771"/>
      <c r="AE174" s="771"/>
      <c r="AF174" s="1761"/>
      <c r="AG174" s="1761"/>
      <c r="AH174" s="1761"/>
      <c r="AI174" s="1761"/>
      <c r="AJ174" s="1761"/>
      <c r="AK174" s="771"/>
      <c r="AL174" s="771"/>
      <c r="AM174" s="771"/>
      <c r="AN174" s="771"/>
      <c r="AO174" s="771"/>
      <c r="AP174" s="771"/>
      <c r="AQ174" s="771"/>
      <c r="AR174" s="1761"/>
      <c r="AS174" s="1761"/>
      <c r="AT174" s="1761"/>
      <c r="AU174" s="1761"/>
      <c r="AV174" s="1761"/>
      <c r="AW174" s="771"/>
      <c r="AX174" s="771"/>
      <c r="AY174" s="771"/>
      <c r="AZ174" s="771"/>
      <c r="BA174" s="771"/>
      <c r="BB174" s="771"/>
      <c r="BC174" s="771"/>
      <c r="BD174" s="1761"/>
      <c r="BE174" s="1761"/>
      <c r="BF174" s="1761"/>
      <c r="BG174" s="771"/>
      <c r="BH174" s="771"/>
      <c r="BI174" s="771"/>
      <c r="BJ174" s="771"/>
      <c r="BK174" s="771"/>
    </row>
    <row r="175" spans="1:63" x14ac:dyDescent="0.2">
      <c r="A175" s="1761"/>
      <c r="B175" s="8"/>
      <c r="C175" s="8"/>
      <c r="D175" s="8"/>
      <c r="E175" s="1767"/>
      <c r="F175" s="8"/>
      <c r="G175" s="37"/>
      <c r="H175" s="35"/>
      <c r="I175" s="771"/>
      <c r="J175" s="771"/>
      <c r="K175" s="771"/>
      <c r="L175" s="771"/>
      <c r="M175" s="771"/>
      <c r="N175" s="771"/>
      <c r="O175" s="771"/>
      <c r="P175" s="771"/>
      <c r="Q175" s="771"/>
      <c r="R175" s="771"/>
      <c r="S175" s="771"/>
      <c r="T175" s="771"/>
      <c r="U175" s="771"/>
      <c r="V175" s="1761"/>
      <c r="W175" s="1761"/>
      <c r="X175" s="1761"/>
      <c r="Y175" s="771"/>
      <c r="Z175" s="771"/>
      <c r="AA175" s="771"/>
      <c r="AB175" s="771"/>
      <c r="AC175" s="771"/>
      <c r="AD175" s="771"/>
      <c r="AE175" s="771"/>
      <c r="AF175" s="1761"/>
      <c r="AG175" s="1761"/>
      <c r="AH175" s="1761"/>
      <c r="AI175" s="1761"/>
      <c r="AJ175" s="1761"/>
      <c r="AK175" s="771"/>
      <c r="AL175" s="771"/>
      <c r="AM175" s="771"/>
      <c r="AN175" s="771"/>
      <c r="AO175" s="771"/>
      <c r="AP175" s="771"/>
      <c r="AQ175" s="771"/>
      <c r="AR175" s="1761"/>
      <c r="AS175" s="1761"/>
      <c r="AT175" s="1761"/>
      <c r="AU175" s="1761"/>
      <c r="AV175" s="1761"/>
      <c r="AW175" s="771"/>
      <c r="AX175" s="771"/>
      <c r="AY175" s="771"/>
      <c r="AZ175" s="771"/>
      <c r="BA175" s="771"/>
      <c r="BB175" s="771"/>
      <c r="BC175" s="771"/>
      <c r="BD175" s="1761"/>
      <c r="BE175" s="1761"/>
      <c r="BF175" s="1761"/>
      <c r="BG175" s="771"/>
      <c r="BH175" s="771"/>
      <c r="BI175" s="771"/>
      <c r="BJ175" s="771"/>
      <c r="BK175" s="771"/>
    </row>
    <row r="176" spans="1:63" x14ac:dyDescent="0.2">
      <c r="A176" s="1761"/>
      <c r="B176" s="8"/>
      <c r="C176" s="8"/>
      <c r="D176" s="8"/>
      <c r="E176" s="1767"/>
      <c r="F176" s="8"/>
      <c r="G176" s="37"/>
      <c r="H176" s="35"/>
      <c r="I176" s="771"/>
      <c r="J176" s="771"/>
      <c r="K176" s="771"/>
      <c r="L176" s="771"/>
      <c r="M176" s="771"/>
      <c r="N176" s="771"/>
      <c r="O176" s="771"/>
      <c r="P176" s="771"/>
      <c r="Q176" s="771"/>
      <c r="R176" s="771"/>
      <c r="S176" s="771"/>
      <c r="T176" s="771"/>
      <c r="U176" s="771"/>
      <c r="V176" s="1761"/>
      <c r="W176" s="1761"/>
      <c r="X176" s="1761"/>
      <c r="Y176" s="771"/>
      <c r="Z176" s="771"/>
      <c r="AA176" s="771"/>
      <c r="AB176" s="771"/>
      <c r="AC176" s="771"/>
      <c r="AD176" s="771"/>
      <c r="AE176" s="771"/>
      <c r="AF176" s="1761"/>
      <c r="AG176" s="1761"/>
      <c r="AH176" s="1761"/>
      <c r="AI176" s="1761"/>
      <c r="AJ176" s="1761"/>
      <c r="AK176" s="771"/>
      <c r="AL176" s="771"/>
      <c r="AM176" s="771"/>
      <c r="AN176" s="771"/>
      <c r="AO176" s="771"/>
      <c r="AP176" s="771"/>
      <c r="AQ176" s="771"/>
      <c r="AR176" s="1761"/>
      <c r="AS176" s="1761"/>
      <c r="AT176" s="1761"/>
      <c r="AU176" s="1761"/>
      <c r="AV176" s="1761"/>
      <c r="AW176" s="771"/>
      <c r="AX176" s="771"/>
      <c r="AY176" s="771"/>
      <c r="AZ176" s="771"/>
      <c r="BA176" s="771"/>
      <c r="BB176" s="771"/>
      <c r="BC176" s="771"/>
      <c r="BD176" s="1761"/>
      <c r="BE176" s="1761"/>
      <c r="BF176" s="1761"/>
      <c r="BG176" s="771"/>
      <c r="BH176" s="771"/>
      <c r="BI176" s="771"/>
      <c r="BJ176" s="771"/>
      <c r="BK176" s="771"/>
    </row>
    <row r="177" spans="1:63" x14ac:dyDescent="0.2">
      <c r="A177" s="1761"/>
      <c r="B177" s="8"/>
      <c r="C177" s="8"/>
      <c r="D177" s="8"/>
      <c r="E177" s="1767"/>
      <c r="F177" s="8"/>
      <c r="G177" s="37"/>
      <c r="H177" s="35"/>
      <c r="I177" s="771"/>
      <c r="J177" s="771"/>
      <c r="K177" s="771"/>
      <c r="L177" s="771"/>
      <c r="M177" s="771"/>
      <c r="N177" s="771"/>
      <c r="O177" s="771"/>
      <c r="P177" s="771"/>
      <c r="Q177" s="771"/>
      <c r="R177" s="771"/>
      <c r="S177" s="771"/>
      <c r="T177" s="771"/>
      <c r="U177" s="771"/>
      <c r="V177" s="1761"/>
      <c r="W177" s="1761"/>
      <c r="X177" s="1761"/>
      <c r="Y177" s="771"/>
      <c r="Z177" s="771"/>
      <c r="AA177" s="771"/>
      <c r="AB177" s="771"/>
      <c r="AC177" s="771"/>
      <c r="AD177" s="771"/>
      <c r="AE177" s="771"/>
      <c r="AF177" s="1761"/>
      <c r="AG177" s="1761"/>
      <c r="AH177" s="1761"/>
      <c r="AI177" s="1761"/>
      <c r="AJ177" s="1761"/>
      <c r="AK177" s="771"/>
      <c r="AL177" s="771"/>
      <c r="AM177" s="771"/>
      <c r="AN177" s="771"/>
      <c r="AO177" s="771"/>
      <c r="AP177" s="771"/>
      <c r="AQ177" s="771"/>
      <c r="AR177" s="1761"/>
      <c r="AS177" s="1761"/>
      <c r="AT177" s="1761"/>
      <c r="AU177" s="1761"/>
      <c r="AV177" s="1761"/>
      <c r="AW177" s="771"/>
      <c r="AX177" s="771"/>
      <c r="AY177" s="771"/>
      <c r="AZ177" s="771"/>
      <c r="BA177" s="771"/>
      <c r="BB177" s="771"/>
      <c r="BC177" s="771"/>
      <c r="BD177" s="1761"/>
      <c r="BE177" s="1761"/>
      <c r="BF177" s="1761"/>
      <c r="BG177" s="771"/>
      <c r="BH177" s="771"/>
      <c r="BI177" s="771"/>
      <c r="BJ177" s="771"/>
      <c r="BK177" s="771"/>
    </row>
    <row r="178" spans="1:63" x14ac:dyDescent="0.2">
      <c r="A178" s="1761"/>
      <c r="B178" s="8"/>
      <c r="C178" s="8"/>
      <c r="D178" s="8"/>
      <c r="E178" s="1767"/>
      <c r="F178" s="8"/>
      <c r="G178" s="37"/>
      <c r="H178" s="35"/>
      <c r="I178" s="771"/>
      <c r="J178" s="771"/>
      <c r="K178" s="771"/>
      <c r="L178" s="771"/>
      <c r="M178" s="771"/>
      <c r="N178" s="771"/>
      <c r="O178" s="771"/>
      <c r="P178" s="771"/>
      <c r="Q178" s="771"/>
      <c r="R178" s="771"/>
      <c r="S178" s="771"/>
      <c r="T178" s="771"/>
      <c r="U178" s="771"/>
      <c r="V178" s="1761"/>
      <c r="W178" s="1761"/>
      <c r="X178" s="1761"/>
      <c r="Y178" s="771"/>
      <c r="Z178" s="771"/>
      <c r="AA178" s="771"/>
      <c r="AB178" s="771"/>
      <c r="AC178" s="771"/>
      <c r="AD178" s="771"/>
      <c r="AE178" s="771"/>
      <c r="AF178" s="1761"/>
      <c r="AG178" s="1761"/>
      <c r="AH178" s="1761"/>
      <c r="AI178" s="1761"/>
      <c r="AJ178" s="1761"/>
      <c r="AK178" s="771"/>
      <c r="AL178" s="771"/>
      <c r="AM178" s="771"/>
      <c r="AN178" s="771"/>
      <c r="AO178" s="771"/>
      <c r="AP178" s="771"/>
      <c r="AQ178" s="771"/>
      <c r="AR178" s="1761"/>
      <c r="AS178" s="1761"/>
      <c r="AT178" s="1761"/>
      <c r="AU178" s="1761"/>
      <c r="AV178" s="1761"/>
      <c r="AW178" s="771"/>
      <c r="AX178" s="771"/>
      <c r="AY178" s="771"/>
      <c r="AZ178" s="771"/>
      <c r="BA178" s="771"/>
      <c r="BB178" s="771"/>
      <c r="BC178" s="771"/>
      <c r="BD178" s="1761"/>
      <c r="BE178" s="1761"/>
      <c r="BF178" s="1761"/>
      <c r="BG178" s="771"/>
      <c r="BH178" s="771"/>
      <c r="BI178" s="771"/>
      <c r="BJ178" s="771"/>
      <c r="BK178" s="771"/>
    </row>
    <row r="179" spans="1:63" x14ac:dyDescent="0.2">
      <c r="A179" s="1761"/>
      <c r="B179" s="8"/>
      <c r="C179" s="8"/>
      <c r="D179" s="8"/>
      <c r="E179" s="1767"/>
      <c r="F179" s="8"/>
      <c r="G179" s="37"/>
      <c r="H179" s="35"/>
      <c r="I179" s="771"/>
      <c r="J179" s="771"/>
      <c r="K179" s="771"/>
      <c r="L179" s="771"/>
      <c r="M179" s="771"/>
      <c r="N179" s="771"/>
      <c r="O179" s="771"/>
      <c r="P179" s="771"/>
      <c r="Q179" s="771"/>
      <c r="R179" s="771"/>
      <c r="S179" s="771"/>
      <c r="T179" s="771"/>
      <c r="U179" s="771"/>
      <c r="V179" s="1761"/>
      <c r="W179" s="1761"/>
      <c r="X179" s="1761"/>
      <c r="Y179" s="771"/>
      <c r="Z179" s="771"/>
      <c r="AA179" s="771"/>
      <c r="AB179" s="771"/>
      <c r="AC179" s="771"/>
      <c r="AD179" s="771"/>
      <c r="AE179" s="771"/>
      <c r="AF179" s="1761"/>
      <c r="AG179" s="1761"/>
      <c r="AH179" s="1761"/>
      <c r="AI179" s="1761"/>
      <c r="AJ179" s="1761"/>
      <c r="AK179" s="771"/>
      <c r="AL179" s="771"/>
      <c r="AM179" s="771"/>
      <c r="AN179" s="771"/>
      <c r="AO179" s="771"/>
      <c r="AP179" s="771"/>
      <c r="AQ179" s="771"/>
      <c r="AR179" s="1761"/>
      <c r="AS179" s="1761"/>
      <c r="AT179" s="1761"/>
      <c r="AU179" s="1761"/>
      <c r="AV179" s="1761"/>
      <c r="AW179" s="771"/>
      <c r="AX179" s="771"/>
      <c r="AY179" s="771"/>
      <c r="AZ179" s="771"/>
      <c r="BA179" s="771"/>
      <c r="BB179" s="771"/>
      <c r="BC179" s="771"/>
      <c r="BD179" s="1761"/>
      <c r="BE179" s="1761"/>
      <c r="BF179" s="1761"/>
      <c r="BG179" s="771"/>
      <c r="BH179" s="771"/>
      <c r="BI179" s="771"/>
      <c r="BJ179" s="771"/>
      <c r="BK179" s="771"/>
    </row>
    <row r="180" spans="1:63" x14ac:dyDescent="0.2">
      <c r="A180" s="1761"/>
      <c r="B180" s="8"/>
      <c r="C180" s="8"/>
      <c r="D180" s="8"/>
      <c r="E180" s="1767"/>
      <c r="F180" s="8"/>
      <c r="G180" s="37"/>
      <c r="H180" s="35"/>
      <c r="I180" s="771"/>
      <c r="J180" s="771"/>
      <c r="K180" s="771"/>
      <c r="L180" s="771"/>
      <c r="M180" s="771"/>
      <c r="N180" s="771"/>
      <c r="O180" s="771"/>
      <c r="P180" s="771"/>
      <c r="Q180" s="771"/>
      <c r="R180" s="771"/>
      <c r="S180" s="771"/>
      <c r="T180" s="771"/>
      <c r="U180" s="771"/>
      <c r="V180" s="1761"/>
      <c r="W180" s="1761"/>
      <c r="X180" s="1761"/>
      <c r="Y180" s="771"/>
      <c r="Z180" s="771"/>
      <c r="AA180" s="771"/>
      <c r="AB180" s="771"/>
      <c r="AC180" s="771"/>
      <c r="AD180" s="771"/>
      <c r="AE180" s="771"/>
      <c r="AF180" s="1761"/>
      <c r="AG180" s="1761"/>
      <c r="AH180" s="1761"/>
      <c r="AI180" s="1761"/>
      <c r="AJ180" s="1761"/>
      <c r="AK180" s="771"/>
      <c r="AL180" s="771"/>
      <c r="AM180" s="771"/>
      <c r="AN180" s="771"/>
      <c r="AO180" s="771"/>
      <c r="AP180" s="771"/>
      <c r="AQ180" s="771"/>
      <c r="AR180" s="1761"/>
      <c r="AS180" s="1761"/>
      <c r="AT180" s="1761"/>
      <c r="AU180" s="1761"/>
      <c r="AV180" s="1761"/>
      <c r="AW180" s="771"/>
      <c r="AX180" s="771"/>
      <c r="AY180" s="771"/>
      <c r="AZ180" s="771"/>
      <c r="BA180" s="771"/>
      <c r="BB180" s="771"/>
      <c r="BC180" s="771"/>
      <c r="BD180" s="1761"/>
      <c r="BE180" s="1761"/>
      <c r="BF180" s="1761"/>
      <c r="BG180" s="771"/>
      <c r="BH180" s="771"/>
      <c r="BI180" s="771"/>
      <c r="BJ180" s="771"/>
      <c r="BK180" s="771"/>
    </row>
    <row r="181" spans="1:63" x14ac:dyDescent="0.2">
      <c r="A181" s="1761"/>
      <c r="B181" s="8"/>
      <c r="C181" s="8"/>
      <c r="D181" s="8"/>
      <c r="E181" s="1767"/>
      <c r="F181" s="8"/>
      <c r="G181" s="37"/>
      <c r="H181" s="35"/>
      <c r="I181" s="771"/>
      <c r="J181" s="771"/>
      <c r="K181" s="771"/>
      <c r="L181" s="771"/>
      <c r="M181" s="771"/>
      <c r="N181" s="771"/>
      <c r="O181" s="771"/>
      <c r="P181" s="771"/>
      <c r="Q181" s="771"/>
      <c r="R181" s="771"/>
      <c r="S181" s="771"/>
      <c r="T181" s="771"/>
      <c r="U181" s="771"/>
      <c r="V181" s="1761"/>
      <c r="W181" s="1761"/>
      <c r="X181" s="1761"/>
      <c r="Y181" s="771"/>
      <c r="Z181" s="771"/>
      <c r="AA181" s="771"/>
      <c r="AB181" s="771"/>
      <c r="AC181" s="771"/>
      <c r="AD181" s="771"/>
      <c r="AE181" s="771"/>
      <c r="AF181" s="1761"/>
      <c r="AG181" s="1761"/>
      <c r="AH181" s="1761"/>
      <c r="AI181" s="1761"/>
      <c r="AJ181" s="1761"/>
      <c r="AK181" s="771"/>
      <c r="AL181" s="771"/>
      <c r="AM181" s="771"/>
      <c r="AN181" s="771"/>
      <c r="AO181" s="771"/>
      <c r="AP181" s="771"/>
      <c r="AQ181" s="771"/>
      <c r="AR181" s="1761"/>
      <c r="AS181" s="1761"/>
      <c r="AT181" s="1761"/>
      <c r="AU181" s="1761"/>
      <c r="AV181" s="1761"/>
      <c r="AW181" s="771"/>
      <c r="AX181" s="771"/>
      <c r="AY181" s="771"/>
      <c r="AZ181" s="771"/>
      <c r="BA181" s="771"/>
      <c r="BB181" s="771"/>
      <c r="BC181" s="771"/>
      <c r="BD181" s="1761"/>
      <c r="BE181" s="1761"/>
      <c r="BF181" s="1761"/>
      <c r="BG181" s="771"/>
      <c r="BH181" s="771"/>
      <c r="BI181" s="771"/>
      <c r="BJ181" s="771"/>
      <c r="BK181" s="771"/>
    </row>
    <row r="182" spans="1:63" x14ac:dyDescent="0.2">
      <c r="A182" s="1761"/>
      <c r="B182" s="8"/>
      <c r="C182" s="8"/>
      <c r="D182" s="8"/>
      <c r="E182" s="1767"/>
      <c r="F182" s="8"/>
      <c r="G182" s="37"/>
      <c r="H182" s="35"/>
      <c r="I182" s="771"/>
      <c r="J182" s="771"/>
      <c r="K182" s="771"/>
      <c r="L182" s="771"/>
      <c r="M182" s="771"/>
      <c r="N182" s="771"/>
      <c r="O182" s="771"/>
      <c r="P182" s="771"/>
      <c r="Q182" s="771"/>
      <c r="R182" s="771"/>
      <c r="S182" s="771"/>
      <c r="T182" s="771"/>
      <c r="U182" s="771"/>
      <c r="V182" s="1761"/>
      <c r="W182" s="1761"/>
      <c r="X182" s="1761"/>
      <c r="Y182" s="771"/>
      <c r="Z182" s="771"/>
      <c r="AA182" s="771"/>
      <c r="AB182" s="771"/>
      <c r="AC182" s="771"/>
      <c r="AD182" s="771"/>
      <c r="AE182" s="771"/>
      <c r="AF182" s="1761"/>
      <c r="AG182" s="1761"/>
      <c r="AH182" s="1761"/>
      <c r="AI182" s="1761"/>
      <c r="AJ182" s="1761"/>
      <c r="AK182" s="771"/>
      <c r="AL182" s="771"/>
      <c r="AM182" s="771"/>
      <c r="AN182" s="771"/>
      <c r="AO182" s="771"/>
      <c r="AP182" s="771"/>
      <c r="AQ182" s="771"/>
      <c r="AR182" s="1761"/>
      <c r="AS182" s="1761"/>
      <c r="AT182" s="1761"/>
      <c r="AU182" s="1761"/>
      <c r="AV182" s="1761"/>
      <c r="AW182" s="771"/>
      <c r="AX182" s="771"/>
      <c r="AY182" s="771"/>
      <c r="AZ182" s="771"/>
      <c r="BA182" s="771"/>
      <c r="BB182" s="771"/>
      <c r="BC182" s="771"/>
      <c r="BD182" s="1761"/>
      <c r="BE182" s="1761"/>
      <c r="BF182" s="1761"/>
      <c r="BG182" s="771"/>
      <c r="BH182" s="771"/>
      <c r="BI182" s="771"/>
      <c r="BJ182" s="771"/>
      <c r="BK182" s="771"/>
    </row>
    <row r="183" spans="1:63" x14ac:dyDescent="0.2">
      <c r="A183" s="1761"/>
      <c r="B183" s="8"/>
      <c r="C183" s="8"/>
      <c r="D183" s="8"/>
      <c r="E183" s="1767"/>
      <c r="F183" s="8"/>
      <c r="G183" s="37"/>
      <c r="H183" s="35"/>
      <c r="I183" s="771"/>
      <c r="J183" s="771"/>
      <c r="K183" s="771"/>
      <c r="L183" s="771"/>
      <c r="M183" s="771"/>
      <c r="N183" s="771"/>
      <c r="O183" s="771"/>
      <c r="P183" s="771"/>
      <c r="Q183" s="771"/>
      <c r="R183" s="771"/>
      <c r="S183" s="771"/>
      <c r="T183" s="771"/>
      <c r="U183" s="771"/>
      <c r="V183" s="1761"/>
      <c r="W183" s="1761"/>
      <c r="X183" s="1761"/>
      <c r="Y183" s="771"/>
      <c r="Z183" s="771"/>
      <c r="AA183" s="771"/>
      <c r="AB183" s="771"/>
      <c r="AC183" s="771"/>
      <c r="AD183" s="771"/>
      <c r="AE183" s="771"/>
      <c r="AF183" s="1761"/>
      <c r="AG183" s="1761"/>
      <c r="AH183" s="1761"/>
      <c r="AI183" s="1761"/>
      <c r="AJ183" s="1761"/>
      <c r="AK183" s="771"/>
      <c r="AL183" s="771"/>
      <c r="AM183" s="771"/>
      <c r="AN183" s="771"/>
      <c r="AO183" s="771"/>
      <c r="AP183" s="771"/>
      <c r="AQ183" s="771"/>
      <c r="AR183" s="1761"/>
      <c r="AS183" s="1761"/>
      <c r="AT183" s="1761"/>
      <c r="AU183" s="1761"/>
      <c r="AV183" s="1761"/>
      <c r="AW183" s="771"/>
      <c r="AX183" s="771"/>
      <c r="AY183" s="771"/>
      <c r="AZ183" s="771"/>
      <c r="BA183" s="771"/>
      <c r="BB183" s="771"/>
      <c r="BC183" s="771"/>
      <c r="BD183" s="1761"/>
      <c r="BE183" s="1761"/>
      <c r="BF183" s="1761"/>
      <c r="BG183" s="771"/>
      <c r="BH183" s="771"/>
      <c r="BI183" s="771"/>
      <c r="BJ183" s="771"/>
      <c r="BK183" s="771"/>
    </row>
    <row r="184" spans="1:63" x14ac:dyDescent="0.2">
      <c r="A184" s="1761"/>
      <c r="B184" s="8"/>
      <c r="C184" s="8"/>
      <c r="D184" s="8"/>
      <c r="E184" s="1767"/>
      <c r="F184" s="8"/>
      <c r="G184" s="37"/>
      <c r="H184" s="35"/>
      <c r="I184" s="771"/>
      <c r="J184" s="771"/>
      <c r="K184" s="771"/>
      <c r="L184" s="771"/>
      <c r="M184" s="771"/>
      <c r="N184" s="771"/>
      <c r="O184" s="771"/>
      <c r="P184" s="771"/>
      <c r="Q184" s="771"/>
      <c r="R184" s="771"/>
      <c r="S184" s="771"/>
      <c r="T184" s="771"/>
      <c r="U184" s="771"/>
      <c r="V184" s="1761"/>
      <c r="W184" s="1761"/>
      <c r="X184" s="1761"/>
      <c r="Y184" s="771"/>
      <c r="Z184" s="771"/>
      <c r="AA184" s="771"/>
      <c r="AB184" s="771"/>
      <c r="AC184" s="771"/>
      <c r="AD184" s="771"/>
      <c r="AE184" s="771"/>
      <c r="AF184" s="1761"/>
      <c r="AG184" s="1761"/>
      <c r="AH184" s="1761"/>
      <c r="AI184" s="1761"/>
      <c r="AJ184" s="1761"/>
      <c r="AK184" s="771"/>
      <c r="AL184" s="771"/>
      <c r="AM184" s="771"/>
      <c r="AN184" s="771"/>
      <c r="AO184" s="771"/>
      <c r="AP184" s="771"/>
      <c r="AQ184" s="771"/>
      <c r="AR184" s="1761"/>
      <c r="AS184" s="1761"/>
      <c r="AT184" s="1761"/>
      <c r="AU184" s="1761"/>
      <c r="AV184" s="1761"/>
      <c r="AW184" s="771"/>
      <c r="AX184" s="771"/>
      <c r="AY184" s="771"/>
      <c r="AZ184" s="771"/>
      <c r="BA184" s="771"/>
      <c r="BB184" s="771"/>
      <c r="BC184" s="771"/>
      <c r="BD184" s="1761"/>
      <c r="BE184" s="1761"/>
      <c r="BF184" s="1761"/>
      <c r="BG184" s="771"/>
      <c r="BH184" s="771"/>
      <c r="BI184" s="771"/>
      <c r="BJ184" s="771"/>
      <c r="BK184" s="771"/>
    </row>
    <row r="185" spans="1:63" x14ac:dyDescent="0.2">
      <c r="A185" s="1761"/>
      <c r="B185" s="8"/>
      <c r="C185" s="8"/>
      <c r="D185" s="8"/>
      <c r="E185" s="1767"/>
      <c r="F185" s="8"/>
      <c r="G185" s="37"/>
      <c r="H185" s="35"/>
      <c r="I185" s="771"/>
      <c r="J185" s="771"/>
      <c r="K185" s="771"/>
      <c r="L185" s="771"/>
      <c r="M185" s="771"/>
      <c r="N185" s="771"/>
      <c r="O185" s="771"/>
      <c r="P185" s="771"/>
      <c r="Q185" s="771"/>
      <c r="R185" s="771"/>
      <c r="S185" s="771"/>
      <c r="T185" s="771"/>
      <c r="U185" s="771"/>
      <c r="V185" s="1761"/>
      <c r="W185" s="1761"/>
      <c r="X185" s="1761"/>
      <c r="Y185" s="771"/>
      <c r="Z185" s="771"/>
      <c r="AA185" s="771"/>
      <c r="AB185" s="771"/>
      <c r="AC185" s="771"/>
      <c r="AD185" s="771"/>
      <c r="AE185" s="771"/>
      <c r="AF185" s="1761"/>
      <c r="AG185" s="1761"/>
      <c r="AH185" s="1761"/>
      <c r="AI185" s="1761"/>
      <c r="AJ185" s="1761"/>
      <c r="AK185" s="771"/>
      <c r="AL185" s="771"/>
      <c r="AM185" s="771"/>
      <c r="AN185" s="771"/>
      <c r="AO185" s="771"/>
      <c r="AP185" s="771"/>
      <c r="AQ185" s="771"/>
      <c r="AR185" s="1761"/>
      <c r="AS185" s="1761"/>
      <c r="AT185" s="1761"/>
      <c r="AU185" s="1761"/>
      <c r="AV185" s="1761"/>
      <c r="AW185" s="771"/>
      <c r="AX185" s="771"/>
      <c r="AY185" s="771"/>
      <c r="AZ185" s="771"/>
      <c r="BA185" s="771"/>
      <c r="BB185" s="771"/>
      <c r="BC185" s="771"/>
      <c r="BD185" s="1761"/>
      <c r="BE185" s="1761"/>
      <c r="BF185" s="1761"/>
      <c r="BG185" s="771"/>
      <c r="BH185" s="771"/>
      <c r="BI185" s="771"/>
      <c r="BJ185" s="771"/>
      <c r="BK185" s="771"/>
    </row>
    <row r="186" spans="1:63" x14ac:dyDescent="0.2">
      <c r="A186" s="1761"/>
      <c r="B186" s="8"/>
      <c r="C186" s="8"/>
      <c r="D186" s="8"/>
      <c r="E186" s="1767"/>
      <c r="F186" s="8"/>
      <c r="G186" s="37"/>
      <c r="H186" s="35"/>
      <c r="I186" s="771"/>
      <c r="J186" s="771"/>
      <c r="K186" s="771"/>
      <c r="L186" s="771"/>
      <c r="M186" s="771"/>
      <c r="N186" s="771"/>
      <c r="O186" s="771"/>
      <c r="P186" s="771"/>
      <c r="Q186" s="771"/>
      <c r="R186" s="771"/>
      <c r="S186" s="771"/>
      <c r="T186" s="771"/>
      <c r="U186" s="771"/>
      <c r="V186" s="1761"/>
      <c r="W186" s="1761"/>
      <c r="X186" s="1761"/>
      <c r="Y186" s="771"/>
      <c r="Z186" s="771"/>
      <c r="AA186" s="771"/>
      <c r="AB186" s="771"/>
      <c r="AC186" s="771"/>
      <c r="AD186" s="771"/>
      <c r="AE186" s="771"/>
      <c r="AF186" s="1761"/>
      <c r="AG186" s="1761"/>
      <c r="AH186" s="1761"/>
      <c r="AI186" s="1761"/>
      <c r="AJ186" s="1761"/>
      <c r="AK186" s="771"/>
      <c r="AL186" s="771"/>
      <c r="AM186" s="771"/>
      <c r="AN186" s="771"/>
      <c r="AO186" s="771"/>
      <c r="AP186" s="771"/>
      <c r="AQ186" s="771"/>
      <c r="AR186" s="1761"/>
      <c r="AS186" s="1761"/>
      <c r="AT186" s="1761"/>
      <c r="AU186" s="1761"/>
      <c r="AV186" s="1761"/>
      <c r="AW186" s="771"/>
      <c r="AX186" s="771"/>
      <c r="AY186" s="771"/>
      <c r="AZ186" s="771"/>
      <c r="BA186" s="771"/>
      <c r="BB186" s="771"/>
      <c r="BC186" s="771"/>
      <c r="BD186" s="1761"/>
      <c r="BE186" s="1761"/>
      <c r="BF186" s="1761"/>
      <c r="BG186" s="771"/>
      <c r="BH186" s="771"/>
      <c r="BI186" s="771"/>
      <c r="BJ186" s="771"/>
      <c r="BK186" s="771"/>
    </row>
    <row r="187" spans="1:63" x14ac:dyDescent="0.2">
      <c r="A187" s="1761"/>
      <c r="B187" s="8"/>
      <c r="C187" s="8"/>
      <c r="D187" s="8"/>
      <c r="E187" s="1767"/>
      <c r="F187" s="8"/>
      <c r="G187" s="37"/>
      <c r="H187" s="35"/>
      <c r="I187" s="771"/>
      <c r="J187" s="771"/>
      <c r="K187" s="771"/>
      <c r="L187" s="771"/>
      <c r="M187" s="771"/>
      <c r="N187" s="771"/>
      <c r="O187" s="771"/>
      <c r="P187" s="771"/>
      <c r="Q187" s="771"/>
      <c r="R187" s="771"/>
      <c r="S187" s="771"/>
      <c r="T187" s="771"/>
      <c r="U187" s="771"/>
      <c r="V187" s="1761"/>
      <c r="W187" s="1761"/>
      <c r="X187" s="1761"/>
      <c r="Y187" s="771"/>
      <c r="Z187" s="771"/>
      <c r="AA187" s="771"/>
      <c r="AB187" s="771"/>
      <c r="AC187" s="771"/>
      <c r="AD187" s="771"/>
      <c r="AE187" s="771"/>
      <c r="AF187" s="1761"/>
      <c r="AG187" s="1761"/>
      <c r="AH187" s="1761"/>
      <c r="AI187" s="1761"/>
      <c r="AJ187" s="1761"/>
      <c r="AK187" s="771"/>
      <c r="AL187" s="771"/>
      <c r="AM187" s="771"/>
      <c r="AN187" s="771"/>
      <c r="AO187" s="771"/>
      <c r="AP187" s="771"/>
      <c r="AQ187" s="771"/>
      <c r="AR187" s="1761"/>
      <c r="AS187" s="1761"/>
      <c r="AT187" s="1761"/>
      <c r="AU187" s="1761"/>
      <c r="AV187" s="1761"/>
      <c r="AW187" s="771"/>
      <c r="AX187" s="771"/>
      <c r="AY187" s="771"/>
      <c r="AZ187" s="771"/>
      <c r="BA187" s="771"/>
      <c r="BB187" s="771"/>
      <c r="BC187" s="771"/>
      <c r="BD187" s="1761"/>
      <c r="BE187" s="1761"/>
      <c r="BF187" s="1761"/>
      <c r="BG187" s="771"/>
      <c r="BH187" s="771"/>
      <c r="BI187" s="771"/>
      <c r="BJ187" s="771"/>
      <c r="BK187" s="771"/>
    </row>
    <row r="188" spans="1:63" x14ac:dyDescent="0.2">
      <c r="A188" s="1761"/>
      <c r="B188" s="8"/>
      <c r="C188" s="8"/>
      <c r="D188" s="8"/>
      <c r="E188" s="1767"/>
      <c r="F188" s="8"/>
      <c r="G188" s="37"/>
      <c r="H188" s="35"/>
      <c r="I188" s="771"/>
      <c r="J188" s="771"/>
      <c r="K188" s="771"/>
      <c r="L188" s="771"/>
      <c r="M188" s="771"/>
      <c r="N188" s="771"/>
      <c r="O188" s="771"/>
      <c r="P188" s="771"/>
      <c r="Q188" s="771"/>
      <c r="R188" s="771"/>
      <c r="S188" s="771"/>
      <c r="T188" s="771"/>
      <c r="U188" s="771"/>
      <c r="V188" s="1761"/>
      <c r="W188" s="1761"/>
      <c r="X188" s="1761"/>
      <c r="Y188" s="771"/>
      <c r="Z188" s="771"/>
      <c r="AA188" s="771"/>
      <c r="AB188" s="771"/>
      <c r="AC188" s="771"/>
      <c r="AD188" s="771"/>
      <c r="AE188" s="771"/>
      <c r="AF188" s="1761"/>
      <c r="AG188" s="1761"/>
      <c r="AH188" s="1761"/>
      <c r="AI188" s="1761"/>
      <c r="AJ188" s="1761"/>
      <c r="AK188" s="771"/>
      <c r="AL188" s="771"/>
      <c r="AM188" s="771"/>
      <c r="AN188" s="771"/>
      <c r="AO188" s="771"/>
      <c r="AP188" s="771"/>
      <c r="AQ188" s="771"/>
      <c r="AR188" s="1761"/>
      <c r="AS188" s="1761"/>
      <c r="AT188" s="1761"/>
      <c r="AU188" s="1761"/>
      <c r="AV188" s="1761"/>
      <c r="AW188" s="771"/>
      <c r="AX188" s="771"/>
      <c r="AY188" s="771"/>
      <c r="AZ188" s="771"/>
      <c r="BA188" s="771"/>
      <c r="BB188" s="771"/>
      <c r="BC188" s="771"/>
      <c r="BD188" s="1761"/>
      <c r="BE188" s="1761"/>
      <c r="BF188" s="1761"/>
      <c r="BG188" s="771"/>
      <c r="BH188" s="771"/>
      <c r="BI188" s="771"/>
      <c r="BJ188" s="771"/>
      <c r="BK188" s="771"/>
    </row>
    <row r="189" spans="1:63" x14ac:dyDescent="0.2">
      <c r="J189" s="771"/>
      <c r="K189" s="771"/>
      <c r="L189" s="771"/>
      <c r="M189" s="771"/>
      <c r="N189" s="771"/>
      <c r="O189" s="771"/>
      <c r="P189" s="771"/>
      <c r="Q189" s="771"/>
      <c r="R189" s="771"/>
      <c r="S189" s="771"/>
      <c r="T189" s="771"/>
      <c r="U189" s="771"/>
      <c r="V189" s="1761"/>
      <c r="W189" s="1761"/>
      <c r="X189" s="1761"/>
      <c r="Y189" s="771"/>
      <c r="Z189" s="771"/>
      <c r="AA189" s="771"/>
      <c r="AB189" s="771"/>
      <c r="AC189" s="771"/>
      <c r="AD189" s="771"/>
      <c r="AE189" s="771"/>
      <c r="AF189" s="1761"/>
      <c r="AG189" s="1761"/>
      <c r="AH189" s="1761"/>
      <c r="AI189" s="1761"/>
      <c r="AJ189" s="1761"/>
      <c r="AK189" s="771"/>
      <c r="AL189" s="771"/>
      <c r="AM189" s="771"/>
      <c r="AN189" s="771"/>
      <c r="AO189" s="771"/>
      <c r="AP189" s="771"/>
      <c r="AQ189" s="771"/>
      <c r="AR189" s="1761"/>
      <c r="AS189" s="1761"/>
      <c r="AT189" s="1761"/>
      <c r="AU189" s="1761"/>
      <c r="AV189" s="1761"/>
      <c r="AW189" s="771"/>
      <c r="AX189" s="771"/>
      <c r="AY189" s="771"/>
      <c r="AZ189" s="771"/>
      <c r="BA189" s="771"/>
      <c r="BB189" s="771"/>
      <c r="BC189" s="771"/>
      <c r="BD189" s="1761"/>
      <c r="BE189" s="1761"/>
    </row>
  </sheetData>
  <protectedRanges>
    <protectedRange sqref="C8 C26 C42 C63 C81 C105 C123" name="Диапазон1"/>
  </protectedRanges>
  <mergeCells count="50">
    <mergeCell ref="B144:G145"/>
    <mergeCell ref="B146:G146"/>
    <mergeCell ref="B148:B150"/>
    <mergeCell ref="H105:H106"/>
    <mergeCell ref="A107:A120"/>
    <mergeCell ref="H107:H120"/>
    <mergeCell ref="D122:H122"/>
    <mergeCell ref="H123:H124"/>
    <mergeCell ref="A125:A138"/>
    <mergeCell ref="H125:H142"/>
    <mergeCell ref="B106:B107"/>
    <mergeCell ref="B124:B125"/>
    <mergeCell ref="B102:G103"/>
    <mergeCell ref="B60:G61"/>
    <mergeCell ref="H63:H64"/>
    <mergeCell ref="A64:A78"/>
    <mergeCell ref="H65:H78"/>
    <mergeCell ref="B64:B65"/>
    <mergeCell ref="B82:B83"/>
    <mergeCell ref="D80:H80"/>
    <mergeCell ref="H81:H82"/>
    <mergeCell ref="A82:A96"/>
    <mergeCell ref="H83:H100"/>
    <mergeCell ref="D41:H41"/>
    <mergeCell ref="H42:H43"/>
    <mergeCell ref="A43:A55"/>
    <mergeCell ref="H44:H57"/>
    <mergeCell ref="B43:B44"/>
    <mergeCell ref="H26:H27"/>
    <mergeCell ref="V26:AG26"/>
    <mergeCell ref="AH26:AS26"/>
    <mergeCell ref="AT26:BE26"/>
    <mergeCell ref="A27:A39"/>
    <mergeCell ref="H28:H39"/>
    <mergeCell ref="B29:B39"/>
    <mergeCell ref="B27:B28"/>
    <mergeCell ref="J11:U11"/>
    <mergeCell ref="V11:AG11"/>
    <mergeCell ref="AH11:AS11"/>
    <mergeCell ref="AT11:BE11"/>
    <mergeCell ref="B23:G24"/>
    <mergeCell ref="D25:G25"/>
    <mergeCell ref="A5:A6"/>
    <mergeCell ref="B5:G6"/>
    <mergeCell ref="D7:H7"/>
    <mergeCell ref="H8:H9"/>
    <mergeCell ref="A9:A14"/>
    <mergeCell ref="H10:H21"/>
    <mergeCell ref="B9:B10"/>
    <mergeCell ref="B11:B21"/>
  </mergeCells>
  <conditionalFormatting sqref="D3">
    <cfRule type="cellIs" dxfId="124" priority="13" operator="equal">
      <formula>$K$48</formula>
    </cfRule>
    <cfRule type="cellIs" dxfId="123" priority="14" operator="equal">
      <formula>$K$47</formula>
    </cfRule>
  </conditionalFormatting>
  <conditionalFormatting sqref="H6 H24 H61 H103">
    <cfRule type="cellIs" dxfId="122" priority="10" operator="equal">
      <formula>$K$46</formula>
    </cfRule>
    <cfRule type="cellIs" dxfId="121" priority="11" operator="equal">
      <formula>$K$48</formula>
    </cfRule>
    <cfRule type="cellIs" dxfId="120" priority="12" operator="equal">
      <formula>$K$47</formula>
    </cfRule>
  </conditionalFormatting>
  <conditionalFormatting sqref="E3">
    <cfRule type="cellIs" dxfId="119" priority="7" operator="equal">
      <formula>$K$46</formula>
    </cfRule>
    <cfRule type="cellIs" dxfId="118" priority="8" operator="equal">
      <formula>$K$48</formula>
    </cfRule>
    <cfRule type="cellIs" dxfId="117" priority="9" operator="equal">
      <formula>$K$47</formula>
    </cfRule>
  </conditionalFormatting>
  <conditionalFormatting sqref="G3">
    <cfRule type="cellIs" dxfId="116" priority="4" operator="equal">
      <formula>$K$46</formula>
    </cfRule>
    <cfRule type="cellIs" dxfId="115" priority="5" operator="equal">
      <formula>$K$48</formula>
    </cfRule>
    <cfRule type="cellIs" dxfId="114" priority="6" operator="equal">
      <formula>$K$47</formula>
    </cfRule>
  </conditionalFormatting>
  <conditionalFormatting sqref="H3">
    <cfRule type="cellIs" dxfId="113" priority="1" operator="equal">
      <formula>$K$46</formula>
    </cfRule>
    <cfRule type="cellIs" dxfId="112" priority="2" operator="equal">
      <formula>$K$48</formula>
    </cfRule>
    <cfRule type="cellIs" dxfId="111" priority="3" operator="equal">
      <formula>$K$47</formula>
    </cfRule>
  </conditionalFormatting>
  <dataValidations count="5">
    <dataValidation type="list" allowBlank="1" showInputMessage="1" showErrorMessage="1" sqref="D3" xr:uid="{00000000-0002-0000-1100-000000000000}">
      <formula1>$K$46:$K$48</formula1>
    </dataValidation>
    <dataValidation type="list" allowBlank="1" showInputMessage="1" showErrorMessage="1" sqref="C62 C104" xr:uid="{00000000-0002-0000-1100-000001000000}">
      <formula1>$AT$69:$AT$76</formula1>
    </dataValidation>
    <dataValidation type="list" allowBlank="1" showInputMessage="1" showErrorMessage="1" sqref="C8" xr:uid="{00000000-0002-0000-1100-000002000000}">
      <formula1>$AT$13:$AT$14</formula1>
    </dataValidation>
    <dataValidation type="list" allowBlank="1" showInputMessage="1" showErrorMessage="1" sqref="C147" xr:uid="{00000000-0002-0000-1100-000003000000}">
      <formula1>$K$12:$K$13</formula1>
    </dataValidation>
    <dataValidation type="list" allowBlank="1" showInputMessage="1" showErrorMessage="1" sqref="C42 C123 C105 C81 C63 C26" xr:uid="{00000000-0002-0000-1100-000004000000}">
      <formula1>$AT$30:$AT$35</formula1>
    </dataValidation>
  </dataValidations>
  <pageMargins left="0.7" right="0.7" top="0.75" bottom="0.75" header="0.3" footer="0.3"/>
  <pageSetup paperSize="9" orientation="portrait" r:id="rId1"/>
  <drawing r:id="rId2"/>
  <legacyDrawing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Лист32"/>
  <dimension ref="A1:BC203"/>
  <sheetViews>
    <sheetView showGridLines="0" workbookViewId="0"/>
  </sheetViews>
  <sheetFormatPr defaultRowHeight="12.75" x14ac:dyDescent="0.2"/>
  <cols>
    <col min="1" max="1" width="2.85546875" style="771" customWidth="1"/>
    <col min="2" max="2" width="29.5703125" style="771" customWidth="1"/>
    <col min="3" max="3" width="9.42578125" style="771" customWidth="1"/>
    <col min="4" max="4" width="42" style="771" customWidth="1"/>
    <col min="5" max="5" width="4.42578125" style="774" customWidth="1"/>
    <col min="6" max="6" width="9.140625" style="771" hidden="1" customWidth="1"/>
    <col min="7" max="7" width="8.140625" style="801" bestFit="1" customWidth="1"/>
    <col min="8" max="8" width="9.140625" style="887"/>
    <col min="9" max="9" width="8.5703125" style="771" customWidth="1"/>
    <col min="10" max="10" width="5.140625" style="8" hidden="1" customWidth="1"/>
    <col min="11" max="16" width="9.140625" style="8" hidden="1" customWidth="1"/>
  </cols>
  <sheetData>
    <row r="1" spans="1:16" ht="15.75" thickBot="1" x14ac:dyDescent="0.25">
      <c r="A1" s="1143"/>
      <c r="B1" s="916"/>
      <c r="C1" s="916"/>
      <c r="D1" s="916"/>
      <c r="E1" s="1144"/>
      <c r="F1" s="916"/>
      <c r="G1" s="1145"/>
      <c r="J1" s="771"/>
      <c r="K1" s="771"/>
      <c r="L1" s="771"/>
      <c r="M1" s="771"/>
      <c r="N1" s="771"/>
      <c r="O1" s="771"/>
      <c r="P1" s="771"/>
    </row>
    <row r="2" spans="1:16" ht="21" thickBot="1" x14ac:dyDescent="0.35">
      <c r="A2" s="1143"/>
      <c r="B2" s="1310" t="s">
        <v>5217</v>
      </c>
      <c r="C2" s="1303"/>
      <c r="D2" s="1303"/>
      <c r="E2" s="1304"/>
      <c r="F2" s="1305"/>
      <c r="G2" s="1306"/>
      <c r="H2" s="1307"/>
      <c r="J2" s="771"/>
      <c r="K2" s="771"/>
      <c r="L2" s="771"/>
      <c r="M2" s="771"/>
      <c r="N2" s="771"/>
      <c r="O2" s="771"/>
      <c r="P2" s="771"/>
    </row>
    <row r="3" spans="1:16" ht="21.75" customHeight="1" x14ac:dyDescent="0.2">
      <c r="B3" s="782"/>
      <c r="C3" s="782"/>
      <c r="D3" s="782"/>
      <c r="E3" s="781"/>
      <c r="F3" s="782"/>
      <c r="G3" s="799"/>
      <c r="H3" s="1122"/>
    </row>
    <row r="4" spans="1:16" ht="20.25" x14ac:dyDescent="0.2">
      <c r="A4" s="916"/>
      <c r="B4" s="2130" t="s">
        <v>1446</v>
      </c>
      <c r="C4" s="2130"/>
      <c r="D4" s="2130"/>
      <c r="E4" s="2130"/>
      <c r="F4" s="2130"/>
      <c r="G4" s="2130"/>
      <c r="H4" s="1169"/>
    </row>
    <row r="5" spans="1:16" ht="21" thickBot="1" x14ac:dyDescent="0.25">
      <c r="A5" s="916"/>
      <c r="B5" s="2130"/>
      <c r="C5" s="2130"/>
      <c r="D5" s="2130"/>
      <c r="E5" s="2130"/>
      <c r="F5" s="2130"/>
      <c r="G5" s="2130"/>
      <c r="H5" s="1169"/>
    </row>
    <row r="6" spans="1:16" x14ac:dyDescent="0.2">
      <c r="A6" s="916"/>
      <c r="B6" s="1255" t="s">
        <v>635</v>
      </c>
      <c r="C6" s="1214"/>
      <c r="D6" s="2175" t="s">
        <v>1409</v>
      </c>
      <c r="E6" s="2175"/>
      <c r="F6" s="2175"/>
      <c r="G6" s="2175"/>
      <c r="H6" s="1215"/>
    </row>
    <row r="7" spans="1:16" ht="15.75" thickBot="1" x14ac:dyDescent="0.25">
      <c r="A7" s="916"/>
      <c r="B7" s="1209" t="s">
        <v>1639</v>
      </c>
      <c r="C7" s="1231">
        <v>500</v>
      </c>
      <c r="D7" s="1210" t="s">
        <v>1689</v>
      </c>
      <c r="E7" s="1211"/>
      <c r="F7" s="1212"/>
      <c r="G7" s="1213"/>
      <c r="H7" s="1208"/>
    </row>
    <row r="8" spans="1:16" x14ac:dyDescent="0.2">
      <c r="A8" s="916"/>
      <c r="B8" s="2157"/>
      <c r="C8" s="1174" t="s">
        <v>1301</v>
      </c>
      <c r="D8" s="1216" t="s">
        <v>784</v>
      </c>
      <c r="E8" s="1217" t="s">
        <v>2117</v>
      </c>
      <c r="F8" s="1216"/>
      <c r="G8" s="1218" t="s">
        <v>2116</v>
      </c>
      <c r="H8" s="1235"/>
      <c r="K8" s="88"/>
    </row>
    <row r="9" spans="1:16" x14ac:dyDescent="0.2">
      <c r="A9" s="916"/>
      <c r="B9" s="2157"/>
      <c r="C9" s="1199" t="str">
        <f>VLOOKUP(C7,J12:L13,2,FALSE)</f>
        <v>2828344/</v>
      </c>
      <c r="D9" s="1200" t="str">
        <f t="shared" ref="D9:D20" si="0">VLOOKUP(C9,всецены,2,FALSE)</f>
        <v xml:space="preserve">TBX-A, Царга 68/500 мм, бел, прав. NEW  </v>
      </c>
      <c r="E9" s="1201">
        <v>1</v>
      </c>
      <c r="F9" s="1202">
        <f t="shared" ref="F9:F20" si="1">VLOOKUP(C9,всецены,4,FALSE)</f>
        <v>557.86370639999996</v>
      </c>
      <c r="G9" s="1203">
        <f t="shared" ref="G9:G20" si="2">F9*E9</f>
        <v>557.86370639999996</v>
      </c>
      <c r="H9" s="2162">
        <f>SUM(G9:G20)</f>
        <v>3537.4739400000012</v>
      </c>
      <c r="I9" s="981"/>
      <c r="J9" s="96" t="s">
        <v>1640</v>
      </c>
      <c r="K9" s="28"/>
      <c r="L9" s="28"/>
    </row>
    <row r="10" spans="1:16" x14ac:dyDescent="0.2">
      <c r="A10" s="916"/>
      <c r="B10" s="2176"/>
      <c r="C10" s="1219" t="str">
        <f>VLOOKUP(C7,J12:L13,3,FALSE)</f>
        <v>2893126/</v>
      </c>
      <c r="D10" s="1220" t="str">
        <f>VLOOKUP(C10,всецены,2,FALSE)</f>
        <v xml:space="preserve">TBX-A, Царга 68/500 мм, бел, лев. NEW   </v>
      </c>
      <c r="E10" s="1221">
        <v>1</v>
      </c>
      <c r="F10" s="1222">
        <f>VLOOKUP(C10,всецены,4,FALSE)</f>
        <v>557.86370639999996</v>
      </c>
      <c r="G10" s="1223">
        <f>F10*E10</f>
        <v>557.86370639999996</v>
      </c>
      <c r="H10" s="2162"/>
      <c r="I10" s="981"/>
      <c r="J10" s="96"/>
      <c r="K10" s="28"/>
      <c r="L10" s="28"/>
    </row>
    <row r="11" spans="1:16" x14ac:dyDescent="0.2">
      <c r="A11" s="916"/>
      <c r="B11" s="2176"/>
      <c r="C11" s="1219" t="str">
        <f>VLOOKUP(C7,J42:N48,2,FALSE)</f>
        <v>7940374/</v>
      </c>
      <c r="D11" s="1220" t="str">
        <f t="shared" si="0"/>
        <v>TBX, Tip-on BM, Напр, 30 кг, 500 мм, лев</v>
      </c>
      <c r="E11" s="1221">
        <v>1</v>
      </c>
      <c r="F11" s="1222">
        <f t="shared" si="1"/>
        <v>600.15075120000006</v>
      </c>
      <c r="G11" s="1223">
        <f t="shared" si="2"/>
        <v>600.15075120000006</v>
      </c>
      <c r="H11" s="2162"/>
      <c r="K11" s="1836" t="s">
        <v>1645</v>
      </c>
      <c r="L11" s="1836" t="s">
        <v>1644</v>
      </c>
      <c r="M11" s="8" t="s">
        <v>1641</v>
      </c>
      <c r="N11" s="8" t="s">
        <v>1642</v>
      </c>
    </row>
    <row r="12" spans="1:16" x14ac:dyDescent="0.2">
      <c r="A12" s="916"/>
      <c r="B12" s="2176"/>
      <c r="C12" s="1219" t="str">
        <f>VLOOKUP(C7,J42:N48,3,FALSE)</f>
        <v>7936668/</v>
      </c>
      <c r="D12" s="1220" t="str">
        <f t="shared" si="0"/>
        <v xml:space="preserve">TBX, Tip-on BM, Напр, 30 кг, 500 мм, пр </v>
      </c>
      <c r="E12" s="1221">
        <v>1</v>
      </c>
      <c r="F12" s="1222">
        <f t="shared" si="1"/>
        <v>600.15075120000006</v>
      </c>
      <c r="G12" s="1223">
        <f t="shared" si="2"/>
        <v>600.15075120000006</v>
      </c>
      <c r="H12" s="2162"/>
      <c r="J12" s="8">
        <v>450</v>
      </c>
      <c r="K12" s="2" t="s">
        <v>5195</v>
      </c>
      <c r="L12" s="2" t="s">
        <v>5196</v>
      </c>
      <c r="M12" s="1371" t="s">
        <v>4519</v>
      </c>
      <c r="N12" s="1371" t="s">
        <v>4518</v>
      </c>
    </row>
    <row r="13" spans="1:16" x14ac:dyDescent="0.2">
      <c r="A13" s="916"/>
      <c r="B13" s="2176"/>
      <c r="C13" s="1224" t="s">
        <v>1021</v>
      </c>
      <c r="D13" s="1220" t="str">
        <f t="shared" si="0"/>
        <v>TBX-A, Загл с лого, бел, сим,ZAA.532C.BL</v>
      </c>
      <c r="E13" s="1221">
        <v>2</v>
      </c>
      <c r="F13" s="1222">
        <f t="shared" si="1"/>
        <v>8.9453364000000004</v>
      </c>
      <c r="G13" s="1223">
        <f t="shared" si="2"/>
        <v>17.890672800000001</v>
      </c>
      <c r="H13" s="2162"/>
      <c r="J13" s="8">
        <v>500</v>
      </c>
      <c r="K13" s="2" t="s">
        <v>3505</v>
      </c>
      <c r="L13" s="2" t="s">
        <v>3506</v>
      </c>
      <c r="M13" s="1371" t="s">
        <v>4522</v>
      </c>
      <c r="N13" s="1371" t="s">
        <v>4521</v>
      </c>
    </row>
    <row r="14" spans="1:16" x14ac:dyDescent="0.2">
      <c r="A14" s="916"/>
      <c r="B14" s="2176"/>
      <c r="C14" s="138" t="s">
        <v>4511</v>
      </c>
      <c r="D14" s="1220" t="str">
        <f t="shared" si="0"/>
        <v xml:space="preserve">TBX, Крепл фасада INSERTA, NEW ZSF.39A2 </v>
      </c>
      <c r="E14" s="1221">
        <v>2</v>
      </c>
      <c r="F14" s="1222">
        <f t="shared" si="1"/>
        <v>43.913469600000006</v>
      </c>
      <c r="G14" s="1223">
        <f t="shared" si="2"/>
        <v>87.826939200000012</v>
      </c>
      <c r="H14" s="2162"/>
    </row>
    <row r="15" spans="1:16" s="1835" customFormat="1" x14ac:dyDescent="0.2">
      <c r="A15" s="916"/>
      <c r="B15" s="2234"/>
      <c r="C15" s="1848" t="str">
        <f>VLOOKUP($C$7,J42:N48,4,0)</f>
        <v>1829780/</v>
      </c>
      <c r="D15" s="1220" t="str">
        <f t="shared" si="0"/>
        <v xml:space="preserve">TBX, Tip-on BM, L3,350-600, пр T60B3533 </v>
      </c>
      <c r="E15" s="1849">
        <v>1</v>
      </c>
      <c r="F15" s="1222">
        <f t="shared" ref="F15:F18" si="3">VLOOKUP(C15,всецены,4,FALSE)</f>
        <v>473.28961680000003</v>
      </c>
      <c r="G15" s="1223">
        <f t="shared" ref="G15:G18" si="4">F15*E15</f>
        <v>473.28961680000003</v>
      </c>
      <c r="H15" s="2162"/>
      <c r="I15" s="771"/>
      <c r="J15" s="8"/>
      <c r="K15" s="8"/>
      <c r="L15" s="8"/>
      <c r="M15" s="8"/>
      <c r="N15" s="8"/>
      <c r="O15" s="8"/>
      <c r="P15" s="8"/>
    </row>
    <row r="16" spans="1:16" s="1835" customFormat="1" x14ac:dyDescent="0.2">
      <c r="A16" s="916"/>
      <c r="B16" s="2234"/>
      <c r="C16" s="1848" t="str">
        <f>VLOOKUP($C$7,J43:N49,5,0)</f>
        <v>8903805/</v>
      </c>
      <c r="D16" s="1220" t="str">
        <f t="shared" si="0"/>
        <v>TBX, Tip-on BM, L3,350-600, лев T60B3533</v>
      </c>
      <c r="E16" s="1849">
        <v>1</v>
      </c>
      <c r="F16" s="1222">
        <f t="shared" si="3"/>
        <v>473.28961680000003</v>
      </c>
      <c r="G16" s="1223">
        <f t="shared" si="4"/>
        <v>473.28961680000003</v>
      </c>
      <c r="H16" s="2162"/>
      <c r="I16" s="771"/>
      <c r="J16" s="8"/>
      <c r="K16" s="8"/>
      <c r="L16" s="8"/>
      <c r="M16" s="8"/>
      <c r="N16" s="8"/>
      <c r="O16" s="8"/>
      <c r="P16" s="8"/>
    </row>
    <row r="17" spans="1:16" s="1835" customFormat="1" x14ac:dyDescent="0.2">
      <c r="A17" s="916"/>
      <c r="B17" s="2234"/>
      <c r="C17" s="1790" t="s">
        <v>3930</v>
      </c>
      <c r="D17" s="1220" t="str">
        <f t="shared" ref="D17:D18" si="5">VLOOKUP(C17,всецены,2,FALSE)</f>
        <v xml:space="preserve">TBX, Tip-on BM, триггер, лев. T60B3009  </v>
      </c>
      <c r="E17" s="1849">
        <v>1</v>
      </c>
      <c r="F17" s="1222">
        <f t="shared" si="3"/>
        <v>40.660620000000002</v>
      </c>
      <c r="G17" s="1223">
        <f t="shared" si="4"/>
        <v>40.660620000000002</v>
      </c>
      <c r="H17" s="2162"/>
      <c r="I17" s="771"/>
      <c r="J17" s="8"/>
      <c r="K17" s="8"/>
      <c r="L17" s="8"/>
      <c r="M17" s="8"/>
      <c r="N17" s="8"/>
      <c r="O17" s="8"/>
      <c r="P17" s="8"/>
    </row>
    <row r="18" spans="1:16" s="1835" customFormat="1" x14ac:dyDescent="0.2">
      <c r="A18" s="916"/>
      <c r="B18" s="2234"/>
      <c r="C18" s="1790" t="s">
        <v>3931</v>
      </c>
      <c r="D18" s="1220" t="str">
        <f t="shared" si="5"/>
        <v xml:space="preserve">TBX, Tip-on BM, триггер, прав. T60B3009 </v>
      </c>
      <c r="E18" s="1849">
        <v>1</v>
      </c>
      <c r="F18" s="1222">
        <f t="shared" si="3"/>
        <v>40.660620000000002</v>
      </c>
      <c r="G18" s="1223">
        <f t="shared" si="4"/>
        <v>40.660620000000002</v>
      </c>
      <c r="H18" s="2162"/>
      <c r="I18" s="771"/>
      <c r="J18" s="8"/>
      <c r="K18" s="8"/>
      <c r="L18" s="8"/>
      <c r="M18" s="8"/>
      <c r="N18" s="8"/>
      <c r="O18" s="8"/>
      <c r="P18" s="8"/>
    </row>
    <row r="19" spans="1:16" x14ac:dyDescent="0.2">
      <c r="A19" s="916"/>
      <c r="B19" s="2176"/>
      <c r="C19" s="1225" t="s">
        <v>2032</v>
      </c>
      <c r="D19" s="1220" t="str">
        <f>VLOOKUP(C19,всецены,2,FALSE)</f>
        <v xml:space="preserve">TBX-A, Держат задн ст, 68 мм, бел, лев  </v>
      </c>
      <c r="E19" s="1221">
        <v>1</v>
      </c>
      <c r="F19" s="1222">
        <f>VLOOKUP(C19,всецены,4,FALSE)</f>
        <v>43.913469600000006</v>
      </c>
      <c r="G19" s="1223">
        <f>F19*E19</f>
        <v>43.913469600000006</v>
      </c>
      <c r="H19" s="2162"/>
    </row>
    <row r="20" spans="1:16" ht="13.5" thickBot="1" x14ac:dyDescent="0.25">
      <c r="B20" s="2158"/>
      <c r="C20" s="1204" t="s">
        <v>2033</v>
      </c>
      <c r="D20" s="1204" t="str">
        <f t="shared" si="0"/>
        <v xml:space="preserve">TBX-A, Держат задн ст, 68 мм, бел, прав </v>
      </c>
      <c r="E20" s="1205">
        <v>1</v>
      </c>
      <c r="F20" s="1206">
        <f t="shared" si="1"/>
        <v>43.913469600000006</v>
      </c>
      <c r="G20" s="1207">
        <f t="shared" si="2"/>
        <v>43.913469600000006</v>
      </c>
      <c r="H20" s="2163"/>
    </row>
    <row r="21" spans="1:16" x14ac:dyDescent="0.2">
      <c r="A21" s="782"/>
      <c r="B21" s="782"/>
      <c r="C21" s="782"/>
      <c r="D21" s="782"/>
      <c r="E21" s="781"/>
      <c r="F21" s="782"/>
      <c r="G21" s="799"/>
      <c r="H21" s="1122"/>
      <c r="I21" s="782"/>
    </row>
    <row r="22" spans="1:16" x14ac:dyDescent="0.2">
      <c r="A22" s="1071"/>
      <c r="B22" s="2127" t="s">
        <v>3437</v>
      </c>
      <c r="C22" s="2127"/>
      <c r="D22" s="2127"/>
      <c r="E22" s="2127"/>
      <c r="F22" s="2127"/>
      <c r="G22" s="2127"/>
      <c r="H22" s="1122"/>
      <c r="I22" s="782"/>
    </row>
    <row r="23" spans="1:16" ht="13.5" thickBot="1" x14ac:dyDescent="0.25">
      <c r="A23" s="1071"/>
      <c r="B23" s="2127"/>
      <c r="C23" s="2127"/>
      <c r="D23" s="2127"/>
      <c r="E23" s="2127"/>
      <c r="F23" s="2127"/>
      <c r="G23" s="2127"/>
      <c r="H23" s="1122"/>
      <c r="I23" s="782"/>
    </row>
    <row r="24" spans="1:16" ht="20.25" x14ac:dyDescent="0.2">
      <c r="A24" s="916"/>
      <c r="B24" s="1255" t="s">
        <v>875</v>
      </c>
      <c r="C24" s="1232"/>
      <c r="D24" s="2164" t="s">
        <v>1410</v>
      </c>
      <c r="E24" s="2164"/>
      <c r="F24" s="2164"/>
      <c r="G24" s="2164"/>
      <c r="H24" s="1233"/>
      <c r="J24" s="96" t="s">
        <v>1646</v>
      </c>
      <c r="K24" s="28"/>
      <c r="L24" s="28"/>
    </row>
    <row r="25" spans="1:16" ht="15.75" thickBot="1" x14ac:dyDescent="0.25">
      <c r="A25" s="916"/>
      <c r="B25" s="1209" t="s">
        <v>1639</v>
      </c>
      <c r="C25" s="1231">
        <v>270</v>
      </c>
      <c r="D25" s="1228" t="s">
        <v>1689</v>
      </c>
      <c r="E25" s="1228"/>
      <c r="F25" s="1228"/>
      <c r="G25" s="1229"/>
      <c r="H25" s="1234"/>
      <c r="K25" s="1836" t="s">
        <v>1645</v>
      </c>
      <c r="L25" s="1836" t="s">
        <v>1644</v>
      </c>
      <c r="M25" s="8" t="s">
        <v>1641</v>
      </c>
      <c r="N25" s="8" t="s">
        <v>1642</v>
      </c>
    </row>
    <row r="26" spans="1:16" x14ac:dyDescent="0.2">
      <c r="A26" s="916"/>
      <c r="B26" s="2159"/>
      <c r="C26" s="1177" t="s">
        <v>1301</v>
      </c>
      <c r="D26" s="1245" t="s">
        <v>784</v>
      </c>
      <c r="E26" s="1246" t="s">
        <v>2117</v>
      </c>
      <c r="F26" s="1247"/>
      <c r="G26" s="1248" t="s">
        <v>2116</v>
      </c>
      <c r="H26" s="1235"/>
      <c r="J26" s="8">
        <v>270</v>
      </c>
      <c r="K26" s="1371" t="s">
        <v>3501</v>
      </c>
      <c r="L26" s="1371" t="s">
        <v>3502</v>
      </c>
      <c r="M26" s="1371" t="s">
        <v>4506</v>
      </c>
      <c r="N26" s="1371" t="s">
        <v>4505</v>
      </c>
    </row>
    <row r="27" spans="1:16" x14ac:dyDescent="0.2">
      <c r="A27" s="916"/>
      <c r="B27" s="2160"/>
      <c r="C27" s="1236" t="str">
        <f>VLOOKUP($C$25,MA,2,FALSE)</f>
        <v>1066967/</v>
      </c>
      <c r="D27" s="1236" t="str">
        <f t="shared" ref="D27:D38" si="6">VLOOKUP(C27,всецены,2,FALSE)</f>
        <v xml:space="preserve">TBX-A, Царга 83/270 мм, бел лев NEW     </v>
      </c>
      <c r="E27" s="1237">
        <v>1</v>
      </c>
      <c r="F27" s="1238">
        <f t="shared" ref="F27:F38" si="7">VLOOKUP(C27,всецены,4,FALSE)</f>
        <v>539.97303360000001</v>
      </c>
      <c r="G27" s="1239">
        <f t="shared" ref="G27:G38" si="8">F27*E27</f>
        <v>539.97303360000001</v>
      </c>
      <c r="H27" s="2166">
        <f>SUM(G27:G38)</f>
        <v>3454.5262752000012</v>
      </c>
      <c r="I27" s="981"/>
      <c r="J27" s="8">
        <v>350</v>
      </c>
      <c r="K27" s="1371" t="s">
        <v>3497</v>
      </c>
      <c r="L27" s="1371" t="s">
        <v>3498</v>
      </c>
      <c r="M27" s="1371" t="s">
        <v>4513</v>
      </c>
      <c r="N27" s="1371" t="s">
        <v>4512</v>
      </c>
    </row>
    <row r="28" spans="1:16" x14ac:dyDescent="0.2">
      <c r="A28" s="916"/>
      <c r="B28" s="2160"/>
      <c r="C28" s="1236" t="str">
        <f>VLOOKUP($C$25,MA,3,FALSE)</f>
        <v>1060840/</v>
      </c>
      <c r="D28" s="1236" t="str">
        <f t="shared" si="6"/>
        <v xml:space="preserve">TBX-A, Царга 83/270 мм, бел, прав. NEW  </v>
      </c>
      <c r="E28" s="1237">
        <v>1</v>
      </c>
      <c r="F28" s="1238">
        <f>VLOOKUP(C28,всецены,4,FALSE)</f>
        <v>539.97303360000001</v>
      </c>
      <c r="G28" s="1239">
        <f>F28*E28</f>
        <v>539.97303360000001</v>
      </c>
      <c r="H28" s="2166"/>
      <c r="J28" s="8">
        <v>400</v>
      </c>
      <c r="K28" s="1371" t="s">
        <v>3495</v>
      </c>
      <c r="L28" s="1371" t="s">
        <v>3496</v>
      </c>
      <c r="M28" s="1371" t="s">
        <v>4516</v>
      </c>
      <c r="N28" s="1371" t="s">
        <v>4515</v>
      </c>
    </row>
    <row r="29" spans="1:16" x14ac:dyDescent="0.2">
      <c r="A29" s="916"/>
      <c r="B29" s="2160"/>
      <c r="C29" s="1219" t="str">
        <f>VLOOKUP(C25,J43:N48,2,FALSE)</f>
        <v>7759610/</v>
      </c>
      <c r="D29" s="1236" t="str">
        <f t="shared" si="6"/>
        <v>TBX, Tip-on BM, Напр, 30 кг, 270 мм, лев</v>
      </c>
      <c r="E29" s="1237">
        <v>1</v>
      </c>
      <c r="F29" s="1238">
        <f t="shared" si="7"/>
        <v>586.32614039999999</v>
      </c>
      <c r="G29" s="1239">
        <f t="shared" si="8"/>
        <v>586.32614039999999</v>
      </c>
      <c r="H29" s="2166"/>
      <c r="J29" s="8">
        <v>450</v>
      </c>
      <c r="K29" s="1371" t="s">
        <v>3503</v>
      </c>
      <c r="L29" s="1371" t="s">
        <v>3504</v>
      </c>
      <c r="M29" s="1371" t="s">
        <v>4519</v>
      </c>
      <c r="N29" s="1371" t="s">
        <v>4518</v>
      </c>
    </row>
    <row r="30" spans="1:16" x14ac:dyDescent="0.2">
      <c r="A30" s="916"/>
      <c r="B30" s="2160"/>
      <c r="C30" s="1219" t="str">
        <f>VLOOKUP(C25,J42:N48,3,FALSE)</f>
        <v>7753565/</v>
      </c>
      <c r="D30" s="1236" t="str">
        <f t="shared" si="6"/>
        <v xml:space="preserve">TBX, Tip-on BM, Напр, 30 кг, 270 мм, пр </v>
      </c>
      <c r="E30" s="1237">
        <v>1</v>
      </c>
      <c r="F30" s="1238">
        <f>VLOOKUP(C30,всецены,4,FALSE)</f>
        <v>586.32614039999999</v>
      </c>
      <c r="G30" s="1239">
        <f>F30*E30</f>
        <v>586.32614039999999</v>
      </c>
      <c r="H30" s="2166"/>
      <c r="J30" s="8">
        <v>500</v>
      </c>
      <c r="K30" s="1371" t="s">
        <v>3493</v>
      </c>
      <c r="L30" s="1372" t="s">
        <v>3494</v>
      </c>
      <c r="M30" s="1371" t="s">
        <v>4522</v>
      </c>
      <c r="N30" s="1371" t="s">
        <v>4521</v>
      </c>
    </row>
    <row r="31" spans="1:16" x14ac:dyDescent="0.2">
      <c r="A31" s="916"/>
      <c r="B31" s="2160"/>
      <c r="C31" s="138" t="s">
        <v>4511</v>
      </c>
      <c r="D31" s="1236" t="str">
        <f t="shared" si="6"/>
        <v xml:space="preserve">TBX, Крепл фасада INSERTA, NEW ZSF.39A2 </v>
      </c>
      <c r="E31" s="1237">
        <v>2</v>
      </c>
      <c r="F31" s="1238">
        <f t="shared" si="7"/>
        <v>43.913469600000006</v>
      </c>
      <c r="G31" s="1239">
        <f t="shared" si="8"/>
        <v>87.826939200000012</v>
      </c>
      <c r="H31" s="2166"/>
    </row>
    <row r="32" spans="1:16" s="1835" customFormat="1" x14ac:dyDescent="0.2">
      <c r="A32" s="916"/>
      <c r="B32" s="2160"/>
      <c r="C32" s="1848" t="str">
        <f>VLOOKUP($C$25,J42:N48,4,0)</f>
        <v>4259767/</v>
      </c>
      <c r="D32" s="1220" t="str">
        <f t="shared" si="6"/>
        <v>TBX, Tip-on BM, S1,270-349, лев T60B3133</v>
      </c>
      <c r="E32" s="1849">
        <v>1</v>
      </c>
      <c r="F32" s="1222">
        <f t="shared" si="7"/>
        <v>473.28961680000003</v>
      </c>
      <c r="G32" s="1223">
        <f t="shared" si="8"/>
        <v>473.28961680000003</v>
      </c>
      <c r="H32" s="2235"/>
      <c r="I32" s="771"/>
      <c r="J32" s="8"/>
      <c r="K32" s="8"/>
      <c r="L32" s="8"/>
      <c r="M32" s="8"/>
      <c r="N32" s="8"/>
      <c r="O32" s="8"/>
      <c r="P32" s="8"/>
    </row>
    <row r="33" spans="1:16" s="1835" customFormat="1" x14ac:dyDescent="0.2">
      <c r="A33" s="916"/>
      <c r="B33" s="2160"/>
      <c r="C33" s="1848" t="str">
        <f>VLOOKUP($C$25,J42:N48,5,0)</f>
        <v>7684974/</v>
      </c>
      <c r="D33" s="1220" t="str">
        <f t="shared" si="6"/>
        <v xml:space="preserve">TBX, Tip-on BM, S1,270-349, пр T60B3133 </v>
      </c>
      <c r="E33" s="1849">
        <v>1</v>
      </c>
      <c r="F33" s="1222">
        <f t="shared" si="7"/>
        <v>473.28961680000003</v>
      </c>
      <c r="G33" s="1223">
        <f t="shared" si="8"/>
        <v>473.28961680000003</v>
      </c>
      <c r="H33" s="2235"/>
      <c r="I33" s="771"/>
      <c r="J33" s="8"/>
      <c r="K33" s="8"/>
      <c r="L33" s="8"/>
      <c r="M33" s="8"/>
      <c r="N33" s="8"/>
      <c r="O33" s="8"/>
      <c r="P33" s="8"/>
    </row>
    <row r="34" spans="1:16" s="1835" customFormat="1" x14ac:dyDescent="0.2">
      <c r="A34" s="916"/>
      <c r="B34" s="2160"/>
      <c r="C34" s="1790" t="s">
        <v>3930</v>
      </c>
      <c r="D34" s="1220" t="str">
        <f t="shared" si="6"/>
        <v xml:space="preserve">TBX, Tip-on BM, триггер, лев. T60B3009  </v>
      </c>
      <c r="E34" s="1849">
        <v>1</v>
      </c>
      <c r="F34" s="1222">
        <f t="shared" si="7"/>
        <v>40.660620000000002</v>
      </c>
      <c r="G34" s="1223">
        <f t="shared" si="8"/>
        <v>40.660620000000002</v>
      </c>
      <c r="H34" s="2235"/>
      <c r="I34" s="771"/>
      <c r="J34" s="8"/>
      <c r="K34" s="8"/>
      <c r="L34" s="8"/>
      <c r="M34" s="8"/>
      <c r="N34" s="8"/>
      <c r="O34" s="8"/>
      <c r="P34" s="8"/>
    </row>
    <row r="35" spans="1:16" s="1835" customFormat="1" x14ac:dyDescent="0.2">
      <c r="A35" s="916"/>
      <c r="B35" s="2160"/>
      <c r="C35" s="1790" t="s">
        <v>3931</v>
      </c>
      <c r="D35" s="1220" t="str">
        <f t="shared" si="6"/>
        <v xml:space="preserve">TBX, Tip-on BM, триггер, прав. T60B3009 </v>
      </c>
      <c r="E35" s="1849">
        <v>1</v>
      </c>
      <c r="F35" s="1222">
        <f t="shared" si="7"/>
        <v>40.660620000000002</v>
      </c>
      <c r="G35" s="1223">
        <f t="shared" si="8"/>
        <v>40.660620000000002</v>
      </c>
      <c r="H35" s="2235"/>
      <c r="I35" s="771"/>
      <c r="J35" s="8"/>
      <c r="K35" s="8"/>
      <c r="L35" s="8"/>
      <c r="M35" s="8"/>
      <c r="N35" s="8"/>
      <c r="O35" s="8"/>
      <c r="P35" s="8"/>
    </row>
    <row r="36" spans="1:16" x14ac:dyDescent="0.2">
      <c r="A36" s="916"/>
      <c r="B36" s="2160"/>
      <c r="C36" s="1224" t="s">
        <v>1021</v>
      </c>
      <c r="D36" s="1236" t="str">
        <f t="shared" si="6"/>
        <v>TBX-A, Загл с лого, бел, сим,ZAA.532C.BL</v>
      </c>
      <c r="E36" s="1237">
        <v>2</v>
      </c>
      <c r="F36" s="1238">
        <f t="shared" si="7"/>
        <v>8.9453364000000004</v>
      </c>
      <c r="G36" s="1239">
        <f t="shared" si="8"/>
        <v>17.890672800000001</v>
      </c>
      <c r="H36" s="2166"/>
    </row>
    <row r="37" spans="1:16" x14ac:dyDescent="0.2">
      <c r="A37" s="916"/>
      <c r="B37" s="2160"/>
      <c r="C37" s="1224" t="s">
        <v>795</v>
      </c>
      <c r="D37" s="1236" t="str">
        <f t="shared" si="6"/>
        <v xml:space="preserve">TBX-A, Держат задн ст, 96 мм, бел, лев  </v>
      </c>
      <c r="E37" s="1237">
        <v>1</v>
      </c>
      <c r="F37" s="1238">
        <f t="shared" si="7"/>
        <v>34.154920799999999</v>
      </c>
      <c r="G37" s="1239">
        <f t="shared" si="8"/>
        <v>34.154920799999999</v>
      </c>
      <c r="H37" s="2166"/>
    </row>
    <row r="38" spans="1:16" ht="13.5" thickBot="1" x14ac:dyDescent="0.25">
      <c r="A38" s="916"/>
      <c r="B38" s="2165"/>
      <c r="C38" s="1240" t="s">
        <v>797</v>
      </c>
      <c r="D38" s="1241" t="str">
        <f t="shared" si="6"/>
        <v xml:space="preserve">TBX-A, Держат задн ст, 96 мм, бел, прав </v>
      </c>
      <c r="E38" s="1242">
        <v>1</v>
      </c>
      <c r="F38" s="1243">
        <f t="shared" si="7"/>
        <v>34.154920799999999</v>
      </c>
      <c r="G38" s="1244">
        <f t="shared" si="8"/>
        <v>34.154920799999999</v>
      </c>
      <c r="H38" s="2167"/>
    </row>
    <row r="39" spans="1:16" ht="13.5" thickBot="1" x14ac:dyDescent="0.25">
      <c r="A39" s="916"/>
      <c r="B39" s="1256"/>
      <c r="C39" s="1257"/>
      <c r="D39" s="1258"/>
      <c r="E39" s="1259"/>
      <c r="F39" s="1260"/>
      <c r="G39" s="1261"/>
      <c r="H39" s="787"/>
    </row>
    <row r="40" spans="1:16" ht="20.25" x14ac:dyDescent="0.2">
      <c r="A40" s="916"/>
      <c r="B40" s="1255" t="s">
        <v>875</v>
      </c>
      <c r="C40" s="1251"/>
      <c r="D40" s="2173" t="s">
        <v>1299</v>
      </c>
      <c r="E40" s="2173"/>
      <c r="F40" s="2173"/>
      <c r="G40" s="2173"/>
      <c r="H40" s="1215"/>
      <c r="L40" s="1230"/>
    </row>
    <row r="41" spans="1:16" ht="15.75" thickBot="1" x14ac:dyDescent="0.25">
      <c r="A41" s="916"/>
      <c r="B41" s="1209" t="s">
        <v>1639</v>
      </c>
      <c r="C41" s="1172">
        <v>500</v>
      </c>
      <c r="D41" s="1228" t="s">
        <v>1689</v>
      </c>
      <c r="E41" s="1212"/>
      <c r="F41" s="1212"/>
      <c r="G41" s="1249"/>
      <c r="H41" s="1208"/>
    </row>
    <row r="42" spans="1:16" x14ac:dyDescent="0.2">
      <c r="A42" s="916"/>
      <c r="B42" s="2159"/>
      <c r="C42" s="1177" t="s">
        <v>1301</v>
      </c>
      <c r="D42" s="1245" t="s">
        <v>784</v>
      </c>
      <c r="E42" s="1246" t="s">
        <v>2117</v>
      </c>
      <c r="F42" s="1247"/>
      <c r="G42" s="1250" t="s">
        <v>2116</v>
      </c>
      <c r="H42" s="1254"/>
      <c r="J42" s="786"/>
      <c r="K42" s="8" t="s">
        <v>1641</v>
      </c>
      <c r="L42" s="8" t="s">
        <v>1642</v>
      </c>
      <c r="M42" s="8" t="s">
        <v>5189</v>
      </c>
      <c r="N42" s="8" t="s">
        <v>5190</v>
      </c>
    </row>
    <row r="43" spans="1:16" x14ac:dyDescent="0.2">
      <c r="A43" s="916"/>
      <c r="B43" s="2160"/>
      <c r="C43" s="1224" t="s">
        <v>1021</v>
      </c>
      <c r="D43" s="1236" t="str">
        <f>VLOOKUP(C43,всецены,2,FALSE)</f>
        <v>TBX-A, Загл с лого, бел, сим,ZAA.532C.BL</v>
      </c>
      <c r="E43" s="1237">
        <v>2</v>
      </c>
      <c r="F43" s="1237">
        <f t="shared" ref="F43:F56" si="9">VLOOKUP(C43,всецены,4,FALSE)</f>
        <v>8.9453364000000004</v>
      </c>
      <c r="G43" s="1252">
        <f t="shared" ref="G43:G56" si="10">F43*E43</f>
        <v>17.890672800000001</v>
      </c>
      <c r="H43" s="2155">
        <f>SUM(G43:G56)</f>
        <v>4960.5956400000014</v>
      </c>
      <c r="J43" s="8">
        <v>270</v>
      </c>
      <c r="K43" s="1835" t="s">
        <v>3934</v>
      </c>
      <c r="L43" s="1835" t="s">
        <v>3933</v>
      </c>
      <c r="M43" s="1835" t="s">
        <v>3919</v>
      </c>
      <c r="N43" s="1835" t="s">
        <v>3932</v>
      </c>
    </row>
    <row r="44" spans="1:16" x14ac:dyDescent="0.2">
      <c r="A44" s="916"/>
      <c r="B44" s="2160"/>
      <c r="C44" s="1224" t="s">
        <v>795</v>
      </c>
      <c r="D44" s="1224" t="s">
        <v>796</v>
      </c>
      <c r="E44" s="1237">
        <v>1</v>
      </c>
      <c r="F44" s="1237">
        <f t="shared" si="9"/>
        <v>34.154920799999999</v>
      </c>
      <c r="G44" s="1252">
        <f t="shared" si="10"/>
        <v>34.154920799999999</v>
      </c>
      <c r="H44" s="2155"/>
      <c r="J44" s="8">
        <v>300</v>
      </c>
      <c r="K44" s="1835" t="s">
        <v>3937</v>
      </c>
      <c r="L44" s="1835" t="s">
        <v>3936</v>
      </c>
      <c r="M44" s="1835" t="s">
        <v>3919</v>
      </c>
      <c r="N44" s="1835" t="s">
        <v>3932</v>
      </c>
    </row>
    <row r="45" spans="1:16" x14ac:dyDescent="0.2">
      <c r="A45" s="916"/>
      <c r="B45" s="2160"/>
      <c r="C45" s="1224" t="s">
        <v>797</v>
      </c>
      <c r="D45" s="1224" t="s">
        <v>798</v>
      </c>
      <c r="E45" s="1237">
        <v>1</v>
      </c>
      <c r="F45" s="1237">
        <f t="shared" si="9"/>
        <v>34.154920799999999</v>
      </c>
      <c r="G45" s="1252">
        <f t="shared" si="10"/>
        <v>34.154920799999999</v>
      </c>
      <c r="H45" s="2155"/>
      <c r="J45" s="8">
        <v>350</v>
      </c>
      <c r="K45" s="1835" t="s">
        <v>3940</v>
      </c>
      <c r="L45" s="1835" t="s">
        <v>3939</v>
      </c>
      <c r="M45" s="1835" t="s">
        <v>3918</v>
      </c>
      <c r="N45" s="1835" t="s">
        <v>3954</v>
      </c>
    </row>
    <row r="46" spans="1:16" x14ac:dyDescent="0.2">
      <c r="A46" s="916"/>
      <c r="B46" s="2160"/>
      <c r="C46" s="1236" t="str">
        <f>VLOOKUP($C$41,MA,2,FALSE)</f>
        <v>1847502/</v>
      </c>
      <c r="D46" s="1236" t="str">
        <f t="shared" ref="D46:D53" si="11">VLOOKUP(C46,всецены,2,FALSE)</f>
        <v xml:space="preserve">TBX-A, Царга 83/500 мм, бел, лев. NEW   </v>
      </c>
      <c r="E46" s="1237">
        <v>1</v>
      </c>
      <c r="F46" s="1237">
        <f t="shared" si="9"/>
        <v>395.22122640000003</v>
      </c>
      <c r="G46" s="1252">
        <f t="shared" si="10"/>
        <v>395.22122640000003</v>
      </c>
      <c r="H46" s="2155"/>
      <c r="J46" s="8">
        <v>400</v>
      </c>
      <c r="K46" s="1835" t="s">
        <v>3943</v>
      </c>
      <c r="L46" s="1835" t="s">
        <v>3942</v>
      </c>
      <c r="M46" s="1835" t="s">
        <v>3918</v>
      </c>
      <c r="N46" s="1835" t="s">
        <v>3954</v>
      </c>
    </row>
    <row r="47" spans="1:16" x14ac:dyDescent="0.2">
      <c r="A47" s="916"/>
      <c r="B47" s="2160"/>
      <c r="C47" s="1236" t="str">
        <f>VLOOKUP($C$41,MA,3,FALSE)</f>
        <v>1838267/</v>
      </c>
      <c r="D47" s="1236" t="str">
        <f t="shared" si="11"/>
        <v xml:space="preserve">TBX-A, Царга 83/500 мм, бел, прав. NEW  </v>
      </c>
      <c r="E47" s="1237">
        <v>1</v>
      </c>
      <c r="F47" s="1237">
        <f t="shared" ref="F47:F53" si="12">VLOOKUP(C47,всецены,4,FALSE)</f>
        <v>395.22122640000003</v>
      </c>
      <c r="G47" s="1252">
        <f>F47*E47</f>
        <v>395.22122640000003</v>
      </c>
      <c r="H47" s="2155"/>
      <c r="J47" s="8">
        <v>450</v>
      </c>
      <c r="K47" s="1835" t="s">
        <v>3946</v>
      </c>
      <c r="L47" s="1835" t="s">
        <v>3945</v>
      </c>
      <c r="M47" s="1835" t="s">
        <v>3918</v>
      </c>
      <c r="N47" s="1835" t="s">
        <v>3954</v>
      </c>
    </row>
    <row r="48" spans="1:16" x14ac:dyDescent="0.2">
      <c r="A48" s="916"/>
      <c r="B48" s="2160"/>
      <c r="C48" s="1219" t="str">
        <f>VLOOKUP(C41,J43:N48,2,FALSE)</f>
        <v>7940374/</v>
      </c>
      <c r="D48" s="1236" t="str">
        <f t="shared" si="11"/>
        <v>TBX, Tip-on BM, Напр, 30 кг, 500 мм, лев</v>
      </c>
      <c r="E48" s="1237">
        <v>1</v>
      </c>
      <c r="F48" s="1237">
        <f t="shared" si="12"/>
        <v>600.15075120000006</v>
      </c>
      <c r="G48" s="1252">
        <f>F48*E48</f>
        <v>600.15075120000006</v>
      </c>
      <c r="H48" s="2155"/>
      <c r="J48" s="8">
        <v>500</v>
      </c>
      <c r="K48" s="1835" t="s">
        <v>3949</v>
      </c>
      <c r="L48" s="1835" t="s">
        <v>3948</v>
      </c>
      <c r="M48" s="1835" t="s">
        <v>3918</v>
      </c>
      <c r="N48" s="1835" t="s">
        <v>3954</v>
      </c>
    </row>
    <row r="49" spans="1:16" x14ac:dyDescent="0.2">
      <c r="A49" s="916"/>
      <c r="B49" s="2160"/>
      <c r="C49" s="1219" t="str">
        <f>VLOOKUP(C41,J42:N48,3,FALSE)</f>
        <v>7936668/</v>
      </c>
      <c r="D49" s="1236" t="str">
        <f t="shared" si="11"/>
        <v xml:space="preserve">TBX, Tip-on BM, Напр, 30 кг, 500 мм, пр </v>
      </c>
      <c r="E49" s="1237">
        <v>1</v>
      </c>
      <c r="F49" s="1237">
        <f t="shared" si="12"/>
        <v>600.15075120000006</v>
      </c>
      <c r="G49" s="1252">
        <f>F49*E49</f>
        <v>600.15075120000006</v>
      </c>
      <c r="H49" s="2155"/>
    </row>
    <row r="50" spans="1:16" s="1835" customFormat="1" x14ac:dyDescent="0.2">
      <c r="A50" s="916"/>
      <c r="B50" s="2160"/>
      <c r="C50" s="1848" t="str">
        <f>VLOOKUP($C$41,J42:N48,4,0)</f>
        <v>1829780/</v>
      </c>
      <c r="D50" s="1236" t="str">
        <f t="shared" si="11"/>
        <v xml:space="preserve">TBX, Tip-on BM, L3,350-600, пр T60B3533 </v>
      </c>
      <c r="E50" s="1237">
        <v>1</v>
      </c>
      <c r="F50" s="1237">
        <f t="shared" si="12"/>
        <v>473.28961680000003</v>
      </c>
      <c r="G50" s="1252">
        <f t="shared" ref="G50:G53" si="13">F50*E50</f>
        <v>473.28961680000003</v>
      </c>
      <c r="H50" s="2155"/>
      <c r="I50" s="771"/>
      <c r="J50" s="8"/>
      <c r="K50" s="8"/>
      <c r="L50" s="8"/>
      <c r="M50" s="8"/>
      <c r="N50" s="8"/>
      <c r="O50" s="8"/>
      <c r="P50" s="8"/>
    </row>
    <row r="51" spans="1:16" s="1835" customFormat="1" x14ac:dyDescent="0.2">
      <c r="A51" s="916"/>
      <c r="B51" s="2160"/>
      <c r="C51" s="1848" t="str">
        <f>VLOOKUP($C$41,J42:N48,5,0)</f>
        <v>8903805/</v>
      </c>
      <c r="D51" s="1236" t="str">
        <f t="shared" si="11"/>
        <v>TBX, Tip-on BM, L3,350-600, лев T60B3533</v>
      </c>
      <c r="E51" s="1237">
        <v>1</v>
      </c>
      <c r="F51" s="1237">
        <f t="shared" si="12"/>
        <v>473.28961680000003</v>
      </c>
      <c r="G51" s="1252">
        <f t="shared" si="13"/>
        <v>473.28961680000003</v>
      </c>
      <c r="H51" s="2155"/>
      <c r="I51" s="771"/>
      <c r="J51" s="8"/>
      <c r="K51" s="8"/>
      <c r="L51" s="8"/>
      <c r="M51" s="8"/>
      <c r="N51" s="8"/>
      <c r="O51" s="8"/>
      <c r="P51" s="8"/>
    </row>
    <row r="52" spans="1:16" s="1835" customFormat="1" x14ac:dyDescent="0.2">
      <c r="A52" s="916"/>
      <c r="B52" s="2160"/>
      <c r="C52" s="1790" t="s">
        <v>3930</v>
      </c>
      <c r="D52" s="1236" t="str">
        <f t="shared" si="11"/>
        <v xml:space="preserve">TBX, Tip-on BM, триггер, лев. T60B3009  </v>
      </c>
      <c r="E52" s="1237">
        <v>1</v>
      </c>
      <c r="F52" s="1237">
        <f t="shared" si="12"/>
        <v>40.660620000000002</v>
      </c>
      <c r="G52" s="1252">
        <f t="shared" si="13"/>
        <v>40.660620000000002</v>
      </c>
      <c r="H52" s="2155"/>
      <c r="I52" s="771"/>
      <c r="J52" s="8"/>
      <c r="K52" s="8"/>
      <c r="L52" s="8"/>
      <c r="M52" s="8"/>
      <c r="N52" s="8"/>
      <c r="O52" s="8"/>
      <c r="P52" s="8"/>
    </row>
    <row r="53" spans="1:16" s="1835" customFormat="1" x14ac:dyDescent="0.2">
      <c r="A53" s="916"/>
      <c r="B53" s="2160"/>
      <c r="C53" s="1790" t="s">
        <v>3931</v>
      </c>
      <c r="D53" s="1236" t="str">
        <f t="shared" si="11"/>
        <v xml:space="preserve">TBX, Tip-on BM, триггер, прав. T60B3009 </v>
      </c>
      <c r="E53" s="1237">
        <v>1</v>
      </c>
      <c r="F53" s="1237">
        <f t="shared" si="12"/>
        <v>40.660620000000002</v>
      </c>
      <c r="G53" s="1252">
        <f t="shared" si="13"/>
        <v>40.660620000000002</v>
      </c>
      <c r="H53" s="2155"/>
      <c r="I53" s="771"/>
      <c r="J53" s="8"/>
      <c r="K53" s="8"/>
      <c r="L53" s="8"/>
      <c r="M53" s="8"/>
      <c r="N53" s="8"/>
      <c r="O53" s="8"/>
      <c r="P53" s="8"/>
    </row>
    <row r="54" spans="1:16" x14ac:dyDescent="0.2">
      <c r="A54" s="916"/>
      <c r="B54" s="2160"/>
      <c r="C54" s="1224" t="s">
        <v>274</v>
      </c>
      <c r="D54" s="1224" t="s">
        <v>275</v>
      </c>
      <c r="E54" s="1237">
        <v>1</v>
      </c>
      <c r="F54" s="1237">
        <f t="shared" si="9"/>
        <v>334.23029640000004</v>
      </c>
      <c r="G54" s="1252">
        <f t="shared" si="10"/>
        <v>334.23029640000004</v>
      </c>
      <c r="H54" s="2155"/>
    </row>
    <row r="55" spans="1:16" x14ac:dyDescent="0.2">
      <c r="A55" s="916"/>
      <c r="B55" s="2160"/>
      <c r="C55" s="1224" t="s">
        <v>276</v>
      </c>
      <c r="D55" s="1224" t="s">
        <v>1605</v>
      </c>
      <c r="E55" s="1237">
        <v>1</v>
      </c>
      <c r="F55" s="1237">
        <f t="shared" si="9"/>
        <v>334.23029640000004</v>
      </c>
      <c r="G55" s="1252">
        <f t="shared" si="10"/>
        <v>334.23029640000004</v>
      </c>
      <c r="H55" s="2155"/>
    </row>
    <row r="56" spans="1:16" ht="13.5" thickBot="1" x14ac:dyDescent="0.25">
      <c r="B56" s="2165"/>
      <c r="C56" s="1240" t="s">
        <v>1610</v>
      </c>
      <c r="D56" s="1240" t="s">
        <v>1611</v>
      </c>
      <c r="E56" s="1242">
        <v>1</v>
      </c>
      <c r="F56" s="1242">
        <f t="shared" si="9"/>
        <v>1187.2901040000002</v>
      </c>
      <c r="G56" s="1253">
        <f t="shared" si="10"/>
        <v>1187.2901040000002</v>
      </c>
      <c r="H56" s="2156"/>
    </row>
    <row r="57" spans="1:16" x14ac:dyDescent="0.2">
      <c r="B57" s="782"/>
      <c r="C57" s="785"/>
      <c r="D57" s="782"/>
      <c r="E57" s="781"/>
      <c r="F57" s="786"/>
      <c r="G57" s="1179"/>
      <c r="H57" s="787"/>
    </row>
    <row r="58" spans="1:16" ht="21" thickBot="1" x14ac:dyDescent="0.25">
      <c r="A58" s="916"/>
      <c r="B58" s="2127" t="s">
        <v>3438</v>
      </c>
      <c r="C58" s="2127"/>
      <c r="D58" s="2127"/>
      <c r="E58" s="2127"/>
      <c r="F58" s="2127"/>
      <c r="G58" s="2127"/>
      <c r="H58" s="1122"/>
    </row>
    <row r="59" spans="1:16" x14ac:dyDescent="0.2">
      <c r="A59" s="916"/>
      <c r="B59" s="1255" t="s">
        <v>874</v>
      </c>
      <c r="C59" s="1264"/>
      <c r="D59" s="2150" t="s">
        <v>3439</v>
      </c>
      <c r="E59" s="2150"/>
      <c r="F59" s="2150"/>
      <c r="G59" s="2150"/>
      <c r="H59" s="1265"/>
      <c r="K59" s="158"/>
    </row>
    <row r="60" spans="1:16" ht="15.75" thickBot="1" x14ac:dyDescent="0.25">
      <c r="A60" s="916"/>
      <c r="B60" s="1209" t="s">
        <v>1639</v>
      </c>
      <c r="C60" s="1172">
        <v>500</v>
      </c>
      <c r="D60" s="1262" t="s">
        <v>1689</v>
      </c>
      <c r="E60" s="1262"/>
      <c r="F60" s="1262"/>
      <c r="G60" s="1263"/>
      <c r="H60" s="1208"/>
    </row>
    <row r="61" spans="1:16" x14ac:dyDescent="0.2">
      <c r="A61" s="916"/>
      <c r="B61" s="2159"/>
      <c r="C61" s="1174" t="s">
        <v>1301</v>
      </c>
      <c r="D61" s="1247" t="s">
        <v>784</v>
      </c>
      <c r="E61" s="1246" t="s">
        <v>2117</v>
      </c>
      <c r="F61" s="1247"/>
      <c r="G61" s="1272" t="s">
        <v>2116</v>
      </c>
      <c r="H61" s="1235"/>
      <c r="K61" s="88"/>
    </row>
    <row r="62" spans="1:16" x14ac:dyDescent="0.2">
      <c r="A62" s="916"/>
      <c r="B62" s="2160"/>
      <c r="C62" s="1220" t="str">
        <f>VLOOKUP($C$60,DA,2,FALSE)</f>
        <v>8396233/</v>
      </c>
      <c r="D62" s="1220" t="str">
        <f t="shared" ref="D62:D74" si="14">VLOOKUP(C62,всецены,2,FALSE)</f>
        <v xml:space="preserve">TBX-A, Царга 101/500 мм, бел, лев. NEW  </v>
      </c>
      <c r="E62" s="1221">
        <v>1</v>
      </c>
      <c r="F62" s="1266">
        <f t="shared" ref="F62:F74" si="15">VLOOKUP(C62,всецены,4,FALSE)</f>
        <v>824.59737360000008</v>
      </c>
      <c r="G62" s="1267">
        <f t="shared" ref="G62:G74" si="16">F62*E62</f>
        <v>824.59737360000008</v>
      </c>
      <c r="H62" s="2154">
        <f>SUM(G62:G74)</f>
        <v>5424.126707999998</v>
      </c>
      <c r="I62" s="885"/>
      <c r="J62" s="106" t="s">
        <v>1335</v>
      </c>
    </row>
    <row r="63" spans="1:16" x14ac:dyDescent="0.2">
      <c r="A63" s="916"/>
      <c r="B63" s="2160"/>
      <c r="C63" s="1220" t="str">
        <f>VLOOKUP($C$60,DA,3,FALSE)</f>
        <v>8384915/</v>
      </c>
      <c r="D63" s="1220" t="str">
        <f t="shared" si="14"/>
        <v xml:space="preserve">TBX-A, Царга 101/500 мм, бел, прав. NEW </v>
      </c>
      <c r="E63" s="1221">
        <v>1</v>
      </c>
      <c r="F63" s="1266">
        <f>VLOOKUP(C63,всецены,4,FALSE)</f>
        <v>824.59737360000008</v>
      </c>
      <c r="G63" s="1267">
        <f>F63*E63</f>
        <v>824.59737360000008</v>
      </c>
      <c r="H63" s="2155"/>
      <c r="K63" s="1836" t="s">
        <v>1645</v>
      </c>
      <c r="L63" s="1836" t="s">
        <v>1644</v>
      </c>
      <c r="M63" s="8" t="s">
        <v>1641</v>
      </c>
      <c r="N63" s="8" t="s">
        <v>1642</v>
      </c>
      <c r="O63" s="1836" t="s">
        <v>876</v>
      </c>
      <c r="P63" s="8" t="s">
        <v>2151</v>
      </c>
    </row>
    <row r="64" spans="1:16" x14ac:dyDescent="0.2">
      <c r="A64" s="916"/>
      <c r="B64" s="2160"/>
      <c r="C64" s="1219" t="str">
        <f>VLOOKUP(C60,J43:N48,2,FALSE)</f>
        <v>7940374/</v>
      </c>
      <c r="D64" s="1220" t="str">
        <f t="shared" si="14"/>
        <v>TBX, Tip-on BM, Напр, 30 кг, 500 мм, лев</v>
      </c>
      <c r="E64" s="1221">
        <v>1</v>
      </c>
      <c r="F64" s="1266">
        <f t="shared" si="15"/>
        <v>600.15075120000006</v>
      </c>
      <c r="G64" s="1267">
        <f t="shared" si="16"/>
        <v>600.15075120000006</v>
      </c>
      <c r="H64" s="2155"/>
      <c r="J64" s="8">
        <v>350</v>
      </c>
      <c r="K64" s="1371" t="s">
        <v>3510</v>
      </c>
      <c r="L64" s="1371" t="s">
        <v>3509</v>
      </c>
      <c r="M64" s="66" t="s">
        <v>82</v>
      </c>
      <c r="N64" s="66" t="s">
        <v>81</v>
      </c>
      <c r="O64" s="43" t="s">
        <v>1941</v>
      </c>
    </row>
    <row r="65" spans="1:16" x14ac:dyDescent="0.2">
      <c r="A65" s="916"/>
      <c r="B65" s="2160"/>
      <c r="C65" s="1219" t="str">
        <f>VLOOKUP(C60,J42:N48,3,FALSE)</f>
        <v>7936668/</v>
      </c>
      <c r="D65" s="1220" t="str">
        <f t="shared" si="14"/>
        <v xml:space="preserve">TBX, Tip-on BM, Напр, 30 кг, 500 мм, пр </v>
      </c>
      <c r="E65" s="1221">
        <v>1</v>
      </c>
      <c r="F65" s="1266">
        <f>VLOOKUP(C65,всецены,4,FALSE)</f>
        <v>600.15075120000006</v>
      </c>
      <c r="G65" s="1267">
        <f>F65*E65</f>
        <v>600.15075120000006</v>
      </c>
      <c r="H65" s="2155"/>
      <c r="J65" s="8">
        <v>400</v>
      </c>
      <c r="K65" s="66" t="s">
        <v>2055</v>
      </c>
      <c r="L65" s="66" t="s">
        <v>2056</v>
      </c>
      <c r="M65" s="66" t="s">
        <v>78</v>
      </c>
      <c r="N65" s="66" t="s">
        <v>77</v>
      </c>
      <c r="O65" s="43" t="s">
        <v>877</v>
      </c>
    </row>
    <row r="66" spans="1:16" x14ac:dyDescent="0.2">
      <c r="A66" s="916"/>
      <c r="B66" s="2160"/>
      <c r="C66" s="1220" t="str">
        <f>VLOOKUP($C$60,DA,6,FALSE)</f>
        <v>8207382/</v>
      </c>
      <c r="D66" s="1220" t="str">
        <f t="shared" si="14"/>
        <v xml:space="preserve">TBX-A, BOXCAP LI+RE, 500 мм, бел, кмп   </v>
      </c>
      <c r="E66" s="1221">
        <v>1</v>
      </c>
      <c r="F66" s="1266">
        <f>VLOOKUP(C66,всецены,4,FALSE)</f>
        <v>1167.7730064</v>
      </c>
      <c r="G66" s="1267">
        <f>F66*E66</f>
        <v>1167.7730064</v>
      </c>
      <c r="H66" s="2155"/>
      <c r="J66" s="8">
        <v>450</v>
      </c>
      <c r="K66" s="1371" t="s">
        <v>3514</v>
      </c>
      <c r="L66" s="1371" t="s">
        <v>3513</v>
      </c>
      <c r="M66" s="66" t="s">
        <v>74</v>
      </c>
      <c r="N66" s="66" t="s">
        <v>302</v>
      </c>
      <c r="O66" s="43" t="s">
        <v>574</v>
      </c>
      <c r="P66" s="43" t="s">
        <v>1038</v>
      </c>
    </row>
    <row r="67" spans="1:16" x14ac:dyDescent="0.2">
      <c r="A67" s="916"/>
      <c r="B67" s="2160"/>
      <c r="C67" s="1268" t="s">
        <v>469</v>
      </c>
      <c r="D67" s="1220" t="str">
        <f t="shared" si="14"/>
        <v xml:space="preserve">TBX-A, L-Крепл фасада Intivo EXPANDO    </v>
      </c>
      <c r="E67" s="1221">
        <v>2</v>
      </c>
      <c r="F67" s="1266">
        <f t="shared" si="15"/>
        <v>113.03652360000001</v>
      </c>
      <c r="G67" s="1267">
        <f t="shared" si="16"/>
        <v>226.07304720000002</v>
      </c>
      <c r="H67" s="2155"/>
      <c r="J67" s="8">
        <v>500</v>
      </c>
      <c r="K67" s="1371" t="s">
        <v>3512</v>
      </c>
      <c r="L67" s="1371" t="s">
        <v>3511</v>
      </c>
      <c r="M67" s="66" t="s">
        <v>1421</v>
      </c>
      <c r="N67" s="66" t="s">
        <v>1304</v>
      </c>
      <c r="O67" s="43" t="s">
        <v>579</v>
      </c>
      <c r="P67" s="43" t="s">
        <v>555</v>
      </c>
    </row>
    <row r="68" spans="1:16" x14ac:dyDescent="0.2">
      <c r="A68" s="916"/>
      <c r="B68" s="2160"/>
      <c r="C68" s="1220" t="s">
        <v>1021</v>
      </c>
      <c r="D68" s="1220" t="str">
        <f t="shared" si="14"/>
        <v>TBX-A, Загл с лого, бел, сим,ZAA.532C.BL</v>
      </c>
      <c r="E68" s="1221">
        <v>2</v>
      </c>
      <c r="F68" s="1266">
        <f t="shared" si="15"/>
        <v>8.9453364000000004</v>
      </c>
      <c r="G68" s="1267">
        <f t="shared" si="16"/>
        <v>17.890672800000001</v>
      </c>
      <c r="H68" s="2155"/>
    </row>
    <row r="69" spans="1:16" s="1838" customFormat="1" x14ac:dyDescent="0.2">
      <c r="A69" s="916"/>
      <c r="B69" s="2160"/>
      <c r="C69" s="1848" t="str">
        <f>VLOOKUP($C$60,J42:N48,4,0)</f>
        <v>1829780/</v>
      </c>
      <c r="D69" s="1220" t="str">
        <f t="shared" ref="D69:D72" si="17">VLOOKUP(C69,всецены,2,FALSE)</f>
        <v xml:space="preserve">TBX, Tip-on BM, L3,350-600, пр T60B3533 </v>
      </c>
      <c r="E69" s="1221">
        <v>1</v>
      </c>
      <c r="F69" s="1266">
        <f t="shared" ref="F69:F72" si="18">VLOOKUP(C69,всецены,4,FALSE)</f>
        <v>473.28961680000003</v>
      </c>
      <c r="G69" s="1267">
        <f t="shared" ref="G69:G72" si="19">F69*E69</f>
        <v>473.28961680000003</v>
      </c>
      <c r="H69" s="2155"/>
      <c r="I69" s="771"/>
      <c r="J69" s="8"/>
      <c r="K69" s="8"/>
      <c r="L69" s="8"/>
      <c r="M69" s="8"/>
      <c r="N69" s="8"/>
      <c r="O69" s="8"/>
      <c r="P69" s="8"/>
    </row>
    <row r="70" spans="1:16" s="1838" customFormat="1" x14ac:dyDescent="0.2">
      <c r="A70" s="916"/>
      <c r="B70" s="2160"/>
      <c r="C70" s="1848" t="str">
        <f>VLOOKUP($C$60,J42:N48,5,0)</f>
        <v>8903805/</v>
      </c>
      <c r="D70" s="1220" t="str">
        <f t="shared" si="17"/>
        <v>TBX, Tip-on BM, L3,350-600, лев T60B3533</v>
      </c>
      <c r="E70" s="1221">
        <v>1</v>
      </c>
      <c r="F70" s="1266">
        <f t="shared" si="18"/>
        <v>473.28961680000003</v>
      </c>
      <c r="G70" s="1267">
        <f t="shared" si="19"/>
        <v>473.28961680000003</v>
      </c>
      <c r="H70" s="2155"/>
      <c r="I70" s="771"/>
      <c r="J70" s="8"/>
      <c r="K70" s="8"/>
      <c r="L70" s="8"/>
      <c r="M70" s="8"/>
      <c r="N70" s="8"/>
      <c r="O70" s="8"/>
      <c r="P70" s="8"/>
    </row>
    <row r="71" spans="1:16" s="1838" customFormat="1" x14ac:dyDescent="0.2">
      <c r="A71" s="916"/>
      <c r="B71" s="2160"/>
      <c r="C71" s="1790" t="s">
        <v>3930</v>
      </c>
      <c r="D71" s="1220" t="str">
        <f t="shared" si="17"/>
        <v xml:space="preserve">TBX, Tip-on BM, триггер, лев. T60B3009  </v>
      </c>
      <c r="E71" s="1221">
        <v>1</v>
      </c>
      <c r="F71" s="1266">
        <f t="shared" si="18"/>
        <v>40.660620000000002</v>
      </c>
      <c r="G71" s="1267">
        <f t="shared" si="19"/>
        <v>40.660620000000002</v>
      </c>
      <c r="H71" s="2155"/>
      <c r="I71" s="771"/>
      <c r="J71" s="8"/>
      <c r="K71" s="8"/>
      <c r="L71" s="8"/>
      <c r="M71" s="8"/>
      <c r="N71" s="8"/>
      <c r="O71" s="8"/>
      <c r="P71" s="8"/>
    </row>
    <row r="72" spans="1:16" s="1838" customFormat="1" x14ac:dyDescent="0.2">
      <c r="A72" s="916"/>
      <c r="B72" s="2160"/>
      <c r="C72" s="1790" t="s">
        <v>3931</v>
      </c>
      <c r="D72" s="1220" t="str">
        <f t="shared" si="17"/>
        <v xml:space="preserve">TBX, Tip-on BM, триггер, прав. T60B3009 </v>
      </c>
      <c r="E72" s="1221">
        <v>1</v>
      </c>
      <c r="F72" s="1266">
        <f t="shared" si="18"/>
        <v>40.660620000000002</v>
      </c>
      <c r="G72" s="1267">
        <f t="shared" si="19"/>
        <v>40.660620000000002</v>
      </c>
      <c r="H72" s="2155"/>
      <c r="I72" s="771"/>
      <c r="J72" s="8"/>
      <c r="K72" s="8"/>
      <c r="L72" s="8"/>
      <c r="M72" s="8"/>
      <c r="N72" s="8"/>
      <c r="O72" s="8"/>
      <c r="P72" s="8"/>
    </row>
    <row r="73" spans="1:16" x14ac:dyDescent="0.2">
      <c r="A73" s="916"/>
      <c r="B73" s="2160"/>
      <c r="C73" s="1268" t="s">
        <v>1554</v>
      </c>
      <c r="D73" s="1220" t="str">
        <f t="shared" si="14"/>
        <v xml:space="preserve">TBX-A, Держат задн ст, 224 мм, бел, лев </v>
      </c>
      <c r="E73" s="1221">
        <v>1</v>
      </c>
      <c r="F73" s="1266">
        <f t="shared" si="15"/>
        <v>67.496629200000001</v>
      </c>
      <c r="G73" s="1267">
        <f t="shared" si="16"/>
        <v>67.496629200000001</v>
      </c>
      <c r="H73" s="2155"/>
    </row>
    <row r="74" spans="1:16" ht="13.5" thickBot="1" x14ac:dyDescent="0.25">
      <c r="A74" s="916"/>
      <c r="B74" s="2165"/>
      <c r="C74" s="1269" t="s">
        <v>1774</v>
      </c>
      <c r="D74" s="1204" t="str">
        <f t="shared" si="14"/>
        <v>TBX-A, Держат задн ст, 224 мм, бел, прав</v>
      </c>
      <c r="E74" s="1205">
        <v>1</v>
      </c>
      <c r="F74" s="1270">
        <f t="shared" si="15"/>
        <v>67.496629200000001</v>
      </c>
      <c r="G74" s="1271">
        <f t="shared" si="16"/>
        <v>67.496629200000001</v>
      </c>
      <c r="H74" s="2156"/>
    </row>
    <row r="75" spans="1:16" ht="15.75" thickBot="1" x14ac:dyDescent="0.25">
      <c r="A75" s="1071"/>
      <c r="B75" s="1176"/>
      <c r="C75" s="1162"/>
      <c r="D75" s="782"/>
      <c r="E75" s="781"/>
      <c r="F75" s="799"/>
      <c r="G75" s="1179"/>
      <c r="H75" s="1180"/>
    </row>
    <row r="76" spans="1:16" x14ac:dyDescent="0.2">
      <c r="A76" s="916"/>
      <c r="B76" s="1255" t="s">
        <v>874</v>
      </c>
      <c r="C76" s="1274"/>
      <c r="D76" s="2150" t="s">
        <v>3440</v>
      </c>
      <c r="E76" s="2150"/>
      <c r="F76" s="2150"/>
      <c r="G76" s="2150"/>
      <c r="H76" s="1215"/>
    </row>
    <row r="77" spans="1:16" ht="15.75" thickBot="1" x14ac:dyDescent="0.25">
      <c r="A77" s="916"/>
      <c r="B77" s="1209" t="s">
        <v>1639</v>
      </c>
      <c r="C77" s="1231">
        <v>500</v>
      </c>
      <c r="D77" s="1262" t="s">
        <v>1689</v>
      </c>
      <c r="E77" s="1262"/>
      <c r="F77" s="1262"/>
      <c r="G77" s="1263"/>
      <c r="H77" s="1208"/>
    </row>
    <row r="78" spans="1:16" x14ac:dyDescent="0.2">
      <c r="A78" s="916"/>
      <c r="B78" s="2159"/>
      <c r="C78" s="1174" t="s">
        <v>1301</v>
      </c>
      <c r="D78" s="1247" t="s">
        <v>784</v>
      </c>
      <c r="E78" s="1246" t="s">
        <v>2117</v>
      </c>
      <c r="F78" s="1247"/>
      <c r="G78" s="1272" t="s">
        <v>2116</v>
      </c>
      <c r="H78" s="1235"/>
    </row>
    <row r="79" spans="1:16" x14ac:dyDescent="0.2">
      <c r="A79" s="916"/>
      <c r="B79" s="2160"/>
      <c r="C79" s="1220" t="s">
        <v>1021</v>
      </c>
      <c r="D79" s="1220" t="s">
        <v>2105</v>
      </c>
      <c r="E79" s="1221">
        <v>2</v>
      </c>
      <c r="F79" s="1266">
        <f t="shared" ref="F79:F97" si="20">VLOOKUP(C79,всецены,4,FALSE)</f>
        <v>8.9453364000000004</v>
      </c>
      <c r="G79" s="1267">
        <f t="shared" ref="G79:G97" si="21">F79*E79</f>
        <v>17.890672800000001</v>
      </c>
      <c r="H79" s="2155">
        <f>SUM(G79:G97)</f>
        <v>8063.0009460000001</v>
      </c>
    </row>
    <row r="80" spans="1:16" x14ac:dyDescent="0.2">
      <c r="A80" s="916"/>
      <c r="B80" s="2160"/>
      <c r="C80" s="1220" t="s">
        <v>1554</v>
      </c>
      <c r="D80" s="1220" t="s">
        <v>641</v>
      </c>
      <c r="E80" s="1221">
        <v>1</v>
      </c>
      <c r="F80" s="1266">
        <f t="shared" si="20"/>
        <v>67.496629200000001</v>
      </c>
      <c r="G80" s="1267">
        <f t="shared" si="21"/>
        <v>67.496629200000001</v>
      </c>
      <c r="H80" s="2155"/>
    </row>
    <row r="81" spans="1:16" x14ac:dyDescent="0.2">
      <c r="A81" s="916"/>
      <c r="B81" s="2160"/>
      <c r="C81" s="1220" t="s">
        <v>1774</v>
      </c>
      <c r="D81" s="1220" t="s">
        <v>2103</v>
      </c>
      <c r="E81" s="1221">
        <v>1</v>
      </c>
      <c r="F81" s="1266">
        <f t="shared" si="20"/>
        <v>67.496629200000001</v>
      </c>
      <c r="G81" s="1267">
        <f t="shared" si="21"/>
        <v>67.496629200000001</v>
      </c>
      <c r="H81" s="2155"/>
    </row>
    <row r="82" spans="1:16" x14ac:dyDescent="0.2">
      <c r="A82" s="916"/>
      <c r="B82" s="2160"/>
      <c r="C82" s="1220" t="str">
        <f>VLOOKUP($C$77,DA,3,FALSE)</f>
        <v>8384915/</v>
      </c>
      <c r="D82" s="1220" t="str">
        <f t="shared" ref="D82:D89" si="22">VLOOKUP(C82,всецены,2,FALSE)</f>
        <v xml:space="preserve">TBX-A, Царга 101/500 мм, бел, прав. NEW </v>
      </c>
      <c r="E82" s="1221">
        <v>1</v>
      </c>
      <c r="F82" s="1266">
        <f t="shared" si="20"/>
        <v>824.59737360000008</v>
      </c>
      <c r="G82" s="1267">
        <f t="shared" si="21"/>
        <v>824.59737360000008</v>
      </c>
      <c r="H82" s="2155"/>
    </row>
    <row r="83" spans="1:16" x14ac:dyDescent="0.2">
      <c r="A83" s="916"/>
      <c r="B83" s="2160"/>
      <c r="C83" s="1220" t="str">
        <f>VLOOKUP($C$77,DA,3,FALSE)</f>
        <v>8384915/</v>
      </c>
      <c r="D83" s="1220" t="str">
        <f t="shared" si="22"/>
        <v xml:space="preserve">TBX-A, Царга 101/500 мм, бел, прав. NEW </v>
      </c>
      <c r="E83" s="1221">
        <v>1</v>
      </c>
      <c r="F83" s="1266">
        <f t="shared" si="20"/>
        <v>824.59737360000008</v>
      </c>
      <c r="G83" s="1267">
        <f t="shared" si="21"/>
        <v>824.59737360000008</v>
      </c>
      <c r="H83" s="2155"/>
    </row>
    <row r="84" spans="1:16" x14ac:dyDescent="0.2">
      <c r="A84" s="916"/>
      <c r="B84" s="2160"/>
      <c r="C84" s="1219" t="str">
        <f>VLOOKUP(C77,J43:N48,2,FALSE)</f>
        <v>7940374/</v>
      </c>
      <c r="D84" s="1220" t="str">
        <f t="shared" si="22"/>
        <v>TBX, Tip-on BM, Напр, 30 кг, 500 мм, лев</v>
      </c>
      <c r="E84" s="1221">
        <v>1</v>
      </c>
      <c r="F84" s="1266">
        <f t="shared" si="20"/>
        <v>600.15075120000006</v>
      </c>
      <c r="G84" s="1267">
        <f t="shared" si="21"/>
        <v>600.15075120000006</v>
      </c>
      <c r="H84" s="2155"/>
    </row>
    <row r="85" spans="1:16" x14ac:dyDescent="0.2">
      <c r="A85" s="916"/>
      <c r="B85" s="2160"/>
      <c r="C85" s="1219" t="str">
        <f>VLOOKUP(C77,J42:N48,3,FALSE)</f>
        <v>7936668/</v>
      </c>
      <c r="D85" s="1220" t="str">
        <f t="shared" si="22"/>
        <v xml:space="preserve">TBX, Tip-on BM, Напр, 30 кг, 500 мм, пр </v>
      </c>
      <c r="E85" s="1221">
        <v>1</v>
      </c>
      <c r="F85" s="1266">
        <f t="shared" si="20"/>
        <v>600.15075120000006</v>
      </c>
      <c r="G85" s="1267">
        <f t="shared" si="21"/>
        <v>600.15075120000006</v>
      </c>
      <c r="H85" s="2155"/>
    </row>
    <row r="86" spans="1:16" s="1838" customFormat="1" x14ac:dyDescent="0.2">
      <c r="A86" s="916"/>
      <c r="B86" s="2160"/>
      <c r="C86" s="1848" t="str">
        <f>VLOOKUP($C$41,J42:N48,4,0)</f>
        <v>1829780/</v>
      </c>
      <c r="D86" s="1220" t="str">
        <f t="shared" si="22"/>
        <v xml:space="preserve">TBX, Tip-on BM, L3,350-600, пр T60B3533 </v>
      </c>
      <c r="E86" s="1221">
        <v>1</v>
      </c>
      <c r="F86" s="1266">
        <f t="shared" ref="F86:F89" si="23">VLOOKUP(C86,всецены,4,FALSE)</f>
        <v>473.28961680000003</v>
      </c>
      <c r="G86" s="1267">
        <f t="shared" ref="G86:G89" si="24">F86*E86</f>
        <v>473.28961680000003</v>
      </c>
      <c r="H86" s="2155"/>
      <c r="I86" s="771"/>
      <c r="J86" s="8"/>
      <c r="K86" s="8"/>
      <c r="L86" s="8"/>
      <c r="M86" s="8"/>
      <c r="N86" s="8"/>
      <c r="O86" s="8"/>
      <c r="P86" s="8"/>
    </row>
    <row r="87" spans="1:16" s="1838" customFormat="1" x14ac:dyDescent="0.2">
      <c r="A87" s="916"/>
      <c r="B87" s="2160"/>
      <c r="C87" s="1848" t="str">
        <f>VLOOKUP($C$41,J42:N48,5,0)</f>
        <v>8903805/</v>
      </c>
      <c r="D87" s="1220" t="str">
        <f t="shared" si="22"/>
        <v>TBX, Tip-on BM, L3,350-600, лев T60B3533</v>
      </c>
      <c r="E87" s="1221">
        <v>1</v>
      </c>
      <c r="F87" s="1266">
        <f t="shared" si="23"/>
        <v>473.28961680000003</v>
      </c>
      <c r="G87" s="1267">
        <f t="shared" si="24"/>
        <v>473.28961680000003</v>
      </c>
      <c r="H87" s="2155"/>
      <c r="I87" s="771"/>
      <c r="J87" s="8"/>
      <c r="K87" s="8"/>
      <c r="L87" s="8"/>
      <c r="M87" s="8"/>
      <c r="N87" s="8"/>
      <c r="O87" s="8"/>
      <c r="P87" s="8"/>
    </row>
    <row r="88" spans="1:16" s="1838" customFormat="1" x14ac:dyDescent="0.2">
      <c r="A88" s="916"/>
      <c r="B88" s="2160"/>
      <c r="C88" s="1790" t="s">
        <v>3930</v>
      </c>
      <c r="D88" s="1220" t="str">
        <f t="shared" si="22"/>
        <v xml:space="preserve">TBX, Tip-on BM, триггер, лев. T60B3009  </v>
      </c>
      <c r="E88" s="1221">
        <v>1</v>
      </c>
      <c r="F88" s="1266">
        <f t="shared" si="23"/>
        <v>40.660620000000002</v>
      </c>
      <c r="G88" s="1267">
        <f t="shared" si="24"/>
        <v>40.660620000000002</v>
      </c>
      <c r="H88" s="2155"/>
      <c r="I88" s="771"/>
      <c r="J88" s="8"/>
      <c r="K88" s="8"/>
      <c r="L88" s="8"/>
      <c r="M88" s="8"/>
      <c r="N88" s="8"/>
      <c r="O88" s="8"/>
      <c r="P88" s="8"/>
    </row>
    <row r="89" spans="1:16" s="1838" customFormat="1" x14ac:dyDescent="0.2">
      <c r="A89" s="916"/>
      <c r="B89" s="2160"/>
      <c r="C89" s="1790" t="s">
        <v>3931</v>
      </c>
      <c r="D89" s="1220" t="str">
        <f t="shared" si="22"/>
        <v xml:space="preserve">TBX, Tip-on BM, триггер, прав. T60B3009 </v>
      </c>
      <c r="E89" s="1221">
        <v>1</v>
      </c>
      <c r="F89" s="1266">
        <f t="shared" si="23"/>
        <v>40.660620000000002</v>
      </c>
      <c r="G89" s="1267">
        <f t="shared" si="24"/>
        <v>40.660620000000002</v>
      </c>
      <c r="H89" s="2155"/>
      <c r="I89" s="771"/>
      <c r="J89" s="8"/>
      <c r="K89" s="8"/>
      <c r="L89" s="8"/>
      <c r="M89" s="8"/>
      <c r="N89" s="8"/>
      <c r="O89" s="8"/>
      <c r="P89" s="8"/>
    </row>
    <row r="90" spans="1:16" x14ac:dyDescent="0.2">
      <c r="A90" s="916"/>
      <c r="B90" s="2160"/>
      <c r="C90" s="1220" t="str">
        <f>VLOOKUP($C$77,DA,6,FALSE)</f>
        <v>8207382/</v>
      </c>
      <c r="D90" s="1220" t="s">
        <v>580</v>
      </c>
      <c r="E90" s="1221">
        <v>1</v>
      </c>
      <c r="F90" s="1266">
        <f t="shared" si="20"/>
        <v>1167.7730064</v>
      </c>
      <c r="G90" s="1267">
        <f t="shared" si="21"/>
        <v>1167.7730064</v>
      </c>
      <c r="H90" s="2155"/>
    </row>
    <row r="91" spans="1:16" x14ac:dyDescent="0.2">
      <c r="A91" s="916"/>
      <c r="B91" s="2160"/>
      <c r="C91" s="1268" t="s">
        <v>270</v>
      </c>
      <c r="D91" s="1220" t="s">
        <v>271</v>
      </c>
      <c r="E91" s="1221">
        <v>1</v>
      </c>
      <c r="F91" s="1266">
        <f t="shared" si="20"/>
        <v>441.57433319999996</v>
      </c>
      <c r="G91" s="1267">
        <f t="shared" si="21"/>
        <v>441.57433319999996</v>
      </c>
      <c r="H91" s="2155"/>
    </row>
    <row r="92" spans="1:16" x14ac:dyDescent="0.2">
      <c r="A92" s="916"/>
      <c r="B92" s="2160"/>
      <c r="C92" s="1220" t="s">
        <v>272</v>
      </c>
      <c r="D92" s="1220" t="s">
        <v>273</v>
      </c>
      <c r="E92" s="1221">
        <v>1</v>
      </c>
      <c r="F92" s="1266">
        <f t="shared" si="20"/>
        <v>441.57433319999996</v>
      </c>
      <c r="G92" s="1267">
        <f t="shared" si="21"/>
        <v>441.57433319999996</v>
      </c>
      <c r="H92" s="2155"/>
    </row>
    <row r="93" spans="1:16" x14ac:dyDescent="0.2">
      <c r="A93" s="916"/>
      <c r="B93" s="2160"/>
      <c r="C93" s="1220" t="s">
        <v>1011</v>
      </c>
      <c r="D93" s="1220" t="s">
        <v>1012</v>
      </c>
      <c r="E93" s="1221">
        <v>1</v>
      </c>
      <c r="F93" s="1266">
        <f t="shared" si="20"/>
        <v>67.496629200000001</v>
      </c>
      <c r="G93" s="1267">
        <f t="shared" si="21"/>
        <v>67.496629200000001</v>
      </c>
      <c r="H93" s="2155"/>
    </row>
    <row r="94" spans="1:16" x14ac:dyDescent="0.2">
      <c r="A94" s="916"/>
      <c r="B94" s="2160"/>
      <c r="C94" s="1220" t="s">
        <v>1013</v>
      </c>
      <c r="D94" s="1220" t="s">
        <v>1014</v>
      </c>
      <c r="E94" s="1221">
        <v>1</v>
      </c>
      <c r="F94" s="1266">
        <f t="shared" si="20"/>
        <v>67.496629200000001</v>
      </c>
      <c r="G94" s="1267">
        <f t="shared" si="21"/>
        <v>67.496629200000001</v>
      </c>
      <c r="H94" s="2155"/>
    </row>
    <row r="95" spans="1:16" x14ac:dyDescent="0.2">
      <c r="A95" s="916"/>
      <c r="B95" s="2160"/>
      <c r="C95" s="1220" t="s">
        <v>1610</v>
      </c>
      <c r="D95" s="1220" t="s">
        <v>1611</v>
      </c>
      <c r="E95" s="1221">
        <v>1</v>
      </c>
      <c r="F95" s="1266">
        <f t="shared" si="20"/>
        <v>1187.2901040000002</v>
      </c>
      <c r="G95" s="1267">
        <f t="shared" si="21"/>
        <v>1187.2901040000002</v>
      </c>
      <c r="H95" s="2155"/>
    </row>
    <row r="96" spans="1:16" x14ac:dyDescent="0.2">
      <c r="A96" s="916"/>
      <c r="B96" s="2160"/>
      <c r="C96" s="1220" t="s">
        <v>931</v>
      </c>
      <c r="D96" s="1220" t="s">
        <v>932</v>
      </c>
      <c r="E96" s="1221">
        <v>1</v>
      </c>
      <c r="F96" s="1266">
        <f t="shared" si="20"/>
        <v>560.30334359999995</v>
      </c>
      <c r="G96" s="1267">
        <f t="shared" si="21"/>
        <v>560.30334359999995</v>
      </c>
      <c r="H96" s="2155"/>
    </row>
    <row r="97" spans="1:16" ht="13.5" thickBot="1" x14ac:dyDescent="0.25">
      <c r="A97" s="916"/>
      <c r="B97" s="2165"/>
      <c r="C97" s="1269" t="s">
        <v>801</v>
      </c>
      <c r="D97" s="1204" t="s">
        <v>802</v>
      </c>
      <c r="E97" s="1205">
        <v>2</v>
      </c>
      <c r="F97" s="1270">
        <f t="shared" si="20"/>
        <v>49.605956400000004</v>
      </c>
      <c r="G97" s="1271">
        <f t="shared" si="21"/>
        <v>99.211912800000007</v>
      </c>
      <c r="H97" s="2156"/>
    </row>
    <row r="98" spans="1:16" ht="15" thickBot="1" x14ac:dyDescent="0.25">
      <c r="A98" s="1071"/>
      <c r="B98" s="782"/>
      <c r="C98" s="782"/>
      <c r="D98" s="782"/>
      <c r="E98" s="781"/>
      <c r="F98" s="782"/>
      <c r="G98" s="799"/>
      <c r="H98" s="1183"/>
    </row>
    <row r="99" spans="1:16" x14ac:dyDescent="0.2">
      <c r="A99" s="916"/>
      <c r="B99" s="1255" t="s">
        <v>874</v>
      </c>
      <c r="C99" s="1274"/>
      <c r="D99" s="2150" t="s">
        <v>3443</v>
      </c>
      <c r="E99" s="2150"/>
      <c r="F99" s="2150"/>
      <c r="G99" s="2151"/>
      <c r="H99" s="1285"/>
    </row>
    <row r="100" spans="1:16" ht="15.75" thickBot="1" x14ac:dyDescent="0.25">
      <c r="A100" s="916"/>
      <c r="B100" s="1290" t="s">
        <v>1639</v>
      </c>
      <c r="C100" s="1231">
        <v>500</v>
      </c>
      <c r="D100" s="1291" t="s">
        <v>1689</v>
      </c>
      <c r="E100" s="1291"/>
      <c r="F100" s="1291"/>
      <c r="G100" s="1292"/>
      <c r="H100" s="1293"/>
    </row>
    <row r="101" spans="1:16" x14ac:dyDescent="0.2">
      <c r="A101" s="916"/>
      <c r="B101" s="2159"/>
      <c r="C101" s="1174" t="s">
        <v>1301</v>
      </c>
      <c r="D101" s="1247" t="s">
        <v>784</v>
      </c>
      <c r="E101" s="1246" t="s">
        <v>2117</v>
      </c>
      <c r="F101" s="1247"/>
      <c r="G101" s="1272" t="s">
        <v>2116</v>
      </c>
      <c r="H101" s="1294"/>
    </row>
    <row r="102" spans="1:16" x14ac:dyDescent="0.2">
      <c r="A102" s="916"/>
      <c r="B102" s="2160"/>
      <c r="C102" s="1219" t="str">
        <f>VLOOKUP($C$100,DA,2,FALSE)</f>
        <v>8396233/</v>
      </c>
      <c r="D102" s="1220" t="str">
        <f t="shared" ref="D102:D116" si="25">VLOOKUP(C102,всецены,2,FALSE)</f>
        <v xml:space="preserve">TBX-A, Царга 101/500 мм, бел, лев. NEW  </v>
      </c>
      <c r="E102" s="1221">
        <v>1</v>
      </c>
      <c r="F102" s="1266">
        <f t="shared" ref="F102:F113" si="26">VLOOKUP(C102,всецены,4,FALSE)</f>
        <v>824.59737360000008</v>
      </c>
      <c r="G102" s="1286">
        <f>F102*E102</f>
        <v>824.59737360000008</v>
      </c>
      <c r="H102" s="2152">
        <f>SUM(G102:G116)</f>
        <v>4737.7754424000013</v>
      </c>
    </row>
    <row r="103" spans="1:16" x14ac:dyDescent="0.2">
      <c r="A103" s="916"/>
      <c r="B103" s="2160"/>
      <c r="C103" s="1219" t="str">
        <f>VLOOKUP($C$100,DA,3,FALSE)</f>
        <v>8384915/</v>
      </c>
      <c r="D103" s="1220" t="str">
        <f t="shared" si="25"/>
        <v xml:space="preserve">TBX-A, Царга 101/500 мм, бел, прав. NEW </v>
      </c>
      <c r="E103" s="1221">
        <v>1</v>
      </c>
      <c r="F103" s="1266">
        <f t="shared" ref="F103:F109" si="27">VLOOKUP(C103,всецены,4,FALSE)</f>
        <v>824.59737360000008</v>
      </c>
      <c r="G103" s="1286">
        <f>F103*E103</f>
        <v>824.59737360000008</v>
      </c>
      <c r="H103" s="2152"/>
    </row>
    <row r="104" spans="1:16" x14ac:dyDescent="0.2">
      <c r="A104" s="916"/>
      <c r="B104" s="2160"/>
      <c r="C104" s="1219" t="str">
        <f>VLOOKUP(C100,J43:N48,2,FALSE)</f>
        <v>7940374/</v>
      </c>
      <c r="D104" s="1220" t="str">
        <f t="shared" si="25"/>
        <v>TBX, Tip-on BM, Напр, 30 кг, 500 мм, лев</v>
      </c>
      <c r="E104" s="1221">
        <v>1</v>
      </c>
      <c r="F104" s="1266">
        <f t="shared" si="27"/>
        <v>600.15075120000006</v>
      </c>
      <c r="G104" s="1286">
        <f>F104*E104</f>
        <v>600.15075120000006</v>
      </c>
      <c r="H104" s="2152"/>
    </row>
    <row r="105" spans="1:16" x14ac:dyDescent="0.2">
      <c r="A105" s="916"/>
      <c r="B105" s="2160"/>
      <c r="C105" s="1219" t="str">
        <f>VLOOKUP(C100,J43:N49,3,FALSE)</f>
        <v>7936668/</v>
      </c>
      <c r="D105" s="1220" t="str">
        <f t="shared" si="25"/>
        <v xml:space="preserve">TBX, Tip-on BM, Напр, 30 кг, 500 мм, пр </v>
      </c>
      <c r="E105" s="1221">
        <v>1</v>
      </c>
      <c r="F105" s="1266">
        <f t="shared" si="27"/>
        <v>600.15075120000006</v>
      </c>
      <c r="G105" s="1286">
        <f>F105*E105</f>
        <v>600.15075120000006</v>
      </c>
      <c r="H105" s="2152"/>
    </row>
    <row r="106" spans="1:16" s="1838" customFormat="1" x14ac:dyDescent="0.2">
      <c r="A106" s="916"/>
      <c r="B106" s="2160"/>
      <c r="C106" s="1848" t="str">
        <f>VLOOKUP($C$41,J42:N48,4,0)</f>
        <v>1829780/</v>
      </c>
      <c r="D106" s="1220" t="str">
        <f t="shared" ref="D106:D109" si="28">VLOOKUP(C106,всецены,2,FALSE)</f>
        <v xml:space="preserve">TBX, Tip-on BM, L3,350-600, пр T60B3533 </v>
      </c>
      <c r="E106" s="1221">
        <v>1</v>
      </c>
      <c r="F106" s="1266">
        <f t="shared" si="27"/>
        <v>473.28961680000003</v>
      </c>
      <c r="G106" s="1286">
        <f t="shared" ref="G106:G109" si="29">F106*E106</f>
        <v>473.28961680000003</v>
      </c>
      <c r="H106" s="2152"/>
      <c r="I106" s="771"/>
      <c r="J106" s="8"/>
      <c r="K106" s="8"/>
      <c r="L106" s="8"/>
      <c r="M106" s="8"/>
      <c r="N106" s="8"/>
      <c r="O106" s="8"/>
      <c r="P106" s="8"/>
    </row>
    <row r="107" spans="1:16" s="1838" customFormat="1" x14ac:dyDescent="0.2">
      <c r="A107" s="916"/>
      <c r="B107" s="2160"/>
      <c r="C107" s="1848" t="str">
        <f>VLOOKUP($C$41,J42:N48,5,0)</f>
        <v>8903805/</v>
      </c>
      <c r="D107" s="1220" t="str">
        <f t="shared" si="28"/>
        <v>TBX, Tip-on BM, L3,350-600, лев T60B3533</v>
      </c>
      <c r="E107" s="1221">
        <v>1</v>
      </c>
      <c r="F107" s="1266">
        <f t="shared" si="27"/>
        <v>473.28961680000003</v>
      </c>
      <c r="G107" s="1286">
        <f t="shared" si="29"/>
        <v>473.28961680000003</v>
      </c>
      <c r="H107" s="2152"/>
      <c r="I107" s="771"/>
      <c r="J107" s="8"/>
      <c r="K107" s="8"/>
      <c r="L107" s="8"/>
      <c r="M107" s="8"/>
      <c r="N107" s="8"/>
      <c r="O107" s="8"/>
      <c r="P107" s="8"/>
    </row>
    <row r="108" spans="1:16" s="1838" customFormat="1" x14ac:dyDescent="0.2">
      <c r="A108" s="916"/>
      <c r="B108" s="2160"/>
      <c r="C108" s="1790" t="s">
        <v>3930</v>
      </c>
      <c r="D108" s="1220" t="str">
        <f t="shared" si="28"/>
        <v xml:space="preserve">TBX, Tip-on BM, триггер, лев. T60B3009  </v>
      </c>
      <c r="E108" s="1221">
        <v>1</v>
      </c>
      <c r="F108" s="1266">
        <f t="shared" si="27"/>
        <v>40.660620000000002</v>
      </c>
      <c r="G108" s="1286">
        <f t="shared" si="29"/>
        <v>40.660620000000002</v>
      </c>
      <c r="H108" s="2152"/>
      <c r="I108" s="771"/>
      <c r="J108" s="8"/>
      <c r="K108" s="8"/>
      <c r="L108" s="8"/>
      <c r="M108" s="8"/>
      <c r="N108" s="8"/>
      <c r="O108" s="8"/>
      <c r="P108" s="8"/>
    </row>
    <row r="109" spans="1:16" s="1838" customFormat="1" x14ac:dyDescent="0.2">
      <c r="A109" s="916"/>
      <c r="B109" s="2160"/>
      <c r="C109" s="1790" t="s">
        <v>3931</v>
      </c>
      <c r="D109" s="1220" t="str">
        <f t="shared" si="28"/>
        <v xml:space="preserve">TBX, Tip-on BM, триггер, прав. T60B3009 </v>
      </c>
      <c r="E109" s="1221">
        <v>1</v>
      </c>
      <c r="F109" s="1266">
        <f t="shared" si="27"/>
        <v>40.660620000000002</v>
      </c>
      <c r="G109" s="1286">
        <f t="shared" si="29"/>
        <v>40.660620000000002</v>
      </c>
      <c r="H109" s="2152"/>
      <c r="I109" s="771"/>
      <c r="J109" s="8"/>
      <c r="K109" s="8"/>
      <c r="L109" s="8"/>
      <c r="M109" s="8"/>
      <c r="N109" s="8"/>
      <c r="O109" s="8"/>
      <c r="P109" s="8"/>
    </row>
    <row r="110" spans="1:16" x14ac:dyDescent="0.2">
      <c r="A110" s="916"/>
      <c r="B110" s="2160"/>
      <c r="C110" s="1219" t="s">
        <v>581</v>
      </c>
      <c r="D110" s="1220" t="str">
        <f t="shared" si="25"/>
        <v xml:space="preserve">TBX-A, BOXCOVER задн, бел, лев          </v>
      </c>
      <c r="E110" s="1221">
        <v>1</v>
      </c>
      <c r="F110" s="1266">
        <f t="shared" si="26"/>
        <v>120.35543520000002</v>
      </c>
      <c r="G110" s="1286">
        <f t="shared" ref="G110:G116" si="30">F110*E110</f>
        <v>120.35543520000002</v>
      </c>
      <c r="H110" s="2152"/>
    </row>
    <row r="111" spans="1:16" x14ac:dyDescent="0.2">
      <c r="A111" s="916"/>
      <c r="B111" s="2160"/>
      <c r="C111" s="1219" t="s">
        <v>583</v>
      </c>
      <c r="D111" s="1220" t="str">
        <f t="shared" si="25"/>
        <v xml:space="preserve">TBX-A, BOXCOVER задн, бел, прав         </v>
      </c>
      <c r="E111" s="1221">
        <v>1</v>
      </c>
      <c r="F111" s="1266">
        <f>VLOOKUP(C111,всецены,4,FALSE)</f>
        <v>120.35543520000002</v>
      </c>
      <c r="G111" s="1286">
        <f>F111*E111</f>
        <v>120.35543520000002</v>
      </c>
      <c r="H111" s="2152"/>
    </row>
    <row r="112" spans="1:16" x14ac:dyDescent="0.2">
      <c r="A112" s="916"/>
      <c r="B112" s="2160"/>
      <c r="C112" s="1219" t="s">
        <v>1933</v>
      </c>
      <c r="D112" s="1220" t="str">
        <f t="shared" si="25"/>
        <v xml:space="preserve">TBX-A, BOXCOVER передн, бел, симм       </v>
      </c>
      <c r="E112" s="1221">
        <v>2</v>
      </c>
      <c r="F112" s="1266">
        <f t="shared" si="26"/>
        <v>120.35543520000002</v>
      </c>
      <c r="G112" s="1286">
        <f t="shared" si="30"/>
        <v>240.71087040000003</v>
      </c>
      <c r="H112" s="2152"/>
    </row>
    <row r="113" spans="1:16" x14ac:dyDescent="0.2">
      <c r="A113" s="916"/>
      <c r="B113" s="2160"/>
      <c r="C113" s="1287" t="s">
        <v>1021</v>
      </c>
      <c r="D113" s="1220" t="str">
        <f t="shared" si="25"/>
        <v>TBX-A, Загл с лого, бел, сим,ZAA.532C.BL</v>
      </c>
      <c r="E113" s="1221">
        <v>2</v>
      </c>
      <c r="F113" s="1266">
        <f t="shared" si="26"/>
        <v>8.9453364000000004</v>
      </c>
      <c r="G113" s="1286">
        <f t="shared" si="30"/>
        <v>17.890672800000001</v>
      </c>
      <c r="H113" s="2152"/>
    </row>
    <row r="114" spans="1:16" x14ac:dyDescent="0.2">
      <c r="A114" s="916"/>
      <c r="B114" s="2160"/>
      <c r="C114" s="1219" t="s">
        <v>469</v>
      </c>
      <c r="D114" s="1220" t="str">
        <f t="shared" si="25"/>
        <v xml:space="preserve">TBX-A, L-Крепл фасада Intivo EXPANDO    </v>
      </c>
      <c r="E114" s="1221">
        <v>2</v>
      </c>
      <c r="F114" s="1266">
        <f>VLOOKUP(C114,всецены,4,FALSE)</f>
        <v>113.03652360000001</v>
      </c>
      <c r="G114" s="1286">
        <f t="shared" si="30"/>
        <v>226.07304720000002</v>
      </c>
      <c r="H114" s="2152"/>
    </row>
    <row r="115" spans="1:16" x14ac:dyDescent="0.2">
      <c r="A115" s="916"/>
      <c r="B115" s="2160"/>
      <c r="C115" s="1276" t="s">
        <v>1554</v>
      </c>
      <c r="D115" s="1220" t="str">
        <f t="shared" si="25"/>
        <v xml:space="preserve">TBX-A, Держат задн ст, 224 мм, бел, лев </v>
      </c>
      <c r="E115" s="1221">
        <v>1</v>
      </c>
      <c r="F115" s="1266">
        <f>VLOOKUP(C115,всецены,4,FALSE)</f>
        <v>67.496629200000001</v>
      </c>
      <c r="G115" s="1286">
        <f t="shared" si="30"/>
        <v>67.496629200000001</v>
      </c>
      <c r="H115" s="2152"/>
    </row>
    <row r="116" spans="1:16" ht="13.5" thickBot="1" x14ac:dyDescent="0.25">
      <c r="A116" s="1057"/>
      <c r="B116" s="2165"/>
      <c r="C116" s="1288" t="s">
        <v>1774</v>
      </c>
      <c r="D116" s="1204" t="str">
        <f t="shared" si="25"/>
        <v>TBX-A, Держат задн ст, 224 мм, бел, прав</v>
      </c>
      <c r="E116" s="1205">
        <v>1</v>
      </c>
      <c r="F116" s="1270">
        <f>VLOOKUP(C116,всецены,4,FALSE)</f>
        <v>67.496629200000001</v>
      </c>
      <c r="G116" s="1289">
        <f t="shared" si="30"/>
        <v>67.496629200000001</v>
      </c>
      <c r="H116" s="2153"/>
    </row>
    <row r="117" spans="1:16" ht="13.5" thickBot="1" x14ac:dyDescent="0.25">
      <c r="A117" s="1301"/>
      <c r="B117" s="1176"/>
      <c r="C117" s="1162"/>
      <c r="D117" s="782"/>
      <c r="E117" s="781"/>
      <c r="F117" s="799"/>
      <c r="G117" s="1182"/>
      <c r="H117" s="787"/>
    </row>
    <row r="118" spans="1:16" x14ac:dyDescent="0.2">
      <c r="A118" s="1057"/>
      <c r="B118" s="1255" t="s">
        <v>874</v>
      </c>
      <c r="C118" s="1264"/>
      <c r="D118" s="2150" t="s">
        <v>3442</v>
      </c>
      <c r="E118" s="2150"/>
      <c r="F118" s="2150"/>
      <c r="G118" s="2151"/>
      <c r="H118" s="1233"/>
    </row>
    <row r="119" spans="1:16" ht="15.75" thickBot="1" x14ac:dyDescent="0.25">
      <c r="A119" s="1057"/>
      <c r="B119" s="1209" t="s">
        <v>1639</v>
      </c>
      <c r="C119" s="1172">
        <v>500</v>
      </c>
      <c r="D119" s="1262" t="s">
        <v>1689</v>
      </c>
      <c r="E119" s="1262"/>
      <c r="F119" s="1262"/>
      <c r="G119" s="1263"/>
      <c r="H119" s="1234"/>
    </row>
    <row r="120" spans="1:16" x14ac:dyDescent="0.2">
      <c r="A120" s="1057"/>
      <c r="B120" s="2157"/>
      <c r="C120" s="1174" t="s">
        <v>1301</v>
      </c>
      <c r="D120" s="1247" t="s">
        <v>784</v>
      </c>
      <c r="E120" s="1246" t="s">
        <v>2117</v>
      </c>
      <c r="F120" s="1247"/>
      <c r="G120" s="1272" t="s">
        <v>2116</v>
      </c>
      <c r="H120" s="1297"/>
    </row>
    <row r="121" spans="1:16" x14ac:dyDescent="0.2">
      <c r="A121" s="1057"/>
      <c r="B121" s="2157"/>
      <c r="C121" s="1219" t="s">
        <v>1021</v>
      </c>
      <c r="D121" s="1220" t="str">
        <f t="shared" ref="D121:D139" si="31">VLOOKUP(C121,всецены,2,FALSE)</f>
        <v>TBX-A, Загл с лого, бел, сим,ZAA.532C.BL</v>
      </c>
      <c r="E121" s="1221">
        <v>2</v>
      </c>
      <c r="F121" s="1266">
        <f t="shared" ref="F121:F139" si="32">VLOOKUP(C121,всецены,4,FALSE)</f>
        <v>8.9453364000000004</v>
      </c>
      <c r="G121" s="1286">
        <f t="shared" ref="G121:G139" si="33">F121*E121</f>
        <v>17.890672800000001</v>
      </c>
      <c r="H121" s="2154">
        <f>SUM(G121:G139)</f>
        <v>7205.8750763999997</v>
      </c>
    </row>
    <row r="122" spans="1:16" x14ac:dyDescent="0.2">
      <c r="A122" s="1057"/>
      <c r="B122" s="2157"/>
      <c r="C122" s="1219" t="s">
        <v>1554</v>
      </c>
      <c r="D122" s="1220" t="str">
        <f t="shared" si="31"/>
        <v xml:space="preserve">TBX-A, Держат задн ст, 224 мм, бел, лев </v>
      </c>
      <c r="E122" s="1221">
        <v>1</v>
      </c>
      <c r="F122" s="1266">
        <f t="shared" si="32"/>
        <v>67.496629200000001</v>
      </c>
      <c r="G122" s="1286">
        <f t="shared" si="33"/>
        <v>67.496629200000001</v>
      </c>
      <c r="H122" s="2155"/>
    </row>
    <row r="123" spans="1:16" x14ac:dyDescent="0.2">
      <c r="A123" s="1057"/>
      <c r="B123" s="2157"/>
      <c r="C123" s="1219" t="s">
        <v>1774</v>
      </c>
      <c r="D123" s="1220" t="str">
        <f t="shared" si="31"/>
        <v>TBX-A, Держат задн ст, 224 мм, бел, прав</v>
      </c>
      <c r="E123" s="1221">
        <v>1</v>
      </c>
      <c r="F123" s="1266">
        <f t="shared" si="32"/>
        <v>67.496629200000001</v>
      </c>
      <c r="G123" s="1286">
        <f t="shared" si="33"/>
        <v>67.496629200000001</v>
      </c>
      <c r="H123" s="2155"/>
    </row>
    <row r="124" spans="1:16" x14ac:dyDescent="0.2">
      <c r="A124" s="1057"/>
      <c r="B124" s="2157"/>
      <c r="C124" s="1219" t="str">
        <f>VLOOKUP($C$119,DA,2,FALSE)</f>
        <v>8396233/</v>
      </c>
      <c r="D124" s="1220" t="str">
        <f t="shared" si="31"/>
        <v xml:space="preserve">TBX-A, Царга 101/500 мм, бел, лев. NEW  </v>
      </c>
      <c r="E124" s="1221">
        <v>1</v>
      </c>
      <c r="F124" s="1266">
        <f t="shared" si="32"/>
        <v>824.59737360000008</v>
      </c>
      <c r="G124" s="1286">
        <f t="shared" si="33"/>
        <v>824.59737360000008</v>
      </c>
      <c r="H124" s="2155"/>
    </row>
    <row r="125" spans="1:16" x14ac:dyDescent="0.2">
      <c r="A125" s="1057"/>
      <c r="B125" s="2157"/>
      <c r="C125" s="1219" t="str">
        <f>VLOOKUP($C$119,DA,3,FALSE)</f>
        <v>8384915/</v>
      </c>
      <c r="D125" s="1220" t="str">
        <f t="shared" si="31"/>
        <v xml:space="preserve">TBX-A, Царга 101/500 мм, бел, прав. NEW </v>
      </c>
      <c r="E125" s="1221">
        <v>1</v>
      </c>
      <c r="F125" s="1266">
        <f t="shared" si="32"/>
        <v>824.59737360000008</v>
      </c>
      <c r="G125" s="1286">
        <f t="shared" si="33"/>
        <v>824.59737360000008</v>
      </c>
      <c r="H125" s="2155"/>
    </row>
    <row r="126" spans="1:16" x14ac:dyDescent="0.2">
      <c r="A126" s="1057"/>
      <c r="B126" s="2157"/>
      <c r="C126" s="1219" t="str">
        <f>VLOOKUP(C119,J43:N48,2,FALSE)</f>
        <v>7940374/</v>
      </c>
      <c r="D126" s="1220" t="str">
        <f t="shared" si="31"/>
        <v>TBX, Tip-on BM, Напр, 30 кг, 500 мм, лев</v>
      </c>
      <c r="E126" s="1221">
        <v>1</v>
      </c>
      <c r="F126" s="1266">
        <f t="shared" si="32"/>
        <v>600.15075120000006</v>
      </c>
      <c r="G126" s="1286">
        <f t="shared" si="33"/>
        <v>600.15075120000006</v>
      </c>
      <c r="H126" s="2155"/>
    </row>
    <row r="127" spans="1:16" x14ac:dyDescent="0.2">
      <c r="A127" s="1057"/>
      <c r="B127" s="2157"/>
      <c r="C127" s="1219" t="str">
        <f>VLOOKUP(C119,J42:N48,3,FALSE)</f>
        <v>7936668/</v>
      </c>
      <c r="D127" s="1220" t="str">
        <f t="shared" si="31"/>
        <v xml:space="preserve">TBX, Tip-on BM, Напр, 30 кг, 500 мм, пр </v>
      </c>
      <c r="E127" s="1221">
        <v>1</v>
      </c>
      <c r="F127" s="1266">
        <f t="shared" si="32"/>
        <v>600.15075120000006</v>
      </c>
      <c r="G127" s="1286">
        <f t="shared" si="33"/>
        <v>600.15075120000006</v>
      </c>
      <c r="H127" s="2155"/>
    </row>
    <row r="128" spans="1:16" s="1838" customFormat="1" x14ac:dyDescent="0.2">
      <c r="A128" s="1057"/>
      <c r="B128" s="2233"/>
      <c r="C128" s="1848" t="str">
        <f>VLOOKUP($C$41,J42:N48,4,0)</f>
        <v>1829780/</v>
      </c>
      <c r="D128" s="1220" t="str">
        <f t="shared" ref="D128:D131" si="34">VLOOKUP(C128,всецены,2,FALSE)</f>
        <v xml:space="preserve">TBX, Tip-on BM, L3,350-600, пр T60B3533 </v>
      </c>
      <c r="E128" s="1221">
        <v>1</v>
      </c>
      <c r="F128" s="1266">
        <f t="shared" ref="F128:F131" si="35">VLOOKUP(C128,всецены,4,FALSE)</f>
        <v>473.28961680000003</v>
      </c>
      <c r="G128" s="1286">
        <f t="shared" ref="G128:G131" si="36">F128*E128</f>
        <v>473.28961680000003</v>
      </c>
      <c r="H128" s="2155"/>
      <c r="I128" s="771"/>
      <c r="J128" s="8"/>
      <c r="K128" s="8"/>
      <c r="L128" s="8"/>
      <c r="M128" s="8"/>
      <c r="N128" s="8"/>
      <c r="O128" s="8"/>
      <c r="P128" s="8"/>
    </row>
    <row r="129" spans="1:55" s="1838" customFormat="1" x14ac:dyDescent="0.2">
      <c r="A129" s="1057"/>
      <c r="B129" s="2233"/>
      <c r="C129" s="1848" t="str">
        <f>VLOOKUP($C$41,J42:N48,5,0)</f>
        <v>8903805/</v>
      </c>
      <c r="D129" s="1220" t="str">
        <f t="shared" si="34"/>
        <v>TBX, Tip-on BM, L3,350-600, лев T60B3533</v>
      </c>
      <c r="E129" s="1221">
        <v>1</v>
      </c>
      <c r="F129" s="1266">
        <f t="shared" si="35"/>
        <v>473.28961680000003</v>
      </c>
      <c r="G129" s="1286">
        <f t="shared" si="36"/>
        <v>473.28961680000003</v>
      </c>
      <c r="H129" s="2155"/>
      <c r="I129" s="771"/>
      <c r="J129" s="8"/>
      <c r="K129" s="8"/>
      <c r="L129" s="8"/>
      <c r="M129" s="8"/>
      <c r="N129" s="8"/>
      <c r="O129" s="8"/>
      <c r="P129" s="8"/>
    </row>
    <row r="130" spans="1:55" s="1838" customFormat="1" x14ac:dyDescent="0.2">
      <c r="A130" s="1057"/>
      <c r="B130" s="2233"/>
      <c r="C130" s="1790" t="s">
        <v>3930</v>
      </c>
      <c r="D130" s="1220" t="str">
        <f t="shared" si="34"/>
        <v xml:space="preserve">TBX, Tip-on BM, триггер, лев. T60B3009  </v>
      </c>
      <c r="E130" s="1221">
        <v>1</v>
      </c>
      <c r="F130" s="1266">
        <f t="shared" si="35"/>
        <v>40.660620000000002</v>
      </c>
      <c r="G130" s="1286">
        <f t="shared" si="36"/>
        <v>40.660620000000002</v>
      </c>
      <c r="H130" s="2155"/>
      <c r="I130" s="771"/>
      <c r="J130" s="8"/>
      <c r="K130" s="8"/>
      <c r="L130" s="8"/>
      <c r="M130" s="8"/>
      <c r="N130" s="8"/>
      <c r="O130" s="8"/>
      <c r="P130" s="8"/>
    </row>
    <row r="131" spans="1:55" s="1838" customFormat="1" x14ac:dyDescent="0.2">
      <c r="A131" s="1057"/>
      <c r="B131" s="2233"/>
      <c r="C131" s="1790" t="s">
        <v>3931</v>
      </c>
      <c r="D131" s="1220" t="str">
        <f t="shared" si="34"/>
        <v xml:space="preserve">TBX, Tip-on BM, триггер, прав. T60B3009 </v>
      </c>
      <c r="E131" s="1221">
        <v>1</v>
      </c>
      <c r="F131" s="1266">
        <f t="shared" si="35"/>
        <v>40.660620000000002</v>
      </c>
      <c r="G131" s="1286">
        <f t="shared" si="36"/>
        <v>40.660620000000002</v>
      </c>
      <c r="H131" s="2155"/>
      <c r="I131" s="771"/>
      <c r="J131" s="8"/>
      <c r="K131" s="8"/>
      <c r="L131" s="8"/>
      <c r="M131" s="8"/>
      <c r="N131" s="8"/>
      <c r="O131" s="8"/>
      <c r="P131" s="8"/>
    </row>
    <row r="132" spans="1:55" x14ac:dyDescent="0.2">
      <c r="A132" s="1057"/>
      <c r="B132" s="2157"/>
      <c r="C132" s="1295" t="s">
        <v>581</v>
      </c>
      <c r="D132" s="1220" t="str">
        <f t="shared" si="31"/>
        <v xml:space="preserve">TBX-A, BOXCOVER задн, бел, лев          </v>
      </c>
      <c r="E132" s="1221">
        <v>1</v>
      </c>
      <c r="F132" s="1266">
        <f t="shared" si="32"/>
        <v>120.35543520000002</v>
      </c>
      <c r="G132" s="1286">
        <f t="shared" si="33"/>
        <v>120.35543520000002</v>
      </c>
      <c r="H132" s="2155"/>
    </row>
    <row r="133" spans="1:55" x14ac:dyDescent="0.2">
      <c r="A133" s="1057"/>
      <c r="B133" s="2157"/>
      <c r="C133" s="1219" t="s">
        <v>583</v>
      </c>
      <c r="D133" s="1220" t="str">
        <f t="shared" si="31"/>
        <v xml:space="preserve">TBX-A, BOXCOVER задн, бел, прав         </v>
      </c>
      <c r="E133" s="1221">
        <v>1</v>
      </c>
      <c r="F133" s="1266">
        <f t="shared" si="32"/>
        <v>120.35543520000002</v>
      </c>
      <c r="G133" s="1286">
        <f t="shared" si="33"/>
        <v>120.35543520000002</v>
      </c>
      <c r="H133" s="2155"/>
    </row>
    <row r="134" spans="1:55" x14ac:dyDescent="0.2">
      <c r="A134" s="1057"/>
      <c r="B134" s="2157"/>
      <c r="C134" s="1276" t="s">
        <v>1933</v>
      </c>
      <c r="D134" s="1220" t="str">
        <f t="shared" si="31"/>
        <v xml:space="preserve">TBX-A, BOXCOVER передн, бел, симм       </v>
      </c>
      <c r="E134" s="1221">
        <v>2</v>
      </c>
      <c r="F134" s="1266">
        <f t="shared" si="32"/>
        <v>120.35543520000002</v>
      </c>
      <c r="G134" s="1286">
        <f t="shared" si="33"/>
        <v>240.71087040000003</v>
      </c>
      <c r="H134" s="2155"/>
    </row>
    <row r="135" spans="1:55" x14ac:dyDescent="0.2">
      <c r="A135" s="1057"/>
      <c r="B135" s="2157"/>
      <c r="C135" s="1276" t="s">
        <v>1759</v>
      </c>
      <c r="D135" s="1220" t="str">
        <f t="shared" si="31"/>
        <v>TBX-A, креп п/п д/вст бел левZIF.81D0.01</v>
      </c>
      <c r="E135" s="1221">
        <v>1</v>
      </c>
      <c r="F135" s="1266">
        <f t="shared" si="32"/>
        <v>652.19634480000002</v>
      </c>
      <c r="G135" s="1286">
        <f t="shared" si="33"/>
        <v>652.19634480000002</v>
      </c>
      <c r="H135" s="2155"/>
    </row>
    <row r="136" spans="1:55" x14ac:dyDescent="0.2">
      <c r="A136" s="1057"/>
      <c r="B136" s="2157"/>
      <c r="C136" s="1219" t="s">
        <v>1760</v>
      </c>
      <c r="D136" s="1220" t="str">
        <f t="shared" si="31"/>
        <v>TBX-A, креп п/п д/вст бел пр ZIF.81D0.01</v>
      </c>
      <c r="E136" s="1221">
        <v>1</v>
      </c>
      <c r="F136" s="1266">
        <f t="shared" si="32"/>
        <v>652.19634480000002</v>
      </c>
      <c r="G136" s="1286">
        <f t="shared" si="33"/>
        <v>652.19634480000002</v>
      </c>
      <c r="H136" s="2155"/>
    </row>
    <row r="137" spans="1:55" x14ac:dyDescent="0.2">
      <c r="A137" s="1057"/>
      <c r="B137" s="2157"/>
      <c r="C137" s="1219" t="s">
        <v>1011</v>
      </c>
      <c r="D137" s="1220" t="str">
        <f t="shared" si="31"/>
        <v xml:space="preserve">TBX-A, Загл к креп п/п zif.81d0 бел лев </v>
      </c>
      <c r="E137" s="1221">
        <v>1</v>
      </c>
      <c r="F137" s="1266">
        <f t="shared" si="32"/>
        <v>67.496629200000001</v>
      </c>
      <c r="G137" s="1286">
        <f t="shared" si="33"/>
        <v>67.496629200000001</v>
      </c>
      <c r="H137" s="2155"/>
    </row>
    <row r="138" spans="1:55" x14ac:dyDescent="0.2">
      <c r="A138" s="1057"/>
      <c r="B138" s="2157"/>
      <c r="C138" s="1219" t="s">
        <v>1013</v>
      </c>
      <c r="D138" s="1220" t="str">
        <f t="shared" si="31"/>
        <v xml:space="preserve">TBX-A, Загл к креп п/п zif.81d0 бел пр  </v>
      </c>
      <c r="E138" s="1221">
        <v>1</v>
      </c>
      <c r="F138" s="1266">
        <f t="shared" si="32"/>
        <v>67.496629200000001</v>
      </c>
      <c r="G138" s="1286">
        <f t="shared" si="33"/>
        <v>67.496629200000001</v>
      </c>
      <c r="H138" s="2155"/>
    </row>
    <row r="139" spans="1:55" ht="13.5" thickBot="1" x14ac:dyDescent="0.25">
      <c r="A139" s="1057"/>
      <c r="B139" s="2158"/>
      <c r="C139" s="1296" t="s">
        <v>1612</v>
      </c>
      <c r="D139" s="1204" t="str">
        <f t="shared" si="31"/>
        <v xml:space="preserve">TBX-A, Передн панель, 1036 мм, бел, с/п </v>
      </c>
      <c r="E139" s="1205">
        <v>1</v>
      </c>
      <c r="F139" s="1270">
        <f t="shared" si="32"/>
        <v>1254.7867332000001</v>
      </c>
      <c r="G139" s="1289">
        <f t="shared" si="33"/>
        <v>1254.7867332000001</v>
      </c>
      <c r="H139" s="2156"/>
    </row>
    <row r="140" spans="1:55" ht="14.25" x14ac:dyDescent="0.2">
      <c r="B140" s="782"/>
      <c r="H140" s="1184" t="s">
        <v>878</v>
      </c>
    </row>
    <row r="141" spans="1:55" ht="15" thickBot="1" x14ac:dyDescent="0.25">
      <c r="B141" s="782"/>
      <c r="H141" s="1185"/>
    </row>
    <row r="142" spans="1:55" s="1838" customFormat="1" ht="20.25" x14ac:dyDescent="0.2">
      <c r="A142" s="8"/>
      <c r="B142" s="2015" t="s">
        <v>5193</v>
      </c>
      <c r="C142" s="2016"/>
      <c r="D142" s="2016"/>
      <c r="E142" s="2016"/>
      <c r="F142" s="2016"/>
      <c r="G142" s="2016"/>
      <c r="H142" s="372"/>
      <c r="J142" s="771"/>
      <c r="K142" s="771"/>
      <c r="L142" s="771"/>
      <c r="M142" s="771"/>
      <c r="N142" s="771"/>
      <c r="O142" s="771"/>
      <c r="P142" s="771"/>
      <c r="Q142" s="771"/>
      <c r="R142" s="771"/>
      <c r="S142" s="771"/>
      <c r="T142" s="771"/>
      <c r="U142" s="771"/>
      <c r="Y142" s="771"/>
      <c r="Z142" s="771"/>
      <c r="AA142" s="771"/>
      <c r="AB142" s="771"/>
      <c r="AC142" s="771"/>
      <c r="AD142" s="771"/>
      <c r="AE142" s="771"/>
      <c r="AK142" s="771"/>
      <c r="AL142" s="771"/>
      <c r="AM142" s="771"/>
      <c r="AN142" s="771"/>
      <c r="AO142" s="771"/>
      <c r="AP142" s="771"/>
      <c r="AQ142" s="771"/>
      <c r="AW142" s="771"/>
      <c r="AX142" s="771"/>
      <c r="AY142" s="771"/>
      <c r="AZ142" s="771"/>
      <c r="BA142" s="771"/>
      <c r="BB142" s="771"/>
      <c r="BC142" s="771"/>
    </row>
    <row r="143" spans="1:55" s="1838" customFormat="1" ht="20.25" x14ac:dyDescent="0.2">
      <c r="A143" s="17"/>
      <c r="B143" s="2018"/>
      <c r="C143" s="2019"/>
      <c r="D143" s="2019"/>
      <c r="E143" s="2019"/>
      <c r="F143" s="2019"/>
      <c r="G143" s="2019"/>
      <c r="H143" s="374"/>
    </row>
    <row r="144" spans="1:55" s="1838" customFormat="1" ht="26.25" customHeight="1" x14ac:dyDescent="0.2">
      <c r="A144" s="17"/>
      <c r="B144" s="2229" t="s">
        <v>5194</v>
      </c>
      <c r="C144" s="2230"/>
      <c r="D144" s="2230"/>
      <c r="E144" s="2230"/>
      <c r="F144" s="2230"/>
      <c r="G144" s="2230"/>
      <c r="H144" s="426"/>
    </row>
    <row r="145" spans="1:8" s="1838" customFormat="1" ht="15" x14ac:dyDescent="0.2">
      <c r="A145" s="17"/>
      <c r="B145" s="1842"/>
      <c r="C145" s="441"/>
      <c r="D145" s="95"/>
      <c r="E145" s="1837"/>
      <c r="F145" s="73"/>
      <c r="G145" s="95"/>
      <c r="H145" s="1839" t="str">
        <f>IF(СОДЕРЖАНИЕ!K46=1,"EUR","RUB")</f>
        <v>RUB</v>
      </c>
    </row>
    <row r="146" spans="1:8" s="1838" customFormat="1" x14ac:dyDescent="0.2">
      <c r="A146" s="17"/>
      <c r="B146" s="2072"/>
      <c r="C146" s="135" t="s">
        <v>1301</v>
      </c>
      <c r="D146" s="139" t="s">
        <v>784</v>
      </c>
      <c r="E146" s="140" t="s">
        <v>2117</v>
      </c>
      <c r="F146" s="139"/>
      <c r="G146" s="141" t="s">
        <v>2116</v>
      </c>
      <c r="H146" s="411"/>
    </row>
    <row r="147" spans="1:8" s="1838" customFormat="1" x14ac:dyDescent="0.2">
      <c r="A147" s="17"/>
      <c r="B147" s="2073"/>
      <c r="C147" s="1815" t="s">
        <v>3546</v>
      </c>
      <c r="D147" s="43" t="str">
        <f>VLOOKUP(C147,всецены,2,FALSE)</f>
        <v xml:space="preserve">LBX, Вал синхрониз. Tip-on BM T60L1118W </v>
      </c>
      <c r="E147" s="3">
        <v>1</v>
      </c>
      <c r="F147" s="12">
        <f>VLOOKUP(C147,всецены,4,FALSE)</f>
        <v>289.50361440000006</v>
      </c>
      <c r="G147" s="442">
        <f>F147*E147</f>
        <v>289.50361440000006</v>
      </c>
      <c r="H147" s="387">
        <f>G147</f>
        <v>289.50361440000006</v>
      </c>
    </row>
    <row r="148" spans="1:8" s="1838" customFormat="1" ht="13.5" thickBot="1" x14ac:dyDescent="0.25">
      <c r="A148" s="17"/>
      <c r="B148" s="2074"/>
      <c r="C148" s="1050" t="s">
        <v>3543</v>
      </c>
      <c r="D148" s="404" t="str">
        <f>VLOOKUP(C148,всецены,2,FALSE)</f>
        <v xml:space="preserve">LBX, Шестерня синхр. Tip-on BM T60.000D </v>
      </c>
      <c r="E148" s="355">
        <v>2</v>
      </c>
      <c r="F148" s="356">
        <f>VLOOKUP(C148,всецены,4,FALSE)</f>
        <v>16.264248000000002</v>
      </c>
      <c r="G148" s="443">
        <f>F148*E148</f>
        <v>32.528496000000004</v>
      </c>
      <c r="H148" s="390">
        <f>G148</f>
        <v>32.528496000000004</v>
      </c>
    </row>
    <row r="149" spans="1:8" s="1838" customFormat="1" x14ac:dyDescent="0.2">
      <c r="A149" s="17"/>
      <c r="B149" s="17"/>
      <c r="C149" s="17"/>
      <c r="D149" s="17"/>
      <c r="E149" s="1841"/>
      <c r="F149" s="17"/>
      <c r="G149" s="17"/>
      <c r="H149" s="35"/>
    </row>
    <row r="150" spans="1:8" ht="14.25" x14ac:dyDescent="0.2">
      <c r="B150" s="782"/>
      <c r="H150" s="1185"/>
    </row>
    <row r="151" spans="1:8" ht="14.25" x14ac:dyDescent="0.2">
      <c r="B151" s="782"/>
      <c r="H151" s="1185"/>
    </row>
    <row r="152" spans="1:8" ht="14.25" x14ac:dyDescent="0.2">
      <c r="B152" s="782"/>
      <c r="H152" s="1185"/>
    </row>
    <row r="153" spans="1:8" ht="14.25" x14ac:dyDescent="0.2">
      <c r="B153" s="782"/>
      <c r="H153" s="1185"/>
    </row>
    <row r="154" spans="1:8" ht="14.25" x14ac:dyDescent="0.2">
      <c r="B154" s="782"/>
      <c r="H154" s="1185"/>
    </row>
    <row r="155" spans="1:8" ht="14.25" x14ac:dyDescent="0.2">
      <c r="B155" s="782"/>
      <c r="H155" s="1185"/>
    </row>
    <row r="156" spans="1:8" ht="14.25" x14ac:dyDescent="0.2">
      <c r="B156" s="782"/>
      <c r="H156" s="1185"/>
    </row>
    <row r="157" spans="1:8" ht="14.25" x14ac:dyDescent="0.2">
      <c r="B157" s="782"/>
      <c r="H157" s="1185"/>
    </row>
    <row r="158" spans="1:8" ht="14.25" x14ac:dyDescent="0.2">
      <c r="B158" s="782"/>
      <c r="H158" s="1185"/>
    </row>
    <row r="159" spans="1:8" ht="14.25" x14ac:dyDescent="0.2">
      <c r="B159" s="782"/>
      <c r="H159" s="1185"/>
    </row>
    <row r="160" spans="1:8" ht="14.25" x14ac:dyDescent="0.2">
      <c r="B160" s="782"/>
      <c r="H160" s="1185"/>
    </row>
    <row r="161" spans="2:8" ht="14.25" x14ac:dyDescent="0.2">
      <c r="B161" s="782"/>
      <c r="H161" s="1185"/>
    </row>
    <row r="162" spans="2:8" ht="14.25" x14ac:dyDescent="0.2">
      <c r="B162" s="782"/>
      <c r="H162" s="1185"/>
    </row>
    <row r="163" spans="2:8" ht="14.25" x14ac:dyDescent="0.2">
      <c r="B163" s="782"/>
      <c r="H163" s="1185"/>
    </row>
    <row r="164" spans="2:8" ht="14.25" x14ac:dyDescent="0.2">
      <c r="B164" s="782"/>
      <c r="H164" s="1185"/>
    </row>
    <row r="165" spans="2:8" ht="14.25" x14ac:dyDescent="0.2">
      <c r="B165" s="782"/>
      <c r="H165" s="1185"/>
    </row>
    <row r="166" spans="2:8" ht="14.25" x14ac:dyDescent="0.2">
      <c r="B166" s="782"/>
      <c r="H166" s="1185"/>
    </row>
    <row r="167" spans="2:8" ht="14.25" x14ac:dyDescent="0.2">
      <c r="B167" s="782"/>
      <c r="H167" s="1185"/>
    </row>
    <row r="168" spans="2:8" ht="14.25" x14ac:dyDescent="0.2">
      <c r="B168" s="782"/>
      <c r="H168" s="1185"/>
    </row>
    <row r="169" spans="2:8" ht="14.25" x14ac:dyDescent="0.2">
      <c r="B169" s="782"/>
      <c r="H169" s="1185"/>
    </row>
    <row r="170" spans="2:8" ht="14.25" x14ac:dyDescent="0.2">
      <c r="B170" s="782"/>
      <c r="H170" s="1185"/>
    </row>
    <row r="171" spans="2:8" ht="14.25" x14ac:dyDescent="0.2">
      <c r="B171" s="782"/>
      <c r="H171" s="1185"/>
    </row>
    <row r="172" spans="2:8" ht="14.25" x14ac:dyDescent="0.2">
      <c r="B172" s="782"/>
      <c r="H172" s="1185"/>
    </row>
    <row r="173" spans="2:8" ht="14.25" x14ac:dyDescent="0.2">
      <c r="B173" s="782"/>
      <c r="H173" s="1185"/>
    </row>
    <row r="175" spans="2:8" ht="20.25" x14ac:dyDescent="0.2">
      <c r="B175" s="2174" t="s">
        <v>881</v>
      </c>
      <c r="C175" s="2174"/>
      <c r="D175" s="2174"/>
      <c r="E175" s="2174"/>
      <c r="F175" s="2174"/>
      <c r="G175" s="2174"/>
      <c r="H175" s="1171"/>
    </row>
    <row r="176" spans="2:8" x14ac:dyDescent="0.2">
      <c r="B176" s="1170" t="s">
        <v>635</v>
      </c>
      <c r="C176" s="1186"/>
      <c r="D176" s="2146"/>
      <c r="E176" s="2146"/>
      <c r="F176" s="2146"/>
      <c r="G176" s="2146"/>
      <c r="H176" s="1171"/>
    </row>
    <row r="177" spans="2:8" x14ac:dyDescent="0.2">
      <c r="B177" s="2147" t="s">
        <v>879</v>
      </c>
      <c r="C177" s="2148"/>
      <c r="D177" s="2148"/>
      <c r="E177" s="2148"/>
      <c r="F177" s="2148"/>
      <c r="G177" s="2149"/>
      <c r="H177" s="1173"/>
    </row>
    <row r="178" spans="2:8" x14ac:dyDescent="0.2">
      <c r="B178" s="1181"/>
      <c r="C178" s="1187" t="s">
        <v>1301</v>
      </c>
      <c r="D178" s="1188" t="s">
        <v>784</v>
      </c>
      <c r="E178" s="1189" t="s">
        <v>2117</v>
      </c>
      <c r="F178" s="1188"/>
      <c r="G178" s="1190" t="s">
        <v>2116</v>
      </c>
      <c r="H178" s="1191"/>
    </row>
    <row r="179" spans="2:8" x14ac:dyDescent="0.2">
      <c r="B179" s="2171"/>
      <c r="C179" s="1192" t="s">
        <v>794</v>
      </c>
      <c r="D179" s="1193" t="str">
        <f>VLOOKUP(C179,всецены,2,FALSE)</f>
        <v>TBX-A, Вставка "intivo" мат, 450 мм прав</v>
      </c>
      <c r="E179" s="1194">
        <v>2</v>
      </c>
      <c r="F179" s="1178">
        <f>VLOOKUP(C179,всецены,4,FALSE)</f>
        <v>1185.6636791999999</v>
      </c>
      <c r="G179" s="1175">
        <f>F179*E179</f>
        <v>2371.3273583999999</v>
      </c>
      <c r="H179" s="2168"/>
    </row>
    <row r="180" spans="2:8" x14ac:dyDescent="0.2">
      <c r="B180" s="2172"/>
      <c r="C180" s="1192" t="s">
        <v>900</v>
      </c>
      <c r="D180" s="1193" t="str">
        <f>VLOOKUP(C180,всецены,2,FALSE)</f>
        <v>TBX-A, Вставка "intivo" мат, 500 мм прав</v>
      </c>
      <c r="E180" s="1194">
        <v>2</v>
      </c>
      <c r="F180" s="1178">
        <f>VLOOKUP(C180,всецены,4,FALSE)</f>
        <v>1196.2354404000002</v>
      </c>
      <c r="G180" s="1175">
        <f>F180*E180</f>
        <v>2392.4708808000005</v>
      </c>
      <c r="H180" s="2169"/>
    </row>
    <row r="181" spans="2:8" x14ac:dyDescent="0.2">
      <c r="B181" s="1170" t="s">
        <v>1408</v>
      </c>
      <c r="C181" s="1186"/>
      <c r="D181" s="2170"/>
      <c r="E181" s="2170"/>
      <c r="F181" s="2170"/>
      <c r="G181" s="2170"/>
      <c r="H181" s="2169"/>
    </row>
    <row r="182" spans="2:8" x14ac:dyDescent="0.2">
      <c r="B182" s="2147" t="s">
        <v>880</v>
      </c>
      <c r="C182" s="2148"/>
      <c r="D182" s="2148"/>
      <c r="E182" s="2148"/>
      <c r="F182" s="2148"/>
      <c r="G182" s="2149"/>
      <c r="H182" s="2169"/>
    </row>
    <row r="183" spans="2:8" x14ac:dyDescent="0.2">
      <c r="B183" s="1195"/>
      <c r="C183" s="1196" t="s">
        <v>884</v>
      </c>
      <c r="D183" s="1193" t="str">
        <f t="shared" ref="D183:D191" si="37">VLOOKUP(C183,всецены,2,FALSE)</f>
        <v xml:space="preserve">TBX-A, Вставка кожа, черн крок, 500 мм  </v>
      </c>
      <c r="E183" s="1197">
        <v>1</v>
      </c>
      <c r="F183" s="1178">
        <f t="shared" ref="F183:F191" si="38">VLOOKUP(C183,всецены,4,FALSE)</f>
        <v>2046.8556108000002</v>
      </c>
      <c r="G183" s="1175">
        <f>F183*E183</f>
        <v>2046.8556108000002</v>
      </c>
      <c r="H183" s="2169"/>
    </row>
    <row r="184" spans="2:8" x14ac:dyDescent="0.2">
      <c r="B184" s="1195"/>
      <c r="C184" s="1196" t="s">
        <v>1823</v>
      </c>
      <c r="D184" s="1193" t="str">
        <f t="shared" si="37"/>
        <v>TBX-A, Вставка кожа, коричн крок, 500 мм</v>
      </c>
      <c r="E184" s="1197">
        <v>1</v>
      </c>
      <c r="F184" s="1178">
        <f t="shared" si="38"/>
        <v>2105.4069036000001</v>
      </c>
      <c r="G184" s="1175">
        <f t="shared" ref="G184:G191" si="39">F184*E184</f>
        <v>2105.4069036000001</v>
      </c>
      <c r="H184" s="2169"/>
    </row>
    <row r="185" spans="2:8" x14ac:dyDescent="0.2">
      <c r="B185" s="1195"/>
      <c r="C185" s="1196" t="s">
        <v>1824</v>
      </c>
      <c r="D185" s="1193" t="str">
        <f t="shared" si="37"/>
        <v xml:space="preserve">TBX-A, Вставка кожа, сер крок, 500 мм   </v>
      </c>
      <c r="E185" s="1197">
        <v>1</v>
      </c>
      <c r="F185" s="1178">
        <f t="shared" si="38"/>
        <v>2046.8556108000002</v>
      </c>
      <c r="G185" s="1175">
        <f t="shared" si="39"/>
        <v>2046.8556108000002</v>
      </c>
      <c r="H185" s="2169"/>
    </row>
    <row r="186" spans="2:8" x14ac:dyDescent="0.2">
      <c r="B186" s="1195"/>
      <c r="C186" s="1196" t="s">
        <v>885</v>
      </c>
      <c r="D186" s="1193" t="str">
        <f t="shared" si="37"/>
        <v xml:space="preserve">TBX-A, Вставка кожа, черн лен, 500 мм   </v>
      </c>
      <c r="E186" s="1197">
        <v>1</v>
      </c>
      <c r="F186" s="1178">
        <f t="shared" si="38"/>
        <v>2046.8556108000002</v>
      </c>
      <c r="G186" s="1175">
        <f t="shared" si="39"/>
        <v>2046.8556108000002</v>
      </c>
      <c r="H186" s="2169"/>
    </row>
    <row r="187" spans="2:8" x14ac:dyDescent="0.2">
      <c r="B187" s="1195"/>
      <c r="C187" s="1196" t="s">
        <v>886</v>
      </c>
      <c r="D187" s="1193" t="str">
        <f t="shared" si="37"/>
        <v xml:space="preserve">TBX-A, Вставка кожа, беж, 500 мм        </v>
      </c>
      <c r="E187" s="1197">
        <v>1</v>
      </c>
      <c r="F187" s="1178">
        <f t="shared" si="38"/>
        <v>2105.4069036000001</v>
      </c>
      <c r="G187" s="1175">
        <f t="shared" si="39"/>
        <v>2105.4069036000001</v>
      </c>
      <c r="H187" s="2169"/>
    </row>
    <row r="188" spans="2:8" x14ac:dyDescent="0.2">
      <c r="B188" s="1195"/>
      <c r="C188" s="1196" t="s">
        <v>1822</v>
      </c>
      <c r="D188" s="1193" t="str">
        <f t="shared" si="37"/>
        <v xml:space="preserve">TBX-A, Вставка кожа, перл, 500 мм       </v>
      </c>
      <c r="E188" s="1197">
        <v>1</v>
      </c>
      <c r="F188" s="1178">
        <f t="shared" si="38"/>
        <v>2046.8556108000002</v>
      </c>
      <c r="G188" s="1175">
        <f t="shared" si="39"/>
        <v>2046.8556108000002</v>
      </c>
      <c r="H188" s="2169"/>
    </row>
    <row r="189" spans="2:8" x14ac:dyDescent="0.2">
      <c r="B189" s="1195"/>
      <c r="C189" s="1196" t="s">
        <v>883</v>
      </c>
      <c r="D189" s="1193" t="str">
        <f t="shared" si="37"/>
        <v xml:space="preserve">TBX-A, Вставка кожа, черн кл, 500 мм    </v>
      </c>
      <c r="E189" s="1197">
        <v>1</v>
      </c>
      <c r="F189" s="1178">
        <f t="shared" si="38"/>
        <v>2046.8556108000002</v>
      </c>
      <c r="G189" s="1175">
        <f t="shared" si="39"/>
        <v>2046.8556108000002</v>
      </c>
      <c r="H189" s="2169"/>
    </row>
    <row r="190" spans="2:8" x14ac:dyDescent="0.2">
      <c r="B190" s="1195"/>
      <c r="C190" s="1196" t="s">
        <v>1821</v>
      </c>
      <c r="D190" s="1193" t="str">
        <f t="shared" si="37"/>
        <v xml:space="preserve">TBX-A, Вставка кожа, красн, 500 мм      </v>
      </c>
      <c r="E190" s="1197">
        <v>1</v>
      </c>
      <c r="F190" s="1178">
        <f t="shared" si="38"/>
        <v>2105.4069036000001</v>
      </c>
      <c r="G190" s="1175">
        <f t="shared" si="39"/>
        <v>2105.4069036000001</v>
      </c>
      <c r="H190" s="2169"/>
    </row>
    <row r="191" spans="2:8" x14ac:dyDescent="0.2">
      <c r="B191" s="1195"/>
      <c r="C191" s="1196" t="s">
        <v>887</v>
      </c>
      <c r="D191" s="1193" t="str">
        <f t="shared" si="37"/>
        <v xml:space="preserve">TBX-A, Вставка кожа, бел стр, 500 мм    </v>
      </c>
      <c r="E191" s="1197">
        <v>1</v>
      </c>
      <c r="F191" s="1178">
        <f t="shared" si="38"/>
        <v>2105.4069036000001</v>
      </c>
      <c r="G191" s="1175">
        <f t="shared" si="39"/>
        <v>2105.4069036000001</v>
      </c>
      <c r="H191" s="2169"/>
    </row>
    <row r="192" spans="2:8" x14ac:dyDescent="0.2">
      <c r="B192" s="1170" t="s">
        <v>635</v>
      </c>
      <c r="C192" s="1186"/>
      <c r="D192" s="2170"/>
      <c r="E192" s="2170"/>
      <c r="F192" s="2170"/>
      <c r="G192" s="2170"/>
      <c r="H192" s="2169"/>
    </row>
    <row r="193" spans="2:8" x14ac:dyDescent="0.2">
      <c r="B193" s="2147" t="s">
        <v>1406</v>
      </c>
      <c r="C193" s="2148"/>
      <c r="D193" s="2148"/>
      <c r="E193" s="2148"/>
      <c r="F193" s="2148"/>
      <c r="G193" s="2149"/>
      <c r="H193" s="2169"/>
    </row>
    <row r="194" spans="2:8" x14ac:dyDescent="0.2">
      <c r="B194" s="1195"/>
      <c r="C194" s="1196"/>
      <c r="D194" s="1198" t="s">
        <v>1407</v>
      </c>
      <c r="E194" s="1197">
        <v>1</v>
      </c>
      <c r="F194" s="1178"/>
      <c r="G194" s="1175"/>
      <c r="H194" s="2169"/>
    </row>
    <row r="195" spans="2:8" x14ac:dyDescent="0.2">
      <c r="B195" s="1195"/>
      <c r="C195" s="1196"/>
      <c r="D195" s="1198" t="s">
        <v>1407</v>
      </c>
      <c r="E195" s="1197">
        <v>1</v>
      </c>
      <c r="F195" s="1178"/>
      <c r="G195" s="1175"/>
      <c r="H195" s="2169"/>
    </row>
    <row r="196" spans="2:8" x14ac:dyDescent="0.2">
      <c r="B196" s="1195"/>
      <c r="C196" s="1196"/>
      <c r="D196" s="1198" t="s">
        <v>1407</v>
      </c>
      <c r="E196" s="1197">
        <v>1</v>
      </c>
      <c r="F196" s="1178"/>
      <c r="G196" s="1175"/>
      <c r="H196" s="2169"/>
    </row>
    <row r="197" spans="2:8" x14ac:dyDescent="0.2">
      <c r="B197" s="1195"/>
      <c r="C197" s="1196"/>
      <c r="D197" s="1198" t="s">
        <v>1407</v>
      </c>
      <c r="E197" s="1197">
        <v>1</v>
      </c>
      <c r="F197" s="1178"/>
      <c r="G197" s="1175"/>
      <c r="H197" s="2169"/>
    </row>
    <row r="198" spans="2:8" x14ac:dyDescent="0.2">
      <c r="B198" s="1195"/>
      <c r="C198" s="1196"/>
      <c r="D198" s="1198" t="s">
        <v>1407</v>
      </c>
      <c r="E198" s="1197">
        <v>1</v>
      </c>
      <c r="F198" s="1178"/>
      <c r="G198" s="1175"/>
      <c r="H198" s="2169"/>
    </row>
    <row r="199" spans="2:8" x14ac:dyDescent="0.2">
      <c r="B199" s="1195"/>
      <c r="C199" s="1196"/>
      <c r="D199" s="1198" t="s">
        <v>1407</v>
      </c>
      <c r="E199" s="1197">
        <v>1</v>
      </c>
      <c r="F199" s="1178"/>
      <c r="G199" s="1175"/>
      <c r="H199" s="2169"/>
    </row>
    <row r="200" spans="2:8" x14ac:dyDescent="0.2">
      <c r="B200" s="1195"/>
      <c r="C200" s="1196"/>
      <c r="D200" s="1198" t="s">
        <v>1407</v>
      </c>
      <c r="E200" s="1197">
        <v>1</v>
      </c>
      <c r="F200" s="1178"/>
      <c r="G200" s="1175"/>
      <c r="H200" s="2169"/>
    </row>
    <row r="201" spans="2:8" x14ac:dyDescent="0.2">
      <c r="B201" s="1170" t="s">
        <v>635</v>
      </c>
      <c r="C201" s="1186"/>
      <c r="D201" s="2170"/>
      <c r="E201" s="2170"/>
      <c r="F201" s="2170"/>
      <c r="G201" s="2170"/>
      <c r="H201" s="2169"/>
    </row>
    <row r="202" spans="2:8" x14ac:dyDescent="0.2">
      <c r="B202" s="2147" t="s">
        <v>882</v>
      </c>
      <c r="C202" s="2148"/>
      <c r="D202" s="2148"/>
      <c r="E202" s="2148"/>
      <c r="F202" s="2148"/>
      <c r="G202" s="2149"/>
      <c r="H202" s="2169"/>
    </row>
    <row r="203" spans="2:8" x14ac:dyDescent="0.2">
      <c r="B203" s="1195"/>
      <c r="C203" s="1196"/>
      <c r="D203" s="1198" t="s">
        <v>1407</v>
      </c>
      <c r="E203" s="1197">
        <v>1</v>
      </c>
      <c r="F203" s="1178"/>
      <c r="G203" s="1175"/>
      <c r="H203" s="2169"/>
    </row>
  </sheetData>
  <protectedRanges>
    <protectedRange sqref="C7 C25 C41 C60 C77 C119 C100" name="Диапазон1"/>
  </protectedRanges>
  <mergeCells count="38">
    <mergeCell ref="B4:G5"/>
    <mergeCell ref="D6:G6"/>
    <mergeCell ref="B8:B20"/>
    <mergeCell ref="H9:H20"/>
    <mergeCell ref="B142:G143"/>
    <mergeCell ref="B22:G23"/>
    <mergeCell ref="D24:G24"/>
    <mergeCell ref="B26:B38"/>
    <mergeCell ref="H27:H38"/>
    <mergeCell ref="D40:G40"/>
    <mergeCell ref="B42:B56"/>
    <mergeCell ref="H43:H56"/>
    <mergeCell ref="B58:G58"/>
    <mergeCell ref="D59:G59"/>
    <mergeCell ref="B61:B74"/>
    <mergeCell ref="H62:H74"/>
    <mergeCell ref="D76:G76"/>
    <mergeCell ref="B78:B97"/>
    <mergeCell ref="H79:H97"/>
    <mergeCell ref="D99:G99"/>
    <mergeCell ref="B101:B116"/>
    <mergeCell ref="H102:H116"/>
    <mergeCell ref="D118:G118"/>
    <mergeCell ref="B120:B139"/>
    <mergeCell ref="H121:H139"/>
    <mergeCell ref="B175:G175"/>
    <mergeCell ref="D176:G176"/>
    <mergeCell ref="B144:G144"/>
    <mergeCell ref="B146:B148"/>
    <mergeCell ref="B177:G177"/>
    <mergeCell ref="B179:B180"/>
    <mergeCell ref="H179:H203"/>
    <mergeCell ref="D181:G181"/>
    <mergeCell ref="B182:G182"/>
    <mergeCell ref="D192:G192"/>
    <mergeCell ref="B193:G193"/>
    <mergeCell ref="D201:G201"/>
    <mergeCell ref="B202:G202"/>
  </mergeCells>
  <dataValidations count="5">
    <dataValidation type="list" allowBlank="1" showInputMessage="1" showErrorMessage="1" sqref="C7" xr:uid="{00000000-0002-0000-1200-000000000000}">
      <formula1>$J$12:$J$13</formula1>
    </dataValidation>
    <dataValidation type="list" allowBlank="1" showInputMessage="1" showErrorMessage="1" sqref="C119 C60 C77" xr:uid="{00000000-0002-0000-1200-000001000000}">
      <formula1>$J$64:$J$67</formula1>
    </dataValidation>
    <dataValidation type="list" allowBlank="1" showInputMessage="1" showErrorMessage="1" sqref="C25 C41" xr:uid="{00000000-0002-0000-1200-000002000000}">
      <formula1>$J$26:$J$30</formula1>
    </dataValidation>
    <dataValidation type="list" allowBlank="1" showInputMessage="1" showErrorMessage="1" sqref="C100" xr:uid="{00000000-0002-0000-1200-000003000000}">
      <formula1>$J$28:$J$57</formula1>
    </dataValidation>
    <dataValidation type="list" allowBlank="1" showInputMessage="1" showErrorMessage="1" sqref="C145" xr:uid="{00000000-0002-0000-1200-000004000000}">
      <formula1>$K$12:$K$13</formula1>
    </dataValidation>
  </dataValidation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ellIs" priority="7" operator="equal" id="{A56A7194-9583-48C5-A0A8-84E8259BA99D}">
            <xm:f>'\Users\ryzhenkov\Documents\Эталон\[BLUM Прайс 10.05.2017!.xlsx]3.5'!#REF!</xm:f>
            <x14:dxf>
              <font>
                <color theme="0"/>
              </font>
              <fill>
                <patternFill>
                  <bgColor theme="1"/>
                </patternFill>
              </fill>
            </x14:dxf>
          </x14:cfRule>
          <x14:cfRule type="cellIs" priority="8" operator="equal" id="{A133205B-F3BA-4F63-BDA7-6B84D4CF960B}">
            <xm:f>'\Users\ryzhenkov\Documents\Эталон\[BLUM Прайс 10.05.2017!.xlsx]3.5'!#REF!</xm:f>
            <x14:dxf>
              <fill>
                <patternFill>
                  <bgColor theme="0" tint="-0.34998626667073579"/>
                </patternFill>
              </fill>
            </x14:dxf>
          </x14:cfRule>
          <xm:sqref>D3</xm:sqref>
        </x14:conditionalFormatting>
        <x14:conditionalFormatting xmlns:xm="http://schemas.microsoft.com/office/excel/2006/main">
          <x14:cfRule type="cellIs" priority="4" operator="equal" id="{AB887BA9-1E71-4CFA-8976-C3842F6C3693}">
            <xm:f>'\Users\ryzhenkov\Documents\Эталон\[BLUM Прайс 10.05.2017!.xlsx]3.5'!#REF!</xm:f>
            <x14:dxf>
              <font>
                <color theme="0"/>
              </font>
            </x14:dxf>
          </x14:cfRule>
          <x14:cfRule type="cellIs" priority="5" operator="equal" id="{B10CD216-9EB5-4275-97CD-80EDE68BA799}">
            <xm:f>'\Users\ryzhenkov\Documents\Эталон\[BLUM Прайс 10.05.2017!.xlsx]3.5'!#REF!</xm:f>
            <x14:dxf>
              <font>
                <color auto="1"/>
              </font>
              <fill>
                <patternFill>
                  <bgColor theme="1"/>
                </patternFill>
              </fill>
            </x14:dxf>
          </x14:cfRule>
          <x14:cfRule type="cellIs" priority="6" operator="equal" id="{4AE75D47-0230-4192-840F-65423CF62C15}">
            <xm:f>'\Users\ryzhenkov\Documents\Эталон\[BLUM Прайс 10.05.2017!.xlsx]3.5'!#REF!</xm:f>
            <x14:dxf>
              <font>
                <color theme="0" tint="-0.34998626667073579"/>
              </font>
              <fill>
                <patternFill>
                  <bgColor theme="0" tint="-0.34998626667073579"/>
                </patternFill>
              </fill>
            </x14:dxf>
          </x14:cfRule>
          <xm:sqref>G3</xm:sqref>
        </x14:conditionalFormatting>
        <x14:conditionalFormatting xmlns:xm="http://schemas.microsoft.com/office/excel/2006/main">
          <x14:cfRule type="cellIs" priority="1" operator="equal" id="{C7B4C7AC-F9C9-47BE-9F40-45F5DCFDBCD1}">
            <xm:f>'\Users\ryzhenkov\Documents\Эталон\[BLUM Прайс 10.05.2017!.xlsx]3.5'!#REF!</xm:f>
            <x14:dxf>
              <font>
                <color theme="0"/>
              </font>
            </x14:dxf>
          </x14:cfRule>
          <x14:cfRule type="cellIs" priority="2" operator="equal" id="{6BEF67A5-A3AA-442F-999D-769C2C5227AC}">
            <xm:f>'\Users\ryzhenkov\Documents\Эталон\[BLUM Прайс 10.05.2017!.xlsx]3.5'!#REF!</xm:f>
            <x14:dxf>
              <font>
                <color auto="1"/>
              </font>
              <fill>
                <patternFill>
                  <bgColor theme="1"/>
                </patternFill>
              </fill>
            </x14:dxf>
          </x14:cfRule>
          <x14:cfRule type="cellIs" priority="3" operator="equal" id="{5BEECAAB-D2DB-4E12-AC52-D9D1C46148AB}">
            <xm:f>'\Users\ryzhenkov\Documents\Эталон\[BLUM Прайс 10.05.2017!.xlsx]3.5'!#REF!</xm:f>
            <x14:dxf>
              <font>
                <color theme="0" tint="-0.34998626667073579"/>
              </font>
              <fill>
                <patternFill>
                  <bgColor theme="0" tint="-0.34998626667073579"/>
                </patternFill>
              </fill>
            </x14:dxf>
          </x14:cfRule>
          <xm:sqref>H3</xm:sqref>
        </x14:conditionalFormatting>
      </x14:conditionalFormattings>
    </ext>
  </extLst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Лист33"/>
  <dimension ref="A1:K98"/>
  <sheetViews>
    <sheetView showGridLines="0" workbookViewId="0">
      <selection activeCell="L17" sqref="L17"/>
    </sheetView>
  </sheetViews>
  <sheetFormatPr defaultRowHeight="12.75" x14ac:dyDescent="0.2"/>
  <cols>
    <col min="1" max="1" width="2.85546875" customWidth="1"/>
    <col min="2" max="2" width="35" customWidth="1"/>
    <col min="3" max="3" width="8.5703125" bestFit="1" customWidth="1"/>
    <col min="4" max="4" width="38.5703125" bestFit="1" customWidth="1"/>
    <col min="5" max="5" width="3.42578125" bestFit="1" customWidth="1"/>
    <col min="6" max="6" width="9.140625" hidden="1" customWidth="1"/>
    <col min="7" max="7" width="8" bestFit="1" customWidth="1"/>
    <col min="11" max="11" width="0" hidden="1" customWidth="1"/>
  </cols>
  <sheetData>
    <row r="1" spans="1:11" ht="15.75" thickBot="1" x14ac:dyDescent="0.25">
      <c r="A1" s="1143"/>
      <c r="B1" s="916"/>
      <c r="C1" s="916"/>
      <c r="D1" s="916"/>
      <c r="E1" s="1144"/>
      <c r="F1" s="916"/>
      <c r="G1" s="1145"/>
      <c r="H1" s="1145"/>
    </row>
    <row r="2" spans="1:11" ht="19.5" thickBot="1" x14ac:dyDescent="0.35">
      <c r="A2" s="1143"/>
      <c r="B2" s="1310" t="s">
        <v>5205</v>
      </c>
      <c r="C2" s="1303"/>
      <c r="D2" s="1303"/>
      <c r="E2" s="1304"/>
      <c r="F2" s="1305"/>
      <c r="G2" s="1306"/>
      <c r="H2" s="1307"/>
    </row>
    <row r="3" spans="1:11" ht="13.5" thickBot="1" x14ac:dyDescent="0.25">
      <c r="K3">
        <v>270</v>
      </c>
    </row>
    <row r="4" spans="1:11" s="15" customFormat="1" ht="12.75" customHeight="1" x14ac:dyDescent="0.2">
      <c r="A4" s="8"/>
      <c r="B4" s="2015" t="s">
        <v>2118</v>
      </c>
      <c r="C4" s="2016"/>
      <c r="D4" s="2016"/>
      <c r="E4" s="2016"/>
      <c r="F4" s="2016"/>
      <c r="G4" s="2016"/>
      <c r="H4" s="427"/>
      <c r="K4" s="15">
        <v>300</v>
      </c>
    </row>
    <row r="5" spans="1:11" s="15" customFormat="1" ht="12.75" customHeight="1" x14ac:dyDescent="0.2">
      <c r="A5" s="17"/>
      <c r="B5" s="2018"/>
      <c r="C5" s="2019"/>
      <c r="D5" s="2019"/>
      <c r="E5" s="2019"/>
      <c r="F5" s="2019"/>
      <c r="G5" s="2019"/>
      <c r="H5" s="426"/>
      <c r="K5" s="15">
        <v>350</v>
      </c>
    </row>
    <row r="6" spans="1:11" s="15" customFormat="1" ht="12.75" customHeight="1" x14ac:dyDescent="0.2">
      <c r="A6" s="17"/>
      <c r="B6" s="425" t="s">
        <v>5186</v>
      </c>
      <c r="C6" s="2095" t="s">
        <v>5212</v>
      </c>
      <c r="D6" s="2095"/>
      <c r="E6" s="2095"/>
      <c r="F6" s="2095"/>
      <c r="G6" s="2095"/>
      <c r="H6" s="426"/>
      <c r="K6" s="15">
        <v>400</v>
      </c>
    </row>
    <row r="7" spans="1:11" s="15" customFormat="1" ht="15.75" thickBot="1" x14ac:dyDescent="0.25">
      <c r="A7" s="17"/>
      <c r="B7" s="1778" t="s">
        <v>1639</v>
      </c>
      <c r="C7" s="98">
        <v>500</v>
      </c>
      <c r="D7" s="1793" t="s">
        <v>1689</v>
      </c>
      <c r="E7" s="1793"/>
      <c r="F7" s="1793"/>
      <c r="G7" s="1793"/>
      <c r="H7" s="1776" t="s">
        <v>1850</v>
      </c>
      <c r="K7" s="15">
        <v>450</v>
      </c>
    </row>
    <row r="8" spans="1:11" s="15" customFormat="1" x14ac:dyDescent="0.2">
      <c r="A8" s="17"/>
      <c r="B8" s="2236"/>
      <c r="C8" s="1785" t="str">
        <f>VLOOKUP($C$7,tbxM,2,FALSE)</f>
        <v>3863588/</v>
      </c>
      <c r="D8" s="1786" t="str">
        <f>VLOOKUP(C8,всецены,2,FALSE)</f>
        <v xml:space="preserve">TBX, Царга 83/500 мм, сер, лев. NEW     </v>
      </c>
      <c r="E8" s="1787">
        <v>1</v>
      </c>
      <c r="F8" s="1794">
        <f t="shared" ref="F8:F21" si="0">VLOOKUP(C8,всецены,4,FALSE)</f>
        <v>417.17796120000003</v>
      </c>
      <c r="G8" s="1789">
        <f>F8*E8</f>
        <v>417.17796120000003</v>
      </c>
      <c r="H8" s="2109">
        <f>SUM(G8:G21)</f>
        <v>4280.7500736000002</v>
      </c>
      <c r="K8" s="15">
        <v>500</v>
      </c>
    </row>
    <row r="9" spans="1:11" s="15" customFormat="1" x14ac:dyDescent="0.2">
      <c r="A9" s="17"/>
      <c r="B9" s="2030"/>
      <c r="C9" s="1785" t="str">
        <f>VLOOKUP($C$7,tbxM,3,FALSE)</f>
        <v>3852259/</v>
      </c>
      <c r="D9" s="1786" t="str">
        <f>IF('3.11'!$C$7=600,"-",VLOOKUP(C9,всецены,2,FALSE))</f>
        <v xml:space="preserve">TBX, Царга 83/500 мм, сер, пр. NEW      </v>
      </c>
      <c r="E9" s="1787">
        <v>1</v>
      </c>
      <c r="F9" s="1794">
        <f t="shared" si="0"/>
        <v>417.17796120000003</v>
      </c>
      <c r="G9" s="1789">
        <f>IF('3.11'!$C$7=600,0,F9*E9)</f>
        <v>417.17796120000003</v>
      </c>
      <c r="H9" s="2109"/>
    </row>
    <row r="10" spans="1:11" s="15" customFormat="1" x14ac:dyDescent="0.2">
      <c r="A10" s="17"/>
      <c r="B10" s="2030"/>
      <c r="C10" s="1795" t="str">
        <f>VLOOKUP(C7,'3.11'!$K$29:$O$34,4,FALSE)</f>
        <v>7940374/</v>
      </c>
      <c r="D10" s="1786" t="str">
        <f>VLOOKUP(C10,всецены,2,FALSE)</f>
        <v>TBX, Tip-on BM, Напр, 30 кг, 500 мм, лев</v>
      </c>
      <c r="E10" s="1787">
        <v>1</v>
      </c>
      <c r="F10" s="1794">
        <f t="shared" si="0"/>
        <v>600.15075120000006</v>
      </c>
      <c r="G10" s="1789">
        <f>F10*E10</f>
        <v>600.15075120000006</v>
      </c>
      <c r="H10" s="2109"/>
    </row>
    <row r="11" spans="1:11" s="15" customFormat="1" x14ac:dyDescent="0.2">
      <c r="A11" s="17"/>
      <c r="B11" s="2030"/>
      <c r="C11" s="1795" t="str">
        <f>VLOOKUP(C7,'3.11'!$K$29:$O$34,5,FALSE)</f>
        <v>7936668/</v>
      </c>
      <c r="D11" s="1786" t="str">
        <f>IF('3.11'!$C$7=600,"-",VLOOKUP(C11,всецены,2,FALSE))</f>
        <v xml:space="preserve">TBX, Tip-on BM, Напр, 30 кг, 500 мм, пр </v>
      </c>
      <c r="E11" s="1787">
        <v>1</v>
      </c>
      <c r="F11" s="1794">
        <f t="shared" si="0"/>
        <v>600.15075120000006</v>
      </c>
      <c r="G11" s="1789">
        <f>IF('3.11'!$C$7=600,0,F11*E11)</f>
        <v>600.15075120000006</v>
      </c>
      <c r="H11" s="2109"/>
    </row>
    <row r="12" spans="1:11" s="15" customFormat="1" x14ac:dyDescent="0.2">
      <c r="A12" s="17"/>
      <c r="B12" s="2030"/>
      <c r="C12" s="1795" t="str">
        <f>VLOOKUP(C7,'3.11'!$K$29:$S$34,8,FALSE)</f>
        <v>1829780/</v>
      </c>
      <c r="D12" s="1786" t="str">
        <f t="shared" ref="D12:D21" si="1">VLOOKUP(C12,всецены,2,FALSE)</f>
        <v xml:space="preserve">TBX, Tip-on BM, L3,350-600, пр T60B3533 </v>
      </c>
      <c r="E12" s="1787">
        <v>1</v>
      </c>
      <c r="F12" s="1794">
        <f t="shared" si="0"/>
        <v>473.28961680000003</v>
      </c>
      <c r="G12" s="1789">
        <f t="shared" ref="G12:G21" si="2">F12*E12</f>
        <v>473.28961680000003</v>
      </c>
      <c r="H12" s="2109"/>
    </row>
    <row r="13" spans="1:11" s="15" customFormat="1" x14ac:dyDescent="0.2">
      <c r="A13" s="17"/>
      <c r="B13" s="2030"/>
      <c r="C13" s="1795" t="str">
        <f>VLOOKUP(C7,'3.11'!$K$29:$S$34,9,FALSE)</f>
        <v>8903805/</v>
      </c>
      <c r="D13" s="1786" t="str">
        <f t="shared" si="1"/>
        <v>TBX, Tip-on BM, L3,350-600, лев T60B3533</v>
      </c>
      <c r="E13" s="1787">
        <v>1</v>
      </c>
      <c r="F13" s="1794">
        <f t="shared" si="0"/>
        <v>473.28961680000003</v>
      </c>
      <c r="G13" s="1789">
        <f t="shared" si="2"/>
        <v>473.28961680000003</v>
      </c>
      <c r="H13" s="2109"/>
    </row>
    <row r="14" spans="1:11" s="15" customFormat="1" x14ac:dyDescent="0.2">
      <c r="A14" s="17"/>
      <c r="B14" s="2030"/>
      <c r="C14" s="1790" t="s">
        <v>3930</v>
      </c>
      <c r="D14" s="1786" t="str">
        <f t="shared" si="1"/>
        <v xml:space="preserve">TBX, Tip-on BM, триггер, лев. T60B3009  </v>
      </c>
      <c r="E14" s="1787">
        <v>1</v>
      </c>
      <c r="F14" s="1794">
        <f t="shared" si="0"/>
        <v>40.660620000000002</v>
      </c>
      <c r="G14" s="1789">
        <f t="shared" si="2"/>
        <v>40.660620000000002</v>
      </c>
      <c r="H14" s="2109"/>
    </row>
    <row r="15" spans="1:11" s="15" customFormat="1" x14ac:dyDescent="0.2">
      <c r="A15" s="17"/>
      <c r="B15" s="2030"/>
      <c r="C15" s="1790" t="s">
        <v>3931</v>
      </c>
      <c r="D15" s="1786" t="str">
        <f t="shared" si="1"/>
        <v xml:space="preserve">TBX, Tip-on BM, триггер, прав. T60B3009 </v>
      </c>
      <c r="E15" s="1787">
        <v>1</v>
      </c>
      <c r="F15" s="1794">
        <f t="shared" si="0"/>
        <v>40.660620000000002</v>
      </c>
      <c r="G15" s="1789">
        <f t="shared" si="2"/>
        <v>40.660620000000002</v>
      </c>
      <c r="H15" s="2109"/>
    </row>
    <row r="16" spans="1:11" s="15" customFormat="1" x14ac:dyDescent="0.2">
      <c r="A16" s="17"/>
      <c r="B16" s="2030"/>
      <c r="C16" s="1833" t="s">
        <v>299</v>
      </c>
      <c r="D16" s="1786" t="str">
        <f t="shared" si="1"/>
        <v>TBX, Загл. с лого, сер, симм ZAA.330C.BL</v>
      </c>
      <c r="E16" s="1787">
        <v>2</v>
      </c>
      <c r="F16" s="1794">
        <f t="shared" si="0"/>
        <v>8.9453364000000004</v>
      </c>
      <c r="G16" s="1789">
        <f t="shared" si="2"/>
        <v>17.890672800000001</v>
      </c>
      <c r="H16" s="2109"/>
    </row>
    <row r="17" spans="1:8" s="15" customFormat="1" x14ac:dyDescent="0.2">
      <c r="A17" s="17"/>
      <c r="B17" s="2030"/>
      <c r="C17" s="1833" t="s">
        <v>87</v>
      </c>
      <c r="D17" s="1786" t="str">
        <f t="shared" si="1"/>
        <v>TBX, Крепл п/пан вн, 96мм, лев, ZIF.70M0</v>
      </c>
      <c r="E17" s="1787">
        <v>1</v>
      </c>
      <c r="F17" s="1794">
        <f t="shared" si="0"/>
        <v>53.672018400000006</v>
      </c>
      <c r="G17" s="1789">
        <f t="shared" si="2"/>
        <v>53.672018400000006</v>
      </c>
      <c r="H17" s="2109"/>
    </row>
    <row r="18" spans="1:8" s="15" customFormat="1" x14ac:dyDescent="0.2">
      <c r="A18" s="17"/>
      <c r="B18" s="2030"/>
      <c r="C18" s="1833" t="s">
        <v>88</v>
      </c>
      <c r="D18" s="1786" t="str">
        <f t="shared" si="1"/>
        <v xml:space="preserve">TBX, Крепл п/пан вн, 96мм, пр. ZIF.70M0 </v>
      </c>
      <c r="E18" s="1787">
        <v>1</v>
      </c>
      <c r="F18" s="1794">
        <f t="shared" si="0"/>
        <v>53.672018400000006</v>
      </c>
      <c r="G18" s="1789">
        <f t="shared" si="2"/>
        <v>53.672018400000006</v>
      </c>
      <c r="H18" s="2109"/>
    </row>
    <row r="19" spans="1:8" s="15" customFormat="1" x14ac:dyDescent="0.2">
      <c r="A19" s="17"/>
      <c r="B19" s="2030"/>
      <c r="C19" s="1833" t="s">
        <v>89</v>
      </c>
      <c r="D19" s="1786" t="str">
        <f t="shared" si="1"/>
        <v>TBX, Перед. панель 1081мм сер, Z31A1081A</v>
      </c>
      <c r="E19" s="1787">
        <v>1</v>
      </c>
      <c r="F19" s="1794">
        <f t="shared" si="0"/>
        <v>1024.647624</v>
      </c>
      <c r="G19" s="1789">
        <f t="shared" si="2"/>
        <v>1024.647624</v>
      </c>
      <c r="H19" s="2109"/>
    </row>
    <row r="20" spans="1:8" s="15" customFormat="1" x14ac:dyDescent="0.2">
      <c r="A20" s="17"/>
      <c r="B20" s="2030"/>
      <c r="C20" s="1833" t="s">
        <v>1628</v>
      </c>
      <c r="D20" s="1786" t="str">
        <f t="shared" si="1"/>
        <v xml:space="preserve">TBX, Держат. задн. ст, 96 мм, сер, пр.  </v>
      </c>
      <c r="E20" s="1787">
        <v>1</v>
      </c>
      <c r="F20" s="1794">
        <f t="shared" si="0"/>
        <v>34.154920799999999</v>
      </c>
      <c r="G20" s="1789">
        <f t="shared" si="2"/>
        <v>34.154920799999999</v>
      </c>
      <c r="H20" s="2109"/>
    </row>
    <row r="21" spans="1:8" s="15" customFormat="1" ht="13.5" thickBot="1" x14ac:dyDescent="0.25">
      <c r="A21" s="17"/>
      <c r="B21" s="2031"/>
      <c r="C21" s="1834" t="s">
        <v>1630</v>
      </c>
      <c r="D21" s="1537" t="str">
        <f t="shared" si="1"/>
        <v xml:space="preserve">TBX, Держат. задн. ст, 96 мм, сер, лев. </v>
      </c>
      <c r="E21" s="1473">
        <v>1</v>
      </c>
      <c r="F21" s="1797">
        <f t="shared" si="0"/>
        <v>34.154920799999999</v>
      </c>
      <c r="G21" s="1689">
        <f t="shared" si="2"/>
        <v>34.154920799999999</v>
      </c>
      <c r="H21" s="2227"/>
    </row>
    <row r="22" spans="1:8" s="15" customFormat="1" x14ac:dyDescent="0.2">
      <c r="A22" s="17"/>
      <c r="B22" s="69"/>
      <c r="C22" s="708"/>
      <c r="D22" s="75"/>
      <c r="E22" s="169"/>
      <c r="F22" s="439"/>
      <c r="G22" s="358"/>
      <c r="H22" s="618"/>
    </row>
    <row r="23" spans="1:8" ht="13.5" thickBot="1" x14ac:dyDescent="0.25">
      <c r="A23" s="8"/>
      <c r="B23" s="8"/>
      <c r="C23" s="712"/>
      <c r="D23" s="28"/>
      <c r="E23" s="1766"/>
      <c r="F23" s="34"/>
      <c r="G23" s="58"/>
      <c r="H23" s="19"/>
    </row>
    <row r="24" spans="1:8" s="15" customFormat="1" ht="20.25" customHeight="1" x14ac:dyDescent="0.2">
      <c r="A24" s="8"/>
      <c r="B24" s="2015" t="s">
        <v>2119</v>
      </c>
      <c r="C24" s="2016"/>
      <c r="D24" s="2016"/>
      <c r="E24" s="2016"/>
      <c r="F24" s="2016"/>
      <c r="G24" s="2016"/>
      <c r="H24" s="427"/>
    </row>
    <row r="25" spans="1:8" s="15" customFormat="1" x14ac:dyDescent="0.2">
      <c r="A25" s="17"/>
      <c r="B25" s="425" t="s">
        <v>5186</v>
      </c>
      <c r="C25" s="28"/>
      <c r="D25" s="28"/>
      <c r="E25" s="1775"/>
      <c r="F25" s="28"/>
      <c r="G25" s="1774" t="s">
        <v>5212</v>
      </c>
      <c r="H25" s="426"/>
    </row>
    <row r="26" spans="1:8" s="15" customFormat="1" ht="15.75" thickBot="1" x14ac:dyDescent="0.25">
      <c r="A26" s="17"/>
      <c r="B26" s="1778" t="s">
        <v>1639</v>
      </c>
      <c r="C26" s="98">
        <v>500</v>
      </c>
      <c r="D26" s="97" t="s">
        <v>1689</v>
      </c>
      <c r="E26" s="97"/>
      <c r="F26" s="97"/>
      <c r="G26" s="97"/>
      <c r="H26" s="1776" t="s">
        <v>1850</v>
      </c>
    </row>
    <row r="27" spans="1:8" s="15" customFormat="1" x14ac:dyDescent="0.2">
      <c r="A27" s="17"/>
      <c r="B27" s="2236"/>
      <c r="C27" s="1785" t="str">
        <f>VLOOKUP($C$26,tbxM,2,FALSE)</f>
        <v>3863588/</v>
      </c>
      <c r="D27" s="43" t="str">
        <f>VLOOKUP(C27,всецены,2,FALSE)</f>
        <v xml:space="preserve">TBX, Царга 83/500 мм, сер, лев. NEW     </v>
      </c>
      <c r="E27" s="3">
        <v>1</v>
      </c>
      <c r="F27" s="12">
        <f t="shared" ref="F27:F41" si="3">VLOOKUP(C27,всецены,4,FALSE)</f>
        <v>417.17796120000003</v>
      </c>
      <c r="G27" s="14">
        <f>F27*E27</f>
        <v>417.17796120000003</v>
      </c>
      <c r="H27" s="2091">
        <f>SUM(G27:G41)</f>
        <v>4560.4951392000012</v>
      </c>
    </row>
    <row r="28" spans="1:8" s="15" customFormat="1" x14ac:dyDescent="0.2">
      <c r="A28" s="17"/>
      <c r="B28" s="2030"/>
      <c r="C28" s="1785" t="str">
        <f>VLOOKUP($C$26,tbxM,3,FALSE)</f>
        <v>3852259/</v>
      </c>
      <c r="D28" s="43" t="str">
        <f>IF('3.11'!$C$28=600,"-",VLOOKUP(C28,всецены,2,FALSE))</f>
        <v xml:space="preserve">TBX, Царга 83/500 мм, сер, пр. NEW      </v>
      </c>
      <c r="E28" s="3">
        <v>1</v>
      </c>
      <c r="F28" s="12">
        <f t="shared" si="3"/>
        <v>417.17796120000003</v>
      </c>
      <c r="G28" s="14">
        <f>IF('3.11'!$C$28=600,0,F28*E28)</f>
        <v>417.17796120000003</v>
      </c>
      <c r="H28" s="2092"/>
    </row>
    <row r="29" spans="1:8" s="15" customFormat="1" x14ac:dyDescent="0.2">
      <c r="A29" s="17"/>
      <c r="B29" s="2030"/>
      <c r="C29" s="1795" t="str">
        <f>VLOOKUP(C26,'3.11'!$K$29:$O$34,4,FALSE)</f>
        <v>7940374/</v>
      </c>
      <c r="D29" s="43" t="str">
        <f>VLOOKUP(C29,всецены,2,FALSE)</f>
        <v>TBX, Tip-on BM, Напр, 30 кг, 500 мм, лев</v>
      </c>
      <c r="E29" s="3">
        <v>1</v>
      </c>
      <c r="F29" s="12">
        <f t="shared" si="3"/>
        <v>600.15075120000006</v>
      </c>
      <c r="G29" s="14">
        <f>F29*E29</f>
        <v>600.15075120000006</v>
      </c>
      <c r="H29" s="2092"/>
    </row>
    <row r="30" spans="1:8" s="15" customFormat="1" x14ac:dyDescent="0.2">
      <c r="A30" s="17"/>
      <c r="B30" s="2030"/>
      <c r="C30" s="1795" t="str">
        <f>VLOOKUP(C26,'3.11'!$K$29:$O$34,5,FALSE)</f>
        <v>7936668/</v>
      </c>
      <c r="D30" s="43" t="str">
        <f>IF('3.11'!$C$28=600,"-",VLOOKUP(C30,всецены,2,FALSE))</f>
        <v xml:space="preserve">TBX, Tip-on BM, Напр, 30 кг, 500 мм, пр </v>
      </c>
      <c r="E30" s="3">
        <v>1</v>
      </c>
      <c r="F30" s="12">
        <f t="shared" si="3"/>
        <v>600.15075120000006</v>
      </c>
      <c r="G30" s="14">
        <f>IF('3.11'!$C$28=600,0,F30*E30)</f>
        <v>600.15075120000006</v>
      </c>
      <c r="H30" s="2092"/>
    </row>
    <row r="31" spans="1:8" s="15" customFormat="1" x14ac:dyDescent="0.2">
      <c r="A31" s="17"/>
      <c r="B31" s="2030"/>
      <c r="C31" s="2" t="str">
        <f>VLOOKUP($C$26,tbxM,6,FALSE)</f>
        <v>1862960/</v>
      </c>
      <c r="D31" s="43" t="str">
        <f t="shared" ref="D31:D41" si="4">VLOOKUP(C31,всецены,2,FALSE)</f>
        <v xml:space="preserve">TBX, Релинг продольн, 500 мм, сер.      </v>
      </c>
      <c r="E31" s="3">
        <v>2</v>
      </c>
      <c r="F31" s="12">
        <f t="shared" si="3"/>
        <v>103.27797480000001</v>
      </c>
      <c r="G31" s="14">
        <f t="shared" ref="G31:G41" si="5">F31*E31</f>
        <v>206.55594960000002</v>
      </c>
      <c r="H31" s="2092"/>
    </row>
    <row r="32" spans="1:8" s="15" customFormat="1" x14ac:dyDescent="0.2">
      <c r="A32" s="17"/>
      <c r="B32" s="2030"/>
      <c r="C32" s="1795" t="str">
        <f>VLOOKUP(C26,'3.11'!$K$29:$S$34,8,FALSE)</f>
        <v>1829780/</v>
      </c>
      <c r="D32" s="1786" t="str">
        <f t="shared" si="4"/>
        <v xml:space="preserve">TBX, Tip-on BM, L3,350-600, пр T60B3533 </v>
      </c>
      <c r="E32" s="1787">
        <v>1</v>
      </c>
      <c r="F32" s="1788">
        <f t="shared" si="3"/>
        <v>473.28961680000003</v>
      </c>
      <c r="G32" s="1798">
        <f t="shared" si="5"/>
        <v>473.28961680000003</v>
      </c>
      <c r="H32" s="2092"/>
    </row>
    <row r="33" spans="1:8" s="15" customFormat="1" x14ac:dyDescent="0.2">
      <c r="A33" s="17"/>
      <c r="B33" s="2030"/>
      <c r="C33" s="1795" t="str">
        <f>VLOOKUP(C26,'3.11'!$K$29:$S$34,9,FALSE)</f>
        <v>8903805/</v>
      </c>
      <c r="D33" s="1786" t="str">
        <f t="shared" si="4"/>
        <v>TBX, Tip-on BM, L3,350-600, лев T60B3533</v>
      </c>
      <c r="E33" s="1787">
        <v>1</v>
      </c>
      <c r="F33" s="1788">
        <f t="shared" si="3"/>
        <v>473.28961680000003</v>
      </c>
      <c r="G33" s="1798">
        <f t="shared" si="5"/>
        <v>473.28961680000003</v>
      </c>
      <c r="H33" s="2092"/>
    </row>
    <row r="34" spans="1:8" s="15" customFormat="1" x14ac:dyDescent="0.2">
      <c r="A34" s="17"/>
      <c r="B34" s="2030"/>
      <c r="C34" s="1790" t="s">
        <v>3930</v>
      </c>
      <c r="D34" s="1786" t="str">
        <f t="shared" si="4"/>
        <v xml:space="preserve">TBX, Tip-on BM, триггер, лев. T60B3009  </v>
      </c>
      <c r="E34" s="1787">
        <v>1</v>
      </c>
      <c r="F34" s="1788">
        <f t="shared" si="3"/>
        <v>40.660620000000002</v>
      </c>
      <c r="G34" s="1798">
        <f t="shared" si="5"/>
        <v>40.660620000000002</v>
      </c>
      <c r="H34" s="2092"/>
    </row>
    <row r="35" spans="1:8" s="15" customFormat="1" x14ac:dyDescent="0.2">
      <c r="A35" s="17"/>
      <c r="B35" s="2030"/>
      <c r="C35" s="1790" t="s">
        <v>3931</v>
      </c>
      <c r="D35" s="1786" t="str">
        <f t="shared" si="4"/>
        <v xml:space="preserve">TBX, Tip-on BM, триггер, прав. T60B3009 </v>
      </c>
      <c r="E35" s="1787">
        <v>1</v>
      </c>
      <c r="F35" s="1788">
        <f t="shared" si="3"/>
        <v>40.660620000000002</v>
      </c>
      <c r="G35" s="1798">
        <f t="shared" si="5"/>
        <v>40.660620000000002</v>
      </c>
      <c r="H35" s="2092"/>
    </row>
    <row r="36" spans="1:8" s="15" customFormat="1" x14ac:dyDescent="0.2">
      <c r="A36" s="17"/>
      <c r="B36" s="2030"/>
      <c r="C36" s="2" t="s">
        <v>299</v>
      </c>
      <c r="D36" s="43" t="str">
        <f t="shared" si="4"/>
        <v>TBX, Загл. с лого, сер, симм ZAA.330C.BL</v>
      </c>
      <c r="E36" s="3">
        <v>2</v>
      </c>
      <c r="F36" s="12">
        <f t="shared" si="3"/>
        <v>8.9453364000000004</v>
      </c>
      <c r="G36" s="14">
        <f t="shared" si="5"/>
        <v>17.890672800000001</v>
      </c>
      <c r="H36" s="2092"/>
    </row>
    <row r="37" spans="1:8" s="15" customFormat="1" x14ac:dyDescent="0.2">
      <c r="A37" s="17"/>
      <c r="B37" s="2030"/>
      <c r="C37" s="2" t="s">
        <v>706</v>
      </c>
      <c r="D37" s="43" t="str">
        <f t="shared" si="4"/>
        <v>TBX, Крепл п/пан вн, 160мм, лев,ZIF.72B0</v>
      </c>
      <c r="E37" s="3">
        <v>1</v>
      </c>
      <c r="F37" s="12">
        <f t="shared" si="3"/>
        <v>67.496629200000001</v>
      </c>
      <c r="G37" s="14">
        <f t="shared" si="5"/>
        <v>67.496629200000001</v>
      </c>
      <c r="H37" s="2092"/>
    </row>
    <row r="38" spans="1:8" s="15" customFormat="1" x14ac:dyDescent="0.2">
      <c r="A38" s="17"/>
      <c r="B38" s="2030"/>
      <c r="C38" s="2" t="s">
        <v>2187</v>
      </c>
      <c r="D38" s="43" t="str">
        <f t="shared" si="4"/>
        <v>TBX, Крепл п/пан вн, 160мм, пр. ZIF.72B0</v>
      </c>
      <c r="E38" s="3">
        <v>1</v>
      </c>
      <c r="F38" s="12">
        <f t="shared" si="3"/>
        <v>67.496629200000001</v>
      </c>
      <c r="G38" s="14">
        <f t="shared" si="5"/>
        <v>67.496629200000001</v>
      </c>
      <c r="H38" s="2092"/>
    </row>
    <row r="39" spans="1:8" s="15" customFormat="1" x14ac:dyDescent="0.2">
      <c r="A39" s="17"/>
      <c r="B39" s="2030"/>
      <c r="C39" s="2" t="s">
        <v>89</v>
      </c>
      <c r="D39" s="43" t="str">
        <f t="shared" si="4"/>
        <v>TBX, Перед. панель 1081мм сер, Z31A1081A</v>
      </c>
      <c r="E39" s="3">
        <v>1</v>
      </c>
      <c r="F39" s="12">
        <f t="shared" si="3"/>
        <v>1024.647624</v>
      </c>
      <c r="G39" s="14">
        <f t="shared" si="5"/>
        <v>1024.647624</v>
      </c>
      <c r="H39" s="2092"/>
    </row>
    <row r="40" spans="1:8" s="15" customFormat="1" x14ac:dyDescent="0.2">
      <c r="A40" s="17"/>
      <c r="B40" s="2030"/>
      <c r="C40" s="2" t="s">
        <v>1632</v>
      </c>
      <c r="D40" s="43" t="str">
        <f t="shared" si="4"/>
        <v xml:space="preserve">TBX, Держат. задн. ст, 160 мм, сер, пр. </v>
      </c>
      <c r="E40" s="3">
        <v>1</v>
      </c>
      <c r="F40" s="12">
        <f t="shared" si="3"/>
        <v>56.924868000000004</v>
      </c>
      <c r="G40" s="14">
        <f t="shared" si="5"/>
        <v>56.924868000000004</v>
      </c>
      <c r="H40" s="2092"/>
    </row>
    <row r="41" spans="1:8" s="15" customFormat="1" ht="13.5" thickBot="1" x14ac:dyDescent="0.25">
      <c r="A41" s="17"/>
      <c r="B41" s="2031"/>
      <c r="C41" s="453" t="s">
        <v>1633</v>
      </c>
      <c r="D41" s="404" t="str">
        <f t="shared" si="4"/>
        <v>TBX, Держат. задн. ст, 160 мм, сер, лев.</v>
      </c>
      <c r="E41" s="355">
        <v>1</v>
      </c>
      <c r="F41" s="356">
        <f t="shared" si="3"/>
        <v>56.924868000000004</v>
      </c>
      <c r="G41" s="409">
        <f t="shared" si="5"/>
        <v>56.924868000000004</v>
      </c>
      <c r="H41" s="2093"/>
    </row>
    <row r="42" spans="1:8" s="15" customFormat="1" x14ac:dyDescent="0.2">
      <c r="A42" s="17"/>
      <c r="B42" s="17"/>
      <c r="C42" s="17"/>
      <c r="D42" s="17"/>
      <c r="E42" s="1777"/>
      <c r="F42" s="52"/>
      <c r="G42" s="449"/>
      <c r="H42" s="35"/>
    </row>
    <row r="43" spans="1:8" ht="13.5" thickBot="1" x14ac:dyDescent="0.25"/>
    <row r="44" spans="1:8" ht="23.25" customHeight="1" x14ac:dyDescent="0.2">
      <c r="A44" s="8"/>
      <c r="B44" s="2101" t="s">
        <v>1413</v>
      </c>
      <c r="C44" s="2102"/>
      <c r="D44" s="2102"/>
      <c r="E44" s="2102"/>
      <c r="F44" s="2102"/>
      <c r="G44" s="2102"/>
      <c r="H44" s="450"/>
    </row>
    <row r="45" spans="1:8" ht="23.25" x14ac:dyDescent="0.2">
      <c r="A45" s="17"/>
      <c r="B45" s="2103"/>
      <c r="C45" s="2104"/>
      <c r="D45" s="2104"/>
      <c r="E45" s="2104"/>
      <c r="F45" s="2104"/>
      <c r="G45" s="2104"/>
      <c r="H45" s="451"/>
    </row>
    <row r="46" spans="1:8" ht="29.25" customHeight="1" x14ac:dyDescent="0.2">
      <c r="A46" s="17"/>
      <c r="B46" s="1844" t="s">
        <v>5186</v>
      </c>
      <c r="C46" s="2224" t="s">
        <v>5213</v>
      </c>
      <c r="D46" s="2224"/>
      <c r="E46" s="2224"/>
      <c r="F46" s="2224"/>
      <c r="G46" s="2224"/>
      <c r="H46" s="426"/>
    </row>
    <row r="47" spans="1:8" ht="15.75" thickBot="1" x14ac:dyDescent="0.25">
      <c r="A47" s="17"/>
      <c r="B47" s="1778" t="s">
        <v>1639</v>
      </c>
      <c r="C47" s="98">
        <v>500</v>
      </c>
      <c r="D47" s="97" t="s">
        <v>1689</v>
      </c>
      <c r="E47" s="97"/>
      <c r="F47" s="97"/>
      <c r="G47" s="97"/>
      <c r="H47" s="1776" t="s">
        <v>1850</v>
      </c>
    </row>
    <row r="48" spans="1:8" x14ac:dyDescent="0.2">
      <c r="A48" s="17"/>
      <c r="B48" s="2236"/>
      <c r="C48" s="1785" t="str">
        <f>VLOOKUP($C$47,tbxM,2,FALSE)</f>
        <v>3863588/</v>
      </c>
      <c r="D48" s="43" t="str">
        <f t="shared" ref="D48:D64" si="6">VLOOKUP(C48,всецены,2,FALSE)</f>
        <v xml:space="preserve">TBX, Царга 83/500 мм, сер, лев. NEW     </v>
      </c>
      <c r="E48" s="3">
        <v>1</v>
      </c>
      <c r="F48" s="63">
        <f t="shared" ref="F48:F56" si="7">VLOOKUP(C48,всецены,4,FALSE)</f>
        <v>417.17796120000003</v>
      </c>
      <c r="G48" s="14">
        <f>F48*E48</f>
        <v>417.17796120000003</v>
      </c>
      <c r="H48" s="2091">
        <f>SUM(G48:G64)</f>
        <v>5216.7575460000016</v>
      </c>
    </row>
    <row r="49" spans="1:8" x14ac:dyDescent="0.2">
      <c r="A49" s="17"/>
      <c r="B49" s="2030"/>
      <c r="C49" s="1785" t="str">
        <f>VLOOKUP($C$47,tbxM,3,FALSE)</f>
        <v>3852259/</v>
      </c>
      <c r="D49" s="43" t="str">
        <f>IF(C47=600,"-",VLOOKUP(C49,всецены,2,FALSE))</f>
        <v xml:space="preserve">TBX, Царга 83/500 мм, сер, пр. NEW      </v>
      </c>
      <c r="E49" s="3">
        <v>1</v>
      </c>
      <c r="F49" s="63">
        <f t="shared" si="7"/>
        <v>417.17796120000003</v>
      </c>
      <c r="G49" s="14">
        <f>IF(C47=600,0,F49*E49)</f>
        <v>417.17796120000003</v>
      </c>
      <c r="H49" s="2092"/>
    </row>
    <row r="50" spans="1:8" x14ac:dyDescent="0.2">
      <c r="A50" s="17"/>
      <c r="B50" s="2030"/>
      <c r="C50" s="1795" t="str">
        <f>VLOOKUP(C47,'3.11'!$K$29:$O$34,4,FALSE)</f>
        <v>7940374/</v>
      </c>
      <c r="D50" s="43" t="str">
        <f t="shared" si="6"/>
        <v>TBX, Tip-on BM, Напр, 30 кг, 500 мм, лев</v>
      </c>
      <c r="E50" s="3">
        <v>1</v>
      </c>
      <c r="F50" s="63">
        <f t="shared" si="7"/>
        <v>600.15075120000006</v>
      </c>
      <c r="G50" s="14">
        <f>F50*E50</f>
        <v>600.15075120000006</v>
      </c>
      <c r="H50" s="2092"/>
    </row>
    <row r="51" spans="1:8" x14ac:dyDescent="0.2">
      <c r="A51" s="17"/>
      <c r="B51" s="2030"/>
      <c r="C51" s="1795" t="str">
        <f>VLOOKUP(C47,'3.11'!$K$29:$O$34,5,FALSE)</f>
        <v>7936668/</v>
      </c>
      <c r="D51" s="43" t="str">
        <f>IF(C47=600,"-",VLOOKUP(C51,всецены,2,FALSE))</f>
        <v xml:space="preserve">TBX, Tip-on BM, Напр, 30 кг, 500 мм, пр </v>
      </c>
      <c r="E51" s="3">
        <v>1</v>
      </c>
      <c r="F51" s="63">
        <f t="shared" si="7"/>
        <v>600.15075120000006</v>
      </c>
      <c r="G51" s="14">
        <f>IF(C47=600,0,F51*E51)</f>
        <v>600.15075120000006</v>
      </c>
      <c r="H51" s="2092"/>
    </row>
    <row r="52" spans="1:8" x14ac:dyDescent="0.2">
      <c r="A52" s="17"/>
      <c r="B52" s="2030"/>
      <c r="C52" s="2" t="str">
        <f>VLOOKUP($C$26,tbxM,6,FALSE)</f>
        <v>1862960/</v>
      </c>
      <c r="D52" s="43" t="str">
        <f t="shared" si="6"/>
        <v xml:space="preserve">TBX, Релинг продольн, 500 мм, сер.      </v>
      </c>
      <c r="E52" s="3">
        <v>4</v>
      </c>
      <c r="F52" s="63">
        <f t="shared" si="7"/>
        <v>103.27797480000001</v>
      </c>
      <c r="G52" s="14">
        <f>F52*E52</f>
        <v>413.11189920000004</v>
      </c>
      <c r="H52" s="2092"/>
    </row>
    <row r="53" spans="1:8" s="1773" customFormat="1" x14ac:dyDescent="0.2">
      <c r="A53" s="17"/>
      <c r="B53" s="2030"/>
      <c r="C53" s="1795" t="str">
        <f>VLOOKUP(C47,'3.11'!$K$29:$S$34,8,FALSE)</f>
        <v>1829780/</v>
      </c>
      <c r="D53" s="1786" t="str">
        <f>VLOOKUP(C53,всецены,2,FALSE)</f>
        <v xml:space="preserve">TBX, Tip-on BM, L3,350-600, пр T60B3533 </v>
      </c>
      <c r="E53" s="1787">
        <v>1</v>
      </c>
      <c r="F53" s="1788">
        <f t="shared" si="7"/>
        <v>473.28961680000003</v>
      </c>
      <c r="G53" s="1798">
        <f>F53*E53</f>
        <v>473.28961680000003</v>
      </c>
      <c r="H53" s="2092"/>
    </row>
    <row r="54" spans="1:8" s="1773" customFormat="1" x14ac:dyDescent="0.2">
      <c r="A54" s="17"/>
      <c r="B54" s="2030"/>
      <c r="C54" s="1795" t="str">
        <f>VLOOKUP(C47,'3.11'!$K$29:$S$34,9,FALSE)</f>
        <v>8903805/</v>
      </c>
      <c r="D54" s="1786" t="str">
        <f>VLOOKUP(C54,всецены,2,FALSE)</f>
        <v>TBX, Tip-on BM, L3,350-600, лев T60B3533</v>
      </c>
      <c r="E54" s="1787">
        <v>1</v>
      </c>
      <c r="F54" s="1788">
        <f t="shared" si="7"/>
        <v>473.28961680000003</v>
      </c>
      <c r="G54" s="1798">
        <f>F54*E54</f>
        <v>473.28961680000003</v>
      </c>
      <c r="H54" s="2092"/>
    </row>
    <row r="55" spans="1:8" s="1773" customFormat="1" x14ac:dyDescent="0.2">
      <c r="A55" s="17"/>
      <c r="B55" s="2030"/>
      <c r="C55" s="1790" t="s">
        <v>3930</v>
      </c>
      <c r="D55" s="1786" t="str">
        <f>VLOOKUP(C55,всецены,2,FALSE)</f>
        <v xml:space="preserve">TBX, Tip-on BM, триггер, лев. T60B3009  </v>
      </c>
      <c r="E55" s="1787">
        <v>1</v>
      </c>
      <c r="F55" s="1788">
        <f t="shared" si="7"/>
        <v>40.660620000000002</v>
      </c>
      <c r="G55" s="1798">
        <f>F55*E55</f>
        <v>40.660620000000002</v>
      </c>
      <c r="H55" s="2092"/>
    </row>
    <row r="56" spans="1:8" s="1773" customFormat="1" x14ac:dyDescent="0.2">
      <c r="A56" s="17"/>
      <c r="B56" s="2030"/>
      <c r="C56" s="1790" t="s">
        <v>3931</v>
      </c>
      <c r="D56" s="1786" t="str">
        <f>VLOOKUP(C56,всецены,2,FALSE)</f>
        <v xml:space="preserve">TBX, Tip-on BM, триггер, прав. T60B3009 </v>
      </c>
      <c r="E56" s="1787">
        <v>1</v>
      </c>
      <c r="F56" s="1788">
        <f t="shared" si="7"/>
        <v>40.660620000000002</v>
      </c>
      <c r="G56" s="1798">
        <f>F56*E56</f>
        <v>40.660620000000002</v>
      </c>
      <c r="H56" s="2092"/>
    </row>
    <row r="57" spans="1:8" x14ac:dyDescent="0.2">
      <c r="A57" s="17"/>
      <c r="B57" s="2030"/>
      <c r="C57" s="2" t="s">
        <v>299</v>
      </c>
      <c r="D57" s="43" t="str">
        <f t="shared" si="6"/>
        <v>TBX, Загл. с лого, сер, симм ZAA.330C.BL</v>
      </c>
      <c r="E57" s="3">
        <v>2</v>
      </c>
      <c r="F57" s="63">
        <f t="shared" ref="F57:F64" si="8">VLOOKUP(C57,всецены,4,FALSE)</f>
        <v>8.9453364000000004</v>
      </c>
      <c r="G57" s="14">
        <f t="shared" ref="G57:G64" si="9">F57*E57</f>
        <v>17.890672800000001</v>
      </c>
      <c r="H57" s="2092"/>
    </row>
    <row r="58" spans="1:8" x14ac:dyDescent="0.2">
      <c r="A58" s="17"/>
      <c r="B58" s="2030"/>
      <c r="C58" s="2" t="s">
        <v>2189</v>
      </c>
      <c r="D58" s="43" t="str">
        <f t="shared" si="6"/>
        <v>TBX, Крепл п/пан вн, 224мм, лев,ZIF.73D0</v>
      </c>
      <c r="E58" s="3">
        <v>1</v>
      </c>
      <c r="F58" s="63">
        <f t="shared" si="8"/>
        <v>85.387302000000005</v>
      </c>
      <c r="G58" s="14">
        <f t="shared" si="9"/>
        <v>85.387302000000005</v>
      </c>
      <c r="H58" s="2092"/>
    </row>
    <row r="59" spans="1:8" x14ac:dyDescent="0.2">
      <c r="A59" s="17"/>
      <c r="B59" s="2030"/>
      <c r="C59" s="2" t="s">
        <v>1623</v>
      </c>
      <c r="D59" s="43" t="str">
        <f t="shared" si="6"/>
        <v>TBX, Крепл п/пан вн, 224мм, пр. ZIF.73D0</v>
      </c>
      <c r="E59" s="3">
        <v>1</v>
      </c>
      <c r="F59" s="63">
        <f t="shared" si="8"/>
        <v>85.387302000000005</v>
      </c>
      <c r="G59" s="14">
        <f t="shared" si="9"/>
        <v>85.387302000000005</v>
      </c>
      <c r="H59" s="2092"/>
    </row>
    <row r="60" spans="1:8" x14ac:dyDescent="0.2">
      <c r="A60" s="17"/>
      <c r="B60" s="2030"/>
      <c r="C60" s="2" t="s">
        <v>89</v>
      </c>
      <c r="D60" s="43" t="str">
        <f t="shared" si="6"/>
        <v>TBX, Перед. панель 1081мм сер, Z31A1081A</v>
      </c>
      <c r="E60" s="3">
        <v>1</v>
      </c>
      <c r="F60" s="63">
        <f t="shared" si="8"/>
        <v>1024.647624</v>
      </c>
      <c r="G60" s="14">
        <f t="shared" si="9"/>
        <v>1024.647624</v>
      </c>
      <c r="H60" s="2092"/>
    </row>
    <row r="61" spans="1:8" x14ac:dyDescent="0.2">
      <c r="A61" s="17"/>
      <c r="B61" s="2030"/>
      <c r="C61" s="2" t="s">
        <v>1624</v>
      </c>
      <c r="D61" s="43" t="str">
        <f t="shared" si="6"/>
        <v xml:space="preserve">TBX, Ручка д/внутр ящ п/релинг ZIF.7008 </v>
      </c>
      <c r="E61" s="3">
        <v>1</v>
      </c>
      <c r="F61" s="63">
        <f t="shared" si="8"/>
        <v>157.76320559999999</v>
      </c>
      <c r="G61" s="14">
        <f t="shared" si="9"/>
        <v>157.76320559999999</v>
      </c>
      <c r="H61" s="2092"/>
    </row>
    <row r="62" spans="1:8" x14ac:dyDescent="0.2">
      <c r="A62" s="17"/>
      <c r="B62" s="2030"/>
      <c r="C62" s="2" t="s">
        <v>1625</v>
      </c>
      <c r="D62" s="43" t="str">
        <f t="shared" si="6"/>
        <v xml:space="preserve">ORG, Релинг поперечн, 1104 мм, сер.     </v>
      </c>
      <c r="E62" s="3">
        <v>1</v>
      </c>
      <c r="F62" s="63">
        <f t="shared" si="8"/>
        <v>230.13910920000001</v>
      </c>
      <c r="G62" s="14">
        <f t="shared" si="9"/>
        <v>230.13910920000001</v>
      </c>
      <c r="H62" s="2092"/>
    </row>
    <row r="63" spans="1:8" x14ac:dyDescent="0.2">
      <c r="A63" s="17"/>
      <c r="B63" s="2030"/>
      <c r="C63" s="2" t="s">
        <v>1634</v>
      </c>
      <c r="D63" s="43" t="str">
        <f t="shared" si="6"/>
        <v xml:space="preserve">TBX, Держ. задн. ст, D 224 мм, сер, пр. </v>
      </c>
      <c r="E63" s="3">
        <v>1</v>
      </c>
      <c r="F63" s="63">
        <f t="shared" si="8"/>
        <v>69.936266400000008</v>
      </c>
      <c r="G63" s="14">
        <f t="shared" si="9"/>
        <v>69.936266400000008</v>
      </c>
      <c r="H63" s="2092"/>
    </row>
    <row r="64" spans="1:8" x14ac:dyDescent="0.2">
      <c r="A64" s="17"/>
      <c r="B64" s="2037"/>
      <c r="C64" s="2" t="s">
        <v>1636</v>
      </c>
      <c r="D64" s="43" t="str">
        <f t="shared" si="6"/>
        <v>TBX, Держ. задн. ст, D 224 мм, сер, лев.</v>
      </c>
      <c r="E64" s="3">
        <v>1</v>
      </c>
      <c r="F64" s="63">
        <f t="shared" si="8"/>
        <v>69.936266400000008</v>
      </c>
      <c r="G64" s="14">
        <f t="shared" si="9"/>
        <v>69.936266400000008</v>
      </c>
      <c r="H64" s="2100"/>
    </row>
    <row r="65" spans="1:8" x14ac:dyDescent="0.2">
      <c r="A65" s="17"/>
      <c r="B65" s="433"/>
      <c r="C65" s="28"/>
      <c r="D65" s="28"/>
      <c r="E65" s="1775"/>
      <c r="F65" s="38"/>
      <c r="G65" s="89"/>
      <c r="H65" s="437"/>
    </row>
    <row r="66" spans="1:8" ht="12.75" customHeight="1" x14ac:dyDescent="0.2">
      <c r="A66" s="17"/>
      <c r="B66" s="2018" t="s">
        <v>2120</v>
      </c>
      <c r="C66" s="2019"/>
      <c r="D66" s="2019"/>
      <c r="E66" s="2019"/>
      <c r="F66" s="2019"/>
      <c r="G66" s="2019"/>
      <c r="H66" s="426"/>
    </row>
    <row r="67" spans="1:8" ht="12.75" customHeight="1" x14ac:dyDescent="0.2">
      <c r="A67" s="17"/>
      <c r="B67" s="2018"/>
      <c r="C67" s="2019"/>
      <c r="D67" s="2019"/>
      <c r="E67" s="2019"/>
      <c r="F67" s="2019"/>
      <c r="G67" s="2019"/>
      <c r="H67" s="426"/>
    </row>
    <row r="68" spans="1:8" ht="12.75" customHeight="1" x14ac:dyDescent="0.2">
      <c r="A68" s="17"/>
      <c r="B68" s="2018"/>
      <c r="C68" s="2019"/>
      <c r="D68" s="2019"/>
      <c r="E68" s="2019"/>
      <c r="F68" s="2019"/>
      <c r="G68" s="2019"/>
      <c r="H68" s="426"/>
    </row>
    <row r="69" spans="1:8" x14ac:dyDescent="0.2">
      <c r="A69" s="17"/>
      <c r="B69" s="425" t="s">
        <v>5188</v>
      </c>
      <c r="C69" s="2080" t="s">
        <v>5214</v>
      </c>
      <c r="D69" s="2080"/>
      <c r="E69" s="2080"/>
      <c r="F69" s="2080"/>
      <c r="G69" s="2080"/>
      <c r="H69" s="426"/>
    </row>
    <row r="70" spans="1:8" ht="15.75" thickBot="1" x14ac:dyDescent="0.25">
      <c r="A70" s="17"/>
      <c r="B70" s="1778" t="s">
        <v>1639</v>
      </c>
      <c r="C70" s="98">
        <v>500</v>
      </c>
      <c r="D70" s="97" t="s">
        <v>1689</v>
      </c>
      <c r="E70" s="97"/>
      <c r="F70" s="97"/>
      <c r="G70" s="97"/>
      <c r="H70" s="1776" t="s">
        <v>1850</v>
      </c>
    </row>
    <row r="71" spans="1:8" x14ac:dyDescent="0.2">
      <c r="A71" s="17"/>
      <c r="B71" s="2237"/>
      <c r="C71" s="1785" t="str">
        <f>VLOOKUP($C$70,tbxM,2,FALSE)</f>
        <v>3863588/</v>
      </c>
      <c r="D71" s="43" t="str">
        <f t="shared" ref="D71:D88" si="10">VLOOKUP(C71,всецены,2,FALSE)</f>
        <v xml:space="preserve">TBX, Царга 83/500 мм, сер, лев. NEW     </v>
      </c>
      <c r="E71" s="3">
        <v>1</v>
      </c>
      <c r="F71" s="63">
        <f t="shared" ref="F71:F88" si="11">VLOOKUP(C71,всецены,4,FALSE)</f>
        <v>417.17796120000003</v>
      </c>
      <c r="G71" s="64">
        <f>F71*E71</f>
        <v>417.17796120000003</v>
      </c>
      <c r="H71" s="2091">
        <f>SUM(G71:G88)</f>
        <v>6177.9746028000009</v>
      </c>
    </row>
    <row r="72" spans="1:8" x14ac:dyDescent="0.2">
      <c r="A72" s="17"/>
      <c r="B72" s="2024"/>
      <c r="C72" s="1785" t="str">
        <f>VLOOKUP($C$70,tbxM,3,FALSE)</f>
        <v>3852259/</v>
      </c>
      <c r="D72" s="43" t="str">
        <f>IF(C70=600,"-",VLOOKUP(C72,всецены,2,FALSE))</f>
        <v xml:space="preserve">TBX, Царга 83/500 мм, сер, пр. NEW      </v>
      </c>
      <c r="E72" s="3">
        <v>1</v>
      </c>
      <c r="F72" s="63">
        <f t="shared" si="11"/>
        <v>417.17796120000003</v>
      </c>
      <c r="G72" s="64">
        <f t="shared" ref="G72:G88" si="12">F72*E72</f>
        <v>417.17796120000003</v>
      </c>
      <c r="H72" s="2092"/>
    </row>
    <row r="73" spans="1:8" x14ac:dyDescent="0.2">
      <c r="A73" s="17"/>
      <c r="B73" s="2024"/>
      <c r="C73" s="1795" t="str">
        <f>VLOOKUP(C70,'3.11'!$K$29:$O$34,4,FALSE)</f>
        <v>7940374/</v>
      </c>
      <c r="D73" s="43" t="str">
        <f t="shared" si="10"/>
        <v>TBX, Tip-on BM, Напр, 30 кг, 500 мм, лев</v>
      </c>
      <c r="E73" s="3">
        <v>1</v>
      </c>
      <c r="F73" s="63">
        <f t="shared" si="11"/>
        <v>600.15075120000006</v>
      </c>
      <c r="G73" s="64">
        <f t="shared" si="12"/>
        <v>600.15075120000006</v>
      </c>
      <c r="H73" s="2092"/>
    </row>
    <row r="74" spans="1:8" x14ac:dyDescent="0.2">
      <c r="A74" s="17"/>
      <c r="B74" s="2024"/>
      <c r="C74" s="1795" t="str">
        <f>VLOOKUP(C70,'3.11'!$K$29:$O$34,5,FALSE)</f>
        <v>7936668/</v>
      </c>
      <c r="D74" s="43" t="str">
        <f>IF(C70=600,"-",VLOOKUP(C74,всецены,2,FALSE))</f>
        <v xml:space="preserve">TBX, Tip-on BM, Напр, 30 кг, 500 мм, пр </v>
      </c>
      <c r="E74" s="3">
        <v>1</v>
      </c>
      <c r="F74" s="63">
        <f t="shared" si="11"/>
        <v>600.15075120000006</v>
      </c>
      <c r="G74" s="64">
        <f t="shared" si="12"/>
        <v>600.15075120000006</v>
      </c>
      <c r="H74" s="2092"/>
    </row>
    <row r="75" spans="1:8" x14ac:dyDescent="0.2">
      <c r="A75" s="17"/>
      <c r="B75" s="2024"/>
      <c r="C75" s="2" t="str">
        <f>VLOOKUP($C$70,tbxM,6,FALSE)</f>
        <v>1862960/</v>
      </c>
      <c r="D75" s="43" t="str">
        <f t="shared" si="10"/>
        <v xml:space="preserve">TBX, Релинг продольн, 500 мм, сер.      </v>
      </c>
      <c r="E75" s="3">
        <v>2</v>
      </c>
      <c r="F75" s="63">
        <f t="shared" si="11"/>
        <v>103.27797480000001</v>
      </c>
      <c r="G75" s="64">
        <f t="shared" si="12"/>
        <v>206.55594960000002</v>
      </c>
      <c r="H75" s="2092"/>
    </row>
    <row r="76" spans="1:8" x14ac:dyDescent="0.2">
      <c r="A76" s="17"/>
      <c r="B76" s="2024"/>
      <c r="C76" s="2" t="str">
        <f>VLOOKUP($C$70,tbxM,7,FALSE)</f>
        <v>4170770/</v>
      </c>
      <c r="D76" s="43" t="str">
        <f t="shared" si="10"/>
        <v xml:space="preserve">TBX, Двухст. Boxside, 500 мм, сер, кмп. </v>
      </c>
      <c r="E76" s="3">
        <v>1</v>
      </c>
      <c r="F76" s="63">
        <f t="shared" si="11"/>
        <v>1167.7730064</v>
      </c>
      <c r="G76" s="64">
        <f t="shared" si="12"/>
        <v>1167.7730064</v>
      </c>
      <c r="H76" s="2092"/>
    </row>
    <row r="77" spans="1:8" s="1773" customFormat="1" x14ac:dyDescent="0.2">
      <c r="A77" s="17"/>
      <c r="B77" s="2024"/>
      <c r="C77" s="1795" t="str">
        <f>VLOOKUP(C70,'3.11'!$K$29:$S$34,8,FALSE)</f>
        <v>1829780/</v>
      </c>
      <c r="D77" s="1786" t="str">
        <f>VLOOKUP(C77,всецены,2,FALSE)</f>
        <v xml:space="preserve">TBX, Tip-on BM, L3,350-600, пр T60B3533 </v>
      </c>
      <c r="E77" s="1787">
        <v>1</v>
      </c>
      <c r="F77" s="1788">
        <f>VLOOKUP(C77,всецены,4,FALSE)</f>
        <v>473.28961680000003</v>
      </c>
      <c r="G77" s="1798">
        <f>F77*E77</f>
        <v>473.28961680000003</v>
      </c>
      <c r="H77" s="2092"/>
    </row>
    <row r="78" spans="1:8" s="1773" customFormat="1" x14ac:dyDescent="0.2">
      <c r="A78" s="17"/>
      <c r="B78" s="2024"/>
      <c r="C78" s="1795" t="str">
        <f>VLOOKUP(C70,'3.11'!$K$29:$S$34,9,FALSE)</f>
        <v>8903805/</v>
      </c>
      <c r="D78" s="1786" t="str">
        <f>VLOOKUP(C78,всецены,2,FALSE)</f>
        <v>TBX, Tip-on BM, L3,350-600, лев T60B3533</v>
      </c>
      <c r="E78" s="1787">
        <v>1</v>
      </c>
      <c r="F78" s="1788">
        <f>VLOOKUP(C78,всецены,4,FALSE)</f>
        <v>473.28961680000003</v>
      </c>
      <c r="G78" s="1798">
        <f>F78*E78</f>
        <v>473.28961680000003</v>
      </c>
      <c r="H78" s="2092"/>
    </row>
    <row r="79" spans="1:8" s="1773" customFormat="1" x14ac:dyDescent="0.2">
      <c r="A79" s="17"/>
      <c r="B79" s="2024"/>
      <c r="C79" s="1790" t="s">
        <v>3930</v>
      </c>
      <c r="D79" s="1786" t="str">
        <f>VLOOKUP(C79,всецены,2,FALSE)</f>
        <v xml:space="preserve">TBX, Tip-on BM, триггер, лев. T60B3009  </v>
      </c>
      <c r="E79" s="1787">
        <v>1</v>
      </c>
      <c r="F79" s="1788">
        <f>VLOOKUP(C79,всецены,4,FALSE)</f>
        <v>40.660620000000002</v>
      </c>
      <c r="G79" s="1798">
        <f>F79*E79</f>
        <v>40.660620000000002</v>
      </c>
      <c r="H79" s="2092"/>
    </row>
    <row r="80" spans="1:8" s="1773" customFormat="1" x14ac:dyDescent="0.2">
      <c r="A80" s="17"/>
      <c r="B80" s="2024"/>
      <c r="C80" s="1790" t="s">
        <v>3931</v>
      </c>
      <c r="D80" s="1786" t="str">
        <f>VLOOKUP(C80,всецены,2,FALSE)</f>
        <v xml:space="preserve">TBX, Tip-on BM, триггер, прав. T60B3009 </v>
      </c>
      <c r="E80" s="1787">
        <v>1</v>
      </c>
      <c r="F80" s="1788">
        <f>VLOOKUP(C80,всецены,4,FALSE)</f>
        <v>40.660620000000002</v>
      </c>
      <c r="G80" s="1798">
        <f>F80*E80</f>
        <v>40.660620000000002</v>
      </c>
      <c r="H80" s="2092"/>
    </row>
    <row r="81" spans="1:8" x14ac:dyDescent="0.2">
      <c r="A81" s="17"/>
      <c r="B81" s="2024"/>
      <c r="C81" s="2" t="s">
        <v>299</v>
      </c>
      <c r="D81" s="43" t="str">
        <f t="shared" si="10"/>
        <v>TBX, Загл. с лого, сер, симм ZAA.330C.BL</v>
      </c>
      <c r="E81" s="3">
        <v>2</v>
      </c>
      <c r="F81" s="63">
        <f t="shared" si="11"/>
        <v>8.9453364000000004</v>
      </c>
      <c r="G81" s="64">
        <f t="shared" si="12"/>
        <v>17.890672800000001</v>
      </c>
      <c r="H81" s="2092"/>
    </row>
    <row r="82" spans="1:8" x14ac:dyDescent="0.2">
      <c r="A82" s="17"/>
      <c r="B82" s="2024"/>
      <c r="C82" s="2" t="s">
        <v>2189</v>
      </c>
      <c r="D82" s="43" t="str">
        <f t="shared" si="10"/>
        <v>TBX, Крепл п/пан вн, 224мм, лев,ZIF.73D0</v>
      </c>
      <c r="E82" s="3">
        <v>1</v>
      </c>
      <c r="F82" s="63">
        <f t="shared" si="11"/>
        <v>85.387302000000005</v>
      </c>
      <c r="G82" s="64">
        <f t="shared" si="12"/>
        <v>85.387302000000005</v>
      </c>
      <c r="H82" s="2092"/>
    </row>
    <row r="83" spans="1:8" x14ac:dyDescent="0.2">
      <c r="A83" s="17"/>
      <c r="B83" s="2024"/>
      <c r="C83" s="2" t="s">
        <v>1623</v>
      </c>
      <c r="D83" s="43" t="str">
        <f t="shared" si="10"/>
        <v>TBX, Крепл п/пан вн, 224мм, пр. ZIF.73D0</v>
      </c>
      <c r="E83" s="3">
        <v>1</v>
      </c>
      <c r="F83" s="63">
        <f t="shared" si="11"/>
        <v>85.387302000000005</v>
      </c>
      <c r="G83" s="64">
        <f t="shared" si="12"/>
        <v>85.387302000000005</v>
      </c>
      <c r="H83" s="2092"/>
    </row>
    <row r="84" spans="1:8" x14ac:dyDescent="0.2">
      <c r="A84" s="17"/>
      <c r="B84" s="2024"/>
      <c r="C84" s="2" t="s">
        <v>89</v>
      </c>
      <c r="D84" s="43" t="str">
        <f t="shared" si="10"/>
        <v>TBX, Перед. панель 1081мм сер, Z31A1081A</v>
      </c>
      <c r="E84" s="3">
        <v>1</v>
      </c>
      <c r="F84" s="63">
        <f t="shared" si="11"/>
        <v>1024.647624</v>
      </c>
      <c r="G84" s="64">
        <f t="shared" si="12"/>
        <v>1024.647624</v>
      </c>
      <c r="H84" s="2092"/>
    </row>
    <row r="85" spans="1:8" x14ac:dyDescent="0.2">
      <c r="A85" s="17"/>
      <c r="B85" s="2024"/>
      <c r="C85" s="2" t="s">
        <v>1624</v>
      </c>
      <c r="D85" s="43" t="str">
        <f t="shared" si="10"/>
        <v xml:space="preserve">TBX, Ручка д/внутр ящ п/релинг ZIF.7008 </v>
      </c>
      <c r="E85" s="3">
        <v>1</v>
      </c>
      <c r="F85" s="63">
        <f t="shared" si="11"/>
        <v>157.76320559999999</v>
      </c>
      <c r="G85" s="64">
        <f t="shared" si="12"/>
        <v>157.76320559999999</v>
      </c>
      <c r="H85" s="2092"/>
    </row>
    <row r="86" spans="1:8" x14ac:dyDescent="0.2">
      <c r="A86" s="17"/>
      <c r="B86" s="2024"/>
      <c r="C86" s="2" t="s">
        <v>1625</v>
      </c>
      <c r="D86" s="43" t="str">
        <f t="shared" si="10"/>
        <v xml:space="preserve">ORG, Релинг поперечн, 1104 мм, сер.     </v>
      </c>
      <c r="E86" s="3">
        <v>1</v>
      </c>
      <c r="F86" s="63">
        <f t="shared" si="11"/>
        <v>230.13910920000001</v>
      </c>
      <c r="G86" s="64">
        <f t="shared" si="12"/>
        <v>230.13910920000001</v>
      </c>
      <c r="H86" s="2092"/>
    </row>
    <row r="87" spans="1:8" x14ac:dyDescent="0.2">
      <c r="A87" s="17"/>
      <c r="B87" s="2024"/>
      <c r="C87" s="2" t="s">
        <v>1634</v>
      </c>
      <c r="D87" s="43" t="str">
        <f t="shared" si="10"/>
        <v xml:space="preserve">TBX, Держ. задн. ст, D 224 мм, сер, пр. </v>
      </c>
      <c r="E87" s="3">
        <v>1</v>
      </c>
      <c r="F87" s="63">
        <f t="shared" si="11"/>
        <v>69.936266400000008</v>
      </c>
      <c r="G87" s="64">
        <f t="shared" si="12"/>
        <v>69.936266400000008</v>
      </c>
      <c r="H87" s="2092"/>
    </row>
    <row r="88" spans="1:8" ht="13.5" thickBot="1" x14ac:dyDescent="0.25">
      <c r="A88" s="17"/>
      <c r="B88" s="2025"/>
      <c r="C88" s="355" t="s">
        <v>1636</v>
      </c>
      <c r="D88" s="404" t="str">
        <f t="shared" si="10"/>
        <v>TBX, Держ. задн. ст, D 224 мм, сер, лев.</v>
      </c>
      <c r="E88" s="355">
        <v>1</v>
      </c>
      <c r="F88" s="435">
        <f t="shared" si="11"/>
        <v>69.936266400000008</v>
      </c>
      <c r="G88" s="436">
        <f t="shared" si="12"/>
        <v>69.936266400000008</v>
      </c>
      <c r="H88" s="2093"/>
    </row>
    <row r="89" spans="1:8" x14ac:dyDescent="0.2">
      <c r="A89" s="17"/>
      <c r="B89" s="75"/>
      <c r="C89" s="17"/>
      <c r="D89" s="17"/>
      <c r="E89" s="1777"/>
      <c r="F89" s="52"/>
      <c r="G89" s="449"/>
      <c r="H89" s="35"/>
    </row>
    <row r="90" spans="1:8" ht="13.5" thickBot="1" x14ac:dyDescent="0.25"/>
    <row r="91" spans="1:8" s="1773" customFormat="1" ht="20.25" x14ac:dyDescent="0.2">
      <c r="A91" s="8"/>
      <c r="B91" s="2015" t="s">
        <v>5193</v>
      </c>
      <c r="C91" s="2016"/>
      <c r="D91" s="2016"/>
      <c r="E91" s="2016"/>
      <c r="F91" s="2016"/>
      <c r="G91" s="2016"/>
      <c r="H91" s="372"/>
    </row>
    <row r="92" spans="1:8" s="1773" customFormat="1" ht="20.25" x14ac:dyDescent="0.2">
      <c r="A92" s="17"/>
      <c r="B92" s="2018"/>
      <c r="C92" s="2019"/>
      <c r="D92" s="2019"/>
      <c r="E92" s="2019"/>
      <c r="F92" s="2019"/>
      <c r="G92" s="2019"/>
      <c r="H92" s="374"/>
    </row>
    <row r="93" spans="1:8" s="1773" customFormat="1" ht="26.25" customHeight="1" x14ac:dyDescent="0.2">
      <c r="A93" s="17"/>
      <c r="B93" s="2229" t="s">
        <v>5194</v>
      </c>
      <c r="C93" s="2230"/>
      <c r="D93" s="2230"/>
      <c r="E93" s="2230"/>
      <c r="F93" s="2230"/>
      <c r="G93" s="2230"/>
      <c r="H93" s="426"/>
    </row>
    <row r="94" spans="1:8" s="1773" customFormat="1" ht="15" x14ac:dyDescent="0.2">
      <c r="A94" s="17"/>
      <c r="B94" s="1778"/>
      <c r="C94" s="441"/>
      <c r="D94" s="95"/>
      <c r="E94" s="1772"/>
      <c r="F94" s="73"/>
      <c r="G94" s="95"/>
      <c r="H94" s="1776" t="str">
        <f>IF(СОДЕРЖАНИЕ!K38=1,"EUR","RUB")</f>
        <v>RUB</v>
      </c>
    </row>
    <row r="95" spans="1:8" s="1773" customFormat="1" x14ac:dyDescent="0.2">
      <c r="A95" s="17"/>
      <c r="B95" s="2225"/>
      <c r="C95" s="135" t="s">
        <v>1301</v>
      </c>
      <c r="D95" s="139" t="s">
        <v>784</v>
      </c>
      <c r="E95" s="140" t="s">
        <v>2117</v>
      </c>
      <c r="F95" s="139"/>
      <c r="G95" s="141" t="s">
        <v>2116</v>
      </c>
      <c r="H95" s="411"/>
    </row>
    <row r="96" spans="1:8" s="1773" customFormat="1" x14ac:dyDescent="0.2">
      <c r="A96" s="17"/>
      <c r="B96" s="2073"/>
      <c r="C96" s="1815" t="s">
        <v>3546</v>
      </c>
      <c r="D96" s="43" t="str">
        <f>VLOOKUP(C96,всецены,2,FALSE)</f>
        <v xml:space="preserve">LBX, Вал синхрониз. Tip-on BM T60L1118W </v>
      </c>
      <c r="E96" s="3">
        <v>1</v>
      </c>
      <c r="F96" s="12">
        <f>VLOOKUP(C96,всецены,4,FALSE)</f>
        <v>289.50361440000006</v>
      </c>
      <c r="G96" s="442">
        <f>F96*E96</f>
        <v>289.50361440000006</v>
      </c>
      <c r="H96" s="387">
        <f>G96</f>
        <v>289.50361440000006</v>
      </c>
    </row>
    <row r="97" spans="1:8" s="1773" customFormat="1" ht="13.5" thickBot="1" x14ac:dyDescent="0.25">
      <c r="A97" s="17"/>
      <c r="B97" s="2074"/>
      <c r="C97" s="1050" t="s">
        <v>3543</v>
      </c>
      <c r="D97" s="404" t="str">
        <f>VLOOKUP(C97,всецены,2,FALSE)</f>
        <v xml:space="preserve">LBX, Шестерня синхр. Tip-on BM T60.000D </v>
      </c>
      <c r="E97" s="355">
        <v>2</v>
      </c>
      <c r="F97" s="356">
        <f>VLOOKUP(C97,всецены,4,FALSE)</f>
        <v>16.264248000000002</v>
      </c>
      <c r="G97" s="443">
        <f>F97*E97</f>
        <v>32.528496000000004</v>
      </c>
      <c r="H97" s="390">
        <f>G97</f>
        <v>32.528496000000004</v>
      </c>
    </row>
    <row r="98" spans="1:8" s="1773" customFormat="1" x14ac:dyDescent="0.2">
      <c r="A98" s="17"/>
      <c r="B98" s="17"/>
      <c r="C98" s="17"/>
      <c r="D98" s="17"/>
      <c r="E98" s="1777"/>
      <c r="F98" s="17"/>
      <c r="G98" s="17"/>
      <c r="H98" s="35"/>
    </row>
  </sheetData>
  <protectedRanges>
    <protectedRange sqref="C7 C26 C47" name="Диапазон1_4"/>
    <protectedRange sqref="C70" name="Диапазон1_7"/>
  </protectedRanges>
  <mergeCells count="18">
    <mergeCell ref="B4:G5"/>
    <mergeCell ref="C6:G6"/>
    <mergeCell ref="B8:B21"/>
    <mergeCell ref="H8:H21"/>
    <mergeCell ref="B91:G92"/>
    <mergeCell ref="H71:H88"/>
    <mergeCell ref="B24:G24"/>
    <mergeCell ref="B27:B41"/>
    <mergeCell ref="H27:H41"/>
    <mergeCell ref="H48:H64"/>
    <mergeCell ref="B93:G93"/>
    <mergeCell ref="B95:B97"/>
    <mergeCell ref="B44:G45"/>
    <mergeCell ref="C46:G46"/>
    <mergeCell ref="B48:B64"/>
    <mergeCell ref="B66:G68"/>
    <mergeCell ref="C69:G69"/>
    <mergeCell ref="B71:B88"/>
  </mergeCells>
  <dataValidations count="3">
    <dataValidation type="list" errorStyle="warning" allowBlank="1" showInputMessage="1" showErrorMessage="1" errorTitle="ОШИБКА!" error="Такой глубины ящика нет. Внимательно читаем каталог или ориентируемся на всплывающие подсказки!" sqref="C70" xr:uid="{00000000-0002-0000-1300-000000000000}">
      <formula1>$K$6:$K$8</formula1>
    </dataValidation>
    <dataValidation type="list" allowBlank="1" showInputMessage="1" showErrorMessage="1" sqref="C94" xr:uid="{00000000-0002-0000-1300-000001000000}">
      <formula1>$K$12:$K$13</formula1>
    </dataValidation>
    <dataValidation type="list" errorStyle="warning" allowBlank="1" showInputMessage="1" showErrorMessage="1" errorTitle="ОШИБКА!" error="Такой глубины ящика нет. Внимательно читаем каталог или ориентируемся на всплывающие подсказки!" sqref="C7 C26 C47" xr:uid="{00000000-0002-0000-1300-000002000000}">
      <formula1>$K$3:$K$8</formula1>
    </dataValidation>
  </dataValidations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Лист15"/>
  <dimension ref="A1:AR355"/>
  <sheetViews>
    <sheetView topLeftCell="A13" workbookViewId="0">
      <selection activeCell="F46" sqref="F46"/>
    </sheetView>
  </sheetViews>
  <sheetFormatPr defaultRowHeight="12.75" x14ac:dyDescent="0.2"/>
  <cols>
    <col min="1" max="1" width="3.7109375" style="8" customWidth="1"/>
    <col min="2" max="2" width="25.7109375" customWidth="1"/>
    <col min="3" max="3" width="8.5703125" bestFit="1" customWidth="1"/>
    <col min="4" max="4" width="38.140625" customWidth="1"/>
    <col min="5" max="5" width="9.7109375" style="77" hidden="1" customWidth="1"/>
    <col min="6" max="6" width="9.85546875" style="20" customWidth="1"/>
    <col min="7" max="7" width="1.7109375" style="8" customWidth="1"/>
    <col min="8" max="8" width="3.7109375" style="8" customWidth="1"/>
    <col min="9" max="9" width="1.7109375" style="8" customWidth="1"/>
    <col min="10" max="10" width="8.5703125" style="8" bestFit="1" customWidth="1"/>
    <col min="11" max="11" width="38.140625" style="8" bestFit="1" customWidth="1"/>
    <col min="12" max="12" width="7" style="77" hidden="1" customWidth="1"/>
    <col min="13" max="13" width="6.5703125" style="8" bestFit="1" customWidth="1"/>
    <col min="14" max="14" width="9.140625" style="8"/>
    <col min="15" max="15" width="3.7109375" style="8" customWidth="1"/>
    <col min="16" max="44" width="9.140625" style="771"/>
  </cols>
  <sheetData>
    <row r="1" spans="1:15" ht="8.1" customHeight="1" thickBot="1" x14ac:dyDescent="0.25">
      <c r="B1" s="8"/>
      <c r="C1" s="8"/>
      <c r="D1" s="8"/>
      <c r="E1" s="8"/>
      <c r="F1" s="35"/>
      <c r="L1" s="8"/>
    </row>
    <row r="2" spans="1:15" ht="20.100000000000001" customHeight="1" x14ac:dyDescent="0.2">
      <c r="B2" s="2238" t="s">
        <v>361</v>
      </c>
      <c r="C2" s="2239"/>
      <c r="D2" s="2239"/>
      <c r="E2" s="464"/>
      <c r="F2" s="465"/>
      <c r="J2" s="2238" t="s">
        <v>286</v>
      </c>
      <c r="K2" s="2239"/>
      <c r="L2" s="2239"/>
      <c r="M2" s="2239"/>
      <c r="N2" s="465"/>
      <c r="O2" s="918"/>
    </row>
    <row r="3" spans="1:15" ht="20.100000000000001" customHeight="1" x14ac:dyDescent="0.2">
      <c r="A3" s="17"/>
      <c r="B3" s="2240"/>
      <c r="C3" s="2241"/>
      <c r="D3" s="2241"/>
      <c r="E3" s="466"/>
      <c r="F3" s="467"/>
      <c r="G3" s="916"/>
      <c r="H3" s="916"/>
      <c r="I3" s="916"/>
      <c r="J3" s="2240"/>
      <c r="K3" s="2241"/>
      <c r="L3" s="2241"/>
      <c r="M3" s="2241"/>
      <c r="N3" s="467"/>
      <c r="O3" s="918"/>
    </row>
    <row r="4" spans="1:15" x14ac:dyDescent="0.2">
      <c r="A4" s="17"/>
      <c r="B4" s="433"/>
      <c r="C4" s="28"/>
      <c r="D4" s="85" t="s">
        <v>105</v>
      </c>
      <c r="E4" s="13"/>
      <c r="F4" s="426"/>
      <c r="G4" s="916"/>
      <c r="H4" s="916"/>
      <c r="I4" s="916"/>
      <c r="J4" s="433"/>
      <c r="L4" s="13"/>
      <c r="M4" s="85" t="s">
        <v>1666</v>
      </c>
      <c r="N4" s="459"/>
      <c r="O4" s="918"/>
    </row>
    <row r="5" spans="1:15" x14ac:dyDescent="0.2">
      <c r="A5" s="17"/>
      <c r="B5" s="2244" t="s">
        <v>1044</v>
      </c>
      <c r="C5" s="2245"/>
      <c r="D5" s="2245"/>
      <c r="E5" s="2245"/>
      <c r="F5" s="472" t="str">
        <f>IF(СОДЕРЖАНИЕ!P2=1,"EUR","RUB")</f>
        <v>RUB</v>
      </c>
      <c r="G5" s="916"/>
      <c r="H5" s="916"/>
      <c r="I5" s="916"/>
      <c r="J5" s="2244" t="s">
        <v>1787</v>
      </c>
      <c r="K5" s="2245"/>
      <c r="L5" s="2245"/>
      <c r="M5" s="75"/>
      <c r="N5" s="473" t="str">
        <f>IF(СОДЕРЖАНИЕ!P2=1,"EUR","RUB")</f>
        <v>RUB</v>
      </c>
      <c r="O5" s="918"/>
    </row>
    <row r="6" spans="1:15" ht="12.75" customHeight="1" x14ac:dyDescent="0.2">
      <c r="A6" s="17"/>
      <c r="B6" s="2242"/>
      <c r="C6" s="2" t="s">
        <v>3992</v>
      </c>
      <c r="D6" s="2" t="s">
        <v>1670</v>
      </c>
      <c r="E6" s="65">
        <f t="shared" ref="E6:E12" si="0">VLOOKUP(C6,всецены,4,FALSE)</f>
        <v>483.04816560000006</v>
      </c>
      <c r="F6" s="471">
        <f>E6</f>
        <v>483.04816560000006</v>
      </c>
      <c r="G6" s="916"/>
      <c r="H6" s="916"/>
      <c r="I6" s="916"/>
      <c r="J6" s="470" t="s">
        <v>1226</v>
      </c>
      <c r="K6" s="2" t="s">
        <v>252</v>
      </c>
      <c r="L6" s="65">
        <f>VLOOKUP(J6,всецены,4,FALSE)</f>
        <v>297.63573840000004</v>
      </c>
      <c r="M6" s="479">
        <f>L6</f>
        <v>297.63573840000004</v>
      </c>
      <c r="N6" s="2207">
        <f>M6+M7</f>
        <v>595.27147680000007</v>
      </c>
      <c r="O6" s="918"/>
    </row>
    <row r="7" spans="1:15" ht="12.75" customHeight="1" x14ac:dyDescent="0.2">
      <c r="A7" s="17"/>
      <c r="B7" s="2067"/>
      <c r="C7" s="2" t="s">
        <v>3997</v>
      </c>
      <c r="D7" s="2" t="s">
        <v>1671</v>
      </c>
      <c r="E7" s="65">
        <f t="shared" si="0"/>
        <v>493.61992680000003</v>
      </c>
      <c r="F7" s="468">
        <f t="shared" ref="F7:F12" si="1">E7</f>
        <v>493.61992680000003</v>
      </c>
      <c r="G7" s="1342"/>
      <c r="H7" s="2248" t="s">
        <v>1705</v>
      </c>
      <c r="I7" s="1342"/>
      <c r="J7" s="470" t="s">
        <v>1227</v>
      </c>
      <c r="K7" s="2" t="s">
        <v>253</v>
      </c>
      <c r="L7" s="65">
        <f>VLOOKUP(J7,всецены,4,FALSE)</f>
        <v>297.63573840000004</v>
      </c>
      <c r="M7" s="479">
        <f>L7</f>
        <v>297.63573840000004</v>
      </c>
      <c r="N7" s="2209"/>
      <c r="O7" s="918"/>
    </row>
    <row r="8" spans="1:15" ht="12.75" customHeight="1" x14ac:dyDescent="0.2">
      <c r="A8" s="17"/>
      <c r="B8" s="2067"/>
      <c r="C8" s="2" t="s">
        <v>3995</v>
      </c>
      <c r="D8" s="2" t="s">
        <v>1672</v>
      </c>
      <c r="E8" s="65">
        <f t="shared" si="0"/>
        <v>504.191688</v>
      </c>
      <c r="F8" s="468">
        <f t="shared" si="1"/>
        <v>504.191688</v>
      </c>
      <c r="G8" s="1342"/>
      <c r="H8" s="2248"/>
      <c r="I8" s="1342"/>
      <c r="J8" s="433"/>
      <c r="K8" s="34"/>
      <c r="L8" s="13"/>
      <c r="M8" s="475"/>
      <c r="N8" s="476"/>
      <c r="O8" s="918"/>
    </row>
    <row r="9" spans="1:15" ht="12.75" customHeight="1" x14ac:dyDescent="0.2">
      <c r="A9" s="17"/>
      <c r="B9" s="2067"/>
      <c r="C9" s="2" t="s">
        <v>3993</v>
      </c>
      <c r="D9" s="2" t="s">
        <v>1830</v>
      </c>
      <c r="E9" s="65">
        <f t="shared" si="0"/>
        <v>483.04816560000006</v>
      </c>
      <c r="F9" s="468">
        <f t="shared" si="1"/>
        <v>483.04816560000006</v>
      </c>
      <c r="G9" s="1342"/>
      <c r="H9" s="2248"/>
      <c r="I9" s="1342"/>
      <c r="J9" s="433"/>
      <c r="K9" s="34"/>
      <c r="L9" s="13"/>
      <c r="M9" s="475"/>
      <c r="N9" s="476"/>
      <c r="O9" s="918"/>
    </row>
    <row r="10" spans="1:15" ht="12.75" customHeight="1" x14ac:dyDescent="0.2">
      <c r="A10" s="17"/>
      <c r="B10" s="2067"/>
      <c r="C10" s="2" t="s">
        <v>3994</v>
      </c>
      <c r="D10" s="2" t="s">
        <v>869</v>
      </c>
      <c r="E10" s="65">
        <f t="shared" si="0"/>
        <v>483.04816560000006</v>
      </c>
      <c r="F10" s="468">
        <f t="shared" si="1"/>
        <v>483.04816560000006</v>
      </c>
      <c r="G10" s="1342"/>
      <c r="H10" s="2248"/>
      <c r="I10" s="1342"/>
      <c r="J10" s="433"/>
      <c r="K10" s="28"/>
      <c r="L10" s="13"/>
      <c r="M10" s="475"/>
      <c r="N10" s="476"/>
      <c r="O10" s="918"/>
    </row>
    <row r="11" spans="1:15" ht="12.75" customHeight="1" x14ac:dyDescent="0.2">
      <c r="A11" s="17"/>
      <c r="B11" s="2067"/>
      <c r="C11" s="2" t="s">
        <v>3998</v>
      </c>
      <c r="D11" s="2" t="s">
        <v>870</v>
      </c>
      <c r="E11" s="65">
        <f t="shared" si="0"/>
        <v>600.15075120000006</v>
      </c>
      <c r="F11" s="468">
        <f t="shared" si="1"/>
        <v>600.15075120000006</v>
      </c>
      <c r="G11" s="916"/>
      <c r="H11" s="916"/>
      <c r="I11" s="916"/>
      <c r="J11" s="433"/>
      <c r="K11" s="28"/>
      <c r="L11" s="13"/>
      <c r="M11" s="475"/>
      <c r="N11" s="476"/>
      <c r="O11" s="918"/>
    </row>
    <row r="12" spans="1:15" ht="12.75" customHeight="1" x14ac:dyDescent="0.2">
      <c r="A12" s="17"/>
      <c r="B12" s="2243"/>
      <c r="C12" s="2" t="s">
        <v>3999</v>
      </c>
      <c r="D12" s="2" t="s">
        <v>871</v>
      </c>
      <c r="E12" s="65">
        <f t="shared" si="0"/>
        <v>513.95023679999997</v>
      </c>
      <c r="F12" s="468">
        <f t="shared" si="1"/>
        <v>513.95023679999997</v>
      </c>
      <c r="G12" s="916"/>
      <c r="H12" s="916"/>
      <c r="I12" s="916"/>
      <c r="J12" s="433"/>
      <c r="K12" s="28"/>
      <c r="L12" s="13"/>
      <c r="M12" s="475"/>
      <c r="N12" s="476"/>
      <c r="O12" s="918"/>
    </row>
    <row r="13" spans="1:15" x14ac:dyDescent="0.2">
      <c r="A13" s="17"/>
      <c r="B13" s="433"/>
      <c r="C13" s="28"/>
      <c r="D13" s="28"/>
      <c r="E13" s="13"/>
      <c r="F13" s="437"/>
      <c r="G13" s="916"/>
      <c r="H13" s="916"/>
      <c r="I13" s="916"/>
      <c r="J13" s="433"/>
      <c r="K13" s="28"/>
      <c r="L13" s="13"/>
      <c r="M13" s="28"/>
      <c r="N13" s="452"/>
      <c r="O13" s="918"/>
    </row>
    <row r="14" spans="1:15" x14ac:dyDescent="0.2">
      <c r="A14" s="17"/>
      <c r="B14" s="2246" t="s">
        <v>872</v>
      </c>
      <c r="C14" s="2245"/>
      <c r="D14" s="2245"/>
      <c r="E14" s="2245"/>
      <c r="F14" s="472" t="str">
        <f>IF(СОДЕРЖАНИЕ!P2=1,"EUR","RUB")</f>
        <v>RUB</v>
      </c>
      <c r="G14" s="916"/>
      <c r="H14" s="916"/>
      <c r="I14" s="916"/>
      <c r="J14" s="2244" t="s">
        <v>1788</v>
      </c>
      <c r="K14" s="2245"/>
      <c r="L14" s="2245"/>
      <c r="M14" s="2245"/>
      <c r="N14" s="473" t="str">
        <f>IF(СОДЕРЖАНИЕ!P2=1,"EUR","RUB")</f>
        <v>RUB</v>
      </c>
      <c r="O14" s="918"/>
    </row>
    <row r="15" spans="1:15" ht="12.75" customHeight="1" x14ac:dyDescent="0.2">
      <c r="A15" s="17"/>
      <c r="B15" s="2028"/>
      <c r="C15" s="2" t="s">
        <v>1555</v>
      </c>
      <c r="D15" s="2" t="s">
        <v>873</v>
      </c>
      <c r="E15" s="65">
        <f t="shared" ref="E15:E21" si="2">VLOOKUP(C15,всецены,4,FALSE)</f>
        <v>1098.6499524000001</v>
      </c>
      <c r="F15" s="468">
        <f>E15</f>
        <v>1098.6499524000001</v>
      </c>
      <c r="G15" s="1342"/>
      <c r="H15" s="2248" t="s">
        <v>1705</v>
      </c>
      <c r="I15" s="1342"/>
      <c r="J15" s="470" t="s">
        <v>901</v>
      </c>
      <c r="K15" s="2" t="s">
        <v>1436</v>
      </c>
      <c r="L15" s="65">
        <f>VLOOKUP(J15,всецены,4,FALSE)</f>
        <v>297.63573840000004</v>
      </c>
      <c r="M15" s="479">
        <f>L15</f>
        <v>297.63573840000004</v>
      </c>
      <c r="N15" s="2207">
        <f>M15+M16</f>
        <v>595.27147680000007</v>
      </c>
      <c r="O15" s="918"/>
    </row>
    <row r="16" spans="1:15" ht="12.75" customHeight="1" x14ac:dyDescent="0.2">
      <c r="A16" s="17"/>
      <c r="B16" s="2024"/>
      <c r="C16" s="2" t="s">
        <v>1556</v>
      </c>
      <c r="D16" s="2" t="s">
        <v>305</v>
      </c>
      <c r="E16" s="65">
        <f t="shared" si="2"/>
        <v>1120.6066871999999</v>
      </c>
      <c r="F16" s="468">
        <f t="shared" ref="F16:F21" si="3">E16</f>
        <v>1120.6066871999999</v>
      </c>
      <c r="G16" s="1342"/>
      <c r="H16" s="2248"/>
      <c r="I16" s="1342"/>
      <c r="J16" s="470" t="s">
        <v>902</v>
      </c>
      <c r="K16" s="2" t="s">
        <v>1437</v>
      </c>
      <c r="L16" s="65">
        <f>VLOOKUP(J16,всецены,4,FALSE)</f>
        <v>297.63573840000004</v>
      </c>
      <c r="M16" s="479">
        <f>L16</f>
        <v>297.63573840000004</v>
      </c>
      <c r="N16" s="2209"/>
      <c r="O16" s="918"/>
    </row>
    <row r="17" spans="1:15" ht="12.75" customHeight="1" x14ac:dyDescent="0.2">
      <c r="A17" s="17"/>
      <c r="B17" s="2024"/>
      <c r="C17" s="2" t="s">
        <v>1558</v>
      </c>
      <c r="D17" s="2" t="s">
        <v>306</v>
      </c>
      <c r="E17" s="65">
        <f t="shared" si="2"/>
        <v>1077.5064299999999</v>
      </c>
      <c r="F17" s="468">
        <f t="shared" si="3"/>
        <v>1077.5064299999999</v>
      </c>
      <c r="G17" s="1342"/>
      <c r="H17" s="2248"/>
      <c r="I17" s="1342"/>
      <c r="J17" s="433"/>
      <c r="K17" s="28"/>
      <c r="L17" s="13"/>
      <c r="M17" s="475"/>
      <c r="N17" s="482" t="s">
        <v>285</v>
      </c>
      <c r="O17" s="918"/>
    </row>
    <row r="18" spans="1:15" ht="13.5" customHeight="1" x14ac:dyDescent="0.2">
      <c r="A18" s="17"/>
      <c r="B18" s="2024"/>
      <c r="C18" s="2" t="s">
        <v>1559</v>
      </c>
      <c r="D18" s="2" t="s">
        <v>382</v>
      </c>
      <c r="E18" s="65">
        <f t="shared" si="2"/>
        <v>1056.3629076</v>
      </c>
      <c r="F18" s="468">
        <f t="shared" si="3"/>
        <v>1056.3629076</v>
      </c>
      <c r="G18" s="1342"/>
      <c r="H18" s="2248"/>
      <c r="I18" s="1342"/>
      <c r="J18" s="433"/>
      <c r="K18" s="28"/>
      <c r="L18" s="13"/>
      <c r="M18" s="475"/>
      <c r="N18" s="477"/>
      <c r="O18" s="918"/>
    </row>
    <row r="19" spans="1:15" ht="12.75" customHeight="1" x14ac:dyDescent="0.2">
      <c r="A19" s="17"/>
      <c r="B19" s="2024"/>
      <c r="C19" s="2" t="s">
        <v>1560</v>
      </c>
      <c r="D19" s="2" t="s">
        <v>383</v>
      </c>
      <c r="E19" s="65">
        <f t="shared" si="2"/>
        <v>1199.48829</v>
      </c>
      <c r="F19" s="468">
        <f t="shared" si="3"/>
        <v>1199.48829</v>
      </c>
      <c r="G19" s="916"/>
      <c r="H19" s="916"/>
      <c r="I19" s="916"/>
      <c r="J19" s="433"/>
      <c r="K19" s="28"/>
      <c r="L19" s="13"/>
      <c r="M19" s="475"/>
      <c r="N19" s="477"/>
      <c r="O19" s="918"/>
    </row>
    <row r="20" spans="1:15" x14ac:dyDescent="0.2">
      <c r="A20" s="17"/>
      <c r="B20" s="2024"/>
      <c r="C20" s="2" t="s">
        <v>1561</v>
      </c>
      <c r="D20" s="2" t="s">
        <v>384</v>
      </c>
      <c r="E20" s="65">
        <f t="shared" si="2"/>
        <v>1056.3629076</v>
      </c>
      <c r="F20" s="468">
        <f t="shared" si="3"/>
        <v>1056.3629076</v>
      </c>
      <c r="G20" s="916"/>
      <c r="H20" s="916"/>
      <c r="I20" s="916"/>
      <c r="J20" s="478"/>
      <c r="K20" s="132"/>
      <c r="L20" s="13"/>
      <c r="M20" s="28"/>
      <c r="N20" s="477"/>
      <c r="O20" s="918"/>
    </row>
    <row r="21" spans="1:15" x14ac:dyDescent="0.2">
      <c r="A21" s="17"/>
      <c r="B21" s="2197"/>
      <c r="C21" s="2" t="s">
        <v>1562</v>
      </c>
      <c r="D21" s="2" t="s">
        <v>1262</v>
      </c>
      <c r="E21" s="65">
        <f t="shared" si="2"/>
        <v>1056.3629076</v>
      </c>
      <c r="F21" s="468">
        <f t="shared" si="3"/>
        <v>1056.3629076</v>
      </c>
      <c r="G21" s="916"/>
      <c r="H21" s="916"/>
      <c r="I21" s="916"/>
      <c r="J21" s="433"/>
      <c r="K21" s="28"/>
      <c r="L21" s="28"/>
      <c r="M21" s="28"/>
      <c r="N21" s="452"/>
      <c r="O21" s="918"/>
    </row>
    <row r="22" spans="1:15" x14ac:dyDescent="0.2">
      <c r="A22" s="17"/>
      <c r="B22" s="433"/>
      <c r="C22" s="28"/>
      <c r="D22" s="28"/>
      <c r="E22" s="13"/>
      <c r="F22" s="437"/>
      <c r="G22" s="1343"/>
      <c r="H22" s="1343"/>
      <c r="I22" s="1343"/>
      <c r="J22" s="433"/>
      <c r="K22" s="2080" t="s">
        <v>108</v>
      </c>
      <c r="L22" s="2080"/>
      <c r="M22" s="2080"/>
      <c r="N22" s="2250"/>
      <c r="O22" s="918"/>
    </row>
    <row r="23" spans="1:15" x14ac:dyDescent="0.2">
      <c r="A23" s="17"/>
      <c r="B23" s="2246" t="s">
        <v>1193</v>
      </c>
      <c r="C23" s="2247"/>
      <c r="D23" s="2247"/>
      <c r="E23" s="2247"/>
      <c r="F23" s="473" t="str">
        <f>IF(СОДЕРЖАНИЕ!P2=1,"EUR","RUB")</f>
        <v>RUB</v>
      </c>
      <c r="G23" s="1343"/>
      <c r="H23" s="1343"/>
      <c r="I23" s="1343"/>
      <c r="J23" s="2244" t="s">
        <v>107</v>
      </c>
      <c r="K23" s="2245"/>
      <c r="L23" s="2245"/>
      <c r="M23" s="2245"/>
      <c r="N23" s="473" t="str">
        <f>IF(СОДЕРЖАНИЕ!P2=1,"EUR","RUB")</f>
        <v>RUB</v>
      </c>
      <c r="O23" s="918"/>
    </row>
    <row r="24" spans="1:15" x14ac:dyDescent="0.2">
      <c r="A24" s="17"/>
      <c r="B24" s="2085"/>
      <c r="C24" s="2" t="s">
        <v>812</v>
      </c>
      <c r="D24" s="2" t="s">
        <v>1194</v>
      </c>
      <c r="E24" s="65">
        <f>VLOOKUP(C24,всецены,4,FALSE)</f>
        <v>49.605956400000004</v>
      </c>
      <c r="F24" s="468">
        <f>E24</f>
        <v>49.605956400000004</v>
      </c>
      <c r="G24" s="1343"/>
      <c r="H24" s="1343"/>
      <c r="I24" s="1343"/>
      <c r="J24" s="470" t="s">
        <v>1229</v>
      </c>
      <c r="K24" s="2" t="str">
        <f>VLOOKUP(J24,всецены,2,FALSE)</f>
        <v xml:space="preserve">TD, Tip-on, Шестерня, T55.000R          </v>
      </c>
      <c r="L24" s="65">
        <f>VLOOKUP(J24,всецены,4,FALSE)</f>
        <v>92.706213599999998</v>
      </c>
      <c r="M24" s="480">
        <f>L24*2</f>
        <v>185.4124272</v>
      </c>
      <c r="N24" s="2207">
        <f>M24+M25</f>
        <v>368.3852172</v>
      </c>
      <c r="O24" s="918"/>
    </row>
    <row r="25" spans="1:15" ht="13.5" thickBot="1" x14ac:dyDescent="0.25">
      <c r="A25" s="17"/>
      <c r="B25" s="2086"/>
      <c r="C25" s="353" t="s">
        <v>813</v>
      </c>
      <c r="D25" s="353" t="s">
        <v>1195</v>
      </c>
      <c r="E25" s="382">
        <f>VLOOKUP(C25,всецены,4,FALSE)</f>
        <v>49.605956400000004</v>
      </c>
      <c r="F25" s="469">
        <f>E25</f>
        <v>49.605956400000004</v>
      </c>
      <c r="G25" s="1343"/>
      <c r="H25" s="1343"/>
      <c r="I25" s="1343"/>
      <c r="J25" s="474" t="s">
        <v>1230</v>
      </c>
      <c r="K25" s="353" t="str">
        <f>VLOOKUP(J25,всецены,2,FALSE)</f>
        <v xml:space="preserve">TD, Tip-on, Шт синхр п/раскр T55.889W   </v>
      </c>
      <c r="L25" s="382">
        <f>VLOOKUP(J25,всецены,4,FALSE)</f>
        <v>182.97279</v>
      </c>
      <c r="M25" s="481">
        <f>L25</f>
        <v>182.97279</v>
      </c>
      <c r="N25" s="2252"/>
      <c r="O25" s="918"/>
    </row>
    <row r="26" spans="1:15" ht="15" x14ac:dyDescent="0.2">
      <c r="A26" s="17"/>
      <c r="B26" s="17"/>
      <c r="C26" s="17"/>
      <c r="D26" s="17"/>
      <c r="F26" s="422" t="s">
        <v>1813</v>
      </c>
      <c r="G26" s="17"/>
      <c r="H26" s="17"/>
      <c r="I26" s="916"/>
      <c r="J26" s="916"/>
      <c r="K26" s="17"/>
      <c r="L26" s="17"/>
      <c r="M26" s="17"/>
      <c r="N26" s="918"/>
      <c r="O26" s="918"/>
    </row>
    <row r="27" spans="1:15" ht="8.1" customHeight="1" thickBot="1" x14ac:dyDescent="0.25">
      <c r="B27" s="8"/>
      <c r="C27" s="8"/>
      <c r="D27" s="8"/>
      <c r="F27" s="35"/>
      <c r="H27" s="17"/>
    </row>
    <row r="28" spans="1:15" ht="20.100000000000001" customHeight="1" x14ac:dyDescent="0.2">
      <c r="B28" s="2238" t="s">
        <v>106</v>
      </c>
      <c r="C28" s="2239"/>
      <c r="D28" s="2239"/>
      <c r="E28" s="464"/>
      <c r="F28" s="465"/>
      <c r="H28" s="421" t="s">
        <v>1814</v>
      </c>
    </row>
    <row r="29" spans="1:15" ht="20.100000000000001" customHeight="1" x14ac:dyDescent="0.2">
      <c r="A29" s="17"/>
      <c r="B29" s="2240"/>
      <c r="C29" s="2241"/>
      <c r="D29" s="2241"/>
      <c r="E29" s="466"/>
      <c r="F29" s="467"/>
      <c r="H29" s="17"/>
    </row>
    <row r="30" spans="1:15" x14ac:dyDescent="0.2">
      <c r="A30" s="17"/>
      <c r="B30" s="433"/>
      <c r="C30" s="28"/>
      <c r="D30" s="85" t="s">
        <v>105</v>
      </c>
      <c r="E30" s="13"/>
      <c r="F30" s="426"/>
      <c r="H30" s="17"/>
    </row>
    <row r="31" spans="1:15" x14ac:dyDescent="0.2">
      <c r="A31" s="17"/>
      <c r="B31" s="2244" t="s">
        <v>1263</v>
      </c>
      <c r="C31" s="2245"/>
      <c r="D31" s="2245"/>
      <c r="E31" s="2245"/>
      <c r="F31" s="473" t="str">
        <f>IF(СОДЕРЖАНИЕ!P2=1,"EUR","RUB")</f>
        <v>RUB</v>
      </c>
      <c r="H31" s="17"/>
    </row>
    <row r="32" spans="1:15" x14ac:dyDescent="0.2">
      <c r="A32" s="17"/>
      <c r="B32" s="2242"/>
      <c r="C32" s="2" t="s">
        <v>2136</v>
      </c>
      <c r="D32" s="2" t="s">
        <v>1264</v>
      </c>
      <c r="E32" s="65">
        <f t="shared" ref="E32:E38" si="4">VLOOKUP(C32,всецены,4,FALSE)</f>
        <v>731.07794760000002</v>
      </c>
      <c r="F32" s="468">
        <f>E32</f>
        <v>731.07794760000002</v>
      </c>
      <c r="H32" s="17"/>
      <c r="J32" s="771"/>
      <c r="K32" s="771"/>
      <c r="L32" s="771"/>
      <c r="M32" s="771"/>
      <c r="N32" s="771"/>
      <c r="O32" s="771"/>
    </row>
    <row r="33" spans="1:15" x14ac:dyDescent="0.2">
      <c r="A33" s="17"/>
      <c r="B33" s="2067"/>
      <c r="C33" s="2" t="s">
        <v>2137</v>
      </c>
      <c r="D33" s="2" t="s">
        <v>1099</v>
      </c>
      <c r="E33" s="65">
        <f t="shared" si="4"/>
        <v>731.07794760000002</v>
      </c>
      <c r="F33" s="468">
        <f t="shared" ref="F33:F38" si="5">E33</f>
        <v>731.07794760000002</v>
      </c>
      <c r="H33" s="17"/>
      <c r="J33" s="771"/>
      <c r="K33" s="771"/>
      <c r="L33" s="771"/>
      <c r="M33" s="771"/>
      <c r="N33" s="771"/>
      <c r="O33" s="771"/>
    </row>
    <row r="34" spans="1:15" x14ac:dyDescent="0.2">
      <c r="A34" s="17"/>
      <c r="B34" s="2067"/>
      <c r="C34" s="2" t="s">
        <v>2138</v>
      </c>
      <c r="D34" s="2" t="s">
        <v>1100</v>
      </c>
      <c r="E34" s="65">
        <f t="shared" si="4"/>
        <v>731.07794760000002</v>
      </c>
      <c r="F34" s="468">
        <f t="shared" si="5"/>
        <v>731.07794760000002</v>
      </c>
      <c r="H34" s="17"/>
      <c r="J34" s="771"/>
      <c r="K34" s="771"/>
      <c r="L34" s="771"/>
      <c r="M34" s="771"/>
      <c r="N34" s="771"/>
      <c r="O34" s="771"/>
    </row>
    <row r="35" spans="1:15" x14ac:dyDescent="0.2">
      <c r="A35" s="17"/>
      <c r="B35" s="2067"/>
      <c r="C35" s="2" t="s">
        <v>2139</v>
      </c>
      <c r="D35" s="2" t="s">
        <v>2131</v>
      </c>
      <c r="E35" s="65">
        <f t="shared" si="4"/>
        <v>719.69297400000005</v>
      </c>
      <c r="F35" s="468">
        <f t="shared" si="5"/>
        <v>719.69297400000005</v>
      </c>
      <c r="H35" s="17"/>
      <c r="J35" s="771"/>
      <c r="K35" s="771"/>
      <c r="L35" s="771"/>
      <c r="M35" s="771"/>
      <c r="N35" s="771"/>
      <c r="O35" s="771"/>
    </row>
    <row r="36" spans="1:15" x14ac:dyDescent="0.2">
      <c r="A36" s="17"/>
      <c r="B36" s="2067"/>
      <c r="C36" s="2" t="s">
        <v>2140</v>
      </c>
      <c r="D36" s="2" t="s">
        <v>2132</v>
      </c>
      <c r="E36" s="65">
        <f t="shared" si="4"/>
        <v>741.64970879999998</v>
      </c>
      <c r="F36" s="468">
        <f t="shared" si="5"/>
        <v>741.64970879999998</v>
      </c>
      <c r="H36" s="17"/>
      <c r="J36" s="2251"/>
      <c r="K36" s="2251"/>
      <c r="L36" s="2251"/>
      <c r="M36" s="2251"/>
      <c r="N36" s="1339"/>
      <c r="O36" s="771"/>
    </row>
    <row r="37" spans="1:15" x14ac:dyDescent="0.2">
      <c r="A37" s="17"/>
      <c r="B37" s="2067"/>
      <c r="C37" s="2" t="s">
        <v>2141</v>
      </c>
      <c r="D37" s="2" t="s">
        <v>2133</v>
      </c>
      <c r="E37" s="65">
        <f t="shared" si="4"/>
        <v>761.98001879999993</v>
      </c>
      <c r="F37" s="468">
        <f t="shared" si="5"/>
        <v>761.98001879999993</v>
      </c>
      <c r="H37" s="17"/>
      <c r="J37" s="782"/>
      <c r="K37" s="782"/>
      <c r="L37" s="782"/>
      <c r="M37" s="1340"/>
      <c r="N37" s="2249"/>
      <c r="O37" s="771"/>
    </row>
    <row r="38" spans="1:15" x14ac:dyDescent="0.2">
      <c r="A38" s="17"/>
      <c r="B38" s="2243"/>
      <c r="C38" s="2" t="s">
        <v>2142</v>
      </c>
      <c r="D38" s="2" t="s">
        <v>2128</v>
      </c>
      <c r="E38" s="65">
        <f t="shared" si="4"/>
        <v>801.82742640000004</v>
      </c>
      <c r="F38" s="468">
        <f t="shared" si="5"/>
        <v>801.82742640000004</v>
      </c>
      <c r="H38" s="17"/>
      <c r="J38" s="782"/>
      <c r="K38" s="782"/>
      <c r="L38" s="782"/>
      <c r="M38" s="1340"/>
      <c r="N38" s="2249"/>
      <c r="O38" s="771"/>
    </row>
    <row r="39" spans="1:15" x14ac:dyDescent="0.2">
      <c r="A39" s="17"/>
      <c r="B39" s="433"/>
      <c r="C39" s="28"/>
      <c r="D39" s="28"/>
      <c r="E39" s="13"/>
      <c r="F39" s="426"/>
      <c r="H39" s="17"/>
      <c r="J39" s="771"/>
      <c r="K39" s="1341"/>
      <c r="L39" s="771"/>
      <c r="M39" s="771"/>
      <c r="N39" s="771"/>
      <c r="O39" s="771"/>
    </row>
    <row r="40" spans="1:15" x14ac:dyDescent="0.2">
      <c r="A40" s="17"/>
      <c r="B40" s="2244" t="s">
        <v>2129</v>
      </c>
      <c r="C40" s="2245"/>
      <c r="D40" s="2245"/>
      <c r="E40" s="2245"/>
      <c r="F40" s="473" t="str">
        <f>IF(СОДЕРЖАНИЕ!P2=1,"EUR","RUB")</f>
        <v>RUB</v>
      </c>
      <c r="H40" s="17"/>
      <c r="J40" s="771"/>
      <c r="K40" s="1341"/>
      <c r="L40" s="771"/>
      <c r="M40" s="771"/>
      <c r="N40" s="771"/>
      <c r="O40" s="771"/>
    </row>
    <row r="41" spans="1:15" x14ac:dyDescent="0.2">
      <c r="A41" s="17"/>
      <c r="B41" s="2242"/>
      <c r="C41" s="2" t="s">
        <v>208</v>
      </c>
      <c r="D41" s="2" t="s">
        <v>2130</v>
      </c>
      <c r="E41" s="65">
        <f t="shared" ref="E41:E53" si="6">VLOOKUP(C41,всецены,4,FALSE)</f>
        <v>1606.0944900000002</v>
      </c>
      <c r="F41" s="468">
        <f>E41</f>
        <v>1606.0944900000002</v>
      </c>
      <c r="H41" s="17"/>
      <c r="J41" s="771"/>
      <c r="K41" s="771"/>
      <c r="L41" s="771"/>
      <c r="M41" s="771"/>
      <c r="N41" s="771"/>
      <c r="O41" s="771"/>
    </row>
    <row r="42" spans="1:15" x14ac:dyDescent="0.2">
      <c r="A42" s="17"/>
      <c r="B42" s="2067"/>
      <c r="C42" s="2" t="s">
        <v>209</v>
      </c>
      <c r="D42" s="2" t="s">
        <v>1222</v>
      </c>
      <c r="E42" s="65">
        <f t="shared" si="6"/>
        <v>1606.0944900000002</v>
      </c>
      <c r="F42" s="468">
        <f t="shared" ref="F42:F53" si="7">E42</f>
        <v>1606.0944900000002</v>
      </c>
      <c r="H42" s="17"/>
      <c r="J42" s="771"/>
      <c r="K42" s="771"/>
      <c r="L42" s="771"/>
      <c r="M42" s="771"/>
      <c r="N42" s="771"/>
      <c r="O42" s="771"/>
    </row>
    <row r="43" spans="1:15" x14ac:dyDescent="0.2">
      <c r="A43" s="17"/>
      <c r="B43" s="2067"/>
      <c r="C43" s="2" t="s">
        <v>210</v>
      </c>
      <c r="D43" s="2" t="s">
        <v>1223</v>
      </c>
      <c r="E43" s="65">
        <f t="shared" si="6"/>
        <v>1606.0944900000002</v>
      </c>
      <c r="F43" s="468">
        <f t="shared" si="7"/>
        <v>1606.0944900000002</v>
      </c>
      <c r="H43" s="17"/>
      <c r="J43" s="771"/>
      <c r="K43" s="771"/>
      <c r="L43" s="771"/>
      <c r="M43" s="771"/>
      <c r="N43" s="771"/>
      <c r="O43" s="771"/>
    </row>
    <row r="44" spans="1:15" x14ac:dyDescent="0.2">
      <c r="A44" s="17"/>
      <c r="B44" s="2067"/>
      <c r="C44" s="2" t="s">
        <v>1365</v>
      </c>
      <c r="D44" s="2" t="s">
        <v>1224</v>
      </c>
      <c r="E44" s="65">
        <f t="shared" si="6"/>
        <v>1606.0944900000002</v>
      </c>
      <c r="F44" s="468">
        <f t="shared" si="7"/>
        <v>1606.0944900000002</v>
      </c>
      <c r="H44" s="17"/>
      <c r="J44" s="771"/>
      <c r="K44" s="771"/>
      <c r="L44" s="771"/>
      <c r="M44" s="771"/>
      <c r="N44" s="771"/>
      <c r="O44" s="771"/>
    </row>
    <row r="45" spans="1:15" x14ac:dyDescent="0.2">
      <c r="A45" s="17"/>
      <c r="B45" s="2067"/>
      <c r="C45" s="2" t="s">
        <v>1366</v>
      </c>
      <c r="D45" s="2" t="s">
        <v>811</v>
      </c>
      <c r="E45" s="65">
        <f t="shared" si="6"/>
        <v>1627.2380124000001</v>
      </c>
      <c r="F45" s="468">
        <f t="shared" si="7"/>
        <v>1627.2380124000001</v>
      </c>
      <c r="H45" s="17"/>
      <c r="J45" s="771"/>
      <c r="K45" s="771"/>
      <c r="L45" s="771"/>
      <c r="M45" s="771"/>
      <c r="N45" s="771"/>
      <c r="O45" s="771"/>
    </row>
    <row r="46" spans="1:15" x14ac:dyDescent="0.2">
      <c r="A46" s="17"/>
      <c r="B46" s="2067"/>
      <c r="C46" s="2" t="s">
        <v>1367</v>
      </c>
      <c r="D46" s="2" t="s">
        <v>861</v>
      </c>
      <c r="E46" s="65">
        <f t="shared" si="6"/>
        <v>1648.3815348000001</v>
      </c>
      <c r="F46" s="468">
        <f t="shared" si="7"/>
        <v>1648.3815348000001</v>
      </c>
      <c r="H46" s="17"/>
      <c r="J46" s="771"/>
      <c r="K46" s="771"/>
      <c r="L46" s="771"/>
      <c r="M46" s="771"/>
      <c r="N46" s="771"/>
      <c r="O46" s="771"/>
    </row>
    <row r="47" spans="1:15" x14ac:dyDescent="0.2">
      <c r="A47" s="17"/>
      <c r="B47" s="2067"/>
      <c r="C47" s="2" t="s">
        <v>1368</v>
      </c>
      <c r="D47" s="2" t="s">
        <v>671</v>
      </c>
      <c r="E47" s="65">
        <f t="shared" si="6"/>
        <v>1669.5250572</v>
      </c>
      <c r="F47" s="468">
        <f t="shared" si="7"/>
        <v>1669.5250572</v>
      </c>
      <c r="H47" s="17"/>
      <c r="J47" s="771"/>
      <c r="K47" s="771"/>
      <c r="L47" s="771"/>
      <c r="M47" s="771"/>
      <c r="N47" s="771"/>
      <c r="O47" s="771"/>
    </row>
    <row r="48" spans="1:15" x14ac:dyDescent="0.2">
      <c r="A48" s="17"/>
      <c r="B48" s="2067"/>
      <c r="C48" s="2" t="s">
        <v>323</v>
      </c>
      <c r="D48" s="2" t="s">
        <v>688</v>
      </c>
      <c r="E48" s="65">
        <f t="shared" si="6"/>
        <v>2015.1403272000002</v>
      </c>
      <c r="F48" s="468">
        <f t="shared" si="7"/>
        <v>2015.1403272000002</v>
      </c>
      <c r="H48" s="17"/>
      <c r="J48" s="771"/>
      <c r="K48" s="771"/>
      <c r="L48" s="771"/>
      <c r="M48" s="771"/>
      <c r="N48" s="771"/>
      <c r="O48" s="771"/>
    </row>
    <row r="49" spans="1:15" x14ac:dyDescent="0.2">
      <c r="A49" s="17"/>
      <c r="B49" s="2067"/>
      <c r="C49" s="2" t="s">
        <v>2090</v>
      </c>
      <c r="D49" s="2" t="s">
        <v>808</v>
      </c>
      <c r="E49" s="65">
        <f t="shared" si="6"/>
        <v>2306.2703664000001</v>
      </c>
      <c r="F49" s="468">
        <f t="shared" si="7"/>
        <v>2306.2703664000001</v>
      </c>
      <c r="H49" s="17"/>
      <c r="J49" s="771"/>
      <c r="K49" s="771"/>
      <c r="L49" s="771"/>
      <c r="M49" s="771"/>
      <c r="N49" s="771"/>
      <c r="O49" s="771"/>
    </row>
    <row r="50" spans="1:15" x14ac:dyDescent="0.2">
      <c r="A50" s="17"/>
      <c r="B50" s="2067"/>
      <c r="C50" s="22" t="s">
        <v>2091</v>
      </c>
      <c r="D50" s="2" t="s">
        <v>809</v>
      </c>
      <c r="E50" s="65">
        <f t="shared" si="6"/>
        <v>2384.3387567999998</v>
      </c>
      <c r="F50" s="468">
        <f t="shared" si="7"/>
        <v>2384.3387567999998</v>
      </c>
      <c r="H50" s="17"/>
      <c r="J50" s="771"/>
      <c r="K50" s="771"/>
      <c r="L50" s="771"/>
      <c r="M50" s="771"/>
      <c r="N50" s="771"/>
      <c r="O50" s="771"/>
    </row>
    <row r="51" spans="1:15" x14ac:dyDescent="0.2">
      <c r="A51" s="17"/>
      <c r="B51" s="2067"/>
      <c r="C51" s="2" t="s">
        <v>324</v>
      </c>
      <c r="D51" s="2" t="s">
        <v>810</v>
      </c>
      <c r="E51" s="65">
        <f t="shared" si="6"/>
        <v>2595.7739808000001</v>
      </c>
      <c r="F51" s="468">
        <f t="shared" si="7"/>
        <v>2595.7739808000001</v>
      </c>
      <c r="H51" s="17"/>
      <c r="J51" s="771"/>
      <c r="K51" s="771"/>
      <c r="L51" s="771"/>
      <c r="M51" s="771"/>
      <c r="N51" s="771"/>
      <c r="O51" s="771"/>
    </row>
    <row r="52" spans="1:15" x14ac:dyDescent="0.2">
      <c r="A52" s="17"/>
      <c r="B52" s="2067"/>
      <c r="C52" s="2" t="s">
        <v>964</v>
      </c>
      <c r="D52" s="2" t="s">
        <v>251</v>
      </c>
      <c r="E52" s="65">
        <f t="shared" si="6"/>
        <v>1993.9968048000001</v>
      </c>
      <c r="F52" s="468">
        <f t="shared" si="7"/>
        <v>1993.9968048000001</v>
      </c>
      <c r="H52" s="17"/>
      <c r="J52" s="771"/>
      <c r="K52" s="771"/>
      <c r="L52" s="771"/>
      <c r="M52" s="771"/>
      <c r="N52" s="771"/>
      <c r="O52" s="771"/>
    </row>
    <row r="53" spans="1:15" x14ac:dyDescent="0.2">
      <c r="A53" s="17"/>
      <c r="B53" s="2243"/>
      <c r="C53" s="2" t="s">
        <v>1369</v>
      </c>
      <c r="D53" s="2" t="s">
        <v>687</v>
      </c>
      <c r="E53" s="65">
        <f t="shared" si="6"/>
        <v>1748.4066600000001</v>
      </c>
      <c r="F53" s="468">
        <f t="shared" si="7"/>
        <v>1748.4066600000001</v>
      </c>
      <c r="H53" s="17"/>
      <c r="J53" s="771"/>
      <c r="K53" s="771"/>
      <c r="L53" s="771"/>
      <c r="M53" s="771"/>
      <c r="N53" s="771"/>
      <c r="O53" s="771"/>
    </row>
    <row r="54" spans="1:15" x14ac:dyDescent="0.2">
      <c r="A54" s="17"/>
      <c r="B54" s="433"/>
      <c r="C54" s="28"/>
      <c r="D54" s="28"/>
      <c r="E54" s="13"/>
      <c r="F54" s="437"/>
      <c r="G54" s="30"/>
      <c r="H54" s="420"/>
      <c r="I54" s="30"/>
      <c r="J54" s="771"/>
      <c r="K54" s="771"/>
      <c r="L54" s="771"/>
      <c r="M54" s="771"/>
      <c r="N54" s="771"/>
      <c r="O54" s="771"/>
    </row>
    <row r="55" spans="1:15" x14ac:dyDescent="0.2">
      <c r="A55" s="17"/>
      <c r="B55" s="2246" t="s">
        <v>1193</v>
      </c>
      <c r="C55" s="2247"/>
      <c r="D55" s="2247"/>
      <c r="E55" s="2247"/>
      <c r="F55" s="473" t="str">
        <f>IF(СОДЕРЖАНИЕ!P2=1,"EUR","RUB")</f>
        <v>RUB</v>
      </c>
      <c r="G55" s="30"/>
      <c r="H55" s="420"/>
      <c r="I55" s="30"/>
      <c r="J55" s="771"/>
      <c r="K55" s="771"/>
      <c r="L55" s="771"/>
      <c r="M55" s="771"/>
      <c r="N55" s="771"/>
      <c r="O55" s="771"/>
    </row>
    <row r="56" spans="1:15" x14ac:dyDescent="0.2">
      <c r="A56" s="17"/>
      <c r="B56" s="2085"/>
      <c r="C56" s="2" t="s">
        <v>812</v>
      </c>
      <c r="D56" s="2" t="s">
        <v>1194</v>
      </c>
      <c r="E56" s="65">
        <f>VLOOKUP(C56,всецены,4,FALSE)</f>
        <v>49.605956400000004</v>
      </c>
      <c r="F56" s="468">
        <f>E56</f>
        <v>49.605956400000004</v>
      </c>
      <c r="G56" s="30"/>
      <c r="H56" s="420"/>
      <c r="I56" s="30"/>
      <c r="J56" s="771"/>
      <c r="K56" s="771"/>
      <c r="L56" s="771"/>
      <c r="M56" s="771"/>
      <c r="N56" s="771"/>
      <c r="O56" s="771"/>
    </row>
    <row r="57" spans="1:15" ht="13.5" thickBot="1" x14ac:dyDescent="0.25">
      <c r="A57" s="17"/>
      <c r="B57" s="2086"/>
      <c r="C57" s="353" t="s">
        <v>813</v>
      </c>
      <c r="D57" s="353" t="s">
        <v>1195</v>
      </c>
      <c r="E57" s="382">
        <f>VLOOKUP(C57,всецены,4,FALSE)</f>
        <v>49.605956400000004</v>
      </c>
      <c r="F57" s="469">
        <f>E57</f>
        <v>49.605956400000004</v>
      </c>
      <c r="G57" s="30"/>
      <c r="H57" s="420"/>
      <c r="I57" s="30"/>
      <c r="J57" s="771"/>
      <c r="K57" s="771"/>
      <c r="L57" s="771"/>
      <c r="M57" s="771"/>
      <c r="N57" s="771"/>
      <c r="O57" s="771"/>
    </row>
    <row r="58" spans="1:15" ht="15" x14ac:dyDescent="0.2">
      <c r="A58" s="17"/>
      <c r="B58" s="17"/>
      <c r="C58" s="17"/>
      <c r="D58" s="17"/>
      <c r="F58" s="422" t="s">
        <v>1813</v>
      </c>
      <c r="G58" s="17"/>
      <c r="H58" s="17"/>
      <c r="J58" s="771"/>
      <c r="K58" s="771"/>
      <c r="L58" s="771"/>
      <c r="M58" s="771"/>
      <c r="N58" s="771"/>
      <c r="O58" s="771"/>
    </row>
    <row r="59" spans="1:15" ht="8.1" customHeight="1" thickBot="1" x14ac:dyDescent="0.25">
      <c r="B59" s="8"/>
      <c r="C59" s="8"/>
      <c r="D59" s="8"/>
      <c r="F59" s="35"/>
      <c r="H59" s="17"/>
      <c r="J59" s="771"/>
      <c r="K59" s="771"/>
      <c r="L59" s="771"/>
      <c r="M59" s="771"/>
      <c r="N59" s="771"/>
      <c r="O59" s="771"/>
    </row>
    <row r="60" spans="1:15" ht="20.100000000000001" customHeight="1" x14ac:dyDescent="0.2">
      <c r="B60" s="2238" t="s">
        <v>1944</v>
      </c>
      <c r="C60" s="2239"/>
      <c r="D60" s="2239"/>
      <c r="E60" s="464"/>
      <c r="F60" s="465"/>
      <c r="H60" s="421" t="s">
        <v>1814</v>
      </c>
      <c r="J60" s="771"/>
      <c r="K60" s="771"/>
      <c r="L60" s="771"/>
      <c r="M60" s="771"/>
      <c r="N60" s="771"/>
      <c r="O60" s="771"/>
    </row>
    <row r="61" spans="1:15" ht="20.100000000000001" customHeight="1" x14ac:dyDescent="0.2">
      <c r="A61" s="17"/>
      <c r="B61" s="2240"/>
      <c r="C61" s="2241"/>
      <c r="D61" s="2241"/>
      <c r="E61" s="466"/>
      <c r="F61" s="467"/>
      <c r="H61" s="17"/>
      <c r="J61" s="771"/>
      <c r="K61" s="771"/>
      <c r="L61" s="771"/>
      <c r="M61" s="771"/>
      <c r="N61" s="771"/>
      <c r="O61" s="771"/>
    </row>
    <row r="62" spans="1:15" x14ac:dyDescent="0.2">
      <c r="A62" s="17"/>
      <c r="B62" s="433"/>
      <c r="C62" s="28"/>
      <c r="D62" s="85" t="s">
        <v>1945</v>
      </c>
      <c r="E62" s="13"/>
      <c r="F62" s="426"/>
      <c r="H62" s="17"/>
      <c r="J62" s="771"/>
      <c r="K62" s="771"/>
      <c r="L62" s="771"/>
      <c r="M62" s="771"/>
      <c r="N62" s="771"/>
      <c r="O62" s="771"/>
    </row>
    <row r="63" spans="1:15" x14ac:dyDescent="0.2">
      <c r="A63" s="17"/>
      <c r="B63" s="2246" t="s">
        <v>1193</v>
      </c>
      <c r="C63" s="2247"/>
      <c r="D63" s="2247"/>
      <c r="E63" s="2247"/>
      <c r="F63" s="473" t="str">
        <f>IF(СОДЕРЖАНИЕ!P2=1,"EUR","RUB")</f>
        <v>RUB</v>
      </c>
      <c r="H63" s="17"/>
      <c r="I63" s="771"/>
      <c r="J63" s="771"/>
      <c r="K63" s="771"/>
      <c r="L63" s="771"/>
      <c r="M63" s="771"/>
      <c r="N63" s="771"/>
      <c r="O63" s="771"/>
    </row>
    <row r="64" spans="1:15" x14ac:dyDescent="0.2">
      <c r="A64" s="17"/>
      <c r="B64" s="2085"/>
      <c r="C64" s="2" t="s">
        <v>1169</v>
      </c>
      <c r="D64" s="2" t="str">
        <f>VLOOKUP(C64,всецены,2,FALSE)</f>
        <v xml:space="preserve">TD, Бок стаб д/ полн выдв, ZST.750TV    </v>
      </c>
      <c r="E64" s="65">
        <f>VLOOKUP(C64,всецены,4,FALSE)</f>
        <v>1329.6022740000001</v>
      </c>
      <c r="F64" s="468">
        <f>E64</f>
        <v>1329.6022740000001</v>
      </c>
      <c r="H64" s="17"/>
      <c r="I64" s="771"/>
      <c r="J64" s="771"/>
      <c r="K64" s="771"/>
      <c r="L64" s="771"/>
      <c r="M64" s="771"/>
      <c r="N64" s="771"/>
      <c r="O64" s="771"/>
    </row>
    <row r="65" spans="1:15" ht="13.5" thickBot="1" x14ac:dyDescent="0.25">
      <c r="A65" s="17"/>
      <c r="B65" s="2086"/>
      <c r="C65" s="353" t="s">
        <v>1806</v>
      </c>
      <c r="D65" s="353" t="str">
        <f>VLOOKUP(C65,всецены,2,FALSE)</f>
        <v xml:space="preserve">TD, Бок стаб д/ част выдв, ZST.650TT    </v>
      </c>
      <c r="E65" s="382">
        <f>VLOOKUP(C65,всецены,4,FALSE)</f>
        <v>1329.6022740000001</v>
      </c>
      <c r="F65" s="469">
        <f>E65</f>
        <v>1329.6022740000001</v>
      </c>
      <c r="H65" s="17"/>
      <c r="I65" s="771"/>
      <c r="J65" s="771"/>
      <c r="K65" s="771"/>
      <c r="L65" s="771"/>
      <c r="M65" s="771"/>
      <c r="N65" s="771"/>
      <c r="O65" s="771"/>
    </row>
    <row r="66" spans="1:15" x14ac:dyDescent="0.2">
      <c r="A66" s="17"/>
      <c r="B66" s="17"/>
      <c r="C66" s="17"/>
      <c r="D66" s="17"/>
      <c r="F66" s="18"/>
      <c r="G66" s="17"/>
      <c r="H66" s="17"/>
      <c r="I66" s="771"/>
      <c r="J66" s="771"/>
      <c r="K66" s="771"/>
      <c r="L66" s="771"/>
      <c r="M66" s="771"/>
      <c r="N66" s="771"/>
      <c r="O66" s="771"/>
    </row>
    <row r="67" spans="1:15" x14ac:dyDescent="0.2">
      <c r="B67" s="8"/>
      <c r="C67" s="8"/>
      <c r="D67" s="8"/>
      <c r="F67" s="35"/>
      <c r="I67" s="771"/>
      <c r="J67" s="771"/>
      <c r="K67" s="771"/>
      <c r="L67" s="771"/>
      <c r="M67" s="771"/>
      <c r="N67" s="771"/>
      <c r="O67" s="771"/>
    </row>
    <row r="68" spans="1:15" x14ac:dyDescent="0.2">
      <c r="B68" s="8"/>
      <c r="C68" s="8"/>
      <c r="D68" s="8"/>
      <c r="F68" s="35"/>
      <c r="I68" s="771"/>
      <c r="J68" s="771"/>
      <c r="K68" s="771"/>
      <c r="L68" s="771"/>
      <c r="M68" s="771"/>
      <c r="N68" s="771"/>
      <c r="O68" s="771"/>
    </row>
    <row r="69" spans="1:15" x14ac:dyDescent="0.2">
      <c r="B69" s="8"/>
      <c r="C69" s="8"/>
      <c r="D69" s="8"/>
      <c r="F69" s="35"/>
      <c r="I69" s="771"/>
      <c r="J69" s="771"/>
      <c r="K69" s="771"/>
      <c r="L69" s="771"/>
      <c r="M69" s="771"/>
      <c r="N69" s="771"/>
      <c r="O69" s="771"/>
    </row>
    <row r="70" spans="1:15" s="771" customFormat="1" x14ac:dyDescent="0.2">
      <c r="F70" s="887"/>
    </row>
    <row r="71" spans="1:15" s="771" customFormat="1" x14ac:dyDescent="0.2">
      <c r="F71" s="887"/>
    </row>
    <row r="72" spans="1:15" s="771" customFormat="1" x14ac:dyDescent="0.2">
      <c r="F72" s="887"/>
    </row>
    <row r="73" spans="1:15" s="771" customFormat="1" x14ac:dyDescent="0.2">
      <c r="F73" s="887"/>
    </row>
    <row r="74" spans="1:15" s="771" customFormat="1" x14ac:dyDescent="0.2">
      <c r="F74" s="887"/>
    </row>
    <row r="75" spans="1:15" s="771" customFormat="1" x14ac:dyDescent="0.2">
      <c r="F75" s="887"/>
    </row>
    <row r="76" spans="1:15" s="771" customFormat="1" x14ac:dyDescent="0.2">
      <c r="F76" s="887"/>
    </row>
    <row r="77" spans="1:15" s="771" customFormat="1" x14ac:dyDescent="0.2">
      <c r="F77" s="887"/>
    </row>
    <row r="78" spans="1:15" s="771" customFormat="1" x14ac:dyDescent="0.2">
      <c r="F78" s="887"/>
    </row>
    <row r="79" spans="1:15" s="771" customFormat="1" x14ac:dyDescent="0.2">
      <c r="F79" s="887"/>
    </row>
    <row r="80" spans="1:15" s="771" customFormat="1" x14ac:dyDescent="0.2">
      <c r="F80" s="887"/>
    </row>
    <row r="81" spans="6:6" s="771" customFormat="1" x14ac:dyDescent="0.2">
      <c r="F81" s="887"/>
    </row>
    <row r="82" spans="6:6" s="771" customFormat="1" x14ac:dyDescent="0.2">
      <c r="F82" s="887"/>
    </row>
    <row r="83" spans="6:6" s="771" customFormat="1" x14ac:dyDescent="0.2">
      <c r="F83" s="887"/>
    </row>
    <row r="84" spans="6:6" s="771" customFormat="1" x14ac:dyDescent="0.2">
      <c r="F84" s="887"/>
    </row>
    <row r="85" spans="6:6" s="771" customFormat="1" x14ac:dyDescent="0.2">
      <c r="F85" s="887"/>
    </row>
    <row r="86" spans="6:6" s="771" customFormat="1" x14ac:dyDescent="0.2">
      <c r="F86" s="887"/>
    </row>
    <row r="87" spans="6:6" s="771" customFormat="1" x14ac:dyDescent="0.2">
      <c r="F87" s="887"/>
    </row>
    <row r="88" spans="6:6" s="771" customFormat="1" x14ac:dyDescent="0.2">
      <c r="F88" s="887"/>
    </row>
    <row r="89" spans="6:6" s="771" customFormat="1" x14ac:dyDescent="0.2">
      <c r="F89" s="887"/>
    </row>
    <row r="90" spans="6:6" s="771" customFormat="1" x14ac:dyDescent="0.2">
      <c r="F90" s="887"/>
    </row>
    <row r="91" spans="6:6" s="771" customFormat="1" x14ac:dyDescent="0.2">
      <c r="F91" s="887"/>
    </row>
    <row r="92" spans="6:6" s="771" customFormat="1" x14ac:dyDescent="0.2">
      <c r="F92" s="887"/>
    </row>
    <row r="93" spans="6:6" s="771" customFormat="1" x14ac:dyDescent="0.2">
      <c r="F93" s="887"/>
    </row>
    <row r="94" spans="6:6" s="771" customFormat="1" x14ac:dyDescent="0.2">
      <c r="F94" s="887"/>
    </row>
    <row r="95" spans="6:6" s="771" customFormat="1" x14ac:dyDescent="0.2">
      <c r="F95" s="887"/>
    </row>
    <row r="96" spans="6:6" s="771" customFormat="1" x14ac:dyDescent="0.2">
      <c r="F96" s="887"/>
    </row>
    <row r="97" spans="6:6" s="771" customFormat="1" x14ac:dyDescent="0.2">
      <c r="F97" s="887"/>
    </row>
    <row r="98" spans="6:6" s="771" customFormat="1" x14ac:dyDescent="0.2">
      <c r="F98" s="887"/>
    </row>
    <row r="99" spans="6:6" s="771" customFormat="1" x14ac:dyDescent="0.2">
      <c r="F99" s="887"/>
    </row>
    <row r="100" spans="6:6" s="771" customFormat="1" x14ac:dyDescent="0.2">
      <c r="F100" s="887"/>
    </row>
    <row r="101" spans="6:6" s="771" customFormat="1" x14ac:dyDescent="0.2">
      <c r="F101" s="887"/>
    </row>
    <row r="102" spans="6:6" s="771" customFormat="1" x14ac:dyDescent="0.2">
      <c r="F102" s="887"/>
    </row>
    <row r="103" spans="6:6" s="771" customFormat="1" x14ac:dyDescent="0.2">
      <c r="F103" s="887"/>
    </row>
    <row r="104" spans="6:6" s="771" customFormat="1" x14ac:dyDescent="0.2">
      <c r="F104" s="887"/>
    </row>
    <row r="105" spans="6:6" s="771" customFormat="1" x14ac:dyDescent="0.2">
      <c r="F105" s="887"/>
    </row>
    <row r="106" spans="6:6" s="771" customFormat="1" x14ac:dyDescent="0.2">
      <c r="F106" s="887"/>
    </row>
    <row r="107" spans="6:6" s="771" customFormat="1" x14ac:dyDescent="0.2">
      <c r="F107" s="887"/>
    </row>
    <row r="108" spans="6:6" s="771" customFormat="1" x14ac:dyDescent="0.2">
      <c r="F108" s="887"/>
    </row>
    <row r="109" spans="6:6" s="771" customFormat="1" x14ac:dyDescent="0.2">
      <c r="F109" s="887"/>
    </row>
    <row r="110" spans="6:6" s="771" customFormat="1" x14ac:dyDescent="0.2">
      <c r="F110" s="887"/>
    </row>
    <row r="111" spans="6:6" s="771" customFormat="1" x14ac:dyDescent="0.2">
      <c r="F111" s="887"/>
    </row>
    <row r="112" spans="6:6" s="771" customFormat="1" x14ac:dyDescent="0.2">
      <c r="F112" s="887"/>
    </row>
    <row r="113" spans="6:6" s="771" customFormat="1" x14ac:dyDescent="0.2">
      <c r="F113" s="887"/>
    </row>
    <row r="114" spans="6:6" s="771" customFormat="1" x14ac:dyDescent="0.2">
      <c r="F114" s="887"/>
    </row>
    <row r="115" spans="6:6" s="771" customFormat="1" x14ac:dyDescent="0.2">
      <c r="F115" s="887"/>
    </row>
    <row r="116" spans="6:6" s="771" customFormat="1" x14ac:dyDescent="0.2">
      <c r="F116" s="887"/>
    </row>
    <row r="117" spans="6:6" s="771" customFormat="1" x14ac:dyDescent="0.2">
      <c r="F117" s="887"/>
    </row>
    <row r="118" spans="6:6" s="771" customFormat="1" x14ac:dyDescent="0.2">
      <c r="F118" s="887"/>
    </row>
    <row r="119" spans="6:6" s="771" customFormat="1" x14ac:dyDescent="0.2">
      <c r="F119" s="887"/>
    </row>
    <row r="120" spans="6:6" s="771" customFormat="1" x14ac:dyDescent="0.2">
      <c r="F120" s="887"/>
    </row>
    <row r="121" spans="6:6" s="771" customFormat="1" x14ac:dyDescent="0.2">
      <c r="F121" s="887"/>
    </row>
    <row r="122" spans="6:6" s="771" customFormat="1" x14ac:dyDescent="0.2">
      <c r="F122" s="887"/>
    </row>
    <row r="123" spans="6:6" s="771" customFormat="1" x14ac:dyDescent="0.2">
      <c r="F123" s="887"/>
    </row>
    <row r="124" spans="6:6" s="771" customFormat="1" x14ac:dyDescent="0.2">
      <c r="F124" s="887"/>
    </row>
    <row r="125" spans="6:6" s="771" customFormat="1" x14ac:dyDescent="0.2">
      <c r="F125" s="887"/>
    </row>
    <row r="126" spans="6:6" s="771" customFormat="1" x14ac:dyDescent="0.2">
      <c r="F126" s="887"/>
    </row>
    <row r="127" spans="6:6" s="771" customFormat="1" x14ac:dyDescent="0.2">
      <c r="F127" s="887"/>
    </row>
    <row r="128" spans="6:6" s="771" customFormat="1" x14ac:dyDescent="0.2">
      <c r="F128" s="887"/>
    </row>
    <row r="129" spans="6:6" s="771" customFormat="1" x14ac:dyDescent="0.2">
      <c r="F129" s="887"/>
    </row>
    <row r="130" spans="6:6" s="771" customFormat="1" x14ac:dyDescent="0.2">
      <c r="F130" s="887"/>
    </row>
    <row r="131" spans="6:6" s="771" customFormat="1" x14ac:dyDescent="0.2">
      <c r="F131" s="887"/>
    </row>
    <row r="132" spans="6:6" s="771" customFormat="1" x14ac:dyDescent="0.2">
      <c r="F132" s="887"/>
    </row>
    <row r="133" spans="6:6" s="771" customFormat="1" x14ac:dyDescent="0.2">
      <c r="F133" s="887"/>
    </row>
    <row r="134" spans="6:6" s="771" customFormat="1" x14ac:dyDescent="0.2">
      <c r="F134" s="887"/>
    </row>
    <row r="135" spans="6:6" s="771" customFormat="1" x14ac:dyDescent="0.2">
      <c r="F135" s="887"/>
    </row>
    <row r="136" spans="6:6" s="771" customFormat="1" x14ac:dyDescent="0.2">
      <c r="F136" s="887"/>
    </row>
    <row r="137" spans="6:6" s="771" customFormat="1" x14ac:dyDescent="0.2">
      <c r="F137" s="887"/>
    </row>
    <row r="138" spans="6:6" s="771" customFormat="1" x14ac:dyDescent="0.2">
      <c r="F138" s="887"/>
    </row>
    <row r="139" spans="6:6" s="771" customFormat="1" x14ac:dyDescent="0.2">
      <c r="F139" s="887"/>
    </row>
    <row r="140" spans="6:6" s="771" customFormat="1" x14ac:dyDescent="0.2">
      <c r="F140" s="887"/>
    </row>
    <row r="141" spans="6:6" s="771" customFormat="1" x14ac:dyDescent="0.2">
      <c r="F141" s="887"/>
    </row>
    <row r="142" spans="6:6" s="771" customFormat="1" x14ac:dyDescent="0.2">
      <c r="F142" s="887"/>
    </row>
    <row r="143" spans="6:6" s="771" customFormat="1" x14ac:dyDescent="0.2">
      <c r="F143" s="887"/>
    </row>
    <row r="144" spans="6:6" s="771" customFormat="1" x14ac:dyDescent="0.2">
      <c r="F144" s="887"/>
    </row>
    <row r="145" spans="6:6" s="771" customFormat="1" x14ac:dyDescent="0.2">
      <c r="F145" s="887"/>
    </row>
    <row r="146" spans="6:6" s="771" customFormat="1" x14ac:dyDescent="0.2">
      <c r="F146" s="887"/>
    </row>
    <row r="147" spans="6:6" s="771" customFormat="1" x14ac:dyDescent="0.2">
      <c r="F147" s="887"/>
    </row>
    <row r="148" spans="6:6" s="771" customFormat="1" x14ac:dyDescent="0.2">
      <c r="F148" s="887"/>
    </row>
    <row r="149" spans="6:6" s="771" customFormat="1" x14ac:dyDescent="0.2">
      <c r="F149" s="887"/>
    </row>
    <row r="150" spans="6:6" s="771" customFormat="1" x14ac:dyDescent="0.2">
      <c r="F150" s="887"/>
    </row>
    <row r="151" spans="6:6" s="771" customFormat="1" x14ac:dyDescent="0.2">
      <c r="F151" s="887"/>
    </row>
    <row r="152" spans="6:6" s="771" customFormat="1" x14ac:dyDescent="0.2">
      <c r="F152" s="887"/>
    </row>
    <row r="153" spans="6:6" s="771" customFormat="1" x14ac:dyDescent="0.2">
      <c r="F153" s="887"/>
    </row>
    <row r="154" spans="6:6" s="771" customFormat="1" x14ac:dyDescent="0.2">
      <c r="F154" s="887"/>
    </row>
    <row r="155" spans="6:6" s="771" customFormat="1" x14ac:dyDescent="0.2">
      <c r="F155" s="887"/>
    </row>
    <row r="156" spans="6:6" s="771" customFormat="1" x14ac:dyDescent="0.2">
      <c r="F156" s="887"/>
    </row>
    <row r="157" spans="6:6" s="771" customFormat="1" x14ac:dyDescent="0.2">
      <c r="F157" s="887"/>
    </row>
    <row r="158" spans="6:6" s="771" customFormat="1" x14ac:dyDescent="0.2">
      <c r="F158" s="887"/>
    </row>
    <row r="159" spans="6:6" s="771" customFormat="1" x14ac:dyDescent="0.2">
      <c r="F159" s="887"/>
    </row>
    <row r="160" spans="6:6" s="771" customFormat="1" x14ac:dyDescent="0.2">
      <c r="F160" s="887"/>
    </row>
    <row r="161" spans="6:6" s="771" customFormat="1" x14ac:dyDescent="0.2">
      <c r="F161" s="887"/>
    </row>
    <row r="162" spans="6:6" s="771" customFormat="1" x14ac:dyDescent="0.2">
      <c r="F162" s="887"/>
    </row>
    <row r="163" spans="6:6" s="771" customFormat="1" x14ac:dyDescent="0.2">
      <c r="F163" s="887"/>
    </row>
    <row r="164" spans="6:6" s="771" customFormat="1" x14ac:dyDescent="0.2">
      <c r="F164" s="887"/>
    </row>
    <row r="165" spans="6:6" s="771" customFormat="1" x14ac:dyDescent="0.2">
      <c r="F165" s="887"/>
    </row>
    <row r="166" spans="6:6" s="771" customFormat="1" x14ac:dyDescent="0.2">
      <c r="F166" s="887"/>
    </row>
    <row r="167" spans="6:6" s="771" customFormat="1" x14ac:dyDescent="0.2">
      <c r="F167" s="887"/>
    </row>
    <row r="168" spans="6:6" s="771" customFormat="1" x14ac:dyDescent="0.2">
      <c r="F168" s="887"/>
    </row>
    <row r="169" spans="6:6" s="771" customFormat="1" x14ac:dyDescent="0.2">
      <c r="F169" s="887"/>
    </row>
    <row r="170" spans="6:6" s="771" customFormat="1" x14ac:dyDescent="0.2">
      <c r="F170" s="887"/>
    </row>
    <row r="171" spans="6:6" s="771" customFormat="1" x14ac:dyDescent="0.2">
      <c r="F171" s="887"/>
    </row>
    <row r="172" spans="6:6" s="771" customFormat="1" x14ac:dyDescent="0.2">
      <c r="F172" s="887"/>
    </row>
    <row r="173" spans="6:6" s="771" customFormat="1" x14ac:dyDescent="0.2">
      <c r="F173" s="887"/>
    </row>
    <row r="174" spans="6:6" s="771" customFormat="1" x14ac:dyDescent="0.2">
      <c r="F174" s="887"/>
    </row>
    <row r="175" spans="6:6" s="771" customFormat="1" x14ac:dyDescent="0.2">
      <c r="F175" s="887"/>
    </row>
    <row r="176" spans="6:6" s="771" customFormat="1" x14ac:dyDescent="0.2">
      <c r="F176" s="887"/>
    </row>
    <row r="177" spans="6:6" s="771" customFormat="1" x14ac:dyDescent="0.2">
      <c r="F177" s="887"/>
    </row>
    <row r="178" spans="6:6" s="771" customFormat="1" x14ac:dyDescent="0.2">
      <c r="F178" s="887"/>
    </row>
    <row r="179" spans="6:6" s="771" customFormat="1" x14ac:dyDescent="0.2">
      <c r="F179" s="887"/>
    </row>
    <row r="180" spans="6:6" s="771" customFormat="1" x14ac:dyDescent="0.2">
      <c r="F180" s="887"/>
    </row>
    <row r="181" spans="6:6" s="771" customFormat="1" x14ac:dyDescent="0.2">
      <c r="F181" s="887"/>
    </row>
    <row r="182" spans="6:6" s="771" customFormat="1" x14ac:dyDescent="0.2">
      <c r="F182" s="887"/>
    </row>
    <row r="183" spans="6:6" s="771" customFormat="1" x14ac:dyDescent="0.2">
      <c r="F183" s="887"/>
    </row>
    <row r="184" spans="6:6" s="771" customFormat="1" x14ac:dyDescent="0.2">
      <c r="F184" s="887"/>
    </row>
    <row r="185" spans="6:6" s="771" customFormat="1" x14ac:dyDescent="0.2">
      <c r="F185" s="887"/>
    </row>
    <row r="186" spans="6:6" s="771" customFormat="1" x14ac:dyDescent="0.2">
      <c r="F186" s="887"/>
    </row>
    <row r="187" spans="6:6" s="771" customFormat="1" x14ac:dyDescent="0.2">
      <c r="F187" s="887"/>
    </row>
    <row r="188" spans="6:6" s="771" customFormat="1" x14ac:dyDescent="0.2">
      <c r="F188" s="887"/>
    </row>
    <row r="189" spans="6:6" s="771" customFormat="1" x14ac:dyDescent="0.2">
      <c r="F189" s="887"/>
    </row>
    <row r="190" spans="6:6" s="771" customFormat="1" x14ac:dyDescent="0.2">
      <c r="F190" s="887"/>
    </row>
    <row r="191" spans="6:6" s="771" customFormat="1" x14ac:dyDescent="0.2">
      <c r="F191" s="887"/>
    </row>
    <row r="192" spans="6:6" s="771" customFormat="1" x14ac:dyDescent="0.2">
      <c r="F192" s="887"/>
    </row>
    <row r="193" spans="6:6" s="771" customFormat="1" x14ac:dyDescent="0.2">
      <c r="F193" s="887"/>
    </row>
    <row r="194" spans="6:6" s="771" customFormat="1" x14ac:dyDescent="0.2">
      <c r="F194" s="887"/>
    </row>
    <row r="195" spans="6:6" s="771" customFormat="1" x14ac:dyDescent="0.2">
      <c r="F195" s="887"/>
    </row>
    <row r="196" spans="6:6" s="771" customFormat="1" x14ac:dyDescent="0.2">
      <c r="F196" s="887"/>
    </row>
    <row r="197" spans="6:6" s="771" customFormat="1" x14ac:dyDescent="0.2">
      <c r="F197" s="887"/>
    </row>
    <row r="198" spans="6:6" s="771" customFormat="1" x14ac:dyDescent="0.2">
      <c r="F198" s="887"/>
    </row>
    <row r="199" spans="6:6" s="771" customFormat="1" x14ac:dyDescent="0.2">
      <c r="F199" s="887"/>
    </row>
    <row r="200" spans="6:6" s="771" customFormat="1" x14ac:dyDescent="0.2">
      <c r="F200" s="887"/>
    </row>
    <row r="201" spans="6:6" s="771" customFormat="1" x14ac:dyDescent="0.2">
      <c r="F201" s="887"/>
    </row>
    <row r="202" spans="6:6" s="771" customFormat="1" x14ac:dyDescent="0.2">
      <c r="F202" s="887"/>
    </row>
    <row r="203" spans="6:6" s="771" customFormat="1" x14ac:dyDescent="0.2">
      <c r="F203" s="887"/>
    </row>
    <row r="204" spans="6:6" s="771" customFormat="1" x14ac:dyDescent="0.2">
      <c r="F204" s="887"/>
    </row>
    <row r="205" spans="6:6" s="771" customFormat="1" x14ac:dyDescent="0.2">
      <c r="F205" s="887"/>
    </row>
    <row r="206" spans="6:6" s="771" customFormat="1" x14ac:dyDescent="0.2">
      <c r="F206" s="887"/>
    </row>
    <row r="207" spans="6:6" s="771" customFormat="1" x14ac:dyDescent="0.2">
      <c r="F207" s="887"/>
    </row>
    <row r="208" spans="6:6" s="771" customFormat="1" x14ac:dyDescent="0.2">
      <c r="F208" s="887"/>
    </row>
    <row r="209" spans="6:6" s="771" customFormat="1" x14ac:dyDescent="0.2">
      <c r="F209" s="887"/>
    </row>
    <row r="210" spans="6:6" s="771" customFormat="1" x14ac:dyDescent="0.2">
      <c r="F210" s="887"/>
    </row>
    <row r="211" spans="6:6" s="771" customFormat="1" x14ac:dyDescent="0.2">
      <c r="F211" s="887"/>
    </row>
    <row r="212" spans="6:6" s="771" customFormat="1" x14ac:dyDescent="0.2">
      <c r="F212" s="887"/>
    </row>
    <row r="213" spans="6:6" s="771" customFormat="1" x14ac:dyDescent="0.2">
      <c r="F213" s="887"/>
    </row>
    <row r="214" spans="6:6" s="771" customFormat="1" x14ac:dyDescent="0.2">
      <c r="F214" s="887"/>
    </row>
    <row r="215" spans="6:6" s="771" customFormat="1" x14ac:dyDescent="0.2">
      <c r="F215" s="887"/>
    </row>
    <row r="216" spans="6:6" s="771" customFormat="1" x14ac:dyDescent="0.2">
      <c r="F216" s="887"/>
    </row>
    <row r="217" spans="6:6" s="771" customFormat="1" x14ac:dyDescent="0.2">
      <c r="F217" s="887"/>
    </row>
    <row r="218" spans="6:6" s="771" customFormat="1" x14ac:dyDescent="0.2">
      <c r="F218" s="887"/>
    </row>
    <row r="219" spans="6:6" s="771" customFormat="1" x14ac:dyDescent="0.2">
      <c r="F219" s="887"/>
    </row>
    <row r="220" spans="6:6" s="771" customFormat="1" x14ac:dyDescent="0.2">
      <c r="F220" s="887"/>
    </row>
    <row r="221" spans="6:6" s="771" customFormat="1" x14ac:dyDescent="0.2">
      <c r="F221" s="887"/>
    </row>
    <row r="222" spans="6:6" s="771" customFormat="1" x14ac:dyDescent="0.2">
      <c r="F222" s="887"/>
    </row>
    <row r="223" spans="6:6" s="771" customFormat="1" x14ac:dyDescent="0.2">
      <c r="F223" s="887"/>
    </row>
    <row r="224" spans="6:6" s="771" customFormat="1" x14ac:dyDescent="0.2">
      <c r="F224" s="887"/>
    </row>
    <row r="225" spans="6:6" s="771" customFormat="1" x14ac:dyDescent="0.2">
      <c r="F225" s="887"/>
    </row>
    <row r="226" spans="6:6" s="771" customFormat="1" x14ac:dyDescent="0.2">
      <c r="F226" s="887"/>
    </row>
    <row r="227" spans="6:6" s="771" customFormat="1" x14ac:dyDescent="0.2">
      <c r="F227" s="887"/>
    </row>
    <row r="228" spans="6:6" s="771" customFormat="1" x14ac:dyDescent="0.2">
      <c r="F228" s="887"/>
    </row>
    <row r="229" spans="6:6" s="771" customFormat="1" x14ac:dyDescent="0.2">
      <c r="F229" s="887"/>
    </row>
    <row r="230" spans="6:6" s="771" customFormat="1" x14ac:dyDescent="0.2">
      <c r="F230" s="887"/>
    </row>
    <row r="231" spans="6:6" s="771" customFormat="1" x14ac:dyDescent="0.2">
      <c r="F231" s="887"/>
    </row>
    <row r="232" spans="6:6" s="771" customFormat="1" x14ac:dyDescent="0.2">
      <c r="F232" s="887"/>
    </row>
    <row r="233" spans="6:6" s="771" customFormat="1" x14ac:dyDescent="0.2">
      <c r="F233" s="887"/>
    </row>
    <row r="234" spans="6:6" s="771" customFormat="1" x14ac:dyDescent="0.2">
      <c r="F234" s="887"/>
    </row>
    <row r="235" spans="6:6" s="771" customFormat="1" x14ac:dyDescent="0.2">
      <c r="F235" s="887"/>
    </row>
    <row r="236" spans="6:6" s="771" customFormat="1" x14ac:dyDescent="0.2">
      <c r="F236" s="887"/>
    </row>
    <row r="237" spans="6:6" s="771" customFormat="1" x14ac:dyDescent="0.2">
      <c r="F237" s="887"/>
    </row>
    <row r="238" spans="6:6" s="771" customFormat="1" x14ac:dyDescent="0.2">
      <c r="F238" s="887"/>
    </row>
    <row r="239" spans="6:6" s="771" customFormat="1" x14ac:dyDescent="0.2">
      <c r="F239" s="887"/>
    </row>
    <row r="240" spans="6:6" s="771" customFormat="1" x14ac:dyDescent="0.2">
      <c r="F240" s="887"/>
    </row>
    <row r="241" spans="6:6" s="771" customFormat="1" x14ac:dyDescent="0.2">
      <c r="F241" s="887"/>
    </row>
    <row r="242" spans="6:6" s="771" customFormat="1" x14ac:dyDescent="0.2">
      <c r="F242" s="887"/>
    </row>
    <row r="243" spans="6:6" s="771" customFormat="1" x14ac:dyDescent="0.2">
      <c r="F243" s="887"/>
    </row>
    <row r="244" spans="6:6" s="771" customFormat="1" x14ac:dyDescent="0.2">
      <c r="F244" s="887"/>
    </row>
    <row r="245" spans="6:6" s="771" customFormat="1" x14ac:dyDescent="0.2">
      <c r="F245" s="887"/>
    </row>
    <row r="246" spans="6:6" s="771" customFormat="1" x14ac:dyDescent="0.2">
      <c r="F246" s="887"/>
    </row>
    <row r="247" spans="6:6" s="771" customFormat="1" x14ac:dyDescent="0.2">
      <c r="F247" s="887"/>
    </row>
    <row r="248" spans="6:6" s="771" customFormat="1" x14ac:dyDescent="0.2">
      <c r="F248" s="887"/>
    </row>
    <row r="249" spans="6:6" s="771" customFormat="1" x14ac:dyDescent="0.2">
      <c r="F249" s="887"/>
    </row>
    <row r="250" spans="6:6" s="771" customFormat="1" x14ac:dyDescent="0.2">
      <c r="F250" s="887"/>
    </row>
    <row r="251" spans="6:6" s="771" customFormat="1" x14ac:dyDescent="0.2">
      <c r="F251" s="887"/>
    </row>
    <row r="252" spans="6:6" s="771" customFormat="1" x14ac:dyDescent="0.2">
      <c r="F252" s="887"/>
    </row>
    <row r="253" spans="6:6" s="771" customFormat="1" x14ac:dyDescent="0.2">
      <c r="F253" s="887"/>
    </row>
    <row r="254" spans="6:6" s="771" customFormat="1" x14ac:dyDescent="0.2">
      <c r="F254" s="887"/>
    </row>
    <row r="255" spans="6:6" s="771" customFormat="1" x14ac:dyDescent="0.2">
      <c r="F255" s="887"/>
    </row>
    <row r="256" spans="6:6" s="771" customFormat="1" x14ac:dyDescent="0.2">
      <c r="F256" s="887"/>
    </row>
    <row r="257" spans="6:6" s="771" customFormat="1" x14ac:dyDescent="0.2">
      <c r="F257" s="887"/>
    </row>
    <row r="258" spans="6:6" s="771" customFormat="1" x14ac:dyDescent="0.2">
      <c r="F258" s="887"/>
    </row>
    <row r="259" spans="6:6" s="771" customFormat="1" x14ac:dyDescent="0.2">
      <c r="F259" s="887"/>
    </row>
    <row r="260" spans="6:6" s="771" customFormat="1" x14ac:dyDescent="0.2">
      <c r="F260" s="887"/>
    </row>
    <row r="261" spans="6:6" s="771" customFormat="1" x14ac:dyDescent="0.2">
      <c r="F261" s="887"/>
    </row>
    <row r="262" spans="6:6" s="771" customFormat="1" x14ac:dyDescent="0.2">
      <c r="F262" s="887"/>
    </row>
    <row r="263" spans="6:6" s="771" customFormat="1" x14ac:dyDescent="0.2">
      <c r="F263" s="887"/>
    </row>
    <row r="264" spans="6:6" s="771" customFormat="1" x14ac:dyDescent="0.2">
      <c r="F264" s="887"/>
    </row>
    <row r="265" spans="6:6" s="771" customFormat="1" x14ac:dyDescent="0.2">
      <c r="F265" s="887"/>
    </row>
    <row r="266" spans="6:6" s="771" customFormat="1" x14ac:dyDescent="0.2">
      <c r="F266" s="887"/>
    </row>
    <row r="267" spans="6:6" s="771" customFormat="1" x14ac:dyDescent="0.2">
      <c r="F267" s="887"/>
    </row>
    <row r="268" spans="6:6" s="771" customFormat="1" x14ac:dyDescent="0.2">
      <c r="F268" s="887"/>
    </row>
    <row r="269" spans="6:6" s="771" customFormat="1" x14ac:dyDescent="0.2">
      <c r="F269" s="887"/>
    </row>
    <row r="270" spans="6:6" s="771" customFormat="1" x14ac:dyDescent="0.2">
      <c r="F270" s="887"/>
    </row>
    <row r="271" spans="6:6" s="771" customFormat="1" x14ac:dyDescent="0.2">
      <c r="F271" s="887"/>
    </row>
    <row r="272" spans="6:6" s="771" customFormat="1" x14ac:dyDescent="0.2">
      <c r="F272" s="887"/>
    </row>
    <row r="273" spans="6:6" s="771" customFormat="1" x14ac:dyDescent="0.2">
      <c r="F273" s="887"/>
    </row>
    <row r="274" spans="6:6" s="771" customFormat="1" x14ac:dyDescent="0.2">
      <c r="F274" s="887"/>
    </row>
    <row r="275" spans="6:6" s="771" customFormat="1" x14ac:dyDescent="0.2">
      <c r="F275" s="887"/>
    </row>
    <row r="276" spans="6:6" s="771" customFormat="1" x14ac:dyDescent="0.2">
      <c r="F276" s="887"/>
    </row>
    <row r="277" spans="6:6" s="771" customFormat="1" x14ac:dyDescent="0.2">
      <c r="F277" s="887"/>
    </row>
    <row r="278" spans="6:6" s="771" customFormat="1" x14ac:dyDescent="0.2">
      <c r="F278" s="887"/>
    </row>
    <row r="279" spans="6:6" s="771" customFormat="1" x14ac:dyDescent="0.2">
      <c r="F279" s="887"/>
    </row>
    <row r="280" spans="6:6" s="771" customFormat="1" x14ac:dyDescent="0.2">
      <c r="F280" s="887"/>
    </row>
    <row r="281" spans="6:6" s="771" customFormat="1" x14ac:dyDescent="0.2">
      <c r="F281" s="887"/>
    </row>
    <row r="282" spans="6:6" s="771" customFormat="1" x14ac:dyDescent="0.2">
      <c r="F282" s="887"/>
    </row>
    <row r="283" spans="6:6" s="771" customFormat="1" x14ac:dyDescent="0.2">
      <c r="F283" s="887"/>
    </row>
    <row r="284" spans="6:6" s="771" customFormat="1" x14ac:dyDescent="0.2">
      <c r="F284" s="887"/>
    </row>
    <row r="285" spans="6:6" s="771" customFormat="1" x14ac:dyDescent="0.2">
      <c r="F285" s="887"/>
    </row>
    <row r="286" spans="6:6" s="771" customFormat="1" x14ac:dyDescent="0.2">
      <c r="F286" s="887"/>
    </row>
    <row r="287" spans="6:6" s="771" customFormat="1" x14ac:dyDescent="0.2">
      <c r="F287" s="887"/>
    </row>
    <row r="288" spans="6:6" s="771" customFormat="1" x14ac:dyDescent="0.2">
      <c r="F288" s="887"/>
    </row>
    <row r="289" spans="6:6" s="771" customFormat="1" x14ac:dyDescent="0.2">
      <c r="F289" s="887"/>
    </row>
    <row r="290" spans="6:6" s="771" customFormat="1" x14ac:dyDescent="0.2">
      <c r="F290" s="887"/>
    </row>
    <row r="291" spans="6:6" s="771" customFormat="1" x14ac:dyDescent="0.2">
      <c r="F291" s="887"/>
    </row>
    <row r="292" spans="6:6" s="771" customFormat="1" x14ac:dyDescent="0.2">
      <c r="F292" s="887"/>
    </row>
    <row r="293" spans="6:6" s="771" customFormat="1" x14ac:dyDescent="0.2">
      <c r="F293" s="887"/>
    </row>
    <row r="294" spans="6:6" s="771" customFormat="1" x14ac:dyDescent="0.2">
      <c r="F294" s="887"/>
    </row>
    <row r="295" spans="6:6" s="771" customFormat="1" x14ac:dyDescent="0.2">
      <c r="F295" s="887"/>
    </row>
    <row r="296" spans="6:6" s="771" customFormat="1" x14ac:dyDescent="0.2">
      <c r="F296" s="887"/>
    </row>
    <row r="297" spans="6:6" s="771" customFormat="1" x14ac:dyDescent="0.2">
      <c r="F297" s="887"/>
    </row>
    <row r="298" spans="6:6" s="771" customFormat="1" x14ac:dyDescent="0.2">
      <c r="F298" s="887"/>
    </row>
    <row r="299" spans="6:6" s="771" customFormat="1" x14ac:dyDescent="0.2">
      <c r="F299" s="887"/>
    </row>
    <row r="300" spans="6:6" s="771" customFormat="1" x14ac:dyDescent="0.2">
      <c r="F300" s="887"/>
    </row>
    <row r="301" spans="6:6" s="771" customFormat="1" x14ac:dyDescent="0.2">
      <c r="F301" s="887"/>
    </row>
    <row r="302" spans="6:6" s="771" customFormat="1" x14ac:dyDescent="0.2">
      <c r="F302" s="887"/>
    </row>
    <row r="303" spans="6:6" s="771" customFormat="1" x14ac:dyDescent="0.2">
      <c r="F303" s="887"/>
    </row>
    <row r="304" spans="6:6" s="771" customFormat="1" x14ac:dyDescent="0.2">
      <c r="F304" s="887"/>
    </row>
    <row r="305" spans="6:44" s="771" customFormat="1" x14ac:dyDescent="0.2">
      <c r="F305" s="887"/>
    </row>
    <row r="306" spans="6:44" s="771" customFormat="1" x14ac:dyDescent="0.2">
      <c r="F306" s="887"/>
    </row>
    <row r="307" spans="6:44" s="771" customFormat="1" x14ac:dyDescent="0.2">
      <c r="F307" s="887"/>
    </row>
    <row r="308" spans="6:44" s="771" customFormat="1" x14ac:dyDescent="0.2">
      <c r="F308" s="887"/>
    </row>
    <row r="309" spans="6:44" s="771" customFormat="1" x14ac:dyDescent="0.2">
      <c r="F309" s="887"/>
    </row>
    <row r="310" spans="6:44" s="771" customFormat="1" x14ac:dyDescent="0.2">
      <c r="F310" s="887"/>
    </row>
    <row r="311" spans="6:44" s="771" customFormat="1" x14ac:dyDescent="0.2">
      <c r="F311" s="887"/>
    </row>
    <row r="312" spans="6:44" s="771" customFormat="1" x14ac:dyDescent="0.2">
      <c r="F312" s="887"/>
    </row>
    <row r="313" spans="6:44" s="771" customFormat="1" x14ac:dyDescent="0.2">
      <c r="F313" s="887"/>
    </row>
    <row r="314" spans="6:44" customFormat="1" x14ac:dyDescent="0.2">
      <c r="F314" s="35"/>
      <c r="P314" s="771"/>
      <c r="Q314" s="771"/>
      <c r="R314" s="771"/>
      <c r="S314" s="771"/>
      <c r="T314" s="771"/>
      <c r="U314" s="771"/>
      <c r="V314" s="771"/>
      <c r="W314" s="771"/>
      <c r="X314" s="771"/>
      <c r="Y314" s="771"/>
      <c r="Z314" s="771"/>
      <c r="AA314" s="771"/>
      <c r="AB314" s="771"/>
      <c r="AC314" s="771"/>
      <c r="AD314" s="771"/>
      <c r="AE314" s="771"/>
      <c r="AF314" s="771"/>
      <c r="AG314" s="771"/>
      <c r="AH314" s="771"/>
      <c r="AI314" s="771"/>
      <c r="AJ314" s="771"/>
      <c r="AK314" s="771"/>
      <c r="AL314" s="771"/>
      <c r="AM314" s="771"/>
      <c r="AN314" s="771"/>
      <c r="AO314" s="771"/>
      <c r="AP314" s="771"/>
      <c r="AQ314" s="771"/>
      <c r="AR314" s="771"/>
    </row>
    <row r="315" spans="6:44" customFormat="1" x14ac:dyDescent="0.2">
      <c r="F315" s="35"/>
      <c r="P315" s="771"/>
      <c r="Q315" s="771"/>
      <c r="R315" s="771"/>
      <c r="S315" s="771"/>
      <c r="T315" s="771"/>
      <c r="U315" s="771"/>
      <c r="V315" s="771"/>
      <c r="W315" s="771"/>
      <c r="X315" s="771"/>
      <c r="Y315" s="771"/>
      <c r="Z315" s="771"/>
      <c r="AA315" s="771"/>
      <c r="AB315" s="771"/>
      <c r="AC315" s="771"/>
      <c r="AD315" s="771"/>
      <c r="AE315" s="771"/>
      <c r="AF315" s="771"/>
      <c r="AG315" s="771"/>
      <c r="AH315" s="771"/>
      <c r="AI315" s="771"/>
      <c r="AJ315" s="771"/>
      <c r="AK315" s="771"/>
      <c r="AL315" s="771"/>
      <c r="AM315" s="771"/>
      <c r="AN315" s="771"/>
      <c r="AO315" s="771"/>
      <c r="AP315" s="771"/>
      <c r="AQ315" s="771"/>
      <c r="AR315" s="771"/>
    </row>
    <row r="316" spans="6:44" customFormat="1" x14ac:dyDescent="0.2">
      <c r="F316" s="35"/>
      <c r="P316" s="771"/>
      <c r="Q316" s="771"/>
      <c r="R316" s="771"/>
      <c r="S316" s="771"/>
      <c r="T316" s="771"/>
      <c r="U316" s="771"/>
      <c r="V316" s="771"/>
      <c r="W316" s="771"/>
      <c r="X316" s="771"/>
      <c r="Y316" s="771"/>
      <c r="Z316" s="771"/>
      <c r="AA316" s="771"/>
      <c r="AB316" s="771"/>
      <c r="AC316" s="771"/>
      <c r="AD316" s="771"/>
      <c r="AE316" s="771"/>
      <c r="AF316" s="771"/>
      <c r="AG316" s="771"/>
      <c r="AH316" s="771"/>
      <c r="AI316" s="771"/>
      <c r="AJ316" s="771"/>
      <c r="AK316" s="771"/>
      <c r="AL316" s="771"/>
      <c r="AM316" s="771"/>
      <c r="AN316" s="771"/>
      <c r="AO316" s="771"/>
      <c r="AP316" s="771"/>
      <c r="AQ316" s="771"/>
      <c r="AR316" s="771"/>
    </row>
    <row r="317" spans="6:44" customFormat="1" x14ac:dyDescent="0.2">
      <c r="F317" s="35"/>
      <c r="P317" s="771"/>
      <c r="Q317" s="771"/>
      <c r="R317" s="771"/>
      <c r="S317" s="771"/>
      <c r="T317" s="771"/>
      <c r="U317" s="771"/>
      <c r="V317" s="771"/>
      <c r="W317" s="771"/>
      <c r="X317" s="771"/>
      <c r="Y317" s="771"/>
      <c r="Z317" s="771"/>
      <c r="AA317" s="771"/>
      <c r="AB317" s="771"/>
      <c r="AC317" s="771"/>
      <c r="AD317" s="771"/>
      <c r="AE317" s="771"/>
      <c r="AF317" s="771"/>
      <c r="AG317" s="771"/>
      <c r="AH317" s="771"/>
      <c r="AI317" s="771"/>
      <c r="AJ317" s="771"/>
      <c r="AK317" s="771"/>
      <c r="AL317" s="771"/>
      <c r="AM317" s="771"/>
      <c r="AN317" s="771"/>
      <c r="AO317" s="771"/>
      <c r="AP317" s="771"/>
      <c r="AQ317" s="771"/>
      <c r="AR317" s="771"/>
    </row>
    <row r="318" spans="6:44" customFormat="1" x14ac:dyDescent="0.2">
      <c r="F318" s="35"/>
      <c r="P318" s="771"/>
      <c r="Q318" s="771"/>
      <c r="R318" s="771"/>
      <c r="S318" s="771"/>
      <c r="T318" s="771"/>
      <c r="U318" s="771"/>
      <c r="V318" s="771"/>
      <c r="W318" s="771"/>
      <c r="X318" s="771"/>
      <c r="Y318" s="771"/>
      <c r="Z318" s="771"/>
      <c r="AA318" s="771"/>
      <c r="AB318" s="771"/>
      <c r="AC318" s="771"/>
      <c r="AD318" s="771"/>
      <c r="AE318" s="771"/>
      <c r="AF318" s="771"/>
      <c r="AG318" s="771"/>
      <c r="AH318" s="771"/>
      <c r="AI318" s="771"/>
      <c r="AJ318" s="771"/>
      <c r="AK318" s="771"/>
      <c r="AL318" s="771"/>
      <c r="AM318" s="771"/>
      <c r="AN318" s="771"/>
      <c r="AO318" s="771"/>
      <c r="AP318" s="771"/>
      <c r="AQ318" s="771"/>
      <c r="AR318" s="771"/>
    </row>
    <row r="319" spans="6:44" customFormat="1" x14ac:dyDescent="0.2">
      <c r="F319" s="35"/>
      <c r="P319" s="771"/>
      <c r="Q319" s="771"/>
      <c r="R319" s="771"/>
      <c r="S319" s="771"/>
      <c r="T319" s="771"/>
      <c r="U319" s="771"/>
      <c r="V319" s="771"/>
      <c r="W319" s="771"/>
      <c r="X319" s="771"/>
      <c r="Y319" s="771"/>
      <c r="Z319" s="771"/>
      <c r="AA319" s="771"/>
      <c r="AB319" s="771"/>
      <c r="AC319" s="771"/>
      <c r="AD319" s="771"/>
      <c r="AE319" s="771"/>
      <c r="AF319" s="771"/>
      <c r="AG319" s="771"/>
      <c r="AH319" s="771"/>
      <c r="AI319" s="771"/>
      <c r="AJ319" s="771"/>
      <c r="AK319" s="771"/>
      <c r="AL319" s="771"/>
      <c r="AM319" s="771"/>
      <c r="AN319" s="771"/>
      <c r="AO319" s="771"/>
      <c r="AP319" s="771"/>
      <c r="AQ319" s="771"/>
      <c r="AR319" s="771"/>
    </row>
    <row r="320" spans="6:44" customFormat="1" x14ac:dyDescent="0.2">
      <c r="F320" s="35"/>
      <c r="P320" s="771"/>
      <c r="Q320" s="771"/>
      <c r="R320" s="771"/>
      <c r="S320" s="771"/>
      <c r="T320" s="771"/>
      <c r="U320" s="771"/>
      <c r="V320" s="771"/>
      <c r="W320" s="771"/>
      <c r="X320" s="771"/>
      <c r="Y320" s="771"/>
      <c r="Z320" s="771"/>
      <c r="AA320" s="771"/>
      <c r="AB320" s="771"/>
      <c r="AC320" s="771"/>
      <c r="AD320" s="771"/>
      <c r="AE320" s="771"/>
      <c r="AF320" s="771"/>
      <c r="AG320" s="771"/>
      <c r="AH320" s="771"/>
      <c r="AI320" s="771"/>
      <c r="AJ320" s="771"/>
      <c r="AK320" s="771"/>
      <c r="AL320" s="771"/>
      <c r="AM320" s="771"/>
      <c r="AN320" s="771"/>
      <c r="AO320" s="771"/>
      <c r="AP320" s="771"/>
      <c r="AQ320" s="771"/>
      <c r="AR320" s="771"/>
    </row>
    <row r="321" spans="6:44" customFormat="1" x14ac:dyDescent="0.2">
      <c r="F321" s="35"/>
      <c r="P321" s="771"/>
      <c r="Q321" s="771"/>
      <c r="R321" s="771"/>
      <c r="S321" s="771"/>
      <c r="T321" s="771"/>
      <c r="U321" s="771"/>
      <c r="V321" s="771"/>
      <c r="W321" s="771"/>
      <c r="X321" s="771"/>
      <c r="Y321" s="771"/>
      <c r="Z321" s="771"/>
      <c r="AA321" s="771"/>
      <c r="AB321" s="771"/>
      <c r="AC321" s="771"/>
      <c r="AD321" s="771"/>
      <c r="AE321" s="771"/>
      <c r="AF321" s="771"/>
      <c r="AG321" s="771"/>
      <c r="AH321" s="771"/>
      <c r="AI321" s="771"/>
      <c r="AJ321" s="771"/>
      <c r="AK321" s="771"/>
      <c r="AL321" s="771"/>
      <c r="AM321" s="771"/>
      <c r="AN321" s="771"/>
      <c r="AO321" s="771"/>
      <c r="AP321" s="771"/>
      <c r="AQ321" s="771"/>
      <c r="AR321" s="771"/>
    </row>
    <row r="322" spans="6:44" customFormat="1" x14ac:dyDescent="0.2">
      <c r="F322" s="35"/>
      <c r="P322" s="771"/>
      <c r="Q322" s="771"/>
      <c r="R322" s="771"/>
      <c r="S322" s="771"/>
      <c r="T322" s="771"/>
      <c r="U322" s="771"/>
      <c r="V322" s="771"/>
      <c r="W322" s="771"/>
      <c r="X322" s="771"/>
      <c r="Y322" s="771"/>
      <c r="Z322" s="771"/>
      <c r="AA322" s="771"/>
      <c r="AB322" s="771"/>
      <c r="AC322" s="771"/>
      <c r="AD322" s="771"/>
      <c r="AE322" s="771"/>
      <c r="AF322" s="771"/>
      <c r="AG322" s="771"/>
      <c r="AH322" s="771"/>
      <c r="AI322" s="771"/>
      <c r="AJ322" s="771"/>
      <c r="AK322" s="771"/>
      <c r="AL322" s="771"/>
      <c r="AM322" s="771"/>
      <c r="AN322" s="771"/>
      <c r="AO322" s="771"/>
      <c r="AP322" s="771"/>
      <c r="AQ322" s="771"/>
      <c r="AR322" s="771"/>
    </row>
    <row r="323" spans="6:44" customFormat="1" x14ac:dyDescent="0.2">
      <c r="F323" s="35"/>
      <c r="P323" s="771"/>
      <c r="Q323" s="771"/>
      <c r="R323" s="771"/>
      <c r="S323" s="771"/>
      <c r="T323" s="771"/>
      <c r="U323" s="771"/>
      <c r="V323" s="771"/>
      <c r="W323" s="771"/>
      <c r="X323" s="771"/>
      <c r="Y323" s="771"/>
      <c r="Z323" s="771"/>
      <c r="AA323" s="771"/>
      <c r="AB323" s="771"/>
      <c r="AC323" s="771"/>
      <c r="AD323" s="771"/>
      <c r="AE323" s="771"/>
      <c r="AF323" s="771"/>
      <c r="AG323" s="771"/>
      <c r="AH323" s="771"/>
      <c r="AI323" s="771"/>
      <c r="AJ323" s="771"/>
      <c r="AK323" s="771"/>
      <c r="AL323" s="771"/>
      <c r="AM323" s="771"/>
      <c r="AN323" s="771"/>
      <c r="AO323" s="771"/>
      <c r="AP323" s="771"/>
      <c r="AQ323" s="771"/>
      <c r="AR323" s="771"/>
    </row>
    <row r="324" spans="6:44" customFormat="1" x14ac:dyDescent="0.2">
      <c r="F324" s="35"/>
      <c r="P324" s="771"/>
      <c r="Q324" s="771"/>
      <c r="R324" s="771"/>
      <c r="S324" s="771"/>
      <c r="T324" s="771"/>
      <c r="U324" s="771"/>
      <c r="V324" s="771"/>
      <c r="W324" s="771"/>
      <c r="X324" s="771"/>
      <c r="Y324" s="771"/>
      <c r="Z324" s="771"/>
      <c r="AA324" s="771"/>
      <c r="AB324" s="771"/>
      <c r="AC324" s="771"/>
      <c r="AD324" s="771"/>
      <c r="AE324" s="771"/>
      <c r="AF324" s="771"/>
      <c r="AG324" s="771"/>
      <c r="AH324" s="771"/>
      <c r="AI324" s="771"/>
      <c r="AJ324" s="771"/>
      <c r="AK324" s="771"/>
      <c r="AL324" s="771"/>
      <c r="AM324" s="771"/>
      <c r="AN324" s="771"/>
      <c r="AO324" s="771"/>
      <c r="AP324" s="771"/>
      <c r="AQ324" s="771"/>
      <c r="AR324" s="771"/>
    </row>
    <row r="325" spans="6:44" customFormat="1" x14ac:dyDescent="0.2">
      <c r="F325" s="35"/>
      <c r="P325" s="771"/>
      <c r="Q325" s="771"/>
      <c r="R325" s="771"/>
      <c r="S325" s="771"/>
      <c r="T325" s="771"/>
      <c r="U325" s="771"/>
      <c r="V325" s="771"/>
      <c r="W325" s="771"/>
      <c r="X325" s="771"/>
      <c r="Y325" s="771"/>
      <c r="Z325" s="771"/>
      <c r="AA325" s="771"/>
      <c r="AB325" s="771"/>
      <c r="AC325" s="771"/>
      <c r="AD325" s="771"/>
      <c r="AE325" s="771"/>
      <c r="AF325" s="771"/>
      <c r="AG325" s="771"/>
      <c r="AH325" s="771"/>
      <c r="AI325" s="771"/>
      <c r="AJ325" s="771"/>
      <c r="AK325" s="771"/>
      <c r="AL325" s="771"/>
      <c r="AM325" s="771"/>
      <c r="AN325" s="771"/>
      <c r="AO325" s="771"/>
      <c r="AP325" s="771"/>
      <c r="AQ325" s="771"/>
      <c r="AR325" s="771"/>
    </row>
    <row r="326" spans="6:44" customFormat="1" x14ac:dyDescent="0.2">
      <c r="F326" s="35"/>
      <c r="P326" s="771"/>
      <c r="Q326" s="771"/>
      <c r="R326" s="771"/>
      <c r="S326" s="771"/>
      <c r="T326" s="771"/>
      <c r="U326" s="771"/>
      <c r="V326" s="771"/>
      <c r="W326" s="771"/>
      <c r="X326" s="771"/>
      <c r="Y326" s="771"/>
      <c r="Z326" s="771"/>
      <c r="AA326" s="771"/>
      <c r="AB326" s="771"/>
      <c r="AC326" s="771"/>
      <c r="AD326" s="771"/>
      <c r="AE326" s="771"/>
      <c r="AF326" s="771"/>
      <c r="AG326" s="771"/>
      <c r="AH326" s="771"/>
      <c r="AI326" s="771"/>
      <c r="AJ326" s="771"/>
      <c r="AK326" s="771"/>
      <c r="AL326" s="771"/>
      <c r="AM326" s="771"/>
      <c r="AN326" s="771"/>
      <c r="AO326" s="771"/>
      <c r="AP326" s="771"/>
      <c r="AQ326" s="771"/>
      <c r="AR326" s="771"/>
    </row>
    <row r="327" spans="6:44" customFormat="1" x14ac:dyDescent="0.2">
      <c r="F327" s="35"/>
      <c r="P327" s="771"/>
      <c r="Q327" s="771"/>
      <c r="R327" s="771"/>
      <c r="S327" s="771"/>
      <c r="T327" s="771"/>
      <c r="U327" s="771"/>
      <c r="V327" s="771"/>
      <c r="W327" s="771"/>
      <c r="X327" s="771"/>
      <c r="Y327" s="771"/>
      <c r="Z327" s="771"/>
      <c r="AA327" s="771"/>
      <c r="AB327" s="771"/>
      <c r="AC327" s="771"/>
      <c r="AD327" s="771"/>
      <c r="AE327" s="771"/>
      <c r="AF327" s="771"/>
      <c r="AG327" s="771"/>
      <c r="AH327" s="771"/>
      <c r="AI327" s="771"/>
      <c r="AJ327" s="771"/>
      <c r="AK327" s="771"/>
      <c r="AL327" s="771"/>
      <c r="AM327" s="771"/>
      <c r="AN327" s="771"/>
      <c r="AO327" s="771"/>
      <c r="AP327" s="771"/>
      <c r="AQ327" s="771"/>
      <c r="AR327" s="771"/>
    </row>
    <row r="328" spans="6:44" customFormat="1" x14ac:dyDescent="0.2">
      <c r="F328" s="35"/>
      <c r="P328" s="771"/>
      <c r="Q328" s="771"/>
      <c r="R328" s="771"/>
      <c r="S328" s="771"/>
      <c r="T328" s="771"/>
      <c r="U328" s="771"/>
      <c r="V328" s="771"/>
      <c r="W328" s="771"/>
      <c r="X328" s="771"/>
      <c r="Y328" s="771"/>
      <c r="Z328" s="771"/>
      <c r="AA328" s="771"/>
      <c r="AB328" s="771"/>
      <c r="AC328" s="771"/>
      <c r="AD328" s="771"/>
      <c r="AE328" s="771"/>
      <c r="AF328" s="771"/>
      <c r="AG328" s="771"/>
      <c r="AH328" s="771"/>
      <c r="AI328" s="771"/>
      <c r="AJ328" s="771"/>
      <c r="AK328" s="771"/>
      <c r="AL328" s="771"/>
      <c r="AM328" s="771"/>
      <c r="AN328" s="771"/>
      <c r="AO328" s="771"/>
      <c r="AP328" s="771"/>
      <c r="AQ328" s="771"/>
      <c r="AR328" s="771"/>
    </row>
    <row r="329" spans="6:44" customFormat="1" x14ac:dyDescent="0.2">
      <c r="F329" s="35"/>
      <c r="P329" s="771"/>
      <c r="Q329" s="771"/>
      <c r="R329" s="771"/>
      <c r="S329" s="771"/>
      <c r="T329" s="771"/>
      <c r="U329" s="771"/>
      <c r="V329" s="771"/>
      <c r="W329" s="771"/>
      <c r="X329" s="771"/>
      <c r="Y329" s="771"/>
      <c r="Z329" s="771"/>
      <c r="AA329" s="771"/>
      <c r="AB329" s="771"/>
      <c r="AC329" s="771"/>
      <c r="AD329" s="771"/>
      <c r="AE329" s="771"/>
      <c r="AF329" s="771"/>
      <c r="AG329" s="771"/>
      <c r="AH329" s="771"/>
      <c r="AI329" s="771"/>
      <c r="AJ329" s="771"/>
      <c r="AK329" s="771"/>
      <c r="AL329" s="771"/>
      <c r="AM329" s="771"/>
      <c r="AN329" s="771"/>
      <c r="AO329" s="771"/>
      <c r="AP329" s="771"/>
      <c r="AQ329" s="771"/>
      <c r="AR329" s="771"/>
    </row>
    <row r="330" spans="6:44" customFormat="1" x14ac:dyDescent="0.2">
      <c r="F330" s="35"/>
      <c r="P330" s="771"/>
      <c r="Q330" s="771"/>
      <c r="R330" s="771"/>
      <c r="S330" s="771"/>
      <c r="T330" s="771"/>
      <c r="U330" s="771"/>
      <c r="V330" s="771"/>
      <c r="W330" s="771"/>
      <c r="X330" s="771"/>
      <c r="Y330" s="771"/>
      <c r="Z330" s="771"/>
      <c r="AA330" s="771"/>
      <c r="AB330" s="771"/>
      <c r="AC330" s="771"/>
      <c r="AD330" s="771"/>
      <c r="AE330" s="771"/>
      <c r="AF330" s="771"/>
      <c r="AG330" s="771"/>
      <c r="AH330" s="771"/>
      <c r="AI330" s="771"/>
      <c r="AJ330" s="771"/>
      <c r="AK330" s="771"/>
      <c r="AL330" s="771"/>
      <c r="AM330" s="771"/>
      <c r="AN330" s="771"/>
      <c r="AO330" s="771"/>
      <c r="AP330" s="771"/>
      <c r="AQ330" s="771"/>
      <c r="AR330" s="771"/>
    </row>
    <row r="331" spans="6:44" customFormat="1" x14ac:dyDescent="0.2">
      <c r="F331" s="35"/>
      <c r="P331" s="771"/>
      <c r="Q331" s="771"/>
      <c r="R331" s="771"/>
      <c r="S331" s="771"/>
      <c r="T331" s="771"/>
      <c r="U331" s="771"/>
      <c r="V331" s="771"/>
      <c r="W331" s="771"/>
      <c r="X331" s="771"/>
      <c r="Y331" s="771"/>
      <c r="Z331" s="771"/>
      <c r="AA331" s="771"/>
      <c r="AB331" s="771"/>
      <c r="AC331" s="771"/>
      <c r="AD331" s="771"/>
      <c r="AE331" s="771"/>
      <c r="AF331" s="771"/>
      <c r="AG331" s="771"/>
      <c r="AH331" s="771"/>
      <c r="AI331" s="771"/>
      <c r="AJ331" s="771"/>
      <c r="AK331" s="771"/>
      <c r="AL331" s="771"/>
      <c r="AM331" s="771"/>
      <c r="AN331" s="771"/>
      <c r="AO331" s="771"/>
      <c r="AP331" s="771"/>
      <c r="AQ331" s="771"/>
      <c r="AR331" s="771"/>
    </row>
    <row r="332" spans="6:44" customFormat="1" x14ac:dyDescent="0.2">
      <c r="F332" s="35"/>
      <c r="P332" s="771"/>
      <c r="Q332" s="771"/>
      <c r="R332" s="771"/>
      <c r="S332" s="771"/>
      <c r="T332" s="771"/>
      <c r="U332" s="771"/>
      <c r="V332" s="771"/>
      <c r="W332" s="771"/>
      <c r="X332" s="771"/>
      <c r="Y332" s="771"/>
      <c r="Z332" s="771"/>
      <c r="AA332" s="771"/>
      <c r="AB332" s="771"/>
      <c r="AC332" s="771"/>
      <c r="AD332" s="771"/>
      <c r="AE332" s="771"/>
      <c r="AF332" s="771"/>
      <c r="AG332" s="771"/>
      <c r="AH332" s="771"/>
      <c r="AI332" s="771"/>
      <c r="AJ332" s="771"/>
      <c r="AK332" s="771"/>
      <c r="AL332" s="771"/>
      <c r="AM332" s="771"/>
      <c r="AN332" s="771"/>
      <c r="AO332" s="771"/>
      <c r="AP332" s="771"/>
      <c r="AQ332" s="771"/>
      <c r="AR332" s="771"/>
    </row>
    <row r="333" spans="6:44" customFormat="1" x14ac:dyDescent="0.2">
      <c r="F333" s="35"/>
      <c r="P333" s="771"/>
      <c r="Q333" s="771"/>
      <c r="R333" s="771"/>
      <c r="S333" s="771"/>
      <c r="T333" s="771"/>
      <c r="U333" s="771"/>
      <c r="V333" s="771"/>
      <c r="W333" s="771"/>
      <c r="X333" s="771"/>
      <c r="Y333" s="771"/>
      <c r="Z333" s="771"/>
      <c r="AA333" s="771"/>
      <c r="AB333" s="771"/>
      <c r="AC333" s="771"/>
      <c r="AD333" s="771"/>
      <c r="AE333" s="771"/>
      <c r="AF333" s="771"/>
      <c r="AG333" s="771"/>
      <c r="AH333" s="771"/>
      <c r="AI333" s="771"/>
      <c r="AJ333" s="771"/>
      <c r="AK333" s="771"/>
      <c r="AL333" s="771"/>
      <c r="AM333" s="771"/>
      <c r="AN333" s="771"/>
      <c r="AO333" s="771"/>
      <c r="AP333" s="771"/>
      <c r="AQ333" s="771"/>
      <c r="AR333" s="771"/>
    </row>
    <row r="334" spans="6:44" customFormat="1" x14ac:dyDescent="0.2">
      <c r="F334" s="35"/>
      <c r="P334" s="771"/>
      <c r="Q334" s="771"/>
      <c r="R334" s="771"/>
      <c r="S334" s="771"/>
      <c r="T334" s="771"/>
      <c r="U334" s="771"/>
      <c r="V334" s="771"/>
      <c r="W334" s="771"/>
      <c r="X334" s="771"/>
      <c r="Y334" s="771"/>
      <c r="Z334" s="771"/>
      <c r="AA334" s="771"/>
      <c r="AB334" s="771"/>
      <c r="AC334" s="771"/>
      <c r="AD334" s="771"/>
      <c r="AE334" s="771"/>
      <c r="AF334" s="771"/>
      <c r="AG334" s="771"/>
      <c r="AH334" s="771"/>
      <c r="AI334" s="771"/>
      <c r="AJ334" s="771"/>
      <c r="AK334" s="771"/>
      <c r="AL334" s="771"/>
      <c r="AM334" s="771"/>
      <c r="AN334" s="771"/>
      <c r="AO334" s="771"/>
      <c r="AP334" s="771"/>
      <c r="AQ334" s="771"/>
      <c r="AR334" s="771"/>
    </row>
    <row r="335" spans="6:44" customFormat="1" x14ac:dyDescent="0.2">
      <c r="F335" s="35"/>
      <c r="P335" s="771"/>
      <c r="Q335" s="771"/>
      <c r="R335" s="771"/>
      <c r="S335" s="771"/>
      <c r="T335" s="771"/>
      <c r="U335" s="771"/>
      <c r="V335" s="771"/>
      <c r="W335" s="771"/>
      <c r="X335" s="771"/>
      <c r="Y335" s="771"/>
      <c r="Z335" s="771"/>
      <c r="AA335" s="771"/>
      <c r="AB335" s="771"/>
      <c r="AC335" s="771"/>
      <c r="AD335" s="771"/>
      <c r="AE335" s="771"/>
      <c r="AF335" s="771"/>
      <c r="AG335" s="771"/>
      <c r="AH335" s="771"/>
      <c r="AI335" s="771"/>
      <c r="AJ335" s="771"/>
      <c r="AK335" s="771"/>
      <c r="AL335" s="771"/>
      <c r="AM335" s="771"/>
      <c r="AN335" s="771"/>
      <c r="AO335" s="771"/>
      <c r="AP335" s="771"/>
      <c r="AQ335" s="771"/>
      <c r="AR335" s="771"/>
    </row>
    <row r="336" spans="6:44" customFormat="1" x14ac:dyDescent="0.2">
      <c r="F336" s="35"/>
      <c r="P336" s="771"/>
      <c r="Q336" s="771"/>
      <c r="R336" s="771"/>
      <c r="S336" s="771"/>
      <c r="T336" s="771"/>
      <c r="U336" s="771"/>
      <c r="V336" s="771"/>
      <c r="W336" s="771"/>
      <c r="X336" s="771"/>
      <c r="Y336" s="771"/>
      <c r="Z336" s="771"/>
      <c r="AA336" s="771"/>
      <c r="AB336" s="771"/>
      <c r="AC336" s="771"/>
      <c r="AD336" s="771"/>
      <c r="AE336" s="771"/>
      <c r="AF336" s="771"/>
      <c r="AG336" s="771"/>
      <c r="AH336" s="771"/>
      <c r="AI336" s="771"/>
      <c r="AJ336" s="771"/>
      <c r="AK336" s="771"/>
      <c r="AL336" s="771"/>
      <c r="AM336" s="771"/>
      <c r="AN336" s="771"/>
      <c r="AO336" s="771"/>
      <c r="AP336" s="771"/>
      <c r="AQ336" s="771"/>
      <c r="AR336" s="771"/>
    </row>
    <row r="337" spans="6:44" customFormat="1" x14ac:dyDescent="0.2">
      <c r="F337" s="35"/>
      <c r="P337" s="771"/>
      <c r="Q337" s="771"/>
      <c r="R337" s="771"/>
      <c r="S337" s="771"/>
      <c r="T337" s="771"/>
      <c r="U337" s="771"/>
      <c r="V337" s="771"/>
      <c r="W337" s="771"/>
      <c r="X337" s="771"/>
      <c r="Y337" s="771"/>
      <c r="Z337" s="771"/>
      <c r="AA337" s="771"/>
      <c r="AB337" s="771"/>
      <c r="AC337" s="771"/>
      <c r="AD337" s="771"/>
      <c r="AE337" s="771"/>
      <c r="AF337" s="771"/>
      <c r="AG337" s="771"/>
      <c r="AH337" s="771"/>
      <c r="AI337" s="771"/>
      <c r="AJ337" s="771"/>
      <c r="AK337" s="771"/>
      <c r="AL337" s="771"/>
      <c r="AM337" s="771"/>
      <c r="AN337" s="771"/>
      <c r="AO337" s="771"/>
      <c r="AP337" s="771"/>
      <c r="AQ337" s="771"/>
      <c r="AR337" s="771"/>
    </row>
    <row r="338" spans="6:44" customFormat="1" x14ac:dyDescent="0.2">
      <c r="F338" s="35"/>
      <c r="P338" s="771"/>
      <c r="Q338" s="771"/>
      <c r="R338" s="771"/>
      <c r="S338" s="771"/>
      <c r="T338" s="771"/>
      <c r="U338" s="771"/>
      <c r="V338" s="771"/>
      <c r="W338" s="771"/>
      <c r="X338" s="771"/>
      <c r="Y338" s="771"/>
      <c r="Z338" s="771"/>
      <c r="AA338" s="771"/>
      <c r="AB338" s="771"/>
      <c r="AC338" s="771"/>
      <c r="AD338" s="771"/>
      <c r="AE338" s="771"/>
      <c r="AF338" s="771"/>
      <c r="AG338" s="771"/>
      <c r="AH338" s="771"/>
      <c r="AI338" s="771"/>
      <c r="AJ338" s="771"/>
      <c r="AK338" s="771"/>
      <c r="AL338" s="771"/>
      <c r="AM338" s="771"/>
      <c r="AN338" s="771"/>
      <c r="AO338" s="771"/>
      <c r="AP338" s="771"/>
      <c r="AQ338" s="771"/>
      <c r="AR338" s="771"/>
    </row>
    <row r="339" spans="6:44" customFormat="1" x14ac:dyDescent="0.2">
      <c r="F339" s="35"/>
      <c r="P339" s="771"/>
      <c r="Q339" s="771"/>
      <c r="R339" s="771"/>
      <c r="S339" s="771"/>
      <c r="T339" s="771"/>
      <c r="U339" s="771"/>
      <c r="V339" s="771"/>
      <c r="W339" s="771"/>
      <c r="X339" s="771"/>
      <c r="Y339" s="771"/>
      <c r="Z339" s="771"/>
      <c r="AA339" s="771"/>
      <c r="AB339" s="771"/>
      <c r="AC339" s="771"/>
      <c r="AD339" s="771"/>
      <c r="AE339" s="771"/>
      <c r="AF339" s="771"/>
      <c r="AG339" s="771"/>
      <c r="AH339" s="771"/>
      <c r="AI339" s="771"/>
      <c r="AJ339" s="771"/>
      <c r="AK339" s="771"/>
      <c r="AL339" s="771"/>
      <c r="AM339" s="771"/>
      <c r="AN339" s="771"/>
      <c r="AO339" s="771"/>
      <c r="AP339" s="771"/>
      <c r="AQ339" s="771"/>
      <c r="AR339" s="771"/>
    </row>
    <row r="340" spans="6:44" customFormat="1" x14ac:dyDescent="0.2">
      <c r="F340" s="35"/>
      <c r="P340" s="771"/>
      <c r="Q340" s="771"/>
      <c r="R340" s="771"/>
      <c r="S340" s="771"/>
      <c r="T340" s="771"/>
      <c r="U340" s="771"/>
      <c r="V340" s="771"/>
      <c r="W340" s="771"/>
      <c r="X340" s="771"/>
      <c r="Y340" s="771"/>
      <c r="Z340" s="771"/>
      <c r="AA340" s="771"/>
      <c r="AB340" s="771"/>
      <c r="AC340" s="771"/>
      <c r="AD340" s="771"/>
      <c r="AE340" s="771"/>
      <c r="AF340" s="771"/>
      <c r="AG340" s="771"/>
      <c r="AH340" s="771"/>
      <c r="AI340" s="771"/>
      <c r="AJ340" s="771"/>
      <c r="AK340" s="771"/>
      <c r="AL340" s="771"/>
      <c r="AM340" s="771"/>
      <c r="AN340" s="771"/>
      <c r="AO340" s="771"/>
      <c r="AP340" s="771"/>
      <c r="AQ340" s="771"/>
      <c r="AR340" s="771"/>
    </row>
    <row r="341" spans="6:44" customFormat="1" x14ac:dyDescent="0.2">
      <c r="F341" s="35"/>
      <c r="P341" s="771"/>
      <c r="Q341" s="771"/>
      <c r="R341" s="771"/>
      <c r="S341" s="771"/>
      <c r="T341" s="771"/>
      <c r="U341" s="771"/>
      <c r="V341" s="771"/>
      <c r="W341" s="771"/>
      <c r="X341" s="771"/>
      <c r="Y341" s="771"/>
      <c r="Z341" s="771"/>
      <c r="AA341" s="771"/>
      <c r="AB341" s="771"/>
      <c r="AC341" s="771"/>
      <c r="AD341" s="771"/>
      <c r="AE341" s="771"/>
      <c r="AF341" s="771"/>
      <c r="AG341" s="771"/>
      <c r="AH341" s="771"/>
      <c r="AI341" s="771"/>
      <c r="AJ341" s="771"/>
      <c r="AK341" s="771"/>
      <c r="AL341" s="771"/>
      <c r="AM341" s="771"/>
      <c r="AN341" s="771"/>
      <c r="AO341" s="771"/>
      <c r="AP341" s="771"/>
      <c r="AQ341" s="771"/>
      <c r="AR341" s="771"/>
    </row>
    <row r="342" spans="6:44" customFormat="1" x14ac:dyDescent="0.2">
      <c r="F342" s="35"/>
      <c r="P342" s="771"/>
      <c r="Q342" s="771"/>
      <c r="R342" s="771"/>
      <c r="S342" s="771"/>
      <c r="T342" s="771"/>
      <c r="U342" s="771"/>
      <c r="V342" s="771"/>
      <c r="W342" s="771"/>
      <c r="X342" s="771"/>
      <c r="Y342" s="771"/>
      <c r="Z342" s="771"/>
      <c r="AA342" s="771"/>
      <c r="AB342" s="771"/>
      <c r="AC342" s="771"/>
      <c r="AD342" s="771"/>
      <c r="AE342" s="771"/>
      <c r="AF342" s="771"/>
      <c r="AG342" s="771"/>
      <c r="AH342" s="771"/>
      <c r="AI342" s="771"/>
      <c r="AJ342" s="771"/>
      <c r="AK342" s="771"/>
      <c r="AL342" s="771"/>
      <c r="AM342" s="771"/>
      <c r="AN342" s="771"/>
      <c r="AO342" s="771"/>
      <c r="AP342" s="771"/>
      <c r="AQ342" s="771"/>
      <c r="AR342" s="771"/>
    </row>
    <row r="343" spans="6:44" customFormat="1" x14ac:dyDescent="0.2">
      <c r="F343" s="35"/>
      <c r="P343" s="771"/>
      <c r="Q343" s="771"/>
      <c r="R343" s="771"/>
      <c r="S343" s="771"/>
      <c r="T343" s="771"/>
      <c r="U343" s="771"/>
      <c r="V343" s="771"/>
      <c r="W343" s="771"/>
      <c r="X343" s="771"/>
      <c r="Y343" s="771"/>
      <c r="Z343" s="771"/>
      <c r="AA343" s="771"/>
      <c r="AB343" s="771"/>
      <c r="AC343" s="771"/>
      <c r="AD343" s="771"/>
      <c r="AE343" s="771"/>
      <c r="AF343" s="771"/>
      <c r="AG343" s="771"/>
      <c r="AH343" s="771"/>
      <c r="AI343" s="771"/>
      <c r="AJ343" s="771"/>
      <c r="AK343" s="771"/>
      <c r="AL343" s="771"/>
      <c r="AM343" s="771"/>
      <c r="AN343" s="771"/>
      <c r="AO343" s="771"/>
      <c r="AP343" s="771"/>
      <c r="AQ343" s="771"/>
      <c r="AR343" s="771"/>
    </row>
    <row r="344" spans="6:44" customFormat="1" x14ac:dyDescent="0.2">
      <c r="F344" s="35"/>
      <c r="P344" s="771"/>
      <c r="Q344" s="771"/>
      <c r="R344" s="771"/>
      <c r="S344" s="771"/>
      <c r="T344" s="771"/>
      <c r="U344" s="771"/>
      <c r="V344" s="771"/>
      <c r="W344" s="771"/>
      <c r="X344" s="771"/>
      <c r="Y344" s="771"/>
      <c r="Z344" s="771"/>
      <c r="AA344" s="771"/>
      <c r="AB344" s="771"/>
      <c r="AC344" s="771"/>
      <c r="AD344" s="771"/>
      <c r="AE344" s="771"/>
      <c r="AF344" s="771"/>
      <c r="AG344" s="771"/>
      <c r="AH344" s="771"/>
      <c r="AI344" s="771"/>
      <c r="AJ344" s="771"/>
      <c r="AK344" s="771"/>
      <c r="AL344" s="771"/>
      <c r="AM344" s="771"/>
      <c r="AN344" s="771"/>
      <c r="AO344" s="771"/>
      <c r="AP344" s="771"/>
      <c r="AQ344" s="771"/>
      <c r="AR344" s="771"/>
    </row>
    <row r="345" spans="6:44" customFormat="1" x14ac:dyDescent="0.2">
      <c r="F345" s="35"/>
      <c r="P345" s="771"/>
      <c r="Q345" s="771"/>
      <c r="R345" s="771"/>
      <c r="S345" s="771"/>
      <c r="T345" s="771"/>
      <c r="U345" s="771"/>
      <c r="V345" s="771"/>
      <c r="W345" s="771"/>
      <c r="X345" s="771"/>
      <c r="Y345" s="771"/>
      <c r="Z345" s="771"/>
      <c r="AA345" s="771"/>
      <c r="AB345" s="771"/>
      <c r="AC345" s="771"/>
      <c r="AD345" s="771"/>
      <c r="AE345" s="771"/>
      <c r="AF345" s="771"/>
      <c r="AG345" s="771"/>
      <c r="AH345" s="771"/>
      <c r="AI345" s="771"/>
      <c r="AJ345" s="771"/>
      <c r="AK345" s="771"/>
      <c r="AL345" s="771"/>
      <c r="AM345" s="771"/>
      <c r="AN345" s="771"/>
      <c r="AO345" s="771"/>
      <c r="AP345" s="771"/>
      <c r="AQ345" s="771"/>
      <c r="AR345" s="771"/>
    </row>
    <row r="346" spans="6:44" customFormat="1" x14ac:dyDescent="0.2">
      <c r="F346" s="35"/>
      <c r="P346" s="771"/>
      <c r="Q346" s="771"/>
      <c r="R346" s="771"/>
      <c r="S346" s="771"/>
      <c r="T346" s="771"/>
      <c r="U346" s="771"/>
      <c r="V346" s="771"/>
      <c r="W346" s="771"/>
      <c r="X346" s="771"/>
      <c r="Y346" s="771"/>
      <c r="Z346" s="771"/>
      <c r="AA346" s="771"/>
      <c r="AB346" s="771"/>
      <c r="AC346" s="771"/>
      <c r="AD346" s="771"/>
      <c r="AE346" s="771"/>
      <c r="AF346" s="771"/>
      <c r="AG346" s="771"/>
      <c r="AH346" s="771"/>
      <c r="AI346" s="771"/>
      <c r="AJ346" s="771"/>
      <c r="AK346" s="771"/>
      <c r="AL346" s="771"/>
      <c r="AM346" s="771"/>
      <c r="AN346" s="771"/>
      <c r="AO346" s="771"/>
      <c r="AP346" s="771"/>
      <c r="AQ346" s="771"/>
      <c r="AR346" s="771"/>
    </row>
    <row r="347" spans="6:44" customFormat="1" x14ac:dyDescent="0.2">
      <c r="F347" s="35"/>
      <c r="P347" s="771"/>
      <c r="Q347" s="771"/>
      <c r="R347" s="771"/>
      <c r="S347" s="771"/>
      <c r="T347" s="771"/>
      <c r="U347" s="771"/>
      <c r="V347" s="771"/>
      <c r="W347" s="771"/>
      <c r="X347" s="771"/>
      <c r="Y347" s="771"/>
      <c r="Z347" s="771"/>
      <c r="AA347" s="771"/>
      <c r="AB347" s="771"/>
      <c r="AC347" s="771"/>
      <c r="AD347" s="771"/>
      <c r="AE347" s="771"/>
      <c r="AF347" s="771"/>
      <c r="AG347" s="771"/>
      <c r="AH347" s="771"/>
      <c r="AI347" s="771"/>
      <c r="AJ347" s="771"/>
      <c r="AK347" s="771"/>
      <c r="AL347" s="771"/>
      <c r="AM347" s="771"/>
      <c r="AN347" s="771"/>
      <c r="AO347" s="771"/>
      <c r="AP347" s="771"/>
      <c r="AQ347" s="771"/>
      <c r="AR347" s="771"/>
    </row>
    <row r="348" spans="6:44" customFormat="1" x14ac:dyDescent="0.2">
      <c r="F348" s="35"/>
      <c r="P348" s="771"/>
      <c r="Q348" s="771"/>
      <c r="R348" s="771"/>
      <c r="S348" s="771"/>
      <c r="T348" s="771"/>
      <c r="U348" s="771"/>
      <c r="V348" s="771"/>
      <c r="W348" s="771"/>
      <c r="X348" s="771"/>
      <c r="Y348" s="771"/>
      <c r="Z348" s="771"/>
      <c r="AA348" s="771"/>
      <c r="AB348" s="771"/>
      <c r="AC348" s="771"/>
      <c r="AD348" s="771"/>
      <c r="AE348" s="771"/>
      <c r="AF348" s="771"/>
      <c r="AG348" s="771"/>
      <c r="AH348" s="771"/>
      <c r="AI348" s="771"/>
      <c r="AJ348" s="771"/>
      <c r="AK348" s="771"/>
      <c r="AL348" s="771"/>
      <c r="AM348" s="771"/>
      <c r="AN348" s="771"/>
      <c r="AO348" s="771"/>
      <c r="AP348" s="771"/>
      <c r="AQ348" s="771"/>
      <c r="AR348" s="771"/>
    </row>
    <row r="349" spans="6:44" customFormat="1" x14ac:dyDescent="0.2">
      <c r="F349" s="35"/>
      <c r="P349" s="771"/>
      <c r="Q349" s="771"/>
      <c r="R349" s="771"/>
      <c r="S349" s="771"/>
      <c r="T349" s="771"/>
      <c r="U349" s="771"/>
      <c r="V349" s="771"/>
      <c r="W349" s="771"/>
      <c r="X349" s="771"/>
      <c r="Y349" s="771"/>
      <c r="Z349" s="771"/>
      <c r="AA349" s="771"/>
      <c r="AB349" s="771"/>
      <c r="AC349" s="771"/>
      <c r="AD349" s="771"/>
      <c r="AE349" s="771"/>
      <c r="AF349" s="771"/>
      <c r="AG349" s="771"/>
      <c r="AH349" s="771"/>
      <c r="AI349" s="771"/>
      <c r="AJ349" s="771"/>
      <c r="AK349" s="771"/>
      <c r="AL349" s="771"/>
      <c r="AM349" s="771"/>
      <c r="AN349" s="771"/>
      <c r="AO349" s="771"/>
      <c r="AP349" s="771"/>
      <c r="AQ349" s="771"/>
      <c r="AR349" s="771"/>
    </row>
    <row r="350" spans="6:44" customFormat="1" x14ac:dyDescent="0.2">
      <c r="F350" s="35"/>
      <c r="P350" s="771"/>
      <c r="Q350" s="771"/>
      <c r="R350" s="771"/>
      <c r="S350" s="771"/>
      <c r="T350" s="771"/>
      <c r="U350" s="771"/>
      <c r="V350" s="771"/>
      <c r="W350" s="771"/>
      <c r="X350" s="771"/>
      <c r="Y350" s="771"/>
      <c r="Z350" s="771"/>
      <c r="AA350" s="771"/>
      <c r="AB350" s="771"/>
      <c r="AC350" s="771"/>
      <c r="AD350" s="771"/>
      <c r="AE350" s="771"/>
      <c r="AF350" s="771"/>
      <c r="AG350" s="771"/>
      <c r="AH350" s="771"/>
      <c r="AI350" s="771"/>
      <c r="AJ350" s="771"/>
      <c r="AK350" s="771"/>
      <c r="AL350" s="771"/>
      <c r="AM350" s="771"/>
      <c r="AN350" s="771"/>
      <c r="AO350" s="771"/>
      <c r="AP350" s="771"/>
      <c r="AQ350" s="771"/>
      <c r="AR350" s="771"/>
    </row>
    <row r="351" spans="6:44" customFormat="1" x14ac:dyDescent="0.2">
      <c r="F351" s="35"/>
      <c r="P351" s="771"/>
      <c r="Q351" s="771"/>
      <c r="R351" s="771"/>
      <c r="S351" s="771"/>
      <c r="T351" s="771"/>
      <c r="U351" s="771"/>
      <c r="V351" s="771"/>
      <c r="W351" s="771"/>
      <c r="X351" s="771"/>
      <c r="Y351" s="771"/>
      <c r="Z351" s="771"/>
      <c r="AA351" s="771"/>
      <c r="AB351" s="771"/>
      <c r="AC351" s="771"/>
      <c r="AD351" s="771"/>
      <c r="AE351" s="771"/>
      <c r="AF351" s="771"/>
      <c r="AG351" s="771"/>
      <c r="AH351" s="771"/>
      <c r="AI351" s="771"/>
      <c r="AJ351" s="771"/>
      <c r="AK351" s="771"/>
      <c r="AL351" s="771"/>
      <c r="AM351" s="771"/>
      <c r="AN351" s="771"/>
      <c r="AO351" s="771"/>
      <c r="AP351" s="771"/>
      <c r="AQ351" s="771"/>
      <c r="AR351" s="771"/>
    </row>
    <row r="352" spans="6:44" customFormat="1" x14ac:dyDescent="0.2">
      <c r="F352" s="35"/>
      <c r="P352" s="771"/>
      <c r="Q352" s="771"/>
      <c r="R352" s="771"/>
      <c r="S352" s="771"/>
      <c r="T352" s="771"/>
      <c r="U352" s="771"/>
      <c r="V352" s="771"/>
      <c r="W352" s="771"/>
      <c r="X352" s="771"/>
      <c r="Y352" s="771"/>
      <c r="Z352" s="771"/>
      <c r="AA352" s="771"/>
      <c r="AB352" s="771"/>
      <c r="AC352" s="771"/>
      <c r="AD352" s="771"/>
      <c r="AE352" s="771"/>
      <c r="AF352" s="771"/>
      <c r="AG352" s="771"/>
      <c r="AH352" s="771"/>
      <c r="AI352" s="771"/>
      <c r="AJ352" s="771"/>
      <c r="AK352" s="771"/>
      <c r="AL352" s="771"/>
      <c r="AM352" s="771"/>
      <c r="AN352" s="771"/>
      <c r="AO352" s="771"/>
      <c r="AP352" s="771"/>
      <c r="AQ352" s="771"/>
      <c r="AR352" s="771"/>
    </row>
    <row r="353" spans="6:44" customFormat="1" x14ac:dyDescent="0.2">
      <c r="F353" s="35"/>
      <c r="P353" s="771"/>
      <c r="Q353" s="771"/>
      <c r="R353" s="771"/>
      <c r="S353" s="771"/>
      <c r="T353" s="771"/>
      <c r="U353" s="771"/>
      <c r="V353" s="771"/>
      <c r="W353" s="771"/>
      <c r="X353" s="771"/>
      <c r="Y353" s="771"/>
      <c r="Z353" s="771"/>
      <c r="AA353" s="771"/>
      <c r="AB353" s="771"/>
      <c r="AC353" s="771"/>
      <c r="AD353" s="771"/>
      <c r="AE353" s="771"/>
      <c r="AF353" s="771"/>
      <c r="AG353" s="771"/>
      <c r="AH353" s="771"/>
      <c r="AI353" s="771"/>
      <c r="AJ353" s="771"/>
      <c r="AK353" s="771"/>
      <c r="AL353" s="771"/>
      <c r="AM353" s="771"/>
      <c r="AN353" s="771"/>
      <c r="AO353" s="771"/>
      <c r="AP353" s="771"/>
      <c r="AQ353" s="771"/>
      <c r="AR353" s="771"/>
    </row>
    <row r="354" spans="6:44" customFormat="1" x14ac:dyDescent="0.2">
      <c r="F354" s="35"/>
      <c r="P354" s="771"/>
      <c r="Q354" s="771"/>
      <c r="R354" s="771"/>
      <c r="S354" s="771"/>
      <c r="T354" s="771"/>
      <c r="U354" s="771"/>
      <c r="V354" s="771"/>
      <c r="W354" s="771"/>
      <c r="X354" s="771"/>
      <c r="Y354" s="771"/>
      <c r="Z354" s="771"/>
      <c r="AA354" s="771"/>
      <c r="AB354" s="771"/>
      <c r="AC354" s="771"/>
      <c r="AD354" s="771"/>
      <c r="AE354" s="771"/>
      <c r="AF354" s="771"/>
      <c r="AG354" s="771"/>
      <c r="AH354" s="771"/>
      <c r="AI354" s="771"/>
      <c r="AJ354" s="771"/>
      <c r="AK354" s="771"/>
      <c r="AL354" s="771"/>
      <c r="AM354" s="771"/>
      <c r="AN354" s="771"/>
      <c r="AO354" s="771"/>
      <c r="AP354" s="771"/>
      <c r="AQ354" s="771"/>
      <c r="AR354" s="771"/>
    </row>
    <row r="355" spans="6:44" customFormat="1" x14ac:dyDescent="0.2">
      <c r="F355" s="35"/>
      <c r="P355" s="771"/>
      <c r="Q355" s="771"/>
      <c r="R355" s="771"/>
      <c r="S355" s="771"/>
      <c r="T355" s="771"/>
      <c r="U355" s="771"/>
      <c r="V355" s="771"/>
      <c r="W355" s="771"/>
      <c r="X355" s="771"/>
      <c r="Y355" s="771"/>
      <c r="Z355" s="771"/>
      <c r="AA355" s="771"/>
      <c r="AB355" s="771"/>
      <c r="AC355" s="771"/>
      <c r="AD355" s="771"/>
      <c r="AE355" s="771"/>
      <c r="AF355" s="771"/>
      <c r="AG355" s="771"/>
      <c r="AH355" s="771"/>
      <c r="AI355" s="771"/>
      <c r="AJ355" s="771"/>
      <c r="AK355" s="771"/>
      <c r="AL355" s="771"/>
      <c r="AM355" s="771"/>
      <c r="AN355" s="771"/>
      <c r="AO355" s="771"/>
      <c r="AP355" s="771"/>
      <c r="AQ355" s="771"/>
      <c r="AR355" s="771"/>
    </row>
  </sheetData>
  <sheetProtection formatCells="0" formatColumns="0" formatRows="0" insertColumns="0" insertRows="0" insertHyperlinks="0" deleteColumns="0" deleteRows="0"/>
  <customSheetViews>
    <customSheetView guid="{788B8383-784A-4263-9D04-45657AC129FF}" hiddenColumns="1">
      <pageMargins left="0.75" right="0.75" top="1" bottom="1" header="0.5" footer="0.5"/>
      <pageSetup paperSize="9" orientation="portrait" r:id="rId1"/>
      <headerFooter alignWithMargins="0"/>
    </customSheetView>
  </customSheetViews>
  <mergeCells count="29">
    <mergeCell ref="N37:N38"/>
    <mergeCell ref="J2:M3"/>
    <mergeCell ref="J14:M14"/>
    <mergeCell ref="K22:N22"/>
    <mergeCell ref="J36:M36"/>
    <mergeCell ref="N6:N7"/>
    <mergeCell ref="N15:N16"/>
    <mergeCell ref="N24:N25"/>
    <mergeCell ref="J23:M23"/>
    <mergeCell ref="J5:L5"/>
    <mergeCell ref="H7:H10"/>
    <mergeCell ref="H15:H18"/>
    <mergeCell ref="B63:E63"/>
    <mergeCell ref="B64:B65"/>
    <mergeCell ref="B60:D61"/>
    <mergeCell ref="B15:B21"/>
    <mergeCell ref="B6:B12"/>
    <mergeCell ref="B55:E55"/>
    <mergeCell ref="B56:B57"/>
    <mergeCell ref="B32:B38"/>
    <mergeCell ref="B2:D3"/>
    <mergeCell ref="B41:B53"/>
    <mergeCell ref="B40:E40"/>
    <mergeCell ref="B14:E14"/>
    <mergeCell ref="B5:E5"/>
    <mergeCell ref="B31:E31"/>
    <mergeCell ref="B28:D29"/>
    <mergeCell ref="B23:E23"/>
    <mergeCell ref="B24:B25"/>
  </mergeCells>
  <phoneticPr fontId="2" type="noConversion"/>
  <pageMargins left="0.75" right="0.75" top="1" bottom="1" header="0.5" footer="0.5"/>
  <pageSetup paperSize="9" orientation="portrait" r:id="rId2"/>
  <headerFooter alignWithMargins="0"/>
  <drawing r:id="rId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Лист16"/>
  <dimension ref="A1:AT328"/>
  <sheetViews>
    <sheetView workbookViewId="0">
      <selection activeCell="B60" sqref="B60:E62"/>
    </sheetView>
  </sheetViews>
  <sheetFormatPr defaultRowHeight="12.75" x14ac:dyDescent="0.2"/>
  <cols>
    <col min="1" max="1" width="3.7109375" style="8" customWidth="1"/>
    <col min="2" max="2" width="8.5703125" bestFit="1" customWidth="1"/>
    <col min="3" max="3" width="38.42578125" customWidth="1"/>
    <col min="4" max="4" width="9.7109375" style="77" hidden="1" customWidth="1"/>
    <col min="5" max="5" width="8.7109375" style="20" customWidth="1"/>
    <col min="6" max="7" width="4.7109375" style="106" customWidth="1"/>
    <col min="8" max="8" width="10.140625" style="1021" bestFit="1" customWidth="1"/>
    <col min="9" max="9" width="38.140625" style="1021" customWidth="1"/>
    <col min="10" max="10" width="9.7109375" style="77" hidden="1" customWidth="1"/>
    <col min="11" max="11" width="8.5703125" style="20" customWidth="1"/>
    <col min="12" max="12" width="3.140625" style="8" customWidth="1"/>
    <col min="13" max="13" width="3.7109375" style="8" customWidth="1"/>
    <col min="14" max="14" width="8.5703125" style="1474" bestFit="1" customWidth="1"/>
    <col min="15" max="15" width="39.5703125" style="1474" customWidth="1"/>
    <col min="16" max="16" width="9.7109375" style="77" hidden="1" customWidth="1"/>
    <col min="17" max="17" width="8.140625" style="20" bestFit="1" customWidth="1"/>
    <col min="18" max="18" width="5.85546875" style="8" customWidth="1"/>
    <col min="19" max="19" width="18.5703125" style="8" hidden="1" customWidth="1"/>
    <col min="20" max="26" width="9.140625" style="8" hidden="1" customWidth="1"/>
    <col min="27" max="27" width="9.140625" style="771" hidden="1" customWidth="1"/>
    <col min="28" max="28" width="9.140625" style="771" customWidth="1"/>
    <col min="29" max="46" width="9.140625" style="771"/>
  </cols>
  <sheetData>
    <row r="1" spans="1:27" s="771" customFormat="1" x14ac:dyDescent="0.2">
      <c r="E1" s="887"/>
      <c r="F1" s="885"/>
      <c r="G1" s="885"/>
      <c r="K1" s="887"/>
      <c r="Q1" s="887"/>
    </row>
    <row r="2" spans="1:27" s="771" customFormat="1" ht="22.5" customHeight="1" x14ac:dyDescent="0.25">
      <c r="A2" s="2267" t="s">
        <v>4350</v>
      </c>
      <c r="B2" s="2267"/>
      <c r="C2" s="2267"/>
      <c r="D2" s="2267"/>
      <c r="E2" s="2267"/>
      <c r="F2" s="2267"/>
      <c r="G2" s="2267"/>
      <c r="H2" s="2267"/>
      <c r="I2" s="1501"/>
      <c r="K2" s="887"/>
      <c r="Q2" s="887"/>
    </row>
    <row r="3" spans="1:27" s="771" customFormat="1" ht="7.5" customHeight="1" x14ac:dyDescent="0.2">
      <c r="A3" s="916"/>
      <c r="E3" s="887"/>
      <c r="F3" s="885"/>
      <c r="G3" s="885"/>
      <c r="I3" s="916"/>
      <c r="K3" s="887"/>
      <c r="Q3" s="887"/>
    </row>
    <row r="4" spans="1:27" s="771" customFormat="1" ht="15.75" thickBot="1" x14ac:dyDescent="0.3">
      <c r="A4" s="2255" t="s">
        <v>4351</v>
      </c>
      <c r="B4" s="2255"/>
      <c r="C4" s="2255"/>
      <c r="E4" s="2277" t="s">
        <v>4354</v>
      </c>
      <c r="F4" s="2277"/>
      <c r="G4" s="2277"/>
      <c r="H4" s="2277"/>
      <c r="I4" s="916"/>
      <c r="K4" s="887"/>
      <c r="S4" s="771" t="str">
        <f>IF(E4=W6,CONCATENATE(E4," ",E6),CONCATENATE(E4," ",IF(E5&lt;=40,"40",60)," ",E6))</f>
        <v>TIP-ON BLUMOTION 350</v>
      </c>
      <c r="U4" s="887"/>
      <c r="W4" s="771" t="s">
        <v>673</v>
      </c>
      <c r="X4" s="771">
        <v>10</v>
      </c>
      <c r="Y4" s="771">
        <v>250</v>
      </c>
      <c r="AA4" s="771" t="s">
        <v>4356</v>
      </c>
    </row>
    <row r="5" spans="1:27" s="771" customFormat="1" ht="15.75" thickBot="1" x14ac:dyDescent="0.3">
      <c r="A5" s="2255" t="s">
        <v>5170</v>
      </c>
      <c r="B5" s="2255"/>
      <c r="C5" s="2255"/>
      <c r="E5" s="2256">
        <v>40</v>
      </c>
      <c r="F5" s="2256"/>
      <c r="G5" s="2256"/>
      <c r="H5" s="1488" t="s">
        <v>212</v>
      </c>
      <c r="I5" s="916"/>
      <c r="K5" s="887"/>
      <c r="U5" s="887"/>
      <c r="W5" s="771" t="s">
        <v>4353</v>
      </c>
      <c r="X5" s="771">
        <v>20</v>
      </c>
      <c r="Y5" s="771">
        <v>270</v>
      </c>
      <c r="AA5" s="771" t="s">
        <v>4357</v>
      </c>
    </row>
    <row r="6" spans="1:27" s="771" customFormat="1" ht="15.75" thickBot="1" x14ac:dyDescent="0.3">
      <c r="A6" s="2255" t="s">
        <v>4352</v>
      </c>
      <c r="B6" s="2255"/>
      <c r="C6" s="2255"/>
      <c r="E6" s="2256">
        <v>350</v>
      </c>
      <c r="F6" s="2256"/>
      <c r="G6" s="2256"/>
      <c r="H6" s="1489" t="s">
        <v>1689</v>
      </c>
      <c r="I6" s="916"/>
      <c r="K6" s="887"/>
      <c r="U6" s="887"/>
      <c r="W6" s="771" t="s">
        <v>4354</v>
      </c>
      <c r="X6" s="771">
        <v>30</v>
      </c>
      <c r="Y6" s="771">
        <v>300</v>
      </c>
    </row>
    <row r="7" spans="1:27" s="771" customFormat="1" ht="15.75" thickBot="1" x14ac:dyDescent="0.3">
      <c r="A7" s="1486"/>
      <c r="B7" s="1486"/>
      <c r="C7" s="1487" t="s">
        <v>4394</v>
      </c>
      <c r="E7" s="2257" t="s">
        <v>4357</v>
      </c>
      <c r="F7" s="2257"/>
      <c r="G7" s="2257"/>
      <c r="H7" s="1489" t="s">
        <v>1689</v>
      </c>
      <c r="I7" s="916"/>
      <c r="K7" s="887"/>
      <c r="U7" s="887"/>
      <c r="X7" s="771">
        <v>40</v>
      </c>
      <c r="Y7" s="771">
        <v>350</v>
      </c>
      <c r="AA7" s="771" t="s">
        <v>4358</v>
      </c>
    </row>
    <row r="8" spans="1:27" s="771" customFormat="1" ht="15.75" thickBot="1" x14ac:dyDescent="0.3">
      <c r="A8" s="1487"/>
      <c r="B8" s="1487"/>
      <c r="C8" s="1487" t="s">
        <v>4355</v>
      </c>
      <c r="E8" s="2257" t="s">
        <v>4358</v>
      </c>
      <c r="F8" s="2257"/>
      <c r="G8" s="2257"/>
      <c r="H8" s="916"/>
      <c r="I8" s="916"/>
      <c r="K8" s="887"/>
      <c r="U8" s="887"/>
      <c r="X8" s="771">
        <v>50</v>
      </c>
      <c r="Y8" s="771">
        <v>400</v>
      </c>
      <c r="AA8" s="771" t="s">
        <v>4359</v>
      </c>
    </row>
    <row r="9" spans="1:27" s="771" customFormat="1" ht="13.5" thickBot="1" x14ac:dyDescent="0.25">
      <c r="A9" s="916"/>
      <c r="B9" s="916"/>
      <c r="C9" s="916"/>
      <c r="D9" s="916"/>
      <c r="E9" s="1490"/>
      <c r="F9" s="1506"/>
      <c r="G9" s="1506"/>
      <c r="H9" s="916"/>
      <c r="I9" s="916"/>
      <c r="K9" s="887"/>
      <c r="U9" s="887"/>
      <c r="X9" s="771">
        <v>60</v>
      </c>
      <c r="Y9" s="771">
        <v>450</v>
      </c>
      <c r="Z9" s="771">
        <v>450</v>
      </c>
    </row>
    <row r="10" spans="1:27" s="771" customFormat="1" ht="21" customHeight="1" x14ac:dyDescent="0.2">
      <c r="A10" s="916"/>
      <c r="B10" s="2258" t="s">
        <v>4360</v>
      </c>
      <c r="C10" s="2259"/>
      <c r="D10" s="2259"/>
      <c r="E10" s="2259"/>
      <c r="F10" s="1507"/>
      <c r="G10" s="1507"/>
      <c r="H10" s="2275" t="s">
        <v>94</v>
      </c>
      <c r="I10" s="918"/>
      <c r="K10" s="887"/>
      <c r="U10" s="887"/>
      <c r="Y10" s="771">
        <v>500</v>
      </c>
      <c r="Z10" s="771">
        <v>500</v>
      </c>
    </row>
    <row r="11" spans="1:27" s="1496" customFormat="1" ht="12" customHeight="1" x14ac:dyDescent="0.2">
      <c r="A11" s="1492"/>
      <c r="B11" s="1493" t="s">
        <v>1301</v>
      </c>
      <c r="C11" s="1494" t="s">
        <v>784</v>
      </c>
      <c r="D11" s="1495"/>
      <c r="E11" s="1498" t="s">
        <v>785</v>
      </c>
      <c r="F11" s="2273" t="s">
        <v>4393</v>
      </c>
      <c r="G11" s="2274"/>
      <c r="H11" s="2276"/>
      <c r="I11" s="1504"/>
      <c r="K11" s="1497"/>
      <c r="U11" s="1497"/>
      <c r="Y11" s="1496">
        <v>550</v>
      </c>
      <c r="Z11" s="1496">
        <v>550</v>
      </c>
    </row>
    <row r="12" spans="1:27" s="771" customFormat="1" ht="12.75" customHeight="1" x14ac:dyDescent="0.2">
      <c r="A12" s="916"/>
      <c r="B12" s="1475" t="str">
        <f>IF(E6=0," ",VLOOKUP($S$4,$G$74:$I$121,2,FALSE))</f>
        <v>2898847/</v>
      </c>
      <c r="C12" s="1491" t="str">
        <f t="shared" ref="C12:C18" si="0">IF(B12=" "," ",VLOOKUP(B12,всецены,2,FALSE))</f>
        <v>Movento Tip-on BM,40 кг,350 мм,760H3500M</v>
      </c>
      <c r="D12" s="13">
        <f>VLOOKUP(B12,всецены,4,FALSE)</f>
        <v>1705.3064027999999</v>
      </c>
      <c r="E12" s="1464">
        <v>1</v>
      </c>
      <c r="F12" s="2265">
        <f t="shared" ref="F12:F18" si="1">D12</f>
        <v>1705.3064027999999</v>
      </c>
      <c r="G12" s="2266"/>
      <c r="H12" s="2270">
        <f>SUM(J12:J18)</f>
        <v>3600.0912947999996</v>
      </c>
      <c r="I12" s="918"/>
      <c r="J12" s="801">
        <f>F12*E12</f>
        <v>1705.3064027999999</v>
      </c>
      <c r="K12" s="887"/>
      <c r="U12" s="887"/>
      <c r="Y12" s="771">
        <v>600</v>
      </c>
      <c r="Z12" s="771">
        <v>600</v>
      </c>
    </row>
    <row r="13" spans="1:27" s="771" customFormat="1" ht="12.75" customHeight="1" x14ac:dyDescent="0.2">
      <c r="A13" s="916"/>
      <c r="B13" s="1475" t="str">
        <f>IF($E$6=0," ",B46)</f>
        <v>6449983/</v>
      </c>
      <c r="C13" s="1491" t="str">
        <f t="shared" si="0"/>
        <v xml:space="preserve">Movento, замок лев, T51.7601            </v>
      </c>
      <c r="D13" s="13">
        <f>VLOOKUP(B13,всецены,4,FALSE)</f>
        <v>96.7722756</v>
      </c>
      <c r="E13" s="1464">
        <v>1</v>
      </c>
      <c r="F13" s="2265">
        <f t="shared" si="1"/>
        <v>96.7722756</v>
      </c>
      <c r="G13" s="2266"/>
      <c r="H13" s="2271"/>
      <c r="I13" s="918"/>
      <c r="J13" s="801">
        <f t="shared" ref="J13:J18" si="2">F13*E13</f>
        <v>96.7722756</v>
      </c>
      <c r="K13" s="887"/>
      <c r="U13" s="887"/>
      <c r="Z13" s="771">
        <v>650</v>
      </c>
    </row>
    <row r="14" spans="1:27" s="771" customFormat="1" ht="12.75" customHeight="1" x14ac:dyDescent="0.2">
      <c r="A14" s="916"/>
      <c r="B14" s="1475" t="str">
        <f>IF($E$6=0," ",B47)</f>
        <v>6616738/</v>
      </c>
      <c r="C14" s="1491" t="str">
        <f t="shared" si="0"/>
        <v xml:space="preserve">Movento, замок пр, T51.7601             </v>
      </c>
      <c r="D14" s="13">
        <f>VLOOKUP(B14,всецены,4,FALSE)</f>
        <v>96.7722756</v>
      </c>
      <c r="E14" s="1464">
        <v>1</v>
      </c>
      <c r="F14" s="2265">
        <f t="shared" si="1"/>
        <v>96.7722756</v>
      </c>
      <c r="G14" s="2266"/>
      <c r="H14" s="2271"/>
      <c r="I14" s="918"/>
      <c r="J14" s="801">
        <f t="shared" si="2"/>
        <v>96.7722756</v>
      </c>
      <c r="K14" s="887"/>
      <c r="U14" s="887"/>
      <c r="Z14" s="771">
        <v>700</v>
      </c>
    </row>
    <row r="15" spans="1:27" s="771" customFormat="1" ht="12.75" customHeight="1" x14ac:dyDescent="0.2">
      <c r="A15" s="916"/>
      <c r="B15" s="1476" t="str">
        <f>IF(E4=W6,IF(E6&lt;=320,N40,IF(AND(E6&lt;=350,E5&lt;=20),N38,N39))," ")</f>
        <v>1365128/</v>
      </c>
      <c r="C15" s="1491" t="str">
        <f t="shared" si="0"/>
        <v>LBX, Tip-on BM, L3, 350-750 кмп T60L7540</v>
      </c>
      <c r="D15" s="13">
        <f>IF(B15=" ",0,VLOOKUP(B15,всецены,4,FALSE))</f>
        <v>1107.5952887999999</v>
      </c>
      <c r="E15" s="1464">
        <v>1</v>
      </c>
      <c r="F15" s="2265">
        <f t="shared" si="1"/>
        <v>1107.5952887999999</v>
      </c>
      <c r="G15" s="2266"/>
      <c r="H15" s="2271"/>
      <c r="I15" s="918"/>
      <c r="J15" s="801">
        <f t="shared" si="2"/>
        <v>1107.5952887999999</v>
      </c>
      <c r="K15" s="887"/>
      <c r="U15" s="887"/>
      <c r="Z15" s="771">
        <v>750</v>
      </c>
    </row>
    <row r="16" spans="1:27" s="771" customFormat="1" ht="12.75" customHeight="1" x14ac:dyDescent="0.2">
      <c r="A16" s="916"/>
      <c r="B16" s="1476" t="str">
        <f>IF($E$4=$W$6,IF($E$7=$AA$4," ",N50),IF($E$4=$W$5,IF($E$7=$AA$4," ",H50)," "))</f>
        <v>3270285/</v>
      </c>
      <c r="C16" s="1491" t="str">
        <f t="shared" si="0"/>
        <v xml:space="preserve">LBX, Вал синхрониз. Tip-on BM T60L1118W </v>
      </c>
      <c r="D16" s="13">
        <f>IF(B16=" ",0,VLOOKUP(B16,всецены,4,FALSE))</f>
        <v>289.50361440000006</v>
      </c>
      <c r="E16" s="1464">
        <v>1</v>
      </c>
      <c r="F16" s="2265">
        <f t="shared" si="1"/>
        <v>289.50361440000006</v>
      </c>
      <c r="G16" s="2266"/>
      <c r="H16" s="2271"/>
      <c r="I16" s="918"/>
      <c r="J16" s="801">
        <f t="shared" si="2"/>
        <v>289.50361440000006</v>
      </c>
      <c r="K16" s="887"/>
      <c r="Q16" s="887"/>
    </row>
    <row r="17" spans="1:17" s="771" customFormat="1" ht="12.75" customHeight="1" x14ac:dyDescent="0.2">
      <c r="A17" s="916"/>
      <c r="B17" s="1476" t="str">
        <f>IF($E$4=$W$6,IF($E$7=$AA$4," ",N51),IF($E$4=$W$5,IF($E$7=$AA$4," ",H51)," "))</f>
        <v>1512005/</v>
      </c>
      <c r="C17" s="1491" t="str">
        <f t="shared" si="0"/>
        <v xml:space="preserve">LBX, Шестерня синхр. Tip-on BM T60.000D </v>
      </c>
      <c r="D17" s="1503">
        <f>IF(B17=" ",0,VLOOKUP(B17,всецены,4,FALSE))</f>
        <v>16.264248000000002</v>
      </c>
      <c r="E17" s="1464">
        <v>2</v>
      </c>
      <c r="F17" s="2265">
        <f t="shared" si="1"/>
        <v>16.264248000000002</v>
      </c>
      <c r="G17" s="2266"/>
      <c r="H17" s="2271"/>
      <c r="I17" s="918"/>
      <c r="J17" s="801">
        <f t="shared" si="2"/>
        <v>32.528496000000004</v>
      </c>
      <c r="K17" s="887"/>
      <c r="Q17" s="887"/>
    </row>
    <row r="18" spans="1:17" s="771" customFormat="1" ht="12.75" customHeight="1" thickBot="1" x14ac:dyDescent="0.25">
      <c r="B18" s="1479" t="str">
        <f>IF(E8="да",B45," ")</f>
        <v>7646995/</v>
      </c>
      <c r="C18" s="1499" t="str">
        <f t="shared" si="0"/>
        <v>Movento, модуль рег по глуб,кмп,298.7600</v>
      </c>
      <c r="D18" s="1500">
        <f>IF(B18=" ",0,VLOOKUP(B18,всецены,4,FALSE))</f>
        <v>271.6129416</v>
      </c>
      <c r="E18" s="1502">
        <v>1</v>
      </c>
      <c r="F18" s="2268">
        <f t="shared" si="1"/>
        <v>271.6129416</v>
      </c>
      <c r="G18" s="2269"/>
      <c r="H18" s="2272"/>
      <c r="J18" s="801">
        <f t="shared" si="2"/>
        <v>271.6129416</v>
      </c>
      <c r="K18" s="887"/>
      <c r="Q18" s="887"/>
    </row>
    <row r="19" spans="1:17" s="771" customFormat="1" x14ac:dyDescent="0.2">
      <c r="E19" s="887"/>
      <c r="F19" s="885"/>
      <c r="G19" s="885"/>
      <c r="K19" s="887"/>
      <c r="Q19" s="887"/>
    </row>
    <row r="20" spans="1:17" ht="8.1" customHeight="1" thickBot="1" x14ac:dyDescent="0.25">
      <c r="B20" s="8"/>
      <c r="C20" s="8"/>
      <c r="D20" s="8"/>
      <c r="E20" s="35"/>
      <c r="H20" s="8"/>
      <c r="I20" s="8"/>
      <c r="J20" s="8"/>
      <c r="K20" s="35"/>
      <c r="N20" s="8"/>
      <c r="O20" s="8"/>
      <c r="P20" s="8"/>
      <c r="Q20" s="35"/>
    </row>
    <row r="21" spans="1:17" ht="20.100000000000001" customHeight="1" x14ac:dyDescent="0.2">
      <c r="B21" s="2238" t="s">
        <v>4342</v>
      </c>
      <c r="C21" s="2239"/>
      <c r="D21" s="2239"/>
      <c r="E21" s="2253"/>
      <c r="H21" s="2238" t="s">
        <v>4343</v>
      </c>
      <c r="I21" s="2239"/>
      <c r="J21" s="2239"/>
      <c r="K21" s="2253"/>
      <c r="N21" s="2238" t="s">
        <v>4344</v>
      </c>
      <c r="O21" s="2239"/>
      <c r="P21" s="2239"/>
      <c r="Q21" s="2253"/>
    </row>
    <row r="22" spans="1:17" ht="20.100000000000001" customHeight="1" x14ac:dyDescent="0.2">
      <c r="A22" s="17"/>
      <c r="B22" s="2240"/>
      <c r="C22" s="2241"/>
      <c r="D22" s="2241"/>
      <c r="E22" s="2254"/>
      <c r="G22" s="1508"/>
      <c r="H22" s="2240"/>
      <c r="I22" s="2241"/>
      <c r="J22" s="2241"/>
      <c r="K22" s="2254"/>
      <c r="M22" s="17"/>
      <c r="N22" s="2240"/>
      <c r="O22" s="2241"/>
      <c r="P22" s="2241"/>
      <c r="Q22" s="2254"/>
    </row>
    <row r="23" spans="1:17" x14ac:dyDescent="0.2">
      <c r="A23" s="17"/>
      <c r="B23" s="433"/>
      <c r="C23" s="1022"/>
      <c r="D23" s="13"/>
      <c r="E23" s="426"/>
      <c r="G23" s="1508"/>
      <c r="H23" s="433"/>
      <c r="I23" s="1022"/>
      <c r="J23" s="13"/>
      <c r="K23" s="426"/>
      <c r="M23" s="17"/>
      <c r="N23" s="433"/>
      <c r="O23" s="1022"/>
      <c r="P23" s="13"/>
      <c r="Q23" s="426"/>
    </row>
    <row r="24" spans="1:17" x14ac:dyDescent="0.2">
      <c r="A24" s="17"/>
      <c r="B24" s="2244" t="s">
        <v>4345</v>
      </c>
      <c r="C24" s="2245"/>
      <c r="D24" s="2245"/>
      <c r="E24" s="472" t="str">
        <f>IF(СОДЕРЖАНИЕ!P2=1,"EUR","RUB")</f>
        <v>RUB</v>
      </c>
      <c r="G24" s="1508"/>
      <c r="H24" s="2244" t="s">
        <v>4345</v>
      </c>
      <c r="I24" s="2245"/>
      <c r="J24" s="2245"/>
      <c r="K24" s="472" t="str">
        <f>IF(СОДЕРЖАНИЕ!P2=1,"EUR","RUB")</f>
        <v>RUB</v>
      </c>
      <c r="M24" s="17"/>
      <c r="N24" s="2244" t="s">
        <v>4347</v>
      </c>
      <c r="O24" s="2245"/>
      <c r="P24" s="2245"/>
      <c r="Q24" s="472" t="e">
        <f>IF(СОДЕРЖАНИЕ!#REF!=1,"EUR","RUB")</f>
        <v>#REF!</v>
      </c>
    </row>
    <row r="25" spans="1:17" ht="12.75" customHeight="1" x14ac:dyDescent="0.2">
      <c r="A25" s="17"/>
      <c r="B25" s="418" t="s">
        <v>508</v>
      </c>
      <c r="C25" s="2" t="str">
        <f t="shared" ref="C25:C33" si="3">VLOOKUP(B25,всецены,2,FALSE)</f>
        <v xml:space="preserve">Movento, 40 кг, 250 мм, 760H2500B       </v>
      </c>
      <c r="D25" s="65">
        <f t="shared" ref="D25:D33" si="4">VLOOKUP(B25,всецены,4,FALSE)</f>
        <v>1705.3064027999999</v>
      </c>
      <c r="E25" s="471">
        <f>D25</f>
        <v>1705.3064027999999</v>
      </c>
      <c r="G25" s="1508"/>
      <c r="H25" s="1476" t="s">
        <v>199</v>
      </c>
      <c r="I25" s="1401" t="str">
        <f t="shared" ref="I25:I33" si="5">VLOOKUP(H25,всецены,2,FALSE)</f>
        <v>Movento+Tip-on, 40 кг, 250 мм, 760H2500T</v>
      </c>
      <c r="J25" s="1477">
        <f t="shared" ref="J25:J33" si="6">VLOOKUP(H25,всецены,4,FALSE)</f>
        <v>2290.8193308000004</v>
      </c>
      <c r="K25" s="471">
        <f>J25</f>
        <v>2290.8193308000004</v>
      </c>
      <c r="M25" s="17"/>
      <c r="N25" s="1476" t="s">
        <v>4030</v>
      </c>
      <c r="O25" s="1401" t="str">
        <f t="shared" ref="O25:O35" si="7">VLOOKUP(N25,всецены,2,FALSE)</f>
        <v>Movento Tip-on BM,40 кг,270 мм,760H2700M</v>
      </c>
      <c r="P25" s="1477">
        <f t="shared" ref="P25:P35" si="8">VLOOKUP(N25,всецены,4,FALSE)</f>
        <v>1705.3064027999999</v>
      </c>
      <c r="Q25" s="471">
        <f>P25</f>
        <v>1705.3064027999999</v>
      </c>
    </row>
    <row r="26" spans="1:17" ht="12.75" customHeight="1" x14ac:dyDescent="0.2">
      <c r="A26" s="17"/>
      <c r="B26" s="418" t="s">
        <v>503</v>
      </c>
      <c r="C26" s="2" t="str">
        <f t="shared" si="3"/>
        <v xml:space="preserve">Movento, 40 кг, 270 мм, 760H2700B       </v>
      </c>
      <c r="D26" s="65">
        <f t="shared" si="4"/>
        <v>1705.3064027999999</v>
      </c>
      <c r="E26" s="468">
        <f t="shared" ref="E26:E33" si="9">D26</f>
        <v>1705.3064027999999</v>
      </c>
      <c r="F26" s="1509"/>
      <c r="G26" s="1508"/>
      <c r="H26" s="1476" t="s">
        <v>203</v>
      </c>
      <c r="I26" s="1401" t="str">
        <f t="shared" si="5"/>
        <v>Movento+Tip-on, 40 кг, 270 мм, 760H2700T</v>
      </c>
      <c r="J26" s="1477">
        <f t="shared" si="6"/>
        <v>2290.8193308000004</v>
      </c>
      <c r="K26" s="1478">
        <f t="shared" ref="K26:K33" si="10">J26</f>
        <v>2290.8193308000004</v>
      </c>
      <c r="M26" s="17"/>
      <c r="N26" s="1476" t="s">
        <v>4032</v>
      </c>
      <c r="O26" s="1401" t="str">
        <f t="shared" si="7"/>
        <v>Movento Tip-on BM,40 кг,300 мм,760H3000M</v>
      </c>
      <c r="P26" s="1477">
        <f t="shared" si="8"/>
        <v>1705.3064027999999</v>
      </c>
      <c r="Q26" s="1478">
        <f t="shared" ref="Q26:Q35" si="11">P26</f>
        <v>1705.3064027999999</v>
      </c>
    </row>
    <row r="27" spans="1:17" ht="12.75" customHeight="1" x14ac:dyDescent="0.2">
      <c r="A27" s="17"/>
      <c r="B27" s="418" t="s">
        <v>505</v>
      </c>
      <c r="C27" s="2" t="str">
        <f t="shared" si="3"/>
        <v xml:space="preserve">Movento, 40 кг, 300 мм, 760H3000B       </v>
      </c>
      <c r="D27" s="65">
        <f t="shared" si="4"/>
        <v>1705.3064027999999</v>
      </c>
      <c r="E27" s="468">
        <f t="shared" si="9"/>
        <v>1705.3064027999999</v>
      </c>
      <c r="F27" s="1509"/>
      <c r="G27" s="1508"/>
      <c r="H27" s="1476" t="s">
        <v>191</v>
      </c>
      <c r="I27" s="1401" t="str">
        <f t="shared" si="5"/>
        <v>Movento+Tip-on, 40 кг, 300 мм, 760H3000T</v>
      </c>
      <c r="J27" s="1477">
        <f t="shared" si="6"/>
        <v>2290.8193308000004</v>
      </c>
      <c r="K27" s="1478">
        <f t="shared" si="10"/>
        <v>2290.8193308000004</v>
      </c>
      <c r="M27" s="17"/>
      <c r="N27" s="1476" t="s">
        <v>4038</v>
      </c>
      <c r="O27" s="1401" t="str">
        <f t="shared" si="7"/>
        <v>Movento Tip-on BM,40 кг,350 мм,760H3500M</v>
      </c>
      <c r="P27" s="1477">
        <f t="shared" si="8"/>
        <v>1705.3064027999999</v>
      </c>
      <c r="Q27" s="1478">
        <f t="shared" si="11"/>
        <v>1705.3064027999999</v>
      </c>
    </row>
    <row r="28" spans="1:17" ht="12.75" customHeight="1" x14ac:dyDescent="0.2">
      <c r="A28" s="17"/>
      <c r="B28" s="418" t="s">
        <v>506</v>
      </c>
      <c r="C28" s="2" t="str">
        <f t="shared" si="3"/>
        <v xml:space="preserve">Movento, 40 кг, 350 мм, 760H3500B       </v>
      </c>
      <c r="D28" s="65">
        <f t="shared" si="4"/>
        <v>1705.3064027999999</v>
      </c>
      <c r="E28" s="468">
        <f t="shared" si="9"/>
        <v>1705.3064027999999</v>
      </c>
      <c r="F28" s="1509"/>
      <c r="G28" s="1508"/>
      <c r="H28" s="1476" t="s">
        <v>188</v>
      </c>
      <c r="I28" s="1401" t="str">
        <f t="shared" si="5"/>
        <v>Movento+Tip-on, 40 кг, 350 мм, 760H3500T</v>
      </c>
      <c r="J28" s="1477">
        <f t="shared" si="6"/>
        <v>2290.8193308000004</v>
      </c>
      <c r="K28" s="1478">
        <f t="shared" si="10"/>
        <v>2290.8193308000004</v>
      </c>
      <c r="M28" s="17"/>
      <c r="N28" s="1476" t="s">
        <v>4044</v>
      </c>
      <c r="O28" s="1401" t="str">
        <f t="shared" si="7"/>
        <v>Movento Tip-on BM,40 кг,400 мм,760H4000M</v>
      </c>
      <c r="P28" s="1477">
        <f t="shared" si="8"/>
        <v>1725.6367127999999</v>
      </c>
      <c r="Q28" s="1478">
        <f t="shared" si="11"/>
        <v>1725.6367127999999</v>
      </c>
    </row>
    <row r="29" spans="1:17" ht="12.75" customHeight="1" x14ac:dyDescent="0.2">
      <c r="A29" s="17"/>
      <c r="B29" s="418" t="s">
        <v>514</v>
      </c>
      <c r="C29" s="2" t="str">
        <f t="shared" si="3"/>
        <v xml:space="preserve">Movento, 40 кг, 400 мм, 760H4000B       </v>
      </c>
      <c r="D29" s="65">
        <f t="shared" si="4"/>
        <v>1725.6367127999999</v>
      </c>
      <c r="E29" s="468">
        <f t="shared" si="9"/>
        <v>1725.6367127999999</v>
      </c>
      <c r="F29" s="1509"/>
      <c r="G29" s="1508"/>
      <c r="H29" s="1476" t="s">
        <v>202</v>
      </c>
      <c r="I29" s="1401" t="str">
        <f t="shared" si="5"/>
        <v>Movento+Tip-on, 40 кг, 400 мм, 760H4000T</v>
      </c>
      <c r="J29" s="1477">
        <f t="shared" si="6"/>
        <v>2309.523216</v>
      </c>
      <c r="K29" s="1478">
        <f t="shared" si="10"/>
        <v>2309.523216</v>
      </c>
      <c r="M29" s="17"/>
      <c r="N29" s="1476" t="s">
        <v>4048</v>
      </c>
      <c r="O29" s="1401" t="str">
        <f t="shared" si="7"/>
        <v>Movento Tip-on BM,40 кг,450 мм,760H4500M</v>
      </c>
      <c r="P29" s="1477">
        <f t="shared" si="8"/>
        <v>1744.340598</v>
      </c>
      <c r="Q29" s="1478">
        <f t="shared" si="11"/>
        <v>1744.340598</v>
      </c>
    </row>
    <row r="30" spans="1:17" ht="12.75" customHeight="1" x14ac:dyDescent="0.2">
      <c r="A30" s="17"/>
      <c r="B30" s="418" t="s">
        <v>504</v>
      </c>
      <c r="C30" s="2" t="str">
        <f t="shared" si="3"/>
        <v xml:space="preserve">Movento, 40 кг, 450 мм, 760H4500B       </v>
      </c>
      <c r="D30" s="65">
        <f t="shared" si="4"/>
        <v>1744.340598</v>
      </c>
      <c r="E30" s="468">
        <f t="shared" si="9"/>
        <v>1744.340598</v>
      </c>
      <c r="F30" s="1509"/>
      <c r="G30" s="1508"/>
      <c r="H30" s="1476" t="s">
        <v>195</v>
      </c>
      <c r="I30" s="1401" t="str">
        <f t="shared" si="5"/>
        <v>Movento+Tip-on, 40 кг, 450 мм, 760H4500T</v>
      </c>
      <c r="J30" s="1477">
        <f t="shared" si="6"/>
        <v>2329.0403136000004</v>
      </c>
      <c r="K30" s="1478">
        <f t="shared" si="10"/>
        <v>2329.0403136000004</v>
      </c>
      <c r="M30" s="17"/>
      <c r="N30" s="1476" t="s">
        <v>4052</v>
      </c>
      <c r="O30" s="1401" t="str">
        <f t="shared" si="7"/>
        <v>Movento Tip-on BM,40 кг,500 мм,760H5000M</v>
      </c>
      <c r="P30" s="1477">
        <f t="shared" si="8"/>
        <v>1764.6709080000001</v>
      </c>
      <c r="Q30" s="1478">
        <f t="shared" si="11"/>
        <v>1764.6709080000001</v>
      </c>
    </row>
    <row r="31" spans="1:17" ht="12.75" customHeight="1" x14ac:dyDescent="0.2">
      <c r="A31" s="17"/>
      <c r="B31" s="418" t="s">
        <v>510</v>
      </c>
      <c r="C31" s="2" t="str">
        <f t="shared" si="3"/>
        <v xml:space="preserve">Movento, 40 кг, 500 мм, 760H5000B       </v>
      </c>
      <c r="D31" s="65">
        <f t="shared" si="4"/>
        <v>1764.6709080000001</v>
      </c>
      <c r="E31" s="468">
        <f t="shared" si="9"/>
        <v>1764.6709080000001</v>
      </c>
      <c r="F31" s="1509"/>
      <c r="G31" s="1508"/>
      <c r="H31" s="1476" t="s">
        <v>201</v>
      </c>
      <c r="I31" s="1401" t="str">
        <f t="shared" si="5"/>
        <v>Movento+Tip-on, 40 кг, 500 мм, 760H5000T</v>
      </c>
      <c r="J31" s="1477">
        <f t="shared" si="6"/>
        <v>2349.3706236000003</v>
      </c>
      <c r="K31" s="1478">
        <f t="shared" si="10"/>
        <v>2349.3706236000003</v>
      </c>
      <c r="M31" s="17"/>
      <c r="N31" s="1476" t="s">
        <v>4057</v>
      </c>
      <c r="O31" s="1401" t="str">
        <f t="shared" si="7"/>
        <v>Movento Tip-on BM,40 кг,550 мм,760H5500M</v>
      </c>
      <c r="P31" s="1477">
        <f t="shared" si="8"/>
        <v>1867.9488827999999</v>
      </c>
      <c r="Q31" s="1478">
        <f t="shared" si="11"/>
        <v>1867.9488827999999</v>
      </c>
    </row>
    <row r="32" spans="1:17" ht="12.75" customHeight="1" x14ac:dyDescent="0.2">
      <c r="A32" s="17"/>
      <c r="B32" s="418" t="s">
        <v>511</v>
      </c>
      <c r="C32" s="2" t="str">
        <f t="shared" si="3"/>
        <v xml:space="preserve">Movento, 40 кг, 550 мм, 760H5500B       </v>
      </c>
      <c r="D32" s="65">
        <f t="shared" si="4"/>
        <v>1867.9488827999999</v>
      </c>
      <c r="E32" s="468">
        <f t="shared" si="9"/>
        <v>1867.9488827999999</v>
      </c>
      <c r="G32" s="1508"/>
      <c r="H32" s="1476" t="s">
        <v>189</v>
      </c>
      <c r="I32" s="1401" t="str">
        <f t="shared" si="5"/>
        <v>Movento+Tip-on, 40 кг, 550 мм, 760H5500T</v>
      </c>
      <c r="J32" s="1477">
        <f t="shared" si="6"/>
        <v>2452.6485984000001</v>
      </c>
      <c r="K32" s="1478">
        <f t="shared" si="10"/>
        <v>2452.6485984000001</v>
      </c>
      <c r="M32" s="17"/>
      <c r="N32" s="1476" t="s">
        <v>4069</v>
      </c>
      <c r="O32" s="1401" t="str">
        <f t="shared" si="7"/>
        <v>Movento Tip-on BM,40 кг,600 мм,760H6000M</v>
      </c>
      <c r="P32" s="1477">
        <f t="shared" si="8"/>
        <v>2076.9444696</v>
      </c>
      <c r="Q32" s="1478">
        <f t="shared" si="11"/>
        <v>2076.9444696</v>
      </c>
    </row>
    <row r="33" spans="1:17" ht="12.75" customHeight="1" x14ac:dyDescent="0.2">
      <c r="A33" s="17"/>
      <c r="B33" s="418" t="s">
        <v>507</v>
      </c>
      <c r="C33" s="2" t="str">
        <f t="shared" si="3"/>
        <v xml:space="preserve">Movento, 40 кг, 600 мм, 760H6000B       </v>
      </c>
      <c r="D33" s="65">
        <f t="shared" si="4"/>
        <v>2076.9444696</v>
      </c>
      <c r="E33" s="468">
        <f t="shared" si="9"/>
        <v>2076.9444696</v>
      </c>
      <c r="G33" s="1508"/>
      <c r="H33" s="1476" t="s">
        <v>194</v>
      </c>
      <c r="I33" s="1401" t="str">
        <f t="shared" si="5"/>
        <v>Movento+Tip-on, 40 кг, 600 мм, 760H6000T</v>
      </c>
      <c r="J33" s="1477">
        <f t="shared" si="6"/>
        <v>2661.6441851999998</v>
      </c>
      <c r="K33" s="1478">
        <f t="shared" si="10"/>
        <v>2661.6441851999998</v>
      </c>
      <c r="M33" s="17"/>
      <c r="N33" s="1476" t="s">
        <v>4054</v>
      </c>
      <c r="O33" s="1401" t="str">
        <f t="shared" si="7"/>
        <v>Movento Tip-on BM,60 кг,650 мм,766H6500M</v>
      </c>
      <c r="P33" s="1477">
        <f t="shared" si="8"/>
        <v>2537.2226879999998</v>
      </c>
      <c r="Q33" s="1478">
        <f t="shared" si="11"/>
        <v>2537.2226879999998</v>
      </c>
    </row>
    <row r="34" spans="1:17" x14ac:dyDescent="0.2">
      <c r="A34" s="17"/>
      <c r="B34" s="433"/>
      <c r="C34" s="28"/>
      <c r="D34" s="13"/>
      <c r="E34" s="437"/>
      <c r="G34" s="1508"/>
      <c r="H34" s="433"/>
      <c r="I34" s="28"/>
      <c r="J34" s="13"/>
      <c r="K34" s="437"/>
      <c r="M34" s="17"/>
      <c r="N34" s="1476" t="s">
        <v>4061</v>
      </c>
      <c r="O34" s="1401" t="str">
        <f t="shared" si="7"/>
        <v>Movento Tip-on BM,60 кг,700 мм,766H7000M</v>
      </c>
      <c r="P34" s="1477">
        <f t="shared" si="8"/>
        <v>2746.2182748000005</v>
      </c>
      <c r="Q34" s="1478">
        <f t="shared" si="11"/>
        <v>2746.2182748000005</v>
      </c>
    </row>
    <row r="35" spans="1:17" x14ac:dyDescent="0.2">
      <c r="A35" s="17"/>
      <c r="B35" s="2244" t="s">
        <v>4346</v>
      </c>
      <c r="C35" s="2245"/>
      <c r="D35" s="2245"/>
      <c r="E35" s="472" t="s">
        <v>1850</v>
      </c>
      <c r="G35" s="1508"/>
      <c r="H35" s="2244" t="s">
        <v>4346</v>
      </c>
      <c r="I35" s="2245"/>
      <c r="J35" s="2245"/>
      <c r="K35" s="472" t="s">
        <v>1850</v>
      </c>
      <c r="M35" s="17"/>
      <c r="N35" s="1476" t="s">
        <v>4065</v>
      </c>
      <c r="O35" s="1401" t="str">
        <f t="shared" si="7"/>
        <v>Movento Tip-on BM,60 кг,750 мм,766H7500M</v>
      </c>
      <c r="P35" s="1477">
        <f t="shared" si="8"/>
        <v>2955.2138616000007</v>
      </c>
      <c r="Q35" s="1478">
        <f t="shared" si="11"/>
        <v>2955.2138616000007</v>
      </c>
    </row>
    <row r="36" spans="1:17" ht="12.75" customHeight="1" x14ac:dyDescent="0.2">
      <c r="A36" s="17"/>
      <c r="B36" s="418" t="s">
        <v>502</v>
      </c>
      <c r="C36" s="2" t="str">
        <f t="shared" ref="C36:C42" si="12">VLOOKUP(B36,всецены,2,FALSE)</f>
        <v xml:space="preserve">Movento, 60 кг, 450 мм, 766H4500B       </v>
      </c>
      <c r="D36" s="65">
        <f>VLOOKUP(B36,всецены,4,FALSE)</f>
        <v>2101.3408416000002</v>
      </c>
      <c r="E36" s="468">
        <f t="shared" ref="E36:E42" si="13">D36</f>
        <v>2101.3408416000002</v>
      </c>
      <c r="F36" s="1509"/>
      <c r="G36" s="1508"/>
      <c r="H36" s="1476" t="s">
        <v>2043</v>
      </c>
      <c r="I36" s="1401" t="str">
        <f t="shared" ref="I36:I42" si="14">VLOOKUP(H36,всецены,2,FALSE)</f>
        <v>Movento+Tip-on, 60 кг, 450 мм, 766H4500T</v>
      </c>
      <c r="J36" s="1477">
        <f t="shared" ref="J36:J42" si="15">VLOOKUP(H36,всецены,4,FALSE)</f>
        <v>2686.8537695999999</v>
      </c>
      <c r="K36" s="1478">
        <f t="shared" ref="K36:K42" si="16">J36</f>
        <v>2686.8537695999999</v>
      </c>
      <c r="M36" s="17"/>
      <c r="N36" s="1485"/>
      <c r="O36" s="782"/>
      <c r="P36" s="782"/>
      <c r="Q36" s="1484"/>
    </row>
    <row r="37" spans="1:17" ht="12.75" customHeight="1" x14ac:dyDescent="0.2">
      <c r="A37" s="17"/>
      <c r="B37" s="418" t="s">
        <v>517</v>
      </c>
      <c r="C37" s="2" t="str">
        <f t="shared" si="12"/>
        <v xml:space="preserve">Movento, 60 кг, 500 мм, 766H5000B       </v>
      </c>
      <c r="D37" s="65">
        <f t="shared" ref="D37:D42" si="17">VLOOKUP(B37,всецены,4,FALSE)</f>
        <v>2120.8579391999997</v>
      </c>
      <c r="E37" s="468">
        <f t="shared" si="13"/>
        <v>2120.8579391999997</v>
      </c>
      <c r="F37" s="1509"/>
      <c r="G37" s="1508"/>
      <c r="H37" s="1476" t="s">
        <v>187</v>
      </c>
      <c r="I37" s="1401" t="str">
        <f t="shared" si="14"/>
        <v>Movento+Tip-on, 60 кг, 500 мм, 766H5000T</v>
      </c>
      <c r="J37" s="1477">
        <f t="shared" si="15"/>
        <v>2706.3708672000002</v>
      </c>
      <c r="K37" s="1478">
        <f t="shared" si="16"/>
        <v>2706.3708672000002</v>
      </c>
      <c r="M37" s="17"/>
      <c r="N37" s="2261" t="s">
        <v>4348</v>
      </c>
      <c r="O37" s="2262"/>
      <c r="P37" s="1071"/>
      <c r="Q37" s="1480"/>
    </row>
    <row r="38" spans="1:17" ht="13.5" customHeight="1" x14ac:dyDescent="0.2">
      <c r="A38" s="17"/>
      <c r="B38" s="418" t="s">
        <v>520</v>
      </c>
      <c r="C38" s="2" t="str">
        <f t="shared" si="12"/>
        <v xml:space="preserve">Movento, 60 кг, 550 мм, 766H5500B       </v>
      </c>
      <c r="D38" s="65">
        <f>VLOOKUP(B38,всецены,4,FALSE)</f>
        <v>2224.135914</v>
      </c>
      <c r="E38" s="468">
        <f t="shared" si="13"/>
        <v>2224.135914</v>
      </c>
      <c r="F38" s="1509"/>
      <c r="G38" s="1508"/>
      <c r="H38" s="1476" t="s">
        <v>192</v>
      </c>
      <c r="I38" s="1401" t="str">
        <f t="shared" si="14"/>
        <v>Movento+Tip-on, 60 кг, 550 мм, 766H5500T</v>
      </c>
      <c r="J38" s="1477">
        <f t="shared" si="15"/>
        <v>2809.6488419999996</v>
      </c>
      <c r="K38" s="1478">
        <f t="shared" si="16"/>
        <v>2809.6488419999996</v>
      </c>
      <c r="M38" s="17"/>
      <c r="N38" s="1476" t="s">
        <v>3628</v>
      </c>
      <c r="O38" s="1401" t="str">
        <f>VLOOKUP(N38,всецены,2,FALSE)</f>
        <v>LBX, Tip-on BM, L1, 350-750 кмп T60L7340</v>
      </c>
      <c r="P38" s="1477">
        <f>VLOOKUP(N38,всецены,4,FALSE)</f>
        <v>1107.5952887999999</v>
      </c>
      <c r="Q38" s="1478">
        <f>P38</f>
        <v>1107.5952887999999</v>
      </c>
    </row>
    <row r="39" spans="1:17" ht="12.75" customHeight="1" x14ac:dyDescent="0.2">
      <c r="A39" s="17"/>
      <c r="B39" s="418" t="s">
        <v>509</v>
      </c>
      <c r="C39" s="2" t="str">
        <f t="shared" si="12"/>
        <v xml:space="preserve">Movento, 60 кг, 600 мм, 766H6000B       </v>
      </c>
      <c r="D39" s="65">
        <f t="shared" si="17"/>
        <v>2433.1315008000006</v>
      </c>
      <c r="E39" s="468">
        <f t="shared" si="13"/>
        <v>2433.1315008000006</v>
      </c>
      <c r="G39" s="1508"/>
      <c r="H39" s="1476" t="s">
        <v>193</v>
      </c>
      <c r="I39" s="1401" t="str">
        <f t="shared" si="14"/>
        <v>Movento+Tip-on, 60 кг, 600 мм, 766H6000T</v>
      </c>
      <c r="J39" s="1477">
        <f t="shared" si="15"/>
        <v>3017.8312163999999</v>
      </c>
      <c r="K39" s="1478">
        <f t="shared" si="16"/>
        <v>3017.8312163999999</v>
      </c>
      <c r="M39" s="17"/>
      <c r="N39" s="1476" t="s">
        <v>3541</v>
      </c>
      <c r="O39" s="1401" t="str">
        <f>VLOOKUP(N39,всецены,2,FALSE)</f>
        <v>LBX, Tip-on BM, L3, 350-750 кмп T60L7540</v>
      </c>
      <c r="P39" s="1477">
        <f>VLOOKUP(N39,всецены,4,FALSE)</f>
        <v>1107.5952887999999</v>
      </c>
      <c r="Q39" s="1478">
        <f>P39</f>
        <v>1107.5952887999999</v>
      </c>
    </row>
    <row r="40" spans="1:17" x14ac:dyDescent="0.2">
      <c r="A40" s="17"/>
      <c r="B40" s="418" t="s">
        <v>513</v>
      </c>
      <c r="C40" s="2" t="str">
        <f t="shared" si="12"/>
        <v xml:space="preserve">Movento, 60 кг, 650 мм, 766H6500B       </v>
      </c>
      <c r="D40" s="65">
        <f>VLOOKUP(B40,всецены,4,FALSE)</f>
        <v>2537.2226879999998</v>
      </c>
      <c r="E40" s="468">
        <f t="shared" si="13"/>
        <v>2537.2226879999998</v>
      </c>
      <c r="G40" s="1508"/>
      <c r="H40" s="1476" t="s">
        <v>200</v>
      </c>
      <c r="I40" s="1401" t="str">
        <f t="shared" si="14"/>
        <v>Movento+Tip-on, 60 кг, 650 мм, 766H6500T</v>
      </c>
      <c r="J40" s="1477">
        <f t="shared" si="15"/>
        <v>3121.9224036000001</v>
      </c>
      <c r="K40" s="1478">
        <f t="shared" si="16"/>
        <v>3121.9224036000001</v>
      </c>
      <c r="M40" s="17"/>
      <c r="N40" s="1476" t="s">
        <v>3739</v>
      </c>
      <c r="O40" s="1401" t="str">
        <f>VLOOKUP(N40,всецены,2,FALSE)</f>
        <v>LBX, Tip-on BM, S1, 270-349 кмп T60L7140</v>
      </c>
      <c r="P40" s="1477">
        <f>VLOOKUP(N40,всецены,4,FALSE)</f>
        <v>1107.5952887999999</v>
      </c>
      <c r="Q40" s="1478">
        <f>P40</f>
        <v>1107.5952887999999</v>
      </c>
    </row>
    <row r="41" spans="1:17" x14ac:dyDescent="0.2">
      <c r="A41" s="17"/>
      <c r="B41" s="418" t="s">
        <v>515</v>
      </c>
      <c r="C41" s="2" t="str">
        <f t="shared" si="12"/>
        <v xml:space="preserve">Movento, 60 кг, 700 мм, 766H7000B       </v>
      </c>
      <c r="D41" s="65">
        <f>VLOOKUP(B41,всецены,4,FALSE)</f>
        <v>2746.2182748000005</v>
      </c>
      <c r="E41" s="468">
        <f t="shared" si="13"/>
        <v>2746.2182748000005</v>
      </c>
      <c r="G41" s="1508"/>
      <c r="H41" s="1476" t="s">
        <v>190</v>
      </c>
      <c r="I41" s="1401" t="str">
        <f t="shared" si="14"/>
        <v>Movento+Tip-on, 60 кг, 700 мм, 766H7000T</v>
      </c>
      <c r="J41" s="1477">
        <f t="shared" si="15"/>
        <v>3331.7312027999997</v>
      </c>
      <c r="K41" s="1478">
        <f t="shared" si="16"/>
        <v>3331.7312027999997</v>
      </c>
      <c r="M41" s="17"/>
      <c r="N41" s="1476"/>
      <c r="O41" s="1401"/>
      <c r="P41" s="1477"/>
      <c r="Q41" s="1478"/>
    </row>
    <row r="42" spans="1:17" x14ac:dyDescent="0.2">
      <c r="A42" s="17"/>
      <c r="B42" s="418" t="s">
        <v>512</v>
      </c>
      <c r="C42" s="2" t="str">
        <f t="shared" si="12"/>
        <v xml:space="preserve">Movento, 60 кг, 750 мм, 766H7500B       </v>
      </c>
      <c r="D42" s="65">
        <f t="shared" si="17"/>
        <v>2955.2138616000007</v>
      </c>
      <c r="E42" s="468">
        <f t="shared" si="13"/>
        <v>2955.2138616000007</v>
      </c>
      <c r="G42" s="1508"/>
      <c r="H42" s="1476" t="s">
        <v>197</v>
      </c>
      <c r="I42" s="1401" t="str">
        <f t="shared" si="14"/>
        <v>Movento+Tip-on, 60 кг, 750 мм, 766H7500T</v>
      </c>
      <c r="J42" s="1477">
        <f t="shared" si="15"/>
        <v>3540.7267896000003</v>
      </c>
      <c r="K42" s="1478">
        <f t="shared" si="16"/>
        <v>3540.7267896000003</v>
      </c>
      <c r="M42" s="17"/>
      <c r="N42" s="1476"/>
      <c r="O42" s="1401"/>
      <c r="P42" s="1477"/>
      <c r="Q42" s="1478"/>
    </row>
    <row r="43" spans="1:17" x14ac:dyDescent="0.2">
      <c r="A43" s="17"/>
      <c r="B43" s="433"/>
      <c r="C43" s="28"/>
      <c r="D43" s="13"/>
      <c r="E43" s="437"/>
      <c r="F43" s="1441"/>
      <c r="G43" s="1508"/>
      <c r="H43" s="433"/>
      <c r="I43" s="28"/>
      <c r="J43" s="13"/>
      <c r="K43" s="437"/>
      <c r="M43" s="17"/>
      <c r="N43" s="433"/>
      <c r="O43" s="28"/>
      <c r="P43" s="13"/>
      <c r="Q43" s="437"/>
    </row>
    <row r="44" spans="1:17" x14ac:dyDescent="0.2">
      <c r="A44" s="17"/>
      <c r="B44" s="2246" t="s">
        <v>4349</v>
      </c>
      <c r="C44" s="2247"/>
      <c r="D44" s="2247"/>
      <c r="E44" s="473" t="s">
        <v>1850</v>
      </c>
      <c r="F44" s="1441"/>
      <c r="G44" s="1508"/>
      <c r="H44" s="2246" t="s">
        <v>4349</v>
      </c>
      <c r="I44" s="2247"/>
      <c r="J44" s="2247"/>
      <c r="K44" s="473" t="s">
        <v>1850</v>
      </c>
      <c r="M44" s="17"/>
      <c r="N44" s="2246" t="s">
        <v>4349</v>
      </c>
      <c r="O44" s="2247"/>
      <c r="P44" s="2247"/>
      <c r="Q44" s="473" t="s">
        <v>1850</v>
      </c>
    </row>
    <row r="45" spans="1:17" x14ac:dyDescent="0.2">
      <c r="A45" s="17"/>
      <c r="B45" s="418" t="s">
        <v>519</v>
      </c>
      <c r="C45" s="2" t="str">
        <f>VLOOKUP(B45,всецены,2,FALSE)</f>
        <v>Movento, модуль рег по глуб,кмп,298.7600</v>
      </c>
      <c r="D45" s="65">
        <f>VLOOKUP(B45,всецены,4,FALSE)</f>
        <v>271.6129416</v>
      </c>
      <c r="E45" s="468">
        <f>D45</f>
        <v>271.6129416</v>
      </c>
      <c r="F45" s="1441"/>
      <c r="G45" s="1508"/>
      <c r="H45" s="1476" t="s">
        <v>519</v>
      </c>
      <c r="I45" s="1401" t="str">
        <f>VLOOKUP(H45,всецены,2,FALSE)</f>
        <v>Movento, модуль рег по глуб,кмп,298.7600</v>
      </c>
      <c r="J45" s="1477">
        <f>VLOOKUP(H45,всецены,4,FALSE)</f>
        <v>271.6129416</v>
      </c>
      <c r="K45" s="1478">
        <f>J45</f>
        <v>271.6129416</v>
      </c>
      <c r="M45" s="17"/>
      <c r="N45" s="1476" t="s">
        <v>519</v>
      </c>
      <c r="O45" s="1401" t="str">
        <f>VLOOKUP(N45,всецены,2,FALSE)</f>
        <v>Movento, модуль рег по глуб,кмп,298.7600</v>
      </c>
      <c r="P45" s="1477">
        <f>VLOOKUP(N45,всецены,4,FALSE)</f>
        <v>271.6129416</v>
      </c>
      <c r="Q45" s="1478">
        <f>P45</f>
        <v>271.6129416</v>
      </c>
    </row>
    <row r="46" spans="1:17" x14ac:dyDescent="0.2">
      <c r="A46" s="17"/>
      <c r="B46" s="418" t="s">
        <v>516</v>
      </c>
      <c r="C46" s="2" t="str">
        <f>VLOOKUP(B46,всецены,2,FALSE)</f>
        <v xml:space="preserve">Movento, замок лев, T51.7601            </v>
      </c>
      <c r="D46" s="65">
        <f>VLOOKUP(B46,всецены,4,FALSE)</f>
        <v>96.7722756</v>
      </c>
      <c r="E46" s="468">
        <f>D46</f>
        <v>96.7722756</v>
      </c>
      <c r="F46" s="1441"/>
      <c r="G46" s="1508"/>
      <c r="H46" s="1476" t="s">
        <v>516</v>
      </c>
      <c r="I46" s="1401" t="str">
        <f>VLOOKUP(H46,всецены,2,FALSE)</f>
        <v xml:space="preserve">Movento, замок лев, T51.7601            </v>
      </c>
      <c r="J46" s="1477">
        <f>VLOOKUP(H46,всецены,4,FALSE)</f>
        <v>96.7722756</v>
      </c>
      <c r="K46" s="1478">
        <f>J46</f>
        <v>96.7722756</v>
      </c>
      <c r="M46" s="17"/>
      <c r="N46" s="1476" t="s">
        <v>516</v>
      </c>
      <c r="O46" s="1401" t="str">
        <f>VLOOKUP(N46,всецены,2,FALSE)</f>
        <v xml:space="preserve">Movento, замок лев, T51.7601            </v>
      </c>
      <c r="P46" s="1477">
        <f>VLOOKUP(N46,всецены,4,FALSE)</f>
        <v>96.7722756</v>
      </c>
      <c r="Q46" s="1478">
        <f>P46</f>
        <v>96.7722756</v>
      </c>
    </row>
    <row r="47" spans="1:17" ht="13.5" thickBot="1" x14ac:dyDescent="0.25">
      <c r="A47" s="17"/>
      <c r="B47" s="680" t="s">
        <v>518</v>
      </c>
      <c r="C47" s="353" t="str">
        <f>VLOOKUP(B47,всецены,2,FALSE)</f>
        <v xml:space="preserve">Movento, замок пр, T51.7601             </v>
      </c>
      <c r="D47" s="382">
        <f>VLOOKUP(B47,всецены,4,FALSE)</f>
        <v>96.7722756</v>
      </c>
      <c r="E47" s="469">
        <f>D47</f>
        <v>96.7722756</v>
      </c>
      <c r="F47" s="1441"/>
      <c r="G47" s="1508"/>
      <c r="H47" s="1476" t="s">
        <v>518</v>
      </c>
      <c r="I47" s="1401" t="str">
        <f>VLOOKUP(H47,всецены,2,FALSE)</f>
        <v xml:space="preserve">Movento, замок пр, T51.7601             </v>
      </c>
      <c r="J47" s="1477">
        <f>VLOOKUP(H47,всецены,4,FALSE)</f>
        <v>96.7722756</v>
      </c>
      <c r="K47" s="1478">
        <f>J47</f>
        <v>96.7722756</v>
      </c>
      <c r="M47" s="17"/>
      <c r="N47" s="1476" t="s">
        <v>518</v>
      </c>
      <c r="O47" s="1401" t="str">
        <f>VLOOKUP(N47,всецены,2,FALSE)</f>
        <v xml:space="preserve">Movento, замок пр, T51.7601             </v>
      </c>
      <c r="P47" s="1477">
        <f>VLOOKUP(N47,всецены,4,FALSE)</f>
        <v>96.7722756</v>
      </c>
      <c r="Q47" s="1478">
        <f>P47</f>
        <v>96.7722756</v>
      </c>
    </row>
    <row r="48" spans="1:17" ht="12.75" customHeight="1" x14ac:dyDescent="0.2">
      <c r="A48" s="17"/>
      <c r="B48" s="17"/>
      <c r="C48" s="17"/>
      <c r="E48" s="679"/>
      <c r="G48" s="1508"/>
      <c r="H48" s="1482"/>
      <c r="I48" s="1483"/>
      <c r="J48" s="1483"/>
      <c r="K48" s="1484"/>
      <c r="M48" s="17"/>
      <c r="N48" s="1482"/>
      <c r="O48" s="1483"/>
      <c r="P48" s="1483"/>
      <c r="Q48" s="1484"/>
    </row>
    <row r="49" spans="1:46" s="1474" customFormat="1" ht="15" x14ac:dyDescent="0.2">
      <c r="A49" s="771"/>
      <c r="B49" s="771"/>
      <c r="C49" s="771"/>
      <c r="D49" s="77"/>
      <c r="E49" s="679"/>
      <c r="F49" s="106"/>
      <c r="G49" s="1508"/>
      <c r="H49" s="2263" t="s">
        <v>3552</v>
      </c>
      <c r="I49" s="2264"/>
      <c r="J49" s="1074"/>
      <c r="K49" s="1481"/>
      <c r="L49" s="8"/>
      <c r="M49" s="17"/>
      <c r="N49" s="2263" t="s">
        <v>3552</v>
      </c>
      <c r="O49" s="2264"/>
      <c r="P49" s="1074"/>
      <c r="Q49" s="1481"/>
      <c r="R49" s="8"/>
      <c r="S49" s="8"/>
      <c r="T49" s="8"/>
      <c r="U49" s="8"/>
      <c r="V49" s="8"/>
      <c r="W49" s="8"/>
      <c r="X49" s="8"/>
      <c r="Y49" s="8"/>
      <c r="Z49" s="8"/>
      <c r="AA49" s="771"/>
      <c r="AB49" s="771"/>
      <c r="AC49" s="771"/>
      <c r="AD49" s="771"/>
      <c r="AE49" s="771"/>
      <c r="AF49" s="771"/>
      <c r="AG49" s="771"/>
      <c r="AH49" s="771"/>
      <c r="AI49" s="771"/>
      <c r="AJ49" s="771"/>
      <c r="AK49" s="771"/>
      <c r="AL49" s="771"/>
      <c r="AM49" s="771"/>
      <c r="AN49" s="771"/>
      <c r="AO49" s="771"/>
      <c r="AP49" s="771"/>
      <c r="AQ49" s="771"/>
      <c r="AR49" s="771"/>
      <c r="AS49" s="771"/>
      <c r="AT49" s="771"/>
    </row>
    <row r="50" spans="1:46" x14ac:dyDescent="0.2">
      <c r="B50" s="8"/>
      <c r="C50" s="8"/>
      <c r="E50" s="35"/>
      <c r="G50" s="1508"/>
      <c r="H50" s="1476" t="s">
        <v>4046</v>
      </c>
      <c r="I50" s="71" t="str">
        <f>VLOOKUP(H50,всецены,2,FALSE)</f>
        <v>Movento/LBX, Вал синхр TIP-ON, ZST.1160W</v>
      </c>
      <c r="J50" s="1477">
        <f>VLOOKUP(H50,всецены,4,FALSE)</f>
        <v>265.92045480000002</v>
      </c>
      <c r="K50" s="471">
        <f>J50</f>
        <v>265.92045480000002</v>
      </c>
      <c r="M50" s="17"/>
      <c r="N50" s="1476" t="s">
        <v>3546</v>
      </c>
      <c r="O50" s="71" t="str">
        <f>VLOOKUP(N50,всецены,2,FALSE)</f>
        <v xml:space="preserve">LBX, Вал синхрониз. Tip-on BM T60L1118W </v>
      </c>
      <c r="P50" s="1477">
        <f>VLOOKUP(N50,всецены,4,FALSE)</f>
        <v>289.50361440000006</v>
      </c>
      <c r="Q50" s="471">
        <f>P50</f>
        <v>289.50361440000006</v>
      </c>
    </row>
    <row r="51" spans="1:46" ht="14.25" customHeight="1" thickBot="1" x14ac:dyDescent="0.3">
      <c r="B51" s="681" t="s">
        <v>522</v>
      </c>
      <c r="C51" s="8"/>
      <c r="E51" s="35"/>
      <c r="G51" s="1508"/>
      <c r="H51" s="1479" t="s">
        <v>4034</v>
      </c>
      <c r="I51" s="1317" t="str">
        <f>VLOOKUP(H51,всецены,2,FALSE)</f>
        <v>Movento+Tip-on,Шестерни, кмп,T57.7400.01</v>
      </c>
      <c r="J51" s="1337">
        <f>VLOOKUP(H51,всецены,4,FALSE)</f>
        <v>436.69505880000003</v>
      </c>
      <c r="K51" s="469">
        <f>J51</f>
        <v>436.69505880000003</v>
      </c>
      <c r="M51" s="17"/>
      <c r="N51" s="1479" t="s">
        <v>3543</v>
      </c>
      <c r="O51" s="1317" t="str">
        <f>VLOOKUP(N51,всецены,2,FALSE)</f>
        <v xml:space="preserve">LBX, Шестерня синхр. Tip-on BM T60.000D </v>
      </c>
      <c r="P51" s="1337">
        <f>VLOOKUP(N51,всецены,4,FALSE)</f>
        <v>16.264248000000002</v>
      </c>
      <c r="Q51" s="469">
        <f>P51</f>
        <v>16.264248000000002</v>
      </c>
    </row>
    <row r="52" spans="1:46" ht="12.75" customHeight="1" x14ac:dyDescent="0.2">
      <c r="B52" s="2260" t="s">
        <v>523</v>
      </c>
      <c r="C52" s="2260"/>
      <c r="D52" s="2260"/>
      <c r="E52" s="2260"/>
      <c r="G52" s="1508"/>
      <c r="H52" s="17"/>
      <c r="I52" s="17"/>
      <c r="K52" s="679"/>
      <c r="M52" s="17"/>
      <c r="N52" s="17"/>
      <c r="O52" s="17"/>
      <c r="Q52" s="679"/>
    </row>
    <row r="53" spans="1:46" x14ac:dyDescent="0.2">
      <c r="B53" s="2260"/>
      <c r="C53" s="2260"/>
      <c r="D53" s="2260"/>
      <c r="E53" s="2260"/>
      <c r="G53" s="885"/>
      <c r="H53" s="771"/>
      <c r="I53" s="771"/>
      <c r="J53" s="771"/>
      <c r="K53" s="887"/>
      <c r="L53" s="771"/>
      <c r="M53" s="771"/>
      <c r="N53" s="771"/>
      <c r="O53" s="771"/>
      <c r="P53" s="771"/>
      <c r="Q53" s="887"/>
      <c r="R53" s="771"/>
    </row>
    <row r="54" spans="1:46" x14ac:dyDescent="0.2">
      <c r="B54" s="8"/>
      <c r="C54" s="8"/>
      <c r="E54" s="35"/>
      <c r="G54" s="885"/>
      <c r="H54" s="771"/>
      <c r="I54" s="771"/>
      <c r="J54" s="771"/>
      <c r="K54" s="887"/>
      <c r="L54" s="771"/>
      <c r="M54" s="771"/>
      <c r="N54" s="771"/>
      <c r="O54" s="771"/>
      <c r="P54" s="771"/>
      <c r="Q54" s="887"/>
      <c r="R54" s="771"/>
    </row>
    <row r="55" spans="1:46" ht="15.75" x14ac:dyDescent="0.25">
      <c r="B55" s="681" t="s">
        <v>524</v>
      </c>
      <c r="C55" s="8"/>
      <c r="E55" s="35"/>
      <c r="G55" s="885"/>
      <c r="H55" s="1026"/>
      <c r="I55" s="771"/>
      <c r="J55" s="771"/>
      <c r="K55" s="887"/>
      <c r="L55" s="771"/>
      <c r="M55" s="771"/>
      <c r="N55" s="1026"/>
      <c r="O55" s="771"/>
      <c r="P55" s="771"/>
      <c r="Q55" s="887"/>
      <c r="R55" s="771"/>
    </row>
    <row r="56" spans="1:46" ht="12.75" customHeight="1" x14ac:dyDescent="0.2">
      <c r="B56" s="2260" t="s">
        <v>525</v>
      </c>
      <c r="C56" s="2260"/>
      <c r="D56" s="2260"/>
      <c r="E56" s="2260"/>
      <c r="H56" s="2260"/>
      <c r="I56" s="2260"/>
      <c r="J56" s="2260"/>
      <c r="K56" s="2260"/>
      <c r="N56" s="2260"/>
      <c r="O56" s="2260"/>
      <c r="P56" s="2260"/>
      <c r="Q56" s="2260"/>
    </row>
    <row r="57" spans="1:46" x14ac:dyDescent="0.2">
      <c r="B57" s="2260"/>
      <c r="C57" s="2260"/>
      <c r="D57" s="2260"/>
      <c r="E57" s="2260"/>
      <c r="H57" s="2260"/>
      <c r="I57" s="2260"/>
      <c r="J57" s="2260"/>
      <c r="K57" s="2260"/>
      <c r="N57" s="2260"/>
      <c r="O57" s="2260"/>
      <c r="P57" s="2260"/>
      <c r="Q57" s="2260"/>
    </row>
    <row r="58" spans="1:46" x14ac:dyDescent="0.2">
      <c r="B58" s="8"/>
      <c r="C58" s="8"/>
      <c r="E58" s="35"/>
      <c r="H58" s="8"/>
      <c r="I58" s="8"/>
      <c r="K58" s="35"/>
      <c r="N58" s="8"/>
      <c r="O58" s="8"/>
      <c r="Q58" s="35"/>
    </row>
    <row r="59" spans="1:46" ht="15.75" x14ac:dyDescent="0.25">
      <c r="B59" s="681" t="s">
        <v>526</v>
      </c>
      <c r="C59" s="8"/>
      <c r="E59" s="35"/>
      <c r="H59" s="681"/>
      <c r="I59" s="8"/>
      <c r="K59" s="35"/>
      <c r="N59" s="681"/>
      <c r="O59" s="8"/>
      <c r="Q59" s="35"/>
    </row>
    <row r="60" spans="1:46" ht="12.75" customHeight="1" x14ac:dyDescent="0.2">
      <c r="B60" s="2260" t="s">
        <v>527</v>
      </c>
      <c r="C60" s="2260"/>
      <c r="D60" s="2260"/>
      <c r="E60" s="2260"/>
      <c r="H60" s="2260"/>
      <c r="I60" s="2260"/>
      <c r="J60" s="2260"/>
      <c r="K60" s="2260"/>
      <c r="N60" s="2260"/>
      <c r="O60" s="2260"/>
      <c r="P60" s="2260"/>
      <c r="Q60" s="2260"/>
    </row>
    <row r="61" spans="1:46" x14ac:dyDescent="0.2">
      <c r="B61" s="2260"/>
      <c r="C61" s="2260"/>
      <c r="D61" s="2260"/>
      <c r="E61" s="2260"/>
      <c r="H61" s="2260"/>
      <c r="I61" s="2260"/>
      <c r="J61" s="2260"/>
      <c r="K61" s="2260"/>
      <c r="N61" s="2260"/>
      <c r="O61" s="2260"/>
      <c r="P61" s="2260"/>
      <c r="Q61" s="2260"/>
    </row>
    <row r="62" spans="1:46" x14ac:dyDescent="0.2">
      <c r="B62" s="2260"/>
      <c r="C62" s="2260"/>
      <c r="D62" s="2260"/>
      <c r="E62" s="2260"/>
      <c r="H62" s="2260"/>
      <c r="I62" s="2260"/>
      <c r="J62" s="2260"/>
      <c r="K62" s="2260"/>
      <c r="N62" s="2260"/>
      <c r="O62" s="2260"/>
      <c r="P62" s="2260"/>
      <c r="Q62" s="2260"/>
    </row>
    <row r="63" spans="1:46" x14ac:dyDescent="0.2">
      <c r="B63" s="8"/>
      <c r="C63" s="8"/>
      <c r="E63" s="35"/>
      <c r="H63" s="8"/>
      <c r="I63" s="8"/>
      <c r="K63" s="35"/>
      <c r="N63" s="8"/>
      <c r="O63" s="8"/>
      <c r="Q63" s="35"/>
    </row>
    <row r="64" spans="1:46" ht="15.75" x14ac:dyDescent="0.25">
      <c r="B64" s="681" t="s">
        <v>528</v>
      </c>
      <c r="C64" s="8"/>
      <c r="E64" s="35"/>
      <c r="H64" s="681"/>
      <c r="I64" s="8"/>
      <c r="K64" s="35"/>
      <c r="N64" s="681"/>
      <c r="O64" s="8"/>
      <c r="Q64" s="35"/>
    </row>
    <row r="65" spans="2:17" x14ac:dyDescent="0.2">
      <c r="B65" s="2260" t="s">
        <v>529</v>
      </c>
      <c r="C65" s="2260"/>
      <c r="D65" s="2260"/>
      <c r="E65" s="2260"/>
      <c r="H65" s="2260"/>
      <c r="I65" s="2260"/>
      <c r="J65" s="2260"/>
      <c r="K65" s="2260"/>
      <c r="N65" s="2260"/>
      <c r="O65" s="2260"/>
      <c r="P65" s="2260"/>
      <c r="Q65" s="2260"/>
    </row>
    <row r="66" spans="2:17" x14ac:dyDescent="0.2">
      <c r="B66" s="2260"/>
      <c r="C66" s="2260"/>
      <c r="D66" s="2260"/>
      <c r="E66" s="2260"/>
      <c r="H66" s="2260"/>
      <c r="I66" s="2260"/>
      <c r="J66" s="2260"/>
      <c r="K66" s="2260"/>
      <c r="N66" s="2260"/>
      <c r="O66" s="2260"/>
      <c r="P66" s="2260"/>
      <c r="Q66" s="2260"/>
    </row>
    <row r="67" spans="2:17" x14ac:dyDescent="0.2">
      <c r="B67" s="2260"/>
      <c r="C67" s="2260"/>
      <c r="D67" s="2260"/>
      <c r="E67" s="2260"/>
      <c r="H67" s="2260"/>
      <c r="I67" s="2260"/>
      <c r="J67" s="2260"/>
      <c r="K67" s="2260"/>
      <c r="N67" s="2260"/>
      <c r="O67" s="2260"/>
      <c r="P67" s="2260"/>
      <c r="Q67" s="2260"/>
    </row>
    <row r="68" spans="2:17" x14ac:dyDescent="0.2">
      <c r="B68" s="8"/>
      <c r="C68" s="8"/>
      <c r="E68" s="35"/>
      <c r="H68" s="8"/>
      <c r="I68" s="8"/>
      <c r="K68" s="35"/>
      <c r="N68" s="8"/>
      <c r="O68" s="8"/>
      <c r="Q68" s="35"/>
    </row>
    <row r="69" spans="2:17" ht="15.75" x14ac:dyDescent="0.25">
      <c r="B69" s="681" t="s">
        <v>530</v>
      </c>
      <c r="C69" s="8"/>
      <c r="E69" s="35"/>
      <c r="H69" s="681"/>
      <c r="I69" s="8"/>
      <c r="K69" s="35"/>
      <c r="N69" s="681"/>
      <c r="O69" s="8"/>
      <c r="Q69" s="35"/>
    </row>
    <row r="70" spans="2:17" x14ac:dyDescent="0.2">
      <c r="B70" s="2260" t="s">
        <v>531</v>
      </c>
      <c r="C70" s="2260"/>
      <c r="D70" s="2260"/>
      <c r="E70" s="2260"/>
      <c r="H70" s="2260"/>
      <c r="I70" s="2260"/>
      <c r="J70" s="2260"/>
      <c r="K70" s="2260"/>
      <c r="N70" s="2260"/>
      <c r="O70" s="2260"/>
      <c r="P70" s="2260"/>
      <c r="Q70" s="2260"/>
    </row>
    <row r="71" spans="2:17" x14ac:dyDescent="0.2">
      <c r="B71" s="2260"/>
      <c r="C71" s="2260"/>
      <c r="D71" s="2260"/>
      <c r="E71" s="2260"/>
      <c r="H71" s="2260"/>
      <c r="I71" s="2260"/>
      <c r="J71" s="2260"/>
      <c r="K71" s="2260"/>
      <c r="N71" s="2260"/>
      <c r="O71" s="2260"/>
      <c r="P71" s="2260"/>
      <c r="Q71" s="2260"/>
    </row>
    <row r="72" spans="2:17" x14ac:dyDescent="0.2">
      <c r="B72" s="8"/>
      <c r="C72" s="8"/>
      <c r="E72" s="35"/>
      <c r="H72" s="8"/>
      <c r="I72" s="8"/>
      <c r="K72" s="35"/>
      <c r="N72" s="8"/>
      <c r="O72" s="8"/>
      <c r="Q72" s="35"/>
    </row>
    <row r="73" spans="2:17" hidden="1" x14ac:dyDescent="0.2">
      <c r="E73" s="35"/>
      <c r="H73" s="8">
        <v>40</v>
      </c>
      <c r="I73" s="8"/>
      <c r="K73" s="35"/>
      <c r="Q73" s="35"/>
    </row>
    <row r="74" spans="2:17" hidden="1" x14ac:dyDescent="0.2">
      <c r="E74" s="35"/>
      <c r="G74" s="885" t="s">
        <v>4361</v>
      </c>
      <c r="H74" s="418" t="s">
        <v>508</v>
      </c>
      <c r="I74" s="2" t="str">
        <f t="shared" ref="I74:I82" si="18">VLOOKUP(H74,всецены,2,FALSE)</f>
        <v xml:space="preserve">Movento, 40 кг, 250 мм, 760H2500B       </v>
      </c>
      <c r="K74" s="35"/>
      <c r="Q74" s="35"/>
    </row>
    <row r="75" spans="2:17" hidden="1" x14ac:dyDescent="0.2">
      <c r="E75" s="35"/>
      <c r="G75" s="885" t="s">
        <v>4362</v>
      </c>
      <c r="H75" s="418" t="s">
        <v>503</v>
      </c>
      <c r="I75" s="2" t="str">
        <f t="shared" si="18"/>
        <v xml:space="preserve">Movento, 40 кг, 270 мм, 760H2700B       </v>
      </c>
      <c r="K75" s="35"/>
      <c r="Q75" s="35"/>
    </row>
    <row r="76" spans="2:17" hidden="1" x14ac:dyDescent="0.2">
      <c r="E76" s="35"/>
      <c r="G76" s="885" t="s">
        <v>4363</v>
      </c>
      <c r="H76" s="418" t="s">
        <v>505</v>
      </c>
      <c r="I76" s="2" t="str">
        <f t="shared" si="18"/>
        <v xml:space="preserve">Movento, 40 кг, 300 мм, 760H3000B       </v>
      </c>
      <c r="K76" s="35"/>
      <c r="Q76" s="35"/>
    </row>
    <row r="77" spans="2:17" hidden="1" x14ac:dyDescent="0.2">
      <c r="E77" s="35"/>
      <c r="G77" s="885" t="s">
        <v>4364</v>
      </c>
      <c r="H77" s="418" t="s">
        <v>506</v>
      </c>
      <c r="I77" s="2" t="str">
        <f t="shared" si="18"/>
        <v xml:space="preserve">Movento, 40 кг, 350 мм, 760H3500B       </v>
      </c>
      <c r="K77" s="35"/>
      <c r="Q77" s="35"/>
    </row>
    <row r="78" spans="2:17" hidden="1" x14ac:dyDescent="0.2">
      <c r="E78" s="35"/>
      <c r="G78" s="885" t="s">
        <v>4365</v>
      </c>
      <c r="H78" s="418" t="s">
        <v>514</v>
      </c>
      <c r="I78" s="2" t="str">
        <f t="shared" si="18"/>
        <v xml:space="preserve">Movento, 40 кг, 400 мм, 760H4000B       </v>
      </c>
      <c r="K78" s="35"/>
      <c r="Q78" s="35"/>
    </row>
    <row r="79" spans="2:17" hidden="1" x14ac:dyDescent="0.2">
      <c r="E79" s="35"/>
      <c r="G79" s="885" t="s">
        <v>4366</v>
      </c>
      <c r="H79" s="418" t="s">
        <v>504</v>
      </c>
      <c r="I79" s="2" t="str">
        <f t="shared" si="18"/>
        <v xml:space="preserve">Movento, 40 кг, 450 мм, 760H4500B       </v>
      </c>
      <c r="K79" s="35"/>
      <c r="Q79" s="35"/>
    </row>
    <row r="80" spans="2:17" hidden="1" x14ac:dyDescent="0.2">
      <c r="E80" s="35"/>
      <c r="G80" s="885" t="s">
        <v>4367</v>
      </c>
      <c r="H80" s="418" t="s">
        <v>510</v>
      </c>
      <c r="I80" s="2" t="str">
        <f t="shared" si="18"/>
        <v xml:space="preserve">Movento, 40 кг, 500 мм, 760H5000B       </v>
      </c>
      <c r="K80" s="35"/>
      <c r="Q80" s="35"/>
    </row>
    <row r="81" spans="2:17" hidden="1" x14ac:dyDescent="0.2">
      <c r="E81" s="35"/>
      <c r="G81" s="885" t="s">
        <v>4368</v>
      </c>
      <c r="H81" s="418" t="s">
        <v>511</v>
      </c>
      <c r="I81" s="2" t="str">
        <f t="shared" si="18"/>
        <v xml:space="preserve">Movento, 40 кг, 550 мм, 760H5500B       </v>
      </c>
      <c r="K81" s="35"/>
      <c r="Q81" s="35"/>
    </row>
    <row r="82" spans="2:17" hidden="1" x14ac:dyDescent="0.2">
      <c r="E82" s="35"/>
      <c r="G82" s="885" t="s">
        <v>4369</v>
      </c>
      <c r="H82" s="418" t="s">
        <v>507</v>
      </c>
      <c r="I82" s="2" t="str">
        <f t="shared" si="18"/>
        <v xml:space="preserve">Movento, 40 кг, 600 мм, 760H6000B       </v>
      </c>
      <c r="K82" s="35"/>
      <c r="Q82" s="35"/>
    </row>
    <row r="83" spans="2:17" hidden="1" x14ac:dyDescent="0.2">
      <c r="E83" s="35"/>
      <c r="G83" s="885"/>
      <c r="H83" s="8">
        <v>60</v>
      </c>
      <c r="I83" s="8"/>
      <c r="K83" s="35"/>
      <c r="Q83" s="35"/>
    </row>
    <row r="84" spans="2:17" hidden="1" x14ac:dyDescent="0.2">
      <c r="E84" s="35"/>
      <c r="G84" s="885" t="s">
        <v>4370</v>
      </c>
      <c r="H84" s="418" t="s">
        <v>502</v>
      </c>
      <c r="I84" s="2" t="str">
        <f t="shared" ref="I84:I90" si="19">VLOOKUP(H84,всецены,2,FALSE)</f>
        <v xml:space="preserve">Movento, 60 кг, 450 мм, 766H4500B       </v>
      </c>
      <c r="K84" s="35"/>
      <c r="Q84" s="35"/>
    </row>
    <row r="85" spans="2:17" hidden="1" x14ac:dyDescent="0.2">
      <c r="E85" s="35"/>
      <c r="G85" s="885" t="s">
        <v>4371</v>
      </c>
      <c r="H85" s="418" t="s">
        <v>517</v>
      </c>
      <c r="I85" s="2" t="str">
        <f t="shared" si="19"/>
        <v xml:space="preserve">Movento, 60 кг, 500 мм, 766H5000B       </v>
      </c>
      <c r="K85" s="35"/>
      <c r="Q85" s="35"/>
    </row>
    <row r="86" spans="2:17" hidden="1" x14ac:dyDescent="0.2">
      <c r="E86" s="35"/>
      <c r="G86" s="885" t="s">
        <v>4372</v>
      </c>
      <c r="H86" s="418" t="s">
        <v>520</v>
      </c>
      <c r="I86" s="2" t="str">
        <f t="shared" si="19"/>
        <v xml:space="preserve">Movento, 60 кг, 550 мм, 766H5500B       </v>
      </c>
      <c r="K86" s="35"/>
      <c r="Q86" s="35"/>
    </row>
    <row r="87" spans="2:17" hidden="1" x14ac:dyDescent="0.2">
      <c r="E87" s="35"/>
      <c r="G87" s="885" t="s">
        <v>4373</v>
      </c>
      <c r="H87" s="418" t="s">
        <v>509</v>
      </c>
      <c r="I87" s="2" t="str">
        <f t="shared" si="19"/>
        <v xml:space="preserve">Movento, 60 кг, 600 мм, 766H6000B       </v>
      </c>
      <c r="K87" s="35"/>
      <c r="N87" s="8"/>
      <c r="O87" s="8"/>
      <c r="Q87" s="35"/>
    </row>
    <row r="88" spans="2:17" hidden="1" x14ac:dyDescent="0.2">
      <c r="E88" s="35"/>
      <c r="G88" s="885" t="s">
        <v>4374</v>
      </c>
      <c r="H88" s="418" t="s">
        <v>513</v>
      </c>
      <c r="I88" s="2" t="str">
        <f t="shared" si="19"/>
        <v xml:space="preserve">Movento, 60 кг, 650 мм, 766H6500B       </v>
      </c>
      <c r="K88" s="35"/>
      <c r="N88" s="8"/>
      <c r="O88" s="8"/>
      <c r="Q88" s="35"/>
    </row>
    <row r="89" spans="2:17" hidden="1" x14ac:dyDescent="0.2">
      <c r="E89" s="35"/>
      <c r="G89" s="885" t="s">
        <v>4375</v>
      </c>
      <c r="H89" s="418" t="s">
        <v>515</v>
      </c>
      <c r="I89" s="2" t="str">
        <f t="shared" si="19"/>
        <v xml:space="preserve">Movento, 60 кг, 700 мм, 766H7000B       </v>
      </c>
      <c r="K89" s="35"/>
      <c r="N89" s="8"/>
      <c r="O89" s="8"/>
      <c r="Q89" s="35"/>
    </row>
    <row r="90" spans="2:17" hidden="1" x14ac:dyDescent="0.2">
      <c r="E90" s="35"/>
      <c r="G90" s="885" t="s">
        <v>4376</v>
      </c>
      <c r="H90" s="418" t="s">
        <v>512</v>
      </c>
      <c r="I90" s="2" t="str">
        <f t="shared" si="19"/>
        <v xml:space="preserve">Movento, 60 кг, 750 мм, 766H7500B       </v>
      </c>
      <c r="K90" s="35"/>
      <c r="N90" s="8"/>
      <c r="O90" s="8"/>
      <c r="Q90" s="35"/>
    </row>
    <row r="91" spans="2:17" hidden="1" x14ac:dyDescent="0.2">
      <c r="B91" s="8"/>
      <c r="E91" s="35"/>
      <c r="H91" s="8">
        <v>40</v>
      </c>
      <c r="I91" s="8"/>
      <c r="K91" s="35"/>
      <c r="N91" s="8"/>
      <c r="O91" s="8"/>
      <c r="Q91" s="35"/>
    </row>
    <row r="92" spans="2:17" hidden="1" x14ac:dyDescent="0.2">
      <c r="B92" s="8"/>
      <c r="E92" s="35"/>
      <c r="G92" s="885" t="s">
        <v>4377</v>
      </c>
      <c r="H92" s="1476" t="s">
        <v>199</v>
      </c>
      <c r="I92" s="1401" t="str">
        <f t="shared" ref="I92:I100" si="20">VLOOKUP(H92,всецены,2,FALSE)</f>
        <v>Movento+Tip-on, 40 кг, 250 мм, 760H2500T</v>
      </c>
      <c r="K92" s="35"/>
      <c r="N92" s="8"/>
      <c r="O92" s="8"/>
      <c r="Q92" s="35"/>
    </row>
    <row r="93" spans="2:17" hidden="1" x14ac:dyDescent="0.2">
      <c r="B93" s="8"/>
      <c r="E93" s="35"/>
      <c r="G93" s="885" t="s">
        <v>4378</v>
      </c>
      <c r="H93" s="1476" t="s">
        <v>203</v>
      </c>
      <c r="I93" s="1401" t="str">
        <f t="shared" si="20"/>
        <v>Movento+Tip-on, 40 кг, 270 мм, 760H2700T</v>
      </c>
      <c r="K93" s="35"/>
      <c r="N93" s="8"/>
      <c r="O93" s="8"/>
      <c r="Q93" s="35"/>
    </row>
    <row r="94" spans="2:17" hidden="1" x14ac:dyDescent="0.2">
      <c r="B94" s="8"/>
      <c r="E94" s="35"/>
      <c r="G94" s="885" t="s">
        <v>4379</v>
      </c>
      <c r="H94" s="1476" t="s">
        <v>191</v>
      </c>
      <c r="I94" s="1401" t="str">
        <f t="shared" si="20"/>
        <v>Movento+Tip-on, 40 кг, 300 мм, 760H3000T</v>
      </c>
      <c r="K94" s="35"/>
      <c r="N94" s="8"/>
      <c r="O94" s="8"/>
      <c r="Q94" s="35"/>
    </row>
    <row r="95" spans="2:17" hidden="1" x14ac:dyDescent="0.2">
      <c r="B95" s="8"/>
      <c r="E95" s="35"/>
      <c r="G95" s="885" t="s">
        <v>4380</v>
      </c>
      <c r="H95" s="1476" t="s">
        <v>188</v>
      </c>
      <c r="I95" s="1401" t="str">
        <f t="shared" si="20"/>
        <v>Movento+Tip-on, 40 кг, 350 мм, 760H3500T</v>
      </c>
      <c r="K95" s="35"/>
      <c r="N95" s="8"/>
      <c r="O95" s="8"/>
      <c r="Q95" s="35"/>
    </row>
    <row r="96" spans="2:17" hidden="1" x14ac:dyDescent="0.2">
      <c r="B96" s="8"/>
      <c r="E96" s="35"/>
      <c r="G96" s="885" t="s">
        <v>4381</v>
      </c>
      <c r="H96" s="1476" t="s">
        <v>202</v>
      </c>
      <c r="I96" s="1401" t="str">
        <f t="shared" si="20"/>
        <v>Movento+Tip-on, 40 кг, 400 мм, 760H4000T</v>
      </c>
      <c r="K96" s="35"/>
      <c r="N96" s="8"/>
      <c r="O96" s="8"/>
      <c r="Q96" s="35"/>
    </row>
    <row r="97" spans="2:17" hidden="1" x14ac:dyDescent="0.2">
      <c r="B97" s="8"/>
      <c r="E97" s="35"/>
      <c r="G97" s="885" t="s">
        <v>4382</v>
      </c>
      <c r="H97" s="1476" t="s">
        <v>195</v>
      </c>
      <c r="I97" s="1401" t="str">
        <f t="shared" si="20"/>
        <v>Movento+Tip-on, 40 кг, 450 мм, 760H4500T</v>
      </c>
      <c r="K97" s="35"/>
      <c r="N97" s="8"/>
      <c r="O97" s="8"/>
      <c r="Q97" s="35"/>
    </row>
    <row r="98" spans="2:17" hidden="1" x14ac:dyDescent="0.2">
      <c r="B98" s="8"/>
      <c r="E98" s="35"/>
      <c r="G98" s="885" t="s">
        <v>4383</v>
      </c>
      <c r="H98" s="1476" t="s">
        <v>201</v>
      </c>
      <c r="I98" s="1401" t="str">
        <f t="shared" si="20"/>
        <v>Movento+Tip-on, 40 кг, 500 мм, 760H5000T</v>
      </c>
      <c r="K98" s="35"/>
      <c r="N98" s="8"/>
      <c r="O98" s="8"/>
      <c r="Q98" s="35"/>
    </row>
    <row r="99" spans="2:17" hidden="1" x14ac:dyDescent="0.2">
      <c r="B99" s="8"/>
      <c r="E99" s="35"/>
      <c r="G99" s="885" t="s">
        <v>4384</v>
      </c>
      <c r="H99" s="1476" t="s">
        <v>189</v>
      </c>
      <c r="I99" s="1401" t="str">
        <f t="shared" si="20"/>
        <v>Movento+Tip-on, 40 кг, 550 мм, 760H5500T</v>
      </c>
      <c r="K99" s="35"/>
      <c r="N99" s="8"/>
      <c r="O99" s="8"/>
      <c r="Q99" s="35"/>
    </row>
    <row r="100" spans="2:17" hidden="1" x14ac:dyDescent="0.2">
      <c r="B100" s="8"/>
      <c r="E100" s="35"/>
      <c r="G100" s="885" t="s">
        <v>4385</v>
      </c>
      <c r="H100" s="1476" t="s">
        <v>194</v>
      </c>
      <c r="I100" s="1401" t="str">
        <f t="shared" si="20"/>
        <v>Movento+Tip-on, 40 кг, 600 мм, 760H6000T</v>
      </c>
      <c r="K100" s="35"/>
      <c r="N100" s="8"/>
      <c r="O100" s="8"/>
      <c r="Q100" s="35"/>
    </row>
    <row r="101" spans="2:17" hidden="1" x14ac:dyDescent="0.2">
      <c r="B101" s="8"/>
      <c r="E101" s="35"/>
      <c r="G101" s="106" t="s">
        <v>2257</v>
      </c>
      <c r="H101" s="8">
        <v>60</v>
      </c>
      <c r="I101" s="8"/>
      <c r="K101" s="35"/>
      <c r="N101" s="8"/>
      <c r="O101" s="8"/>
      <c r="Q101" s="35"/>
    </row>
    <row r="102" spans="2:17" hidden="1" x14ac:dyDescent="0.2">
      <c r="B102" s="8"/>
      <c r="E102" s="35"/>
      <c r="G102" s="885" t="s">
        <v>4386</v>
      </c>
      <c r="H102" s="1476" t="s">
        <v>2043</v>
      </c>
      <c r="I102" s="1401" t="str">
        <f t="shared" ref="I102:I108" si="21">VLOOKUP(H102,всецены,2,FALSE)</f>
        <v>Movento+Tip-on, 60 кг, 450 мм, 766H4500T</v>
      </c>
      <c r="K102" s="35"/>
      <c r="N102" s="8"/>
      <c r="O102" s="8"/>
      <c r="Q102" s="35"/>
    </row>
    <row r="103" spans="2:17" hidden="1" x14ac:dyDescent="0.2">
      <c r="B103" s="8"/>
      <c r="E103" s="35"/>
      <c r="G103" s="885" t="s">
        <v>4387</v>
      </c>
      <c r="H103" s="1476" t="s">
        <v>187</v>
      </c>
      <c r="I103" s="1401" t="str">
        <f t="shared" si="21"/>
        <v>Movento+Tip-on, 60 кг, 500 мм, 766H5000T</v>
      </c>
      <c r="K103" s="35"/>
      <c r="N103" s="8"/>
      <c r="O103" s="8"/>
      <c r="Q103" s="35"/>
    </row>
    <row r="104" spans="2:17" hidden="1" x14ac:dyDescent="0.2">
      <c r="B104" s="8"/>
      <c r="E104" s="35"/>
      <c r="G104" s="885" t="s">
        <v>4388</v>
      </c>
      <c r="H104" s="1476" t="s">
        <v>192</v>
      </c>
      <c r="I104" s="1401" t="str">
        <f t="shared" si="21"/>
        <v>Movento+Tip-on, 60 кг, 550 мм, 766H5500T</v>
      </c>
      <c r="K104" s="35"/>
      <c r="N104" s="8"/>
      <c r="O104" s="8"/>
      <c r="Q104" s="35"/>
    </row>
    <row r="105" spans="2:17" hidden="1" x14ac:dyDescent="0.2">
      <c r="B105" s="8"/>
      <c r="E105" s="35"/>
      <c r="G105" s="885" t="s">
        <v>4389</v>
      </c>
      <c r="H105" s="1476" t="s">
        <v>193</v>
      </c>
      <c r="I105" s="1401" t="str">
        <f t="shared" si="21"/>
        <v>Movento+Tip-on, 60 кг, 600 мм, 766H6000T</v>
      </c>
      <c r="K105" s="35"/>
      <c r="N105" s="8"/>
      <c r="O105" s="8"/>
      <c r="Q105" s="35"/>
    </row>
    <row r="106" spans="2:17" hidden="1" x14ac:dyDescent="0.2">
      <c r="B106" s="8"/>
      <c r="E106" s="35"/>
      <c r="G106" s="885" t="s">
        <v>4390</v>
      </c>
      <c r="H106" s="1476" t="s">
        <v>200</v>
      </c>
      <c r="I106" s="1401" t="str">
        <f t="shared" si="21"/>
        <v>Movento+Tip-on, 60 кг, 650 мм, 766H6500T</v>
      </c>
      <c r="K106" s="35"/>
      <c r="N106" s="8"/>
      <c r="O106" s="8"/>
      <c r="Q106" s="35"/>
    </row>
    <row r="107" spans="2:17" hidden="1" x14ac:dyDescent="0.2">
      <c r="B107" s="8"/>
      <c r="E107" s="35"/>
      <c r="G107" s="885" t="s">
        <v>4391</v>
      </c>
      <c r="H107" s="1476" t="s">
        <v>190</v>
      </c>
      <c r="I107" s="1401" t="str">
        <f t="shared" si="21"/>
        <v>Movento+Tip-on, 60 кг, 700 мм, 766H7000T</v>
      </c>
      <c r="K107" s="35"/>
      <c r="N107" s="8"/>
      <c r="O107" s="8"/>
      <c r="Q107" s="35"/>
    </row>
    <row r="108" spans="2:17" hidden="1" x14ac:dyDescent="0.2">
      <c r="B108" s="8"/>
      <c r="E108" s="35"/>
      <c r="G108" s="885" t="s">
        <v>4392</v>
      </c>
      <c r="H108" s="1476" t="s">
        <v>197</v>
      </c>
      <c r="I108" s="1401" t="str">
        <f t="shared" si="21"/>
        <v>Movento+Tip-on, 60 кг, 750 мм, 766H7500T</v>
      </c>
      <c r="K108" s="35"/>
      <c r="N108" s="8"/>
      <c r="O108" s="8"/>
      <c r="Q108" s="35"/>
    </row>
    <row r="109" spans="2:17" hidden="1" x14ac:dyDescent="0.2">
      <c r="B109" s="8"/>
      <c r="E109" s="35"/>
      <c r="H109" s="8">
        <v>40</v>
      </c>
      <c r="I109" s="8"/>
      <c r="K109" s="35"/>
      <c r="N109" s="8"/>
      <c r="O109" s="8"/>
      <c r="Q109" s="35"/>
    </row>
    <row r="110" spans="2:17" hidden="1" x14ac:dyDescent="0.2">
      <c r="B110" s="8"/>
      <c r="E110" s="35"/>
      <c r="G110" s="885" t="s">
        <v>5171</v>
      </c>
      <c r="H110" s="1476" t="s">
        <v>4030</v>
      </c>
      <c r="I110" s="1401" t="str">
        <f t="shared" ref="I110:I117" si="22">VLOOKUP(H110,всецены,2,FALSE)</f>
        <v>Movento Tip-on BM,40 кг,270 мм,760H2700M</v>
      </c>
      <c r="K110" s="35"/>
      <c r="N110" s="8"/>
      <c r="O110" s="8"/>
      <c r="Q110" s="35"/>
    </row>
    <row r="111" spans="2:17" hidden="1" x14ac:dyDescent="0.2">
      <c r="B111" s="8"/>
      <c r="E111" s="35"/>
      <c r="G111" s="885" t="s">
        <v>5172</v>
      </c>
      <c r="H111" s="1476" t="s">
        <v>4032</v>
      </c>
      <c r="I111" s="1401" t="str">
        <f t="shared" si="22"/>
        <v>Movento Tip-on BM,40 кг,300 мм,760H3000M</v>
      </c>
      <c r="K111" s="35"/>
      <c r="N111" s="8"/>
      <c r="O111" s="8"/>
      <c r="Q111" s="35"/>
    </row>
    <row r="112" spans="2:17" hidden="1" x14ac:dyDescent="0.2">
      <c r="B112" s="8"/>
      <c r="E112" s="35"/>
      <c r="G112" s="885" t="s">
        <v>5173</v>
      </c>
      <c r="H112" s="1476" t="s">
        <v>4038</v>
      </c>
      <c r="I112" s="1401" t="str">
        <f t="shared" si="22"/>
        <v>Movento Tip-on BM,40 кг,350 мм,760H3500M</v>
      </c>
      <c r="K112" s="35"/>
      <c r="N112" s="8"/>
      <c r="O112" s="8"/>
      <c r="Q112" s="35"/>
    </row>
    <row r="113" spans="2:17" hidden="1" x14ac:dyDescent="0.2">
      <c r="B113" s="8"/>
      <c r="E113" s="35"/>
      <c r="G113" s="885" t="s">
        <v>5174</v>
      </c>
      <c r="H113" s="1476" t="s">
        <v>4044</v>
      </c>
      <c r="I113" s="1401" t="str">
        <f t="shared" si="22"/>
        <v>Movento Tip-on BM,40 кг,400 мм,760H4000M</v>
      </c>
      <c r="K113" s="35"/>
      <c r="N113" s="8"/>
      <c r="O113" s="8"/>
      <c r="Q113" s="35"/>
    </row>
    <row r="114" spans="2:17" hidden="1" x14ac:dyDescent="0.2">
      <c r="B114" s="8"/>
      <c r="E114" s="35"/>
      <c r="G114" s="885" t="s">
        <v>5175</v>
      </c>
      <c r="H114" s="1476" t="s">
        <v>4048</v>
      </c>
      <c r="I114" s="1401" t="str">
        <f t="shared" si="22"/>
        <v>Movento Tip-on BM,40 кг,450 мм,760H4500M</v>
      </c>
      <c r="K114" s="35"/>
      <c r="N114" s="8"/>
      <c r="O114" s="8"/>
      <c r="Q114" s="35"/>
    </row>
    <row r="115" spans="2:17" hidden="1" x14ac:dyDescent="0.2">
      <c r="B115" s="8"/>
      <c r="E115" s="35"/>
      <c r="G115" s="885" t="s">
        <v>5176</v>
      </c>
      <c r="H115" s="1476" t="s">
        <v>4052</v>
      </c>
      <c r="I115" s="1401" t="str">
        <f t="shared" si="22"/>
        <v>Movento Tip-on BM,40 кг,500 мм,760H5000M</v>
      </c>
      <c r="K115" s="35"/>
      <c r="N115" s="8"/>
      <c r="O115" s="8"/>
      <c r="Q115" s="35"/>
    </row>
    <row r="116" spans="2:17" hidden="1" x14ac:dyDescent="0.2">
      <c r="B116" s="8"/>
      <c r="E116" s="35"/>
      <c r="G116" s="885" t="s">
        <v>5177</v>
      </c>
      <c r="H116" s="1476" t="s">
        <v>4057</v>
      </c>
      <c r="I116" s="1401" t="str">
        <f t="shared" si="22"/>
        <v>Movento Tip-on BM,40 кг,550 мм,760H5500M</v>
      </c>
      <c r="K116" s="35"/>
      <c r="N116" s="8"/>
      <c r="O116" s="8"/>
      <c r="Q116" s="35"/>
    </row>
    <row r="117" spans="2:17" hidden="1" x14ac:dyDescent="0.2">
      <c r="E117" s="35"/>
      <c r="G117" s="885" t="s">
        <v>5178</v>
      </c>
      <c r="H117" s="1476" t="s">
        <v>4069</v>
      </c>
      <c r="I117" s="1401" t="str">
        <f t="shared" si="22"/>
        <v>Movento Tip-on BM,40 кг,600 мм,760H6000M</v>
      </c>
      <c r="K117" s="35"/>
      <c r="Q117" s="35"/>
    </row>
    <row r="118" spans="2:17" hidden="1" x14ac:dyDescent="0.2">
      <c r="E118" s="35"/>
      <c r="G118" s="1510"/>
      <c r="H118" s="771">
        <v>60</v>
      </c>
      <c r="I118" s="771"/>
      <c r="K118" s="35"/>
      <c r="Q118" s="35"/>
    </row>
    <row r="119" spans="2:17" hidden="1" x14ac:dyDescent="0.2">
      <c r="E119" s="35"/>
      <c r="G119" s="885" t="s">
        <v>5179</v>
      </c>
      <c r="H119" s="1476" t="s">
        <v>4054</v>
      </c>
      <c r="I119" s="1401" t="str">
        <f>VLOOKUP(H119,всецены,2,FALSE)</f>
        <v>Movento Tip-on BM,60 кг,650 мм,766H6500M</v>
      </c>
      <c r="K119" s="35"/>
      <c r="Q119" s="35"/>
    </row>
    <row r="120" spans="2:17" hidden="1" x14ac:dyDescent="0.2">
      <c r="E120" s="35"/>
      <c r="G120" s="885" t="s">
        <v>5180</v>
      </c>
      <c r="H120" s="1476" t="s">
        <v>4061</v>
      </c>
      <c r="I120" s="1401" t="str">
        <f>VLOOKUP(H120,всецены,2,FALSE)</f>
        <v>Movento Tip-on BM,60 кг,700 мм,766H7000M</v>
      </c>
      <c r="K120" s="35"/>
      <c r="Q120" s="35"/>
    </row>
    <row r="121" spans="2:17" hidden="1" x14ac:dyDescent="0.2">
      <c r="E121" s="35"/>
      <c r="G121" s="885" t="s">
        <v>5181</v>
      </c>
      <c r="H121" s="1476" t="s">
        <v>4065</v>
      </c>
      <c r="I121" s="1401" t="str">
        <f>VLOOKUP(H121,всецены,2,FALSE)</f>
        <v>Movento Tip-on BM,60 кг,750 мм,766H7500M</v>
      </c>
      <c r="K121" s="35"/>
      <c r="Q121" s="35"/>
    </row>
    <row r="122" spans="2:17" hidden="1" x14ac:dyDescent="0.2">
      <c r="E122" s="35"/>
      <c r="K122" s="35"/>
      <c r="Q122" s="35"/>
    </row>
    <row r="123" spans="2:17" x14ac:dyDescent="0.2">
      <c r="B123" s="771"/>
      <c r="C123" s="771"/>
      <c r="D123" s="771"/>
      <c r="E123" s="887"/>
      <c r="F123" s="885"/>
      <c r="G123" s="885"/>
      <c r="H123" s="771"/>
      <c r="I123" s="771"/>
      <c r="J123" s="771"/>
      <c r="K123" s="887"/>
      <c r="L123" s="771"/>
      <c r="M123" s="771"/>
      <c r="N123" s="771"/>
      <c r="O123" s="771"/>
      <c r="Q123" s="35"/>
    </row>
    <row r="124" spans="2:17" x14ac:dyDescent="0.2">
      <c r="B124" s="771"/>
      <c r="C124" s="771"/>
      <c r="D124" s="771"/>
      <c r="E124" s="887"/>
      <c r="F124" s="885"/>
      <c r="G124" s="885"/>
      <c r="H124" s="771"/>
      <c r="I124" s="771"/>
      <c r="J124" s="771"/>
      <c r="K124" s="887"/>
      <c r="L124" s="771"/>
      <c r="M124" s="771"/>
      <c r="N124" s="771"/>
      <c r="O124" s="771"/>
      <c r="Q124" s="35"/>
    </row>
    <row r="125" spans="2:17" x14ac:dyDescent="0.2">
      <c r="B125" s="771"/>
      <c r="C125" s="771"/>
      <c r="D125" s="771"/>
      <c r="E125" s="887"/>
      <c r="F125" s="885"/>
      <c r="G125" s="885"/>
      <c r="H125" s="771"/>
      <c r="I125" s="771"/>
      <c r="J125" s="771"/>
      <c r="K125" s="887"/>
      <c r="L125" s="771"/>
      <c r="M125" s="771"/>
      <c r="N125" s="771"/>
      <c r="O125" s="771"/>
      <c r="Q125" s="35"/>
    </row>
    <row r="126" spans="2:17" x14ac:dyDescent="0.2">
      <c r="B126" s="771"/>
      <c r="C126" s="771"/>
      <c r="D126" s="771"/>
      <c r="E126" s="887"/>
      <c r="F126" s="885"/>
      <c r="G126" s="885"/>
      <c r="H126" s="771"/>
      <c r="I126" s="771"/>
      <c r="J126" s="771"/>
      <c r="K126" s="887"/>
      <c r="L126" s="771"/>
      <c r="M126" s="771"/>
      <c r="N126" s="771"/>
      <c r="O126" s="771"/>
      <c r="Q126" s="35"/>
    </row>
    <row r="127" spans="2:17" x14ac:dyDescent="0.2">
      <c r="B127" s="771"/>
      <c r="C127" s="771"/>
      <c r="D127" s="771"/>
      <c r="E127" s="887"/>
      <c r="F127" s="885"/>
      <c r="G127" s="885"/>
      <c r="H127" s="771"/>
      <c r="I127" s="771"/>
      <c r="J127" s="771"/>
      <c r="K127" s="887"/>
      <c r="L127" s="771"/>
      <c r="M127" s="771"/>
      <c r="N127" s="771"/>
      <c r="O127" s="771"/>
      <c r="Q127" s="35"/>
    </row>
    <row r="128" spans="2:17" x14ac:dyDescent="0.2">
      <c r="B128" s="771"/>
      <c r="C128" s="771"/>
      <c r="D128" s="771"/>
      <c r="E128" s="887"/>
      <c r="F128" s="885"/>
      <c r="G128" s="885"/>
      <c r="H128" s="771"/>
      <c r="I128" s="771"/>
      <c r="J128" s="771"/>
      <c r="K128" s="887"/>
      <c r="L128" s="771"/>
      <c r="M128" s="771"/>
      <c r="N128" s="771"/>
      <c r="O128" s="771"/>
      <c r="Q128" s="35"/>
    </row>
    <row r="129" spans="2:17" x14ac:dyDescent="0.2">
      <c r="B129" s="771"/>
      <c r="C129" s="771"/>
      <c r="D129" s="771"/>
      <c r="E129" s="887"/>
      <c r="F129" s="885"/>
      <c r="G129" s="885"/>
      <c r="H129" s="771"/>
      <c r="I129" s="771"/>
      <c r="J129" s="771"/>
      <c r="K129" s="887"/>
      <c r="L129" s="771"/>
      <c r="M129" s="771"/>
      <c r="N129" s="771"/>
      <c r="O129" s="771"/>
      <c r="Q129" s="35"/>
    </row>
    <row r="130" spans="2:17" x14ac:dyDescent="0.2">
      <c r="B130" s="771"/>
      <c r="C130" s="771"/>
      <c r="D130" s="771"/>
      <c r="E130" s="887"/>
      <c r="F130" s="885"/>
      <c r="G130" s="885"/>
      <c r="H130" s="771"/>
      <c r="I130" s="771"/>
      <c r="J130" s="771"/>
      <c r="K130" s="887"/>
      <c r="L130" s="771"/>
      <c r="M130" s="771"/>
      <c r="N130" s="771"/>
      <c r="O130" s="771"/>
      <c r="Q130" s="35"/>
    </row>
    <row r="131" spans="2:17" x14ac:dyDescent="0.2">
      <c r="B131" s="771"/>
      <c r="C131" s="771"/>
      <c r="D131" s="771"/>
      <c r="E131" s="887"/>
      <c r="F131" s="885"/>
      <c r="G131" s="885"/>
      <c r="H131" s="771"/>
      <c r="I131" s="771"/>
      <c r="J131" s="771"/>
      <c r="K131" s="887"/>
      <c r="L131" s="771"/>
      <c r="M131" s="771"/>
      <c r="N131" s="771"/>
      <c r="O131" s="771"/>
      <c r="Q131" s="35"/>
    </row>
    <row r="132" spans="2:17" x14ac:dyDescent="0.2">
      <c r="B132" s="771"/>
      <c r="C132" s="771"/>
      <c r="D132" s="771"/>
      <c r="E132" s="887"/>
      <c r="F132" s="885"/>
      <c r="G132" s="885"/>
      <c r="H132" s="771"/>
      <c r="I132" s="771"/>
      <c r="J132" s="771"/>
      <c r="K132" s="887"/>
      <c r="L132" s="771"/>
      <c r="M132" s="771"/>
      <c r="N132" s="771"/>
      <c r="O132" s="771"/>
      <c r="Q132" s="35"/>
    </row>
    <row r="133" spans="2:17" x14ac:dyDescent="0.2">
      <c r="B133" s="771"/>
      <c r="C133" s="771"/>
      <c r="D133" s="771"/>
      <c r="E133" s="887"/>
      <c r="F133" s="885"/>
      <c r="G133" s="885"/>
      <c r="H133" s="771"/>
      <c r="I133" s="771"/>
      <c r="J133" s="771"/>
      <c r="K133" s="887"/>
      <c r="L133" s="771"/>
      <c r="M133" s="771"/>
      <c r="N133" s="771"/>
      <c r="O133" s="771"/>
      <c r="Q133" s="35"/>
    </row>
    <row r="134" spans="2:17" x14ac:dyDescent="0.2">
      <c r="B134" s="771"/>
      <c r="C134" s="771"/>
      <c r="D134" s="771"/>
      <c r="E134" s="887"/>
      <c r="F134" s="885"/>
      <c r="G134" s="885"/>
      <c r="H134" s="771"/>
      <c r="I134" s="771"/>
      <c r="J134" s="771"/>
      <c r="K134" s="887"/>
      <c r="L134" s="771"/>
      <c r="M134" s="771"/>
      <c r="N134" s="771"/>
      <c r="O134" s="771"/>
      <c r="Q134" s="35"/>
    </row>
    <row r="135" spans="2:17" x14ac:dyDescent="0.2">
      <c r="B135" s="771"/>
      <c r="C135" s="771"/>
      <c r="D135" s="771"/>
      <c r="E135" s="887"/>
      <c r="F135" s="885"/>
      <c r="G135" s="885"/>
      <c r="H135" s="771"/>
      <c r="I135" s="771"/>
      <c r="J135" s="771"/>
      <c r="K135" s="887"/>
      <c r="L135" s="771"/>
      <c r="M135" s="771"/>
      <c r="N135" s="771"/>
      <c r="O135" s="771"/>
      <c r="Q135" s="35"/>
    </row>
    <row r="136" spans="2:17" x14ac:dyDescent="0.2">
      <c r="B136" s="771"/>
      <c r="C136" s="771"/>
      <c r="D136" s="771"/>
      <c r="E136" s="887"/>
      <c r="F136" s="885"/>
      <c r="G136" s="885"/>
      <c r="H136" s="771"/>
      <c r="I136" s="771"/>
      <c r="J136" s="771"/>
      <c r="K136" s="887"/>
      <c r="L136" s="771"/>
      <c r="M136" s="771"/>
      <c r="N136" s="771"/>
      <c r="O136" s="771"/>
      <c r="Q136" s="35"/>
    </row>
    <row r="137" spans="2:17" x14ac:dyDescent="0.2">
      <c r="B137" s="771"/>
      <c r="C137" s="771"/>
      <c r="D137" s="771"/>
      <c r="E137" s="887"/>
      <c r="F137" s="885"/>
      <c r="G137" s="885"/>
      <c r="H137" s="771"/>
      <c r="I137" s="771"/>
      <c r="J137" s="771"/>
      <c r="K137" s="887"/>
      <c r="L137" s="771"/>
      <c r="M137" s="771"/>
      <c r="N137" s="771"/>
      <c r="O137" s="771"/>
      <c r="Q137" s="35"/>
    </row>
    <row r="138" spans="2:17" x14ac:dyDescent="0.2">
      <c r="B138" s="771"/>
      <c r="C138" s="771"/>
      <c r="D138" s="771"/>
      <c r="E138" s="887"/>
      <c r="F138" s="885"/>
      <c r="G138" s="885"/>
      <c r="H138" s="771"/>
      <c r="I138" s="771"/>
      <c r="J138" s="771"/>
      <c r="K138" s="887"/>
      <c r="L138" s="771"/>
      <c r="M138" s="771"/>
      <c r="N138" s="771"/>
      <c r="O138" s="771"/>
      <c r="Q138" s="35"/>
    </row>
    <row r="139" spans="2:17" x14ac:dyDescent="0.2">
      <c r="B139" s="771"/>
      <c r="C139" s="771"/>
      <c r="D139" s="771"/>
      <c r="E139" s="887"/>
      <c r="F139" s="885"/>
      <c r="G139" s="885"/>
      <c r="H139" s="771"/>
      <c r="I139" s="771"/>
      <c r="J139" s="771"/>
      <c r="K139" s="887"/>
      <c r="L139" s="771"/>
      <c r="M139" s="771"/>
      <c r="N139" s="771"/>
      <c r="O139" s="771"/>
      <c r="Q139" s="35"/>
    </row>
    <row r="140" spans="2:17" x14ac:dyDescent="0.2">
      <c r="B140" s="771"/>
      <c r="C140" s="771"/>
      <c r="D140" s="771"/>
      <c r="E140" s="887"/>
      <c r="F140" s="885"/>
      <c r="G140" s="885"/>
      <c r="H140" s="771"/>
      <c r="I140" s="771"/>
      <c r="J140" s="771"/>
      <c r="K140" s="887"/>
      <c r="L140" s="771"/>
      <c r="M140" s="771"/>
      <c r="N140" s="771"/>
      <c r="O140" s="771"/>
      <c r="Q140" s="35"/>
    </row>
    <row r="141" spans="2:17" x14ac:dyDescent="0.2">
      <c r="B141" s="771"/>
      <c r="C141" s="771"/>
      <c r="D141" s="771"/>
      <c r="E141" s="887"/>
      <c r="F141" s="885"/>
      <c r="G141" s="885"/>
      <c r="H141" s="771"/>
      <c r="I141" s="771"/>
      <c r="J141" s="771"/>
      <c r="K141" s="887"/>
      <c r="L141" s="771"/>
      <c r="M141" s="771"/>
      <c r="N141" s="771"/>
      <c r="O141" s="771"/>
      <c r="Q141" s="35"/>
    </row>
    <row r="142" spans="2:17" x14ac:dyDescent="0.2">
      <c r="B142" s="771"/>
      <c r="C142" s="771"/>
      <c r="D142" s="771"/>
      <c r="E142" s="887"/>
      <c r="F142" s="885"/>
      <c r="G142" s="885"/>
      <c r="H142" s="771"/>
      <c r="I142" s="771"/>
      <c r="J142" s="771"/>
      <c r="K142" s="887"/>
      <c r="L142" s="771"/>
      <c r="M142" s="771"/>
      <c r="N142" s="771"/>
      <c r="O142" s="771"/>
      <c r="Q142" s="35"/>
    </row>
    <row r="143" spans="2:17" x14ac:dyDescent="0.2">
      <c r="B143" s="771"/>
      <c r="C143" s="771"/>
      <c r="D143" s="771"/>
      <c r="E143" s="887"/>
      <c r="F143" s="885"/>
      <c r="G143" s="885"/>
      <c r="H143" s="771"/>
      <c r="I143" s="771"/>
      <c r="J143" s="771"/>
      <c r="K143" s="887"/>
      <c r="L143" s="771"/>
      <c r="M143" s="771"/>
      <c r="N143" s="771"/>
      <c r="O143" s="771"/>
      <c r="Q143" s="35"/>
    </row>
    <row r="144" spans="2:17" x14ac:dyDescent="0.2">
      <c r="B144" s="771"/>
      <c r="C144" s="771"/>
      <c r="D144" s="771"/>
      <c r="E144" s="887"/>
      <c r="F144" s="885"/>
      <c r="G144" s="885"/>
      <c r="H144" s="771"/>
      <c r="I144" s="771"/>
      <c r="J144" s="771"/>
      <c r="K144" s="887"/>
      <c r="L144" s="771"/>
      <c r="M144" s="771"/>
      <c r="N144" s="771"/>
      <c r="O144" s="771"/>
      <c r="Q144" s="35"/>
    </row>
    <row r="145" spans="2:17" x14ac:dyDescent="0.2">
      <c r="B145" s="771"/>
      <c r="C145" s="771"/>
      <c r="D145" s="771"/>
      <c r="E145" s="887"/>
      <c r="F145" s="885"/>
      <c r="G145" s="885"/>
      <c r="H145" s="771"/>
      <c r="I145" s="771"/>
      <c r="J145" s="771"/>
      <c r="K145" s="887"/>
      <c r="L145" s="771"/>
      <c r="M145" s="771"/>
      <c r="N145" s="771"/>
      <c r="O145" s="771"/>
      <c r="Q145" s="35"/>
    </row>
    <row r="146" spans="2:17" x14ac:dyDescent="0.2">
      <c r="B146" s="771"/>
      <c r="C146" s="771"/>
      <c r="D146" s="771"/>
      <c r="E146" s="887"/>
      <c r="F146" s="885"/>
      <c r="G146" s="885"/>
      <c r="H146" s="771"/>
      <c r="I146" s="771"/>
      <c r="J146" s="771"/>
      <c r="K146" s="887"/>
      <c r="L146" s="771"/>
      <c r="M146" s="771"/>
      <c r="N146" s="771"/>
      <c r="O146" s="771"/>
      <c r="Q146" s="35"/>
    </row>
    <row r="147" spans="2:17" x14ac:dyDescent="0.2">
      <c r="B147" s="771"/>
      <c r="C147" s="771"/>
      <c r="D147" s="771"/>
      <c r="E147" s="887"/>
      <c r="F147" s="885"/>
      <c r="G147" s="885"/>
      <c r="H147" s="771"/>
      <c r="I147" s="771"/>
      <c r="J147" s="771"/>
      <c r="K147" s="887"/>
      <c r="L147" s="771"/>
      <c r="M147" s="771"/>
      <c r="N147" s="771"/>
      <c r="O147" s="771"/>
      <c r="Q147" s="35"/>
    </row>
    <row r="148" spans="2:17" x14ac:dyDescent="0.2">
      <c r="B148" s="771"/>
      <c r="C148" s="771"/>
      <c r="D148" s="771"/>
      <c r="E148" s="887"/>
      <c r="F148" s="885"/>
      <c r="G148" s="885"/>
      <c r="H148" s="771"/>
      <c r="I148" s="771"/>
      <c r="J148" s="771"/>
      <c r="K148" s="887"/>
      <c r="L148" s="771"/>
      <c r="M148" s="771"/>
      <c r="N148" s="771"/>
      <c r="O148" s="771"/>
      <c r="Q148" s="35"/>
    </row>
    <row r="149" spans="2:17" x14ac:dyDescent="0.2">
      <c r="B149" s="771"/>
      <c r="C149" s="771"/>
      <c r="D149" s="771"/>
      <c r="E149" s="887"/>
      <c r="F149" s="885"/>
      <c r="G149" s="885"/>
      <c r="H149" s="771"/>
      <c r="I149" s="771"/>
      <c r="J149" s="771"/>
      <c r="K149" s="887"/>
      <c r="L149" s="771"/>
      <c r="M149" s="771"/>
      <c r="N149" s="771"/>
      <c r="O149" s="771"/>
      <c r="Q149" s="35"/>
    </row>
    <row r="150" spans="2:17" x14ac:dyDescent="0.2">
      <c r="B150" s="771"/>
      <c r="C150" s="771"/>
      <c r="D150" s="771"/>
      <c r="E150" s="887"/>
      <c r="F150" s="885"/>
      <c r="G150" s="885"/>
      <c r="H150" s="771"/>
      <c r="I150" s="771"/>
      <c r="J150" s="771"/>
      <c r="K150" s="887"/>
      <c r="L150" s="771"/>
      <c r="M150" s="771"/>
      <c r="N150" s="771"/>
      <c r="O150" s="771"/>
      <c r="Q150" s="35"/>
    </row>
    <row r="151" spans="2:17" x14ac:dyDescent="0.2">
      <c r="B151" s="771"/>
      <c r="C151" s="771"/>
      <c r="D151" s="771"/>
      <c r="E151" s="887"/>
      <c r="F151" s="885"/>
      <c r="G151" s="885"/>
      <c r="H151" s="771"/>
      <c r="I151" s="771"/>
      <c r="J151" s="771"/>
      <c r="K151" s="887"/>
      <c r="L151" s="771"/>
      <c r="M151" s="771"/>
      <c r="N151" s="771"/>
      <c r="O151" s="771"/>
      <c r="Q151" s="35"/>
    </row>
    <row r="152" spans="2:17" x14ac:dyDescent="0.2">
      <c r="B152" s="771"/>
      <c r="C152" s="771"/>
      <c r="D152" s="771"/>
      <c r="E152" s="887"/>
      <c r="F152" s="885"/>
      <c r="G152" s="885"/>
      <c r="H152" s="771"/>
      <c r="I152" s="771"/>
      <c r="J152" s="771"/>
      <c r="K152" s="887"/>
      <c r="L152" s="771"/>
      <c r="M152" s="771"/>
      <c r="N152" s="771"/>
      <c r="O152" s="771"/>
      <c r="Q152" s="35"/>
    </row>
    <row r="153" spans="2:17" x14ac:dyDescent="0.2">
      <c r="B153" s="771"/>
      <c r="C153" s="771"/>
      <c r="D153" s="771"/>
      <c r="E153" s="887"/>
      <c r="F153" s="885"/>
      <c r="G153" s="885"/>
      <c r="H153" s="771"/>
      <c r="I153" s="771"/>
      <c r="J153" s="771"/>
      <c r="K153" s="887"/>
      <c r="L153" s="771"/>
      <c r="M153" s="771"/>
      <c r="N153" s="771"/>
      <c r="O153" s="771"/>
      <c r="Q153" s="35"/>
    </row>
    <row r="154" spans="2:17" x14ac:dyDescent="0.2">
      <c r="B154" s="771"/>
      <c r="C154" s="771"/>
      <c r="D154" s="771"/>
      <c r="E154" s="887"/>
      <c r="F154" s="885"/>
      <c r="G154" s="885"/>
      <c r="H154" s="771"/>
      <c r="I154" s="771"/>
      <c r="J154" s="771"/>
      <c r="K154" s="887"/>
      <c r="L154" s="771"/>
      <c r="M154" s="771"/>
      <c r="N154" s="771"/>
      <c r="O154" s="771"/>
      <c r="Q154" s="35"/>
    </row>
    <row r="155" spans="2:17" x14ac:dyDescent="0.2">
      <c r="B155" s="771"/>
      <c r="C155" s="771"/>
      <c r="D155" s="771"/>
      <c r="E155" s="887"/>
      <c r="F155" s="885"/>
      <c r="G155" s="885"/>
      <c r="H155" s="771"/>
      <c r="I155" s="771"/>
      <c r="J155" s="771"/>
      <c r="K155" s="887"/>
      <c r="L155" s="771"/>
      <c r="M155" s="771"/>
      <c r="N155" s="771"/>
      <c r="O155" s="771"/>
      <c r="Q155" s="35"/>
    </row>
    <row r="156" spans="2:17" x14ac:dyDescent="0.2">
      <c r="B156" s="771"/>
      <c r="C156" s="771"/>
      <c r="D156" s="771"/>
      <c r="E156" s="887"/>
      <c r="F156" s="885"/>
      <c r="G156" s="885"/>
      <c r="H156" s="771"/>
      <c r="I156" s="771"/>
      <c r="J156" s="771"/>
      <c r="K156" s="887"/>
      <c r="L156" s="771"/>
      <c r="M156" s="771"/>
      <c r="N156" s="771"/>
      <c r="O156" s="771"/>
      <c r="Q156" s="35"/>
    </row>
    <row r="157" spans="2:17" x14ac:dyDescent="0.2">
      <c r="B157" s="771"/>
      <c r="C157" s="771"/>
      <c r="D157" s="771"/>
      <c r="E157" s="887"/>
      <c r="F157" s="885"/>
      <c r="G157" s="885"/>
      <c r="H157" s="771"/>
      <c r="I157" s="771"/>
      <c r="J157" s="771"/>
      <c r="K157" s="887"/>
      <c r="L157" s="771"/>
      <c r="M157" s="771"/>
      <c r="N157" s="771"/>
      <c r="O157" s="771"/>
      <c r="Q157" s="35"/>
    </row>
    <row r="158" spans="2:17" x14ac:dyDescent="0.2">
      <c r="B158" s="771"/>
      <c r="C158" s="771"/>
      <c r="D158" s="771"/>
      <c r="E158" s="887"/>
      <c r="F158" s="885"/>
      <c r="G158" s="885"/>
      <c r="H158" s="771"/>
      <c r="I158" s="771"/>
      <c r="J158" s="771"/>
      <c r="K158" s="887"/>
      <c r="L158" s="771"/>
      <c r="M158" s="771"/>
      <c r="N158" s="771"/>
      <c r="O158" s="771"/>
      <c r="Q158" s="35"/>
    </row>
    <row r="159" spans="2:17" x14ac:dyDescent="0.2">
      <c r="B159" s="771"/>
      <c r="C159" s="771"/>
      <c r="D159" s="771"/>
      <c r="E159" s="887"/>
      <c r="F159" s="885"/>
      <c r="G159" s="885"/>
      <c r="H159" s="771"/>
      <c r="I159" s="771"/>
      <c r="J159" s="771"/>
      <c r="K159" s="887"/>
      <c r="L159" s="771"/>
      <c r="M159" s="771"/>
      <c r="N159" s="771"/>
      <c r="O159" s="771"/>
      <c r="Q159" s="35"/>
    </row>
    <row r="160" spans="2:17" x14ac:dyDescent="0.2">
      <c r="B160" s="771"/>
      <c r="C160" s="771"/>
      <c r="D160" s="771"/>
      <c r="E160" s="887"/>
      <c r="F160" s="885"/>
      <c r="G160" s="885"/>
      <c r="H160" s="771"/>
      <c r="I160" s="771"/>
      <c r="J160" s="771"/>
      <c r="K160" s="887"/>
      <c r="L160" s="771"/>
      <c r="M160" s="771"/>
      <c r="N160" s="771"/>
      <c r="O160" s="771"/>
      <c r="Q160" s="35"/>
    </row>
    <row r="161" spans="2:17" x14ac:dyDescent="0.2">
      <c r="B161" s="771"/>
      <c r="C161" s="771"/>
      <c r="D161" s="771"/>
      <c r="E161" s="887"/>
      <c r="F161" s="885"/>
      <c r="G161" s="885"/>
      <c r="H161" s="771"/>
      <c r="I161" s="771"/>
      <c r="J161" s="771"/>
      <c r="K161" s="887"/>
      <c r="L161" s="771"/>
      <c r="M161" s="771"/>
      <c r="N161" s="771"/>
      <c r="O161" s="771"/>
      <c r="Q161" s="35"/>
    </row>
    <row r="162" spans="2:17" x14ac:dyDescent="0.2">
      <c r="B162" s="771"/>
      <c r="C162" s="771"/>
      <c r="D162" s="771"/>
      <c r="E162" s="887"/>
      <c r="F162" s="885"/>
      <c r="G162" s="885"/>
      <c r="H162" s="771"/>
      <c r="I162" s="771"/>
      <c r="J162" s="771"/>
      <c r="K162" s="887"/>
      <c r="L162" s="771"/>
      <c r="M162" s="771"/>
      <c r="N162" s="771"/>
      <c r="O162" s="771"/>
      <c r="Q162" s="35"/>
    </row>
    <row r="163" spans="2:17" x14ac:dyDescent="0.2">
      <c r="B163" s="771"/>
      <c r="C163" s="771"/>
      <c r="D163" s="771"/>
      <c r="E163" s="887"/>
      <c r="F163" s="885"/>
      <c r="G163" s="885"/>
      <c r="H163" s="771"/>
      <c r="I163" s="771"/>
      <c r="J163" s="771"/>
      <c r="K163" s="887"/>
      <c r="L163" s="771"/>
      <c r="M163" s="771"/>
      <c r="N163" s="771"/>
      <c r="O163" s="771"/>
      <c r="Q163" s="35"/>
    </row>
    <row r="164" spans="2:17" x14ac:dyDescent="0.2">
      <c r="B164" s="771"/>
      <c r="C164" s="771"/>
      <c r="D164" s="771"/>
      <c r="E164" s="887"/>
      <c r="F164" s="885"/>
      <c r="G164" s="885"/>
      <c r="H164" s="771"/>
      <c r="I164" s="771"/>
      <c r="J164" s="771"/>
      <c r="K164" s="887"/>
      <c r="L164" s="771"/>
      <c r="M164" s="771"/>
      <c r="N164" s="771"/>
      <c r="O164" s="771"/>
      <c r="Q164" s="35"/>
    </row>
    <row r="165" spans="2:17" x14ac:dyDescent="0.2">
      <c r="B165" s="771"/>
      <c r="C165" s="771"/>
      <c r="D165" s="771"/>
      <c r="E165" s="887"/>
      <c r="F165" s="885"/>
      <c r="G165" s="885"/>
      <c r="H165" s="771"/>
      <c r="I165" s="771"/>
      <c r="J165" s="771"/>
      <c r="K165" s="887"/>
      <c r="L165" s="771"/>
      <c r="M165" s="771"/>
      <c r="N165" s="771"/>
      <c r="O165" s="771"/>
      <c r="Q165" s="35"/>
    </row>
    <row r="166" spans="2:17" x14ac:dyDescent="0.2">
      <c r="B166" s="771"/>
      <c r="C166" s="771"/>
      <c r="D166" s="771"/>
      <c r="E166" s="887"/>
      <c r="F166" s="885"/>
      <c r="G166" s="885"/>
      <c r="H166" s="771"/>
      <c r="I166" s="771"/>
      <c r="J166" s="771"/>
      <c r="K166" s="887"/>
      <c r="L166" s="771"/>
      <c r="M166" s="771"/>
      <c r="N166" s="771"/>
      <c r="O166" s="771"/>
      <c r="Q166" s="35"/>
    </row>
    <row r="167" spans="2:17" x14ac:dyDescent="0.2">
      <c r="B167" s="771"/>
      <c r="C167" s="771"/>
      <c r="D167" s="771"/>
      <c r="E167" s="887"/>
      <c r="F167" s="885"/>
      <c r="G167" s="885"/>
      <c r="H167" s="771"/>
      <c r="I167" s="771"/>
      <c r="J167" s="771"/>
      <c r="K167" s="887"/>
      <c r="L167" s="771"/>
      <c r="M167" s="771"/>
      <c r="N167" s="771"/>
      <c r="O167" s="771"/>
      <c r="Q167" s="35"/>
    </row>
    <row r="168" spans="2:17" x14ac:dyDescent="0.2">
      <c r="B168" s="771"/>
      <c r="C168" s="771"/>
      <c r="D168" s="771"/>
      <c r="E168" s="887"/>
      <c r="F168" s="885"/>
      <c r="G168" s="885"/>
      <c r="H168" s="771"/>
      <c r="I168" s="771"/>
      <c r="J168" s="771"/>
      <c r="K168" s="887"/>
      <c r="L168" s="771"/>
      <c r="M168" s="771"/>
      <c r="N168" s="771"/>
      <c r="O168" s="771"/>
      <c r="Q168" s="35"/>
    </row>
    <row r="169" spans="2:17" x14ac:dyDescent="0.2">
      <c r="B169" s="771"/>
      <c r="C169" s="771"/>
      <c r="D169" s="771"/>
      <c r="E169" s="887"/>
      <c r="F169" s="885"/>
      <c r="G169" s="885"/>
      <c r="H169" s="771"/>
      <c r="I169" s="771"/>
      <c r="J169" s="771"/>
      <c r="K169" s="887"/>
      <c r="L169" s="771"/>
      <c r="M169" s="771"/>
      <c r="N169" s="771"/>
      <c r="O169" s="771"/>
      <c r="Q169" s="35"/>
    </row>
    <row r="170" spans="2:17" x14ac:dyDescent="0.2">
      <c r="B170" s="771"/>
      <c r="C170" s="771"/>
      <c r="D170" s="771"/>
      <c r="E170" s="887"/>
      <c r="F170" s="885"/>
      <c r="G170" s="885"/>
      <c r="H170" s="771"/>
      <c r="I170" s="771"/>
      <c r="J170" s="771"/>
      <c r="K170" s="887"/>
      <c r="L170" s="771"/>
      <c r="M170" s="771"/>
      <c r="N170" s="771"/>
      <c r="O170" s="771"/>
      <c r="Q170" s="35"/>
    </row>
    <row r="171" spans="2:17" x14ac:dyDescent="0.2">
      <c r="B171" s="771"/>
      <c r="C171" s="771"/>
      <c r="D171" s="771"/>
      <c r="E171" s="887"/>
      <c r="F171" s="885"/>
      <c r="G171" s="885"/>
      <c r="H171" s="771"/>
      <c r="I171" s="771"/>
      <c r="J171" s="771"/>
      <c r="K171" s="887"/>
      <c r="L171" s="771"/>
      <c r="M171" s="771"/>
      <c r="N171" s="771"/>
      <c r="O171" s="771"/>
      <c r="Q171" s="35"/>
    </row>
    <row r="172" spans="2:17" x14ac:dyDescent="0.2">
      <c r="B172" s="771"/>
      <c r="C172" s="771"/>
      <c r="D172" s="771"/>
      <c r="E172" s="887"/>
      <c r="F172" s="885"/>
      <c r="G172" s="885"/>
      <c r="H172" s="771"/>
      <c r="I172" s="771"/>
      <c r="J172" s="771"/>
      <c r="K172" s="887"/>
      <c r="L172" s="771"/>
      <c r="M172" s="771"/>
      <c r="N172" s="771"/>
      <c r="O172" s="771"/>
      <c r="Q172" s="35"/>
    </row>
    <row r="173" spans="2:17" x14ac:dyDescent="0.2">
      <c r="B173" s="771"/>
      <c r="C173" s="771"/>
      <c r="D173" s="771"/>
      <c r="E173" s="887"/>
      <c r="F173" s="885"/>
      <c r="G173" s="885"/>
      <c r="H173" s="771"/>
      <c r="I173" s="771"/>
      <c r="J173" s="771"/>
      <c r="K173" s="887"/>
      <c r="L173" s="771"/>
      <c r="M173" s="771"/>
      <c r="N173" s="771"/>
      <c r="O173" s="771"/>
      <c r="Q173" s="35"/>
    </row>
    <row r="174" spans="2:17" x14ac:dyDescent="0.2">
      <c r="B174" s="771"/>
      <c r="C174" s="771"/>
      <c r="D174" s="771"/>
      <c r="E174" s="887"/>
      <c r="F174" s="885"/>
      <c r="G174" s="885"/>
      <c r="H174" s="771"/>
      <c r="I174" s="771"/>
      <c r="J174" s="771"/>
      <c r="K174" s="887"/>
      <c r="L174" s="771"/>
      <c r="M174" s="771"/>
      <c r="N174" s="771"/>
      <c r="O174" s="771"/>
      <c r="Q174" s="35"/>
    </row>
    <row r="175" spans="2:17" x14ac:dyDescent="0.2">
      <c r="B175" s="771"/>
      <c r="C175" s="771"/>
      <c r="D175" s="771"/>
      <c r="E175" s="887"/>
      <c r="F175" s="885"/>
      <c r="G175" s="885"/>
      <c r="H175" s="771"/>
      <c r="I175" s="771"/>
      <c r="J175" s="771"/>
      <c r="K175" s="887"/>
      <c r="L175" s="771"/>
      <c r="M175" s="771"/>
      <c r="N175" s="771"/>
      <c r="O175" s="771"/>
      <c r="Q175" s="35"/>
    </row>
    <row r="176" spans="2:17" x14ac:dyDescent="0.2">
      <c r="B176" s="771"/>
      <c r="C176" s="771"/>
      <c r="D176" s="771"/>
      <c r="E176" s="887"/>
      <c r="F176" s="885"/>
      <c r="G176" s="885"/>
      <c r="H176" s="771"/>
      <c r="I176" s="771"/>
      <c r="J176" s="771"/>
      <c r="K176" s="887"/>
      <c r="L176" s="771"/>
      <c r="M176" s="771"/>
      <c r="N176" s="771"/>
      <c r="O176" s="771"/>
      <c r="Q176" s="35"/>
    </row>
    <row r="177" spans="2:17" x14ac:dyDescent="0.2">
      <c r="B177" s="771"/>
      <c r="C177" s="771"/>
      <c r="D177" s="771"/>
      <c r="E177" s="887"/>
      <c r="F177" s="885"/>
      <c r="G177" s="885"/>
      <c r="H177" s="771"/>
      <c r="I177" s="771"/>
      <c r="J177" s="771"/>
      <c r="K177" s="887"/>
      <c r="L177" s="771"/>
      <c r="M177" s="771"/>
      <c r="N177" s="771"/>
      <c r="O177" s="771"/>
      <c r="Q177" s="35"/>
    </row>
    <row r="178" spans="2:17" x14ac:dyDescent="0.2">
      <c r="B178" s="771"/>
      <c r="C178" s="771"/>
      <c r="D178" s="771"/>
      <c r="E178" s="887"/>
      <c r="F178" s="885"/>
      <c r="G178" s="885"/>
      <c r="H178" s="771"/>
      <c r="I178" s="771"/>
      <c r="J178" s="771"/>
      <c r="K178" s="887"/>
      <c r="L178" s="771"/>
      <c r="M178" s="771"/>
      <c r="N178" s="771"/>
      <c r="O178" s="771"/>
      <c r="Q178" s="35"/>
    </row>
    <row r="179" spans="2:17" x14ac:dyDescent="0.2">
      <c r="B179" s="771"/>
      <c r="C179" s="771"/>
      <c r="D179" s="771"/>
      <c r="E179" s="887"/>
      <c r="F179" s="885"/>
      <c r="G179" s="885"/>
      <c r="H179" s="771"/>
      <c r="I179" s="771"/>
      <c r="J179" s="771"/>
      <c r="K179" s="887"/>
      <c r="L179" s="771"/>
      <c r="M179" s="771"/>
      <c r="N179" s="771"/>
      <c r="O179" s="771"/>
      <c r="Q179" s="35"/>
    </row>
    <row r="180" spans="2:17" x14ac:dyDescent="0.2">
      <c r="B180" s="771"/>
      <c r="C180" s="771"/>
      <c r="D180" s="771"/>
      <c r="E180" s="887"/>
      <c r="F180" s="885"/>
      <c r="G180" s="885"/>
      <c r="H180" s="771"/>
      <c r="I180" s="771"/>
      <c r="J180" s="771"/>
      <c r="K180" s="887"/>
      <c r="L180" s="771"/>
      <c r="M180" s="771"/>
      <c r="N180" s="771"/>
      <c r="O180" s="771"/>
      <c r="Q180" s="35"/>
    </row>
    <row r="181" spans="2:17" x14ac:dyDescent="0.2">
      <c r="B181" s="771"/>
      <c r="C181" s="771"/>
      <c r="D181" s="771"/>
      <c r="E181" s="887"/>
      <c r="F181" s="885"/>
      <c r="G181" s="885"/>
      <c r="H181" s="771"/>
      <c r="I181" s="771"/>
      <c r="J181" s="771"/>
      <c r="K181" s="887"/>
      <c r="L181" s="771"/>
      <c r="M181" s="771"/>
      <c r="N181" s="771"/>
      <c r="O181" s="771"/>
      <c r="Q181" s="35"/>
    </row>
    <row r="182" spans="2:17" x14ac:dyDescent="0.2">
      <c r="B182" s="771"/>
      <c r="C182" s="771"/>
      <c r="D182" s="771"/>
      <c r="E182" s="887"/>
      <c r="F182" s="885"/>
      <c r="G182" s="885"/>
      <c r="H182" s="771"/>
      <c r="I182" s="771"/>
      <c r="J182" s="771"/>
      <c r="K182" s="887"/>
      <c r="L182" s="771"/>
      <c r="M182" s="771"/>
      <c r="N182" s="771"/>
      <c r="O182" s="771"/>
      <c r="Q182" s="35"/>
    </row>
    <row r="183" spans="2:17" x14ac:dyDescent="0.2">
      <c r="B183" s="771"/>
      <c r="C183" s="771"/>
      <c r="D183" s="771"/>
      <c r="E183" s="887"/>
      <c r="F183" s="885"/>
      <c r="G183" s="885"/>
      <c r="H183" s="771"/>
      <c r="I183" s="771"/>
      <c r="J183" s="771"/>
      <c r="K183" s="887"/>
      <c r="L183" s="771"/>
      <c r="M183" s="771"/>
      <c r="N183" s="771"/>
      <c r="O183" s="771"/>
      <c r="Q183" s="35"/>
    </row>
    <row r="184" spans="2:17" x14ac:dyDescent="0.2">
      <c r="B184" s="771"/>
      <c r="C184" s="771"/>
      <c r="D184" s="771"/>
      <c r="E184" s="887"/>
      <c r="F184" s="885"/>
      <c r="G184" s="885"/>
      <c r="H184" s="771"/>
      <c r="I184" s="771"/>
      <c r="J184" s="771"/>
      <c r="K184" s="887"/>
      <c r="L184" s="771"/>
      <c r="M184" s="771"/>
      <c r="N184" s="771"/>
      <c r="O184" s="771"/>
      <c r="Q184" s="35"/>
    </row>
    <row r="185" spans="2:17" x14ac:dyDescent="0.2">
      <c r="B185" s="771"/>
      <c r="C185" s="771"/>
      <c r="D185" s="771"/>
      <c r="E185" s="887"/>
      <c r="F185" s="885"/>
      <c r="G185" s="885"/>
      <c r="H185" s="771"/>
      <c r="I185" s="771"/>
      <c r="J185" s="771"/>
      <c r="K185" s="887"/>
      <c r="L185" s="771"/>
      <c r="M185" s="771"/>
      <c r="N185" s="771"/>
      <c r="O185" s="771"/>
      <c r="Q185" s="35"/>
    </row>
    <row r="186" spans="2:17" x14ac:dyDescent="0.2">
      <c r="B186" s="771"/>
      <c r="C186" s="771"/>
      <c r="D186" s="771"/>
      <c r="E186" s="887"/>
      <c r="F186" s="885"/>
      <c r="G186" s="885"/>
      <c r="H186" s="771"/>
      <c r="I186" s="771"/>
      <c r="J186" s="771"/>
      <c r="K186" s="887"/>
      <c r="L186" s="771"/>
      <c r="M186" s="771"/>
      <c r="N186" s="771"/>
      <c r="O186" s="771"/>
      <c r="Q186" s="35"/>
    </row>
    <row r="187" spans="2:17" x14ac:dyDescent="0.2">
      <c r="B187" s="771"/>
      <c r="C187" s="771"/>
      <c r="D187" s="771"/>
      <c r="E187" s="887"/>
      <c r="F187" s="885"/>
      <c r="G187" s="885"/>
      <c r="H187" s="771"/>
      <c r="I187" s="771"/>
      <c r="J187" s="771"/>
      <c r="K187" s="887"/>
      <c r="L187" s="771"/>
      <c r="M187" s="771"/>
      <c r="N187" s="771"/>
      <c r="O187" s="771"/>
      <c r="Q187" s="35"/>
    </row>
    <row r="188" spans="2:17" x14ac:dyDescent="0.2">
      <c r="B188" s="771"/>
      <c r="C188" s="771"/>
      <c r="D188" s="771"/>
      <c r="E188" s="887"/>
      <c r="F188" s="885"/>
      <c r="G188" s="885"/>
      <c r="H188" s="771"/>
      <c r="I188" s="771"/>
      <c r="J188" s="771"/>
      <c r="K188" s="887"/>
      <c r="L188" s="771"/>
      <c r="M188" s="771"/>
      <c r="N188" s="771"/>
      <c r="O188" s="771"/>
      <c r="Q188" s="35"/>
    </row>
    <row r="189" spans="2:17" x14ac:dyDescent="0.2">
      <c r="B189" s="771"/>
      <c r="C189" s="771"/>
      <c r="D189" s="771"/>
      <c r="E189" s="887"/>
      <c r="F189" s="885"/>
      <c r="G189" s="885"/>
      <c r="H189" s="771"/>
      <c r="I189" s="771"/>
      <c r="J189" s="771"/>
      <c r="K189" s="887"/>
      <c r="L189" s="771"/>
      <c r="M189" s="771"/>
      <c r="N189" s="771"/>
      <c r="O189" s="771"/>
      <c r="Q189" s="35"/>
    </row>
    <row r="190" spans="2:17" x14ac:dyDescent="0.2">
      <c r="B190" s="771"/>
      <c r="C190" s="771"/>
      <c r="D190" s="771"/>
      <c r="E190" s="887"/>
      <c r="F190" s="885"/>
      <c r="G190" s="885"/>
      <c r="H190" s="771"/>
      <c r="I190" s="771"/>
      <c r="J190" s="771"/>
      <c r="K190" s="887"/>
      <c r="L190" s="771"/>
      <c r="M190" s="771"/>
      <c r="N190" s="771"/>
      <c r="O190" s="771"/>
      <c r="Q190" s="35"/>
    </row>
    <row r="191" spans="2:17" x14ac:dyDescent="0.2">
      <c r="B191" s="771"/>
      <c r="C191" s="771"/>
      <c r="D191" s="771"/>
      <c r="E191" s="887"/>
      <c r="F191" s="885"/>
      <c r="G191" s="885"/>
      <c r="H191" s="771"/>
      <c r="I191" s="771"/>
      <c r="J191" s="771"/>
      <c r="K191" s="887"/>
      <c r="L191" s="771"/>
      <c r="M191" s="771"/>
      <c r="N191" s="771"/>
      <c r="O191" s="771"/>
      <c r="Q191" s="35"/>
    </row>
    <row r="192" spans="2:17" x14ac:dyDescent="0.2">
      <c r="B192" s="771"/>
      <c r="C192" s="771"/>
      <c r="D192" s="771"/>
      <c r="E192" s="887"/>
      <c r="F192" s="885"/>
      <c r="G192" s="885"/>
      <c r="H192" s="771"/>
      <c r="I192" s="771"/>
      <c r="J192" s="771"/>
      <c r="K192" s="887"/>
      <c r="L192" s="771"/>
      <c r="M192" s="771"/>
      <c r="N192" s="771"/>
      <c r="O192" s="771"/>
      <c r="Q192" s="35"/>
    </row>
    <row r="193" spans="2:17" x14ac:dyDescent="0.2">
      <c r="B193" s="771"/>
      <c r="C193" s="771"/>
      <c r="D193" s="771"/>
      <c r="E193" s="887"/>
      <c r="F193" s="885"/>
      <c r="G193" s="885"/>
      <c r="H193" s="771"/>
      <c r="I193" s="771"/>
      <c r="J193" s="771"/>
      <c r="K193" s="887"/>
      <c r="L193" s="771"/>
      <c r="M193" s="771"/>
      <c r="N193" s="771"/>
      <c r="O193" s="771"/>
      <c r="Q193" s="35"/>
    </row>
    <row r="194" spans="2:17" x14ac:dyDescent="0.2">
      <c r="B194" s="771"/>
      <c r="C194" s="771"/>
      <c r="D194" s="771"/>
      <c r="E194" s="887"/>
      <c r="F194" s="885"/>
      <c r="G194" s="885"/>
      <c r="H194" s="771"/>
      <c r="I194" s="771"/>
      <c r="J194" s="771"/>
      <c r="K194" s="887"/>
      <c r="L194" s="771"/>
      <c r="M194" s="771"/>
      <c r="N194" s="771"/>
      <c r="O194" s="771"/>
      <c r="Q194" s="35"/>
    </row>
    <row r="195" spans="2:17" x14ac:dyDescent="0.2">
      <c r="B195" s="771"/>
      <c r="C195" s="771"/>
      <c r="D195" s="771"/>
      <c r="E195" s="887"/>
      <c r="F195" s="885"/>
      <c r="G195" s="885"/>
      <c r="H195" s="771"/>
      <c r="I195" s="771"/>
      <c r="J195" s="771"/>
      <c r="K195" s="887"/>
      <c r="L195" s="771"/>
      <c r="M195" s="771"/>
      <c r="N195" s="771"/>
      <c r="O195" s="771"/>
      <c r="Q195" s="35"/>
    </row>
    <row r="196" spans="2:17" x14ac:dyDescent="0.2">
      <c r="B196" s="771"/>
      <c r="C196" s="771"/>
      <c r="D196" s="771"/>
      <c r="E196" s="887"/>
      <c r="F196" s="885"/>
      <c r="G196" s="885"/>
      <c r="H196" s="771"/>
      <c r="I196" s="771"/>
      <c r="J196" s="771"/>
      <c r="K196" s="887"/>
      <c r="L196" s="771"/>
      <c r="M196" s="771"/>
      <c r="N196" s="771"/>
      <c r="O196" s="771"/>
      <c r="Q196" s="35"/>
    </row>
    <row r="197" spans="2:17" x14ac:dyDescent="0.2">
      <c r="B197" s="771"/>
      <c r="C197" s="771"/>
      <c r="D197" s="771"/>
      <c r="E197" s="887"/>
      <c r="F197" s="885"/>
      <c r="G197" s="885"/>
      <c r="H197" s="771"/>
      <c r="I197" s="771"/>
      <c r="J197" s="771"/>
      <c r="K197" s="887"/>
      <c r="L197" s="771"/>
      <c r="M197" s="771"/>
      <c r="N197" s="771"/>
      <c r="O197" s="771"/>
      <c r="Q197" s="35"/>
    </row>
    <row r="198" spans="2:17" x14ac:dyDescent="0.2">
      <c r="B198" s="771"/>
      <c r="C198" s="771"/>
      <c r="D198" s="771"/>
      <c r="E198" s="887"/>
      <c r="F198" s="885"/>
      <c r="G198" s="885"/>
      <c r="H198" s="771"/>
      <c r="I198" s="771"/>
      <c r="J198" s="771"/>
      <c r="K198" s="887"/>
      <c r="L198" s="771"/>
      <c r="M198" s="771"/>
      <c r="N198" s="771"/>
      <c r="O198" s="771"/>
      <c r="Q198" s="35"/>
    </row>
    <row r="199" spans="2:17" x14ac:dyDescent="0.2">
      <c r="B199" s="771"/>
      <c r="C199" s="771"/>
      <c r="D199" s="771"/>
      <c r="E199" s="887"/>
      <c r="F199" s="885"/>
      <c r="G199" s="885"/>
      <c r="H199" s="771"/>
      <c r="I199" s="771"/>
      <c r="J199" s="771"/>
      <c r="K199" s="887"/>
      <c r="L199" s="771"/>
      <c r="M199" s="771"/>
      <c r="N199" s="771"/>
      <c r="O199" s="771"/>
      <c r="Q199" s="35"/>
    </row>
    <row r="200" spans="2:17" x14ac:dyDescent="0.2">
      <c r="B200" s="771"/>
      <c r="C200" s="771"/>
      <c r="D200" s="771"/>
      <c r="E200" s="887"/>
      <c r="F200" s="885"/>
      <c r="G200" s="885"/>
      <c r="H200" s="771"/>
      <c r="I200" s="771"/>
      <c r="J200" s="771"/>
      <c r="K200" s="887"/>
      <c r="L200" s="771"/>
      <c r="M200" s="771"/>
      <c r="N200" s="771"/>
      <c r="O200" s="771"/>
      <c r="Q200" s="35"/>
    </row>
    <row r="201" spans="2:17" x14ac:dyDescent="0.2">
      <c r="B201" s="771"/>
      <c r="C201" s="771"/>
      <c r="D201" s="771"/>
      <c r="E201" s="887"/>
      <c r="F201" s="885"/>
      <c r="G201" s="885"/>
      <c r="H201" s="771"/>
      <c r="I201" s="771"/>
      <c r="J201" s="771"/>
      <c r="K201" s="887"/>
      <c r="L201" s="771"/>
      <c r="M201" s="771"/>
      <c r="N201" s="771"/>
      <c r="O201" s="771"/>
      <c r="Q201" s="35"/>
    </row>
    <row r="202" spans="2:17" x14ac:dyDescent="0.2">
      <c r="B202" s="771"/>
      <c r="C202" s="771"/>
      <c r="D202" s="771"/>
      <c r="E202" s="887"/>
      <c r="F202" s="885"/>
      <c r="G202" s="885"/>
      <c r="H202" s="771"/>
      <c r="I202" s="771"/>
      <c r="J202" s="771"/>
      <c r="K202" s="887"/>
      <c r="L202" s="771"/>
      <c r="M202" s="771"/>
      <c r="N202" s="771"/>
      <c r="O202" s="771"/>
      <c r="Q202" s="35"/>
    </row>
    <row r="203" spans="2:17" x14ac:dyDescent="0.2">
      <c r="B203" s="771"/>
      <c r="C203" s="771"/>
      <c r="D203" s="771"/>
      <c r="E203" s="887"/>
      <c r="F203" s="885"/>
      <c r="G203" s="885"/>
      <c r="H203" s="771"/>
      <c r="I203" s="771"/>
      <c r="J203" s="771"/>
      <c r="K203" s="887"/>
      <c r="L203" s="771"/>
      <c r="M203" s="771"/>
      <c r="N203" s="771"/>
      <c r="O203" s="771"/>
      <c r="Q203" s="35"/>
    </row>
    <row r="204" spans="2:17" x14ac:dyDescent="0.2">
      <c r="B204" s="771"/>
      <c r="C204" s="771"/>
      <c r="D204" s="771"/>
      <c r="E204" s="887"/>
      <c r="F204" s="885"/>
      <c r="G204" s="885"/>
      <c r="H204" s="771"/>
      <c r="I204" s="771"/>
      <c r="J204" s="771"/>
      <c r="K204" s="887"/>
      <c r="L204" s="771"/>
      <c r="M204" s="771"/>
      <c r="N204" s="771"/>
      <c r="O204" s="771"/>
      <c r="Q204" s="35"/>
    </row>
    <row r="205" spans="2:17" x14ac:dyDescent="0.2">
      <c r="B205" s="771"/>
      <c r="C205" s="771"/>
      <c r="D205" s="771"/>
      <c r="E205" s="887"/>
      <c r="F205" s="885"/>
      <c r="G205" s="885"/>
      <c r="H205" s="771"/>
      <c r="I205" s="771"/>
      <c r="J205" s="771"/>
      <c r="K205" s="887"/>
      <c r="L205" s="771"/>
      <c r="M205" s="771"/>
      <c r="N205" s="771"/>
      <c r="O205" s="771"/>
      <c r="Q205" s="35"/>
    </row>
    <row r="206" spans="2:17" x14ac:dyDescent="0.2">
      <c r="B206" s="771"/>
      <c r="C206" s="771"/>
      <c r="D206" s="771"/>
      <c r="E206" s="887"/>
      <c r="F206" s="885"/>
      <c r="G206" s="885"/>
      <c r="H206" s="771"/>
      <c r="I206" s="771"/>
      <c r="J206" s="771"/>
      <c r="K206" s="887"/>
      <c r="L206" s="771"/>
      <c r="M206" s="771"/>
      <c r="N206" s="771"/>
      <c r="O206" s="771"/>
      <c r="Q206" s="35"/>
    </row>
    <row r="207" spans="2:17" x14ac:dyDescent="0.2">
      <c r="B207" s="771"/>
      <c r="C207" s="771"/>
      <c r="D207" s="771"/>
      <c r="E207" s="887"/>
      <c r="F207" s="885"/>
      <c r="G207" s="885"/>
      <c r="H207" s="771"/>
      <c r="I207" s="771"/>
      <c r="J207" s="771"/>
      <c r="K207" s="887"/>
      <c r="L207" s="771"/>
      <c r="M207" s="771"/>
      <c r="N207" s="771"/>
      <c r="O207" s="771"/>
      <c r="Q207" s="35"/>
    </row>
    <row r="208" spans="2:17" x14ac:dyDescent="0.2">
      <c r="B208" s="771"/>
      <c r="C208" s="771"/>
      <c r="D208" s="771"/>
      <c r="E208" s="887"/>
      <c r="F208" s="885"/>
      <c r="G208" s="885"/>
      <c r="H208" s="771"/>
      <c r="I208" s="771"/>
      <c r="J208" s="771"/>
      <c r="K208" s="887"/>
      <c r="L208" s="771"/>
      <c r="M208" s="771"/>
      <c r="N208" s="771"/>
      <c r="O208" s="771"/>
      <c r="Q208" s="35"/>
    </row>
    <row r="209" spans="2:17" x14ac:dyDescent="0.2">
      <c r="B209" s="771"/>
      <c r="C209" s="771"/>
      <c r="D209" s="771"/>
      <c r="E209" s="887"/>
      <c r="F209" s="885"/>
      <c r="G209" s="885"/>
      <c r="H209" s="771"/>
      <c r="I209" s="771"/>
      <c r="J209" s="771"/>
      <c r="K209" s="887"/>
      <c r="L209" s="771"/>
      <c r="M209" s="771"/>
      <c r="N209" s="771"/>
      <c r="O209" s="771"/>
      <c r="Q209" s="35"/>
    </row>
    <row r="210" spans="2:17" x14ac:dyDescent="0.2">
      <c r="B210" s="771"/>
      <c r="C210" s="771"/>
      <c r="D210" s="771"/>
      <c r="E210" s="887"/>
      <c r="F210" s="885"/>
      <c r="G210" s="885"/>
      <c r="H210" s="771"/>
      <c r="I210" s="771"/>
      <c r="J210" s="771"/>
      <c r="K210" s="887"/>
      <c r="L210" s="771"/>
      <c r="M210" s="771"/>
      <c r="N210" s="771"/>
      <c r="O210" s="771"/>
      <c r="Q210" s="35"/>
    </row>
    <row r="211" spans="2:17" x14ac:dyDescent="0.2">
      <c r="B211" s="771"/>
      <c r="C211" s="771"/>
      <c r="D211" s="771"/>
      <c r="E211" s="887"/>
      <c r="F211" s="885"/>
      <c r="G211" s="885"/>
      <c r="H211" s="771"/>
      <c r="I211" s="771"/>
      <c r="J211" s="771"/>
      <c r="K211" s="887"/>
      <c r="L211" s="771"/>
      <c r="M211" s="771"/>
      <c r="N211" s="771"/>
      <c r="O211" s="771"/>
      <c r="Q211" s="35"/>
    </row>
    <row r="212" spans="2:17" x14ac:dyDescent="0.2">
      <c r="B212" s="771"/>
      <c r="C212" s="771"/>
      <c r="D212" s="771"/>
      <c r="E212" s="887"/>
      <c r="F212" s="885"/>
      <c r="G212" s="885"/>
      <c r="H212" s="771"/>
      <c r="I212" s="771"/>
      <c r="J212" s="771"/>
      <c r="K212" s="887"/>
      <c r="L212" s="771"/>
      <c r="M212" s="771"/>
      <c r="N212" s="771"/>
      <c r="O212" s="771"/>
      <c r="Q212" s="35"/>
    </row>
    <row r="213" spans="2:17" x14ac:dyDescent="0.2">
      <c r="B213" s="771"/>
      <c r="C213" s="771"/>
      <c r="D213" s="771"/>
      <c r="E213" s="887"/>
      <c r="F213" s="885"/>
      <c r="G213" s="885"/>
      <c r="H213" s="771"/>
      <c r="I213" s="771"/>
      <c r="J213" s="771"/>
      <c r="K213" s="887"/>
      <c r="L213" s="771"/>
      <c r="M213" s="771"/>
      <c r="N213" s="771"/>
      <c r="O213" s="771"/>
      <c r="Q213" s="35"/>
    </row>
    <row r="214" spans="2:17" x14ac:dyDescent="0.2">
      <c r="B214" s="771"/>
      <c r="C214" s="771"/>
      <c r="D214" s="771"/>
      <c r="E214" s="887"/>
      <c r="F214" s="885"/>
      <c r="G214" s="885"/>
      <c r="H214" s="771"/>
      <c r="I214" s="771"/>
      <c r="J214" s="771"/>
      <c r="K214" s="887"/>
      <c r="L214" s="771"/>
      <c r="M214" s="771"/>
      <c r="N214" s="771"/>
      <c r="O214" s="771"/>
      <c r="Q214" s="35"/>
    </row>
    <row r="215" spans="2:17" x14ac:dyDescent="0.2">
      <c r="B215" s="771"/>
      <c r="C215" s="771"/>
      <c r="D215" s="771"/>
      <c r="E215" s="887"/>
      <c r="F215" s="885"/>
      <c r="G215" s="885"/>
      <c r="H215" s="771"/>
      <c r="I215" s="771"/>
      <c r="J215" s="771"/>
      <c r="K215" s="887"/>
      <c r="L215" s="771"/>
      <c r="M215" s="771"/>
      <c r="N215" s="771"/>
      <c r="O215" s="771"/>
      <c r="Q215" s="35"/>
    </row>
    <row r="216" spans="2:17" x14ac:dyDescent="0.2">
      <c r="B216" s="771"/>
      <c r="C216" s="771"/>
      <c r="D216" s="771"/>
      <c r="E216" s="887"/>
      <c r="F216" s="885"/>
      <c r="G216" s="885"/>
      <c r="H216" s="771"/>
      <c r="I216" s="771"/>
      <c r="J216" s="771"/>
      <c r="K216" s="887"/>
      <c r="L216" s="771"/>
      <c r="M216" s="771"/>
      <c r="N216" s="771"/>
      <c r="O216" s="771"/>
      <c r="Q216" s="35"/>
    </row>
    <row r="217" spans="2:17" x14ac:dyDescent="0.2">
      <c r="B217" s="771"/>
      <c r="C217" s="771"/>
      <c r="D217" s="771"/>
      <c r="E217" s="887"/>
      <c r="F217" s="885"/>
      <c r="G217" s="885"/>
      <c r="H217" s="771"/>
      <c r="I217" s="771"/>
      <c r="J217" s="771"/>
      <c r="K217" s="887"/>
      <c r="L217" s="771"/>
      <c r="M217" s="771"/>
      <c r="N217" s="771"/>
      <c r="O217" s="771"/>
      <c r="Q217" s="35"/>
    </row>
    <row r="218" spans="2:17" x14ac:dyDescent="0.2">
      <c r="B218" s="771"/>
      <c r="C218" s="771"/>
      <c r="D218" s="771"/>
      <c r="E218" s="887"/>
      <c r="F218" s="885"/>
      <c r="G218" s="885"/>
      <c r="H218" s="771"/>
      <c r="I218" s="771"/>
      <c r="J218" s="771"/>
      <c r="K218" s="887"/>
      <c r="L218" s="771"/>
      <c r="M218" s="771"/>
      <c r="N218" s="771"/>
      <c r="O218" s="771"/>
      <c r="Q218" s="35"/>
    </row>
    <row r="219" spans="2:17" x14ac:dyDescent="0.2">
      <c r="B219" s="771"/>
      <c r="C219" s="771"/>
      <c r="D219" s="771"/>
      <c r="E219" s="887"/>
      <c r="F219" s="885"/>
      <c r="G219" s="885"/>
      <c r="H219" s="771"/>
      <c r="I219" s="771"/>
      <c r="J219" s="771"/>
      <c r="K219" s="887"/>
      <c r="L219" s="771"/>
      <c r="M219" s="771"/>
      <c r="N219" s="771"/>
      <c r="O219" s="771"/>
      <c r="Q219" s="35"/>
    </row>
    <row r="220" spans="2:17" x14ac:dyDescent="0.2">
      <c r="B220" s="771"/>
      <c r="C220" s="771"/>
      <c r="D220" s="771"/>
      <c r="E220" s="887"/>
      <c r="F220" s="885"/>
      <c r="G220" s="885"/>
      <c r="H220" s="771"/>
      <c r="I220" s="771"/>
      <c r="J220" s="771"/>
      <c r="K220" s="887"/>
      <c r="L220" s="771"/>
      <c r="M220" s="771"/>
      <c r="N220" s="771"/>
      <c r="O220" s="771"/>
      <c r="Q220" s="35"/>
    </row>
    <row r="221" spans="2:17" x14ac:dyDescent="0.2">
      <c r="B221" s="771"/>
      <c r="C221" s="771"/>
      <c r="D221" s="771"/>
      <c r="E221" s="887"/>
      <c r="F221" s="885"/>
      <c r="G221" s="885"/>
      <c r="H221" s="771"/>
      <c r="I221" s="771"/>
      <c r="J221" s="771"/>
      <c r="K221" s="887"/>
      <c r="L221" s="771"/>
      <c r="M221" s="771"/>
      <c r="N221" s="771"/>
      <c r="O221" s="771"/>
      <c r="Q221" s="35"/>
    </row>
    <row r="222" spans="2:17" x14ac:dyDescent="0.2">
      <c r="B222" s="771"/>
      <c r="C222" s="771"/>
      <c r="D222" s="771"/>
      <c r="E222" s="887"/>
      <c r="F222" s="885"/>
      <c r="G222" s="885"/>
      <c r="H222" s="771"/>
      <c r="I222" s="771"/>
      <c r="J222" s="771"/>
      <c r="K222" s="887"/>
      <c r="L222" s="771"/>
      <c r="M222" s="771"/>
      <c r="N222" s="771"/>
      <c r="O222" s="771"/>
      <c r="Q222" s="35"/>
    </row>
    <row r="223" spans="2:17" x14ac:dyDescent="0.2">
      <c r="B223" s="771"/>
      <c r="C223" s="771"/>
      <c r="D223" s="771"/>
      <c r="E223" s="887"/>
      <c r="F223" s="885"/>
      <c r="G223" s="885"/>
      <c r="H223" s="771"/>
      <c r="I223" s="771"/>
      <c r="J223" s="771"/>
      <c r="K223" s="887"/>
      <c r="L223" s="771"/>
      <c r="M223" s="771"/>
      <c r="N223" s="771"/>
      <c r="O223" s="771"/>
      <c r="Q223" s="35"/>
    </row>
    <row r="224" spans="2:17" x14ac:dyDescent="0.2">
      <c r="B224" s="771"/>
      <c r="C224" s="771"/>
      <c r="D224" s="771"/>
      <c r="E224" s="887"/>
      <c r="F224" s="885"/>
      <c r="G224" s="885"/>
      <c r="H224" s="771"/>
      <c r="I224" s="771"/>
      <c r="J224" s="771"/>
      <c r="K224" s="887"/>
      <c r="L224" s="771"/>
      <c r="M224" s="771"/>
      <c r="N224" s="771"/>
      <c r="O224" s="771"/>
      <c r="Q224" s="35"/>
    </row>
    <row r="225" spans="2:17" x14ac:dyDescent="0.2">
      <c r="B225" s="771"/>
      <c r="C225" s="771"/>
      <c r="D225" s="771"/>
      <c r="E225" s="887"/>
      <c r="F225" s="885"/>
      <c r="G225" s="885"/>
      <c r="H225" s="771"/>
      <c r="I225" s="771"/>
      <c r="J225" s="771"/>
      <c r="K225" s="887"/>
      <c r="L225" s="771"/>
      <c r="M225" s="771"/>
      <c r="N225" s="771"/>
      <c r="O225" s="771"/>
      <c r="Q225" s="35"/>
    </row>
    <row r="226" spans="2:17" x14ac:dyDescent="0.2">
      <c r="B226" s="771"/>
      <c r="C226" s="771"/>
      <c r="D226" s="771"/>
      <c r="E226" s="887"/>
      <c r="F226" s="885"/>
      <c r="G226" s="885"/>
      <c r="H226" s="771"/>
      <c r="I226" s="771"/>
      <c r="J226" s="771"/>
      <c r="K226" s="887"/>
      <c r="L226" s="771"/>
      <c r="M226" s="771"/>
      <c r="N226" s="771"/>
      <c r="O226" s="771"/>
      <c r="Q226" s="35"/>
    </row>
    <row r="227" spans="2:17" x14ac:dyDescent="0.2">
      <c r="B227" s="771"/>
      <c r="C227" s="771"/>
      <c r="D227" s="771"/>
      <c r="E227" s="887"/>
      <c r="F227" s="885"/>
      <c r="G227" s="885"/>
      <c r="H227" s="771"/>
      <c r="I227" s="771"/>
      <c r="J227" s="771"/>
      <c r="K227" s="887"/>
      <c r="L227" s="771"/>
      <c r="M227" s="771"/>
      <c r="N227" s="771"/>
      <c r="O227" s="771"/>
      <c r="Q227" s="35"/>
    </row>
    <row r="228" spans="2:17" x14ac:dyDescent="0.2">
      <c r="B228" s="771"/>
      <c r="C228" s="771"/>
      <c r="D228" s="771"/>
      <c r="E228" s="887"/>
      <c r="F228" s="885"/>
      <c r="G228" s="885"/>
      <c r="H228" s="771"/>
      <c r="I228" s="771"/>
      <c r="J228" s="771"/>
      <c r="K228" s="887"/>
      <c r="L228" s="771"/>
      <c r="M228" s="771"/>
      <c r="N228" s="771"/>
      <c r="O228" s="771"/>
      <c r="Q228" s="35"/>
    </row>
    <row r="229" spans="2:17" x14ac:dyDescent="0.2">
      <c r="B229" s="771"/>
      <c r="C229" s="771"/>
      <c r="D229" s="771"/>
      <c r="E229" s="887"/>
      <c r="F229" s="885"/>
      <c r="G229" s="885"/>
      <c r="H229" s="771"/>
      <c r="I229" s="771"/>
      <c r="J229" s="771"/>
      <c r="K229" s="887"/>
      <c r="L229" s="771"/>
      <c r="M229" s="771"/>
      <c r="N229" s="771"/>
      <c r="O229" s="771"/>
      <c r="Q229" s="35"/>
    </row>
    <row r="230" spans="2:17" x14ac:dyDescent="0.2">
      <c r="B230" s="771"/>
      <c r="C230" s="771"/>
      <c r="D230" s="771"/>
      <c r="E230" s="887"/>
      <c r="F230" s="885"/>
      <c r="G230" s="885"/>
      <c r="H230" s="771"/>
      <c r="I230" s="771"/>
      <c r="J230" s="771"/>
      <c r="K230" s="887"/>
      <c r="L230" s="771"/>
      <c r="M230" s="771"/>
      <c r="N230" s="771"/>
      <c r="O230" s="771"/>
      <c r="Q230" s="35"/>
    </row>
    <row r="231" spans="2:17" x14ac:dyDescent="0.2">
      <c r="B231" s="771"/>
      <c r="C231" s="771"/>
      <c r="D231" s="771"/>
      <c r="E231" s="887"/>
      <c r="F231" s="885"/>
      <c r="G231" s="885"/>
      <c r="H231" s="771"/>
      <c r="I231" s="771"/>
      <c r="J231" s="771"/>
      <c r="K231" s="887"/>
      <c r="L231" s="771"/>
      <c r="M231" s="771"/>
      <c r="N231" s="771"/>
      <c r="O231" s="771"/>
      <c r="Q231" s="35"/>
    </row>
    <row r="232" spans="2:17" x14ac:dyDescent="0.2">
      <c r="B232" s="771"/>
      <c r="C232" s="771"/>
      <c r="D232" s="771"/>
      <c r="E232" s="887"/>
      <c r="F232" s="885"/>
      <c r="G232" s="885"/>
      <c r="H232" s="771"/>
      <c r="I232" s="771"/>
      <c r="J232" s="771"/>
      <c r="K232" s="887"/>
      <c r="L232" s="771"/>
      <c r="M232" s="771"/>
      <c r="N232" s="771"/>
      <c r="O232" s="771"/>
      <c r="Q232" s="35"/>
    </row>
    <row r="233" spans="2:17" x14ac:dyDescent="0.2">
      <c r="B233" s="771"/>
      <c r="C233" s="771"/>
      <c r="D233" s="771"/>
      <c r="E233" s="887"/>
      <c r="F233" s="885"/>
      <c r="G233" s="885"/>
      <c r="H233" s="771"/>
      <c r="I233" s="771"/>
      <c r="J233" s="771"/>
      <c r="K233" s="887"/>
      <c r="L233" s="771"/>
      <c r="M233" s="771"/>
      <c r="N233" s="771"/>
      <c r="O233" s="771"/>
      <c r="Q233" s="35"/>
    </row>
    <row r="234" spans="2:17" x14ac:dyDescent="0.2">
      <c r="B234" s="771"/>
      <c r="C234" s="771"/>
      <c r="D234" s="771"/>
      <c r="E234" s="887"/>
      <c r="F234" s="885"/>
      <c r="G234" s="885"/>
      <c r="H234" s="771"/>
      <c r="I234" s="771"/>
      <c r="J234" s="771"/>
      <c r="K234" s="887"/>
      <c r="L234" s="771"/>
      <c r="M234" s="771"/>
      <c r="N234" s="771"/>
      <c r="O234" s="771"/>
      <c r="Q234" s="35"/>
    </row>
    <row r="235" spans="2:17" x14ac:dyDescent="0.2">
      <c r="B235" s="771"/>
      <c r="C235" s="771"/>
      <c r="D235" s="771"/>
      <c r="E235" s="887"/>
      <c r="F235" s="885"/>
      <c r="G235" s="885"/>
      <c r="H235" s="771"/>
      <c r="I235" s="771"/>
      <c r="J235" s="771"/>
      <c r="K235" s="887"/>
      <c r="L235" s="771"/>
      <c r="M235" s="771"/>
      <c r="N235" s="771"/>
      <c r="O235" s="771"/>
      <c r="Q235" s="35"/>
    </row>
    <row r="236" spans="2:17" x14ac:dyDescent="0.2">
      <c r="B236" s="771"/>
      <c r="C236" s="771"/>
      <c r="D236" s="771"/>
      <c r="E236" s="887"/>
      <c r="F236" s="885"/>
      <c r="G236" s="885"/>
      <c r="H236" s="771"/>
      <c r="I236" s="771"/>
      <c r="J236" s="771"/>
      <c r="K236" s="887"/>
      <c r="L236" s="771"/>
      <c r="M236" s="771"/>
      <c r="N236" s="771"/>
      <c r="O236" s="771"/>
      <c r="Q236" s="35"/>
    </row>
    <row r="237" spans="2:17" x14ac:dyDescent="0.2">
      <c r="B237" s="771"/>
      <c r="C237" s="771"/>
      <c r="D237" s="771"/>
      <c r="E237" s="887"/>
      <c r="F237" s="885"/>
      <c r="G237" s="885"/>
      <c r="H237" s="771"/>
      <c r="I237" s="771"/>
      <c r="J237" s="771"/>
      <c r="K237" s="887"/>
      <c r="L237" s="771"/>
      <c r="M237" s="771"/>
      <c r="N237" s="771"/>
      <c r="O237" s="771"/>
      <c r="Q237" s="35"/>
    </row>
    <row r="238" spans="2:17" x14ac:dyDescent="0.2">
      <c r="B238" s="771"/>
      <c r="C238" s="771"/>
      <c r="D238" s="771"/>
      <c r="E238" s="887"/>
      <c r="F238" s="885"/>
      <c r="G238" s="885"/>
      <c r="H238" s="771"/>
      <c r="I238" s="771"/>
      <c r="J238" s="771"/>
      <c r="K238" s="887"/>
      <c r="L238" s="771"/>
      <c r="M238" s="771"/>
      <c r="N238" s="771"/>
      <c r="O238" s="771"/>
      <c r="Q238" s="35"/>
    </row>
    <row r="239" spans="2:17" x14ac:dyDescent="0.2">
      <c r="B239" s="771"/>
      <c r="C239" s="771"/>
      <c r="D239" s="771"/>
      <c r="E239" s="887"/>
      <c r="F239" s="885"/>
      <c r="G239" s="885"/>
      <c r="H239" s="771"/>
      <c r="I239" s="771"/>
      <c r="J239" s="771"/>
      <c r="K239" s="887"/>
      <c r="L239" s="771"/>
      <c r="M239" s="771"/>
      <c r="N239" s="771"/>
      <c r="O239" s="771"/>
      <c r="Q239" s="35"/>
    </row>
    <row r="240" spans="2:17" x14ac:dyDescent="0.2">
      <c r="B240" s="771"/>
      <c r="C240" s="771"/>
      <c r="D240" s="771"/>
      <c r="E240" s="887"/>
      <c r="F240" s="885"/>
      <c r="G240" s="885"/>
      <c r="H240" s="771"/>
      <c r="I240" s="771"/>
      <c r="J240" s="771"/>
      <c r="K240" s="887"/>
      <c r="L240" s="771"/>
      <c r="M240" s="771"/>
      <c r="N240" s="771"/>
      <c r="O240" s="771"/>
      <c r="Q240" s="35"/>
    </row>
    <row r="241" spans="2:17" x14ac:dyDescent="0.2">
      <c r="B241" s="771"/>
      <c r="C241" s="771"/>
      <c r="D241" s="771"/>
      <c r="E241" s="887"/>
      <c r="F241" s="885"/>
      <c r="G241" s="885"/>
      <c r="H241" s="771"/>
      <c r="I241" s="771"/>
      <c r="J241" s="771"/>
      <c r="K241" s="887"/>
      <c r="L241" s="771"/>
      <c r="M241" s="771"/>
      <c r="N241" s="771"/>
      <c r="O241" s="771"/>
      <c r="Q241" s="35"/>
    </row>
    <row r="242" spans="2:17" x14ac:dyDescent="0.2">
      <c r="B242" s="771"/>
      <c r="C242" s="771"/>
      <c r="D242" s="771"/>
      <c r="E242" s="887"/>
      <c r="F242" s="885"/>
      <c r="G242" s="885"/>
      <c r="H242" s="771"/>
      <c r="I242" s="771"/>
      <c r="J242" s="771"/>
      <c r="K242" s="887"/>
      <c r="L242" s="771"/>
      <c r="M242" s="771"/>
      <c r="N242" s="771"/>
      <c r="O242" s="771"/>
      <c r="Q242" s="35"/>
    </row>
    <row r="243" spans="2:17" x14ac:dyDescent="0.2">
      <c r="B243" s="771"/>
      <c r="C243" s="771"/>
      <c r="D243" s="771"/>
      <c r="E243" s="887"/>
      <c r="F243" s="885"/>
      <c r="G243" s="885"/>
      <c r="H243" s="771"/>
      <c r="I243" s="771"/>
      <c r="J243" s="771"/>
      <c r="K243" s="887"/>
      <c r="L243" s="771"/>
      <c r="M243" s="771"/>
      <c r="N243" s="771"/>
      <c r="O243" s="771"/>
      <c r="Q243" s="35"/>
    </row>
    <row r="244" spans="2:17" x14ac:dyDescent="0.2">
      <c r="B244" s="771"/>
      <c r="C244" s="771"/>
      <c r="D244" s="771"/>
      <c r="E244" s="887"/>
      <c r="F244" s="885"/>
      <c r="G244" s="885"/>
      <c r="H244" s="771"/>
      <c r="I244" s="771"/>
      <c r="J244" s="771"/>
      <c r="K244" s="887"/>
      <c r="L244" s="771"/>
      <c r="M244" s="771"/>
      <c r="N244" s="771"/>
      <c r="O244" s="771"/>
      <c r="Q244" s="35"/>
    </row>
    <row r="245" spans="2:17" x14ac:dyDescent="0.2">
      <c r="B245" s="771"/>
      <c r="C245" s="771"/>
      <c r="D245" s="771"/>
      <c r="E245" s="887"/>
      <c r="F245" s="885"/>
      <c r="G245" s="885"/>
      <c r="H245" s="771"/>
      <c r="I245" s="771"/>
      <c r="J245" s="771"/>
      <c r="K245" s="887"/>
      <c r="L245" s="771"/>
      <c r="M245" s="771"/>
      <c r="N245" s="771"/>
      <c r="O245" s="771"/>
      <c r="Q245" s="35"/>
    </row>
    <row r="246" spans="2:17" x14ac:dyDescent="0.2">
      <c r="B246" s="771"/>
      <c r="C246" s="771"/>
      <c r="D246" s="771"/>
      <c r="E246" s="887"/>
      <c r="F246" s="885"/>
      <c r="G246" s="885"/>
      <c r="H246" s="771"/>
      <c r="I246" s="771"/>
      <c r="J246" s="771"/>
      <c r="K246" s="887"/>
      <c r="L246" s="771"/>
      <c r="M246" s="771"/>
      <c r="N246" s="771"/>
      <c r="O246" s="771"/>
      <c r="Q246" s="35"/>
    </row>
    <row r="247" spans="2:17" x14ac:dyDescent="0.2">
      <c r="B247" s="771"/>
      <c r="C247" s="771"/>
      <c r="D247" s="771"/>
      <c r="E247" s="887"/>
      <c r="F247" s="885"/>
      <c r="G247" s="885"/>
      <c r="H247" s="771"/>
      <c r="I247" s="771"/>
      <c r="J247" s="771"/>
      <c r="K247" s="887"/>
      <c r="L247" s="771"/>
      <c r="M247" s="771"/>
      <c r="N247" s="771"/>
      <c r="O247" s="771"/>
      <c r="Q247" s="35"/>
    </row>
    <row r="248" spans="2:17" x14ac:dyDescent="0.2">
      <c r="B248" s="771"/>
      <c r="C248" s="771"/>
      <c r="D248" s="771"/>
      <c r="E248" s="887"/>
      <c r="F248" s="885"/>
      <c r="G248" s="885"/>
      <c r="H248" s="771"/>
      <c r="I248" s="771"/>
      <c r="J248" s="771"/>
      <c r="K248" s="887"/>
      <c r="L248" s="771"/>
      <c r="M248" s="771"/>
      <c r="N248" s="771"/>
      <c r="O248" s="771"/>
      <c r="Q248" s="35"/>
    </row>
    <row r="249" spans="2:17" x14ac:dyDescent="0.2">
      <c r="B249" s="771"/>
      <c r="C249" s="771"/>
      <c r="D249" s="771"/>
      <c r="E249" s="887"/>
      <c r="F249" s="885"/>
      <c r="G249" s="885"/>
      <c r="H249" s="771"/>
      <c r="I249" s="771"/>
      <c r="J249" s="771"/>
      <c r="K249" s="887"/>
      <c r="L249" s="771"/>
      <c r="M249" s="771"/>
      <c r="N249" s="771"/>
      <c r="O249" s="771"/>
      <c r="Q249" s="35"/>
    </row>
    <row r="250" spans="2:17" x14ac:dyDescent="0.2">
      <c r="B250" s="771"/>
      <c r="C250" s="771"/>
      <c r="D250" s="771"/>
      <c r="E250" s="887"/>
      <c r="F250" s="885"/>
      <c r="G250" s="885"/>
      <c r="H250" s="771"/>
      <c r="I250" s="771"/>
      <c r="J250" s="771"/>
      <c r="K250" s="887"/>
      <c r="L250" s="771"/>
      <c r="M250" s="771"/>
      <c r="N250" s="771"/>
      <c r="O250" s="771"/>
      <c r="Q250" s="35"/>
    </row>
    <row r="251" spans="2:17" x14ac:dyDescent="0.2">
      <c r="B251" s="771"/>
      <c r="C251" s="771"/>
      <c r="D251" s="771"/>
      <c r="E251" s="887"/>
      <c r="F251" s="885"/>
      <c r="G251" s="885"/>
      <c r="H251" s="771"/>
      <c r="I251" s="771"/>
      <c r="J251" s="771"/>
      <c r="K251" s="887"/>
      <c r="L251" s="771"/>
      <c r="M251" s="771"/>
      <c r="N251" s="771"/>
      <c r="O251" s="771"/>
      <c r="Q251" s="35"/>
    </row>
    <row r="252" spans="2:17" x14ac:dyDescent="0.2">
      <c r="B252" s="771"/>
      <c r="C252" s="771"/>
      <c r="D252" s="771"/>
      <c r="E252" s="887"/>
      <c r="F252" s="885"/>
      <c r="G252" s="885"/>
      <c r="H252" s="771"/>
      <c r="I252" s="771"/>
      <c r="J252" s="771"/>
      <c r="K252" s="887"/>
      <c r="L252" s="771"/>
      <c r="M252" s="771"/>
      <c r="N252" s="771"/>
      <c r="O252" s="771"/>
      <c r="Q252" s="35"/>
    </row>
    <row r="253" spans="2:17" x14ac:dyDescent="0.2">
      <c r="B253" s="771"/>
      <c r="C253" s="771"/>
      <c r="D253" s="771"/>
      <c r="E253" s="887"/>
      <c r="F253" s="885"/>
      <c r="G253" s="885"/>
      <c r="H253" s="771"/>
      <c r="I253" s="771"/>
      <c r="J253" s="771"/>
      <c r="K253" s="887"/>
      <c r="L253" s="771"/>
      <c r="M253" s="771"/>
      <c r="N253" s="771"/>
      <c r="O253" s="771"/>
      <c r="Q253" s="35"/>
    </row>
    <row r="254" spans="2:17" x14ac:dyDescent="0.2">
      <c r="B254" s="771"/>
      <c r="C254" s="771"/>
      <c r="D254" s="771"/>
      <c r="E254" s="887"/>
      <c r="F254" s="885"/>
      <c r="G254" s="885"/>
      <c r="H254" s="771"/>
      <c r="I254" s="771"/>
      <c r="J254" s="771"/>
      <c r="K254" s="887"/>
      <c r="L254" s="771"/>
      <c r="M254" s="771"/>
      <c r="N254" s="771"/>
      <c r="O254" s="771"/>
      <c r="Q254" s="35"/>
    </row>
    <row r="255" spans="2:17" x14ac:dyDescent="0.2">
      <c r="B255" s="771"/>
      <c r="C255" s="771"/>
      <c r="D255" s="771"/>
      <c r="E255" s="887"/>
      <c r="F255" s="885"/>
      <c r="G255" s="885"/>
      <c r="H255" s="771"/>
      <c r="I255" s="771"/>
      <c r="J255" s="771"/>
      <c r="K255" s="887"/>
      <c r="L255" s="771"/>
      <c r="M255" s="771"/>
      <c r="N255" s="771"/>
      <c r="O255" s="771"/>
      <c r="Q255" s="35"/>
    </row>
    <row r="256" spans="2:17" x14ac:dyDescent="0.2">
      <c r="B256" s="771"/>
      <c r="C256" s="771"/>
      <c r="D256" s="771"/>
      <c r="E256" s="887"/>
      <c r="F256" s="885"/>
      <c r="G256" s="885"/>
      <c r="H256" s="771"/>
      <c r="I256" s="771"/>
      <c r="J256" s="771"/>
      <c r="K256" s="887"/>
      <c r="L256" s="771"/>
      <c r="M256" s="771"/>
      <c r="N256" s="771"/>
      <c r="O256" s="771"/>
      <c r="Q256" s="35"/>
    </row>
    <row r="257" spans="2:17" x14ac:dyDescent="0.2">
      <c r="B257" s="771"/>
      <c r="C257" s="771"/>
      <c r="D257" s="771"/>
      <c r="E257" s="887"/>
      <c r="F257" s="885"/>
      <c r="G257" s="885"/>
      <c r="H257" s="771"/>
      <c r="I257" s="771"/>
      <c r="J257" s="771"/>
      <c r="K257" s="887"/>
      <c r="L257" s="771"/>
      <c r="M257" s="771"/>
      <c r="N257" s="771"/>
      <c r="O257" s="771"/>
      <c r="Q257" s="35"/>
    </row>
    <row r="258" spans="2:17" x14ac:dyDescent="0.2">
      <c r="B258" s="771"/>
      <c r="C258" s="771"/>
      <c r="D258" s="771"/>
      <c r="E258" s="887"/>
      <c r="F258" s="885"/>
      <c r="G258" s="885"/>
      <c r="H258" s="771"/>
      <c r="I258" s="771"/>
      <c r="J258" s="771"/>
      <c r="K258" s="887"/>
      <c r="L258" s="771"/>
      <c r="M258" s="771"/>
      <c r="N258" s="771"/>
      <c r="O258" s="771"/>
      <c r="Q258" s="35"/>
    </row>
    <row r="259" spans="2:17" x14ac:dyDescent="0.2">
      <c r="B259" s="771"/>
      <c r="C259" s="771"/>
      <c r="D259" s="771"/>
      <c r="E259" s="887"/>
      <c r="F259" s="885"/>
      <c r="G259" s="885"/>
      <c r="H259" s="771"/>
      <c r="I259" s="771"/>
      <c r="J259" s="771"/>
      <c r="K259" s="887"/>
      <c r="L259" s="771"/>
      <c r="M259" s="771"/>
      <c r="N259" s="771"/>
      <c r="O259" s="771"/>
      <c r="Q259" s="35"/>
    </row>
    <row r="260" spans="2:17" x14ac:dyDescent="0.2">
      <c r="B260" s="771"/>
      <c r="C260" s="771"/>
      <c r="D260" s="771"/>
      <c r="E260" s="887"/>
      <c r="F260" s="885"/>
      <c r="G260" s="885"/>
      <c r="H260" s="771"/>
      <c r="I260" s="771"/>
      <c r="J260" s="771"/>
      <c r="K260" s="887"/>
      <c r="L260" s="771"/>
      <c r="M260" s="771"/>
      <c r="N260" s="771"/>
      <c r="O260" s="771"/>
      <c r="Q260" s="35"/>
    </row>
    <row r="261" spans="2:17" x14ac:dyDescent="0.2">
      <c r="B261" s="771"/>
      <c r="C261" s="771"/>
      <c r="D261" s="771"/>
      <c r="E261" s="887"/>
      <c r="F261" s="885"/>
      <c r="G261" s="885"/>
      <c r="H261" s="771"/>
      <c r="I261" s="771"/>
      <c r="J261" s="771"/>
      <c r="K261" s="887"/>
      <c r="L261" s="771"/>
      <c r="M261" s="771"/>
      <c r="N261" s="771"/>
      <c r="O261" s="771"/>
      <c r="Q261" s="35"/>
    </row>
    <row r="262" spans="2:17" x14ac:dyDescent="0.2">
      <c r="B262" s="771"/>
      <c r="C262" s="771"/>
      <c r="D262" s="771"/>
      <c r="E262" s="887"/>
      <c r="F262" s="885"/>
      <c r="G262" s="885"/>
      <c r="H262" s="771"/>
      <c r="I262" s="771"/>
      <c r="J262" s="771"/>
      <c r="K262" s="887"/>
      <c r="L262" s="771"/>
      <c r="M262" s="771"/>
      <c r="N262" s="771"/>
      <c r="O262" s="771"/>
      <c r="Q262" s="35"/>
    </row>
    <row r="263" spans="2:17" x14ac:dyDescent="0.2">
      <c r="B263" s="771"/>
      <c r="C263" s="771"/>
      <c r="D263" s="771"/>
      <c r="E263" s="887"/>
      <c r="F263" s="885"/>
      <c r="G263" s="885"/>
      <c r="H263" s="771"/>
      <c r="I263" s="771"/>
      <c r="J263" s="771"/>
      <c r="K263" s="887"/>
      <c r="L263" s="771"/>
      <c r="M263" s="771"/>
      <c r="N263" s="771"/>
      <c r="O263" s="771"/>
      <c r="Q263" s="35"/>
    </row>
    <row r="264" spans="2:17" x14ac:dyDescent="0.2">
      <c r="B264" s="771"/>
      <c r="C264" s="771"/>
      <c r="D264" s="771"/>
      <c r="E264" s="887"/>
      <c r="F264" s="885"/>
      <c r="G264" s="885"/>
      <c r="H264" s="771"/>
      <c r="I264" s="771"/>
      <c r="J264" s="771"/>
      <c r="K264" s="887"/>
      <c r="L264" s="771"/>
      <c r="M264" s="771"/>
      <c r="N264" s="771"/>
      <c r="O264" s="771"/>
      <c r="Q264" s="35"/>
    </row>
    <row r="265" spans="2:17" x14ac:dyDescent="0.2">
      <c r="B265" s="771"/>
      <c r="C265" s="771"/>
      <c r="D265" s="771"/>
      <c r="E265" s="887"/>
      <c r="F265" s="885"/>
      <c r="G265" s="885"/>
      <c r="H265" s="771"/>
      <c r="I265" s="771"/>
      <c r="J265" s="771"/>
      <c r="K265" s="887"/>
      <c r="L265" s="771"/>
      <c r="M265" s="771"/>
      <c r="N265" s="771"/>
      <c r="O265" s="771"/>
      <c r="Q265" s="35"/>
    </row>
    <row r="266" spans="2:17" x14ac:dyDescent="0.2">
      <c r="B266" s="771"/>
      <c r="C266" s="771"/>
      <c r="D266" s="771"/>
      <c r="E266" s="887"/>
      <c r="F266" s="885"/>
      <c r="G266" s="885"/>
      <c r="H266" s="771"/>
      <c r="I266" s="771"/>
      <c r="J266" s="771"/>
      <c r="K266" s="887"/>
      <c r="L266" s="771"/>
      <c r="M266" s="771"/>
      <c r="N266" s="771"/>
      <c r="O266" s="771"/>
      <c r="Q266" s="35"/>
    </row>
    <row r="267" spans="2:17" x14ac:dyDescent="0.2">
      <c r="B267" s="771"/>
      <c r="C267" s="771"/>
      <c r="D267" s="771"/>
      <c r="E267" s="887"/>
      <c r="F267" s="885"/>
      <c r="G267" s="885"/>
      <c r="H267" s="771"/>
      <c r="I267" s="771"/>
      <c r="J267" s="771"/>
      <c r="K267" s="887"/>
      <c r="L267" s="771"/>
      <c r="M267" s="771"/>
      <c r="N267" s="771"/>
      <c r="O267" s="771"/>
      <c r="Q267" s="35"/>
    </row>
    <row r="268" spans="2:17" x14ac:dyDescent="0.2">
      <c r="B268" s="771"/>
      <c r="C268" s="771"/>
      <c r="D268" s="771"/>
      <c r="E268" s="887"/>
      <c r="F268" s="885"/>
      <c r="G268" s="885"/>
      <c r="H268" s="771"/>
      <c r="I268" s="771"/>
      <c r="J268" s="771"/>
      <c r="K268" s="887"/>
      <c r="L268" s="771"/>
      <c r="M268" s="771"/>
      <c r="N268" s="771"/>
      <c r="O268" s="771"/>
      <c r="Q268" s="35"/>
    </row>
    <row r="269" spans="2:17" x14ac:dyDescent="0.2">
      <c r="B269" s="771"/>
      <c r="C269" s="771"/>
      <c r="D269" s="771"/>
      <c r="E269" s="887"/>
      <c r="F269" s="885"/>
      <c r="G269" s="885"/>
      <c r="H269" s="771"/>
      <c r="I269" s="771"/>
      <c r="J269" s="771"/>
      <c r="K269" s="887"/>
      <c r="L269" s="771"/>
      <c r="M269" s="771"/>
      <c r="N269" s="771"/>
      <c r="O269" s="771"/>
      <c r="Q269" s="35"/>
    </row>
    <row r="270" spans="2:17" x14ac:dyDescent="0.2">
      <c r="B270" s="771"/>
      <c r="C270" s="771"/>
      <c r="D270" s="771"/>
      <c r="E270" s="887"/>
      <c r="F270" s="885"/>
      <c r="G270" s="885"/>
      <c r="H270" s="771"/>
      <c r="I270" s="771"/>
      <c r="J270" s="771"/>
      <c r="K270" s="887"/>
      <c r="L270" s="771"/>
      <c r="M270" s="771"/>
      <c r="N270" s="771"/>
      <c r="O270" s="771"/>
      <c r="Q270" s="35"/>
    </row>
    <row r="271" spans="2:17" x14ac:dyDescent="0.2">
      <c r="B271" s="771"/>
      <c r="C271" s="771"/>
      <c r="D271" s="771"/>
      <c r="E271" s="887"/>
      <c r="F271" s="885"/>
      <c r="G271" s="885"/>
      <c r="H271" s="771"/>
      <c r="I271" s="771"/>
      <c r="J271" s="771"/>
      <c r="K271" s="887"/>
      <c r="L271" s="771"/>
      <c r="M271" s="771"/>
      <c r="N271" s="771"/>
      <c r="O271" s="771"/>
      <c r="Q271" s="35"/>
    </row>
    <row r="272" spans="2:17" x14ac:dyDescent="0.2">
      <c r="B272" s="771"/>
      <c r="C272" s="771"/>
      <c r="D272" s="771"/>
      <c r="E272" s="887"/>
      <c r="F272" s="885"/>
      <c r="G272" s="885"/>
      <c r="H272" s="771"/>
      <c r="I272" s="771"/>
      <c r="J272" s="771"/>
      <c r="K272" s="887"/>
      <c r="L272" s="771"/>
      <c r="M272" s="771"/>
      <c r="N272" s="771"/>
      <c r="O272" s="771"/>
      <c r="Q272" s="35"/>
    </row>
    <row r="273" spans="2:17" x14ac:dyDescent="0.2">
      <c r="B273" s="771"/>
      <c r="C273" s="771"/>
      <c r="D273" s="771"/>
      <c r="E273" s="887"/>
      <c r="F273" s="885"/>
      <c r="G273" s="885"/>
      <c r="H273" s="771"/>
      <c r="I273" s="771"/>
      <c r="J273" s="771"/>
      <c r="K273" s="887"/>
      <c r="L273" s="771"/>
      <c r="M273" s="771"/>
      <c r="N273" s="771"/>
      <c r="O273" s="771"/>
      <c r="Q273" s="35"/>
    </row>
    <row r="274" spans="2:17" x14ac:dyDescent="0.2">
      <c r="B274" s="771"/>
      <c r="C274" s="771"/>
      <c r="D274" s="771"/>
      <c r="E274" s="887"/>
      <c r="F274" s="885"/>
      <c r="G274" s="885"/>
      <c r="H274" s="771"/>
      <c r="I274" s="771"/>
      <c r="J274" s="771"/>
      <c r="K274" s="887"/>
      <c r="L274" s="771"/>
      <c r="M274" s="771"/>
      <c r="N274" s="771"/>
      <c r="O274" s="771"/>
      <c r="Q274" s="35"/>
    </row>
    <row r="275" spans="2:17" x14ac:dyDescent="0.2">
      <c r="B275" s="771"/>
      <c r="C275" s="771"/>
      <c r="D275" s="771"/>
      <c r="E275" s="887"/>
      <c r="F275" s="885"/>
      <c r="G275" s="885"/>
      <c r="H275" s="771"/>
      <c r="I275" s="771"/>
      <c r="J275" s="771"/>
      <c r="K275" s="887"/>
      <c r="L275" s="771"/>
      <c r="M275" s="771"/>
      <c r="N275" s="771"/>
      <c r="O275" s="771"/>
      <c r="Q275" s="35"/>
    </row>
    <row r="276" spans="2:17" x14ac:dyDescent="0.2">
      <c r="B276" s="771"/>
      <c r="C276" s="771"/>
      <c r="D276" s="771"/>
      <c r="E276" s="887"/>
      <c r="F276" s="885"/>
      <c r="G276" s="885"/>
      <c r="H276" s="771"/>
      <c r="I276" s="771"/>
      <c r="J276" s="771"/>
      <c r="K276" s="887"/>
      <c r="L276" s="771"/>
      <c r="M276" s="771"/>
      <c r="N276" s="771"/>
      <c r="O276" s="771"/>
      <c r="Q276" s="35"/>
    </row>
    <row r="277" spans="2:17" x14ac:dyDescent="0.2">
      <c r="B277" s="771"/>
      <c r="C277" s="771"/>
      <c r="D277" s="771"/>
      <c r="E277" s="887"/>
      <c r="F277" s="885"/>
      <c r="G277" s="885"/>
      <c r="H277" s="771"/>
      <c r="I277" s="771"/>
      <c r="J277" s="771"/>
      <c r="K277" s="887"/>
      <c r="L277" s="771"/>
      <c r="M277" s="771"/>
      <c r="N277" s="771"/>
      <c r="O277" s="771"/>
      <c r="Q277" s="35"/>
    </row>
    <row r="278" spans="2:17" x14ac:dyDescent="0.2">
      <c r="B278" s="771"/>
      <c r="C278" s="771"/>
      <c r="D278" s="771"/>
      <c r="E278" s="887"/>
      <c r="F278" s="885"/>
      <c r="G278" s="885"/>
      <c r="H278" s="771"/>
      <c r="I278" s="771"/>
      <c r="J278" s="771"/>
      <c r="K278" s="887"/>
      <c r="L278" s="771"/>
      <c r="M278" s="771"/>
      <c r="N278" s="771"/>
      <c r="O278" s="771"/>
      <c r="Q278" s="35"/>
    </row>
    <row r="279" spans="2:17" x14ac:dyDescent="0.2">
      <c r="B279" s="771"/>
      <c r="C279" s="771"/>
      <c r="D279" s="771"/>
      <c r="E279" s="887"/>
      <c r="F279" s="885"/>
      <c r="G279" s="885"/>
      <c r="H279" s="771"/>
      <c r="I279" s="771"/>
      <c r="J279" s="771"/>
      <c r="K279" s="887"/>
      <c r="L279" s="771"/>
      <c r="M279" s="771"/>
      <c r="N279" s="771"/>
      <c r="O279" s="771"/>
      <c r="Q279" s="35"/>
    </row>
    <row r="280" spans="2:17" x14ac:dyDescent="0.2">
      <c r="B280" s="771"/>
      <c r="C280" s="771"/>
      <c r="D280" s="771"/>
      <c r="E280" s="887"/>
      <c r="F280" s="885"/>
      <c r="G280" s="885"/>
      <c r="H280" s="771"/>
      <c r="I280" s="771"/>
      <c r="J280" s="771"/>
      <c r="K280" s="887"/>
      <c r="L280" s="771"/>
      <c r="M280" s="771"/>
      <c r="N280" s="771"/>
      <c r="O280" s="771"/>
      <c r="Q280" s="35"/>
    </row>
    <row r="281" spans="2:17" x14ac:dyDescent="0.2">
      <c r="B281" s="771"/>
      <c r="C281" s="771"/>
      <c r="D281" s="771"/>
      <c r="E281" s="887"/>
      <c r="F281" s="885"/>
      <c r="G281" s="885"/>
      <c r="H281" s="771"/>
      <c r="I281" s="771"/>
      <c r="J281" s="771"/>
      <c r="K281" s="887"/>
      <c r="L281" s="771"/>
      <c r="M281" s="771"/>
      <c r="N281" s="771"/>
      <c r="O281" s="771"/>
      <c r="Q281" s="35"/>
    </row>
    <row r="282" spans="2:17" x14ac:dyDescent="0.2">
      <c r="B282" s="771"/>
      <c r="C282" s="771"/>
      <c r="D282" s="771"/>
      <c r="E282" s="887"/>
      <c r="F282" s="885"/>
      <c r="G282" s="885"/>
      <c r="H282" s="771"/>
      <c r="I282" s="771"/>
      <c r="J282" s="771"/>
      <c r="K282" s="887"/>
      <c r="L282" s="771"/>
      <c r="M282" s="771"/>
      <c r="N282" s="771"/>
      <c r="O282" s="771"/>
      <c r="Q282" s="35"/>
    </row>
    <row r="283" spans="2:17" x14ac:dyDescent="0.2">
      <c r="B283" s="771"/>
      <c r="C283" s="771"/>
      <c r="D283" s="771"/>
      <c r="E283" s="887"/>
      <c r="F283" s="885"/>
      <c r="G283" s="885"/>
      <c r="H283" s="771"/>
      <c r="I283" s="771"/>
      <c r="J283" s="771"/>
      <c r="K283" s="887"/>
      <c r="L283" s="771"/>
      <c r="M283" s="771"/>
      <c r="N283" s="771"/>
      <c r="O283" s="771"/>
      <c r="Q283" s="35"/>
    </row>
    <row r="284" spans="2:17" x14ac:dyDescent="0.2">
      <c r="B284" s="771"/>
      <c r="C284" s="771"/>
      <c r="D284" s="771"/>
      <c r="E284" s="887"/>
      <c r="F284" s="885"/>
      <c r="G284" s="885"/>
      <c r="H284" s="771"/>
      <c r="I284" s="771"/>
      <c r="J284" s="771"/>
      <c r="K284" s="887"/>
      <c r="L284" s="771"/>
      <c r="M284" s="771"/>
      <c r="N284" s="771"/>
      <c r="O284" s="771"/>
      <c r="Q284" s="35"/>
    </row>
    <row r="285" spans="2:17" x14ac:dyDescent="0.2">
      <c r="B285" s="771"/>
      <c r="C285" s="771"/>
      <c r="D285" s="771"/>
      <c r="E285" s="887"/>
      <c r="F285" s="885"/>
      <c r="G285" s="885"/>
      <c r="H285" s="771"/>
      <c r="I285" s="771"/>
      <c r="J285" s="771"/>
      <c r="K285" s="887"/>
      <c r="L285" s="771"/>
      <c r="M285" s="771"/>
      <c r="N285" s="771"/>
      <c r="O285" s="771"/>
      <c r="Q285" s="35"/>
    </row>
    <row r="286" spans="2:17" x14ac:dyDescent="0.2">
      <c r="B286" s="771"/>
      <c r="C286" s="771"/>
      <c r="D286" s="771"/>
      <c r="E286" s="887"/>
      <c r="F286" s="885"/>
      <c r="G286" s="885"/>
      <c r="H286" s="771"/>
      <c r="I286" s="771"/>
      <c r="J286" s="771"/>
      <c r="K286" s="887"/>
      <c r="L286" s="771"/>
      <c r="M286" s="771"/>
      <c r="N286" s="771"/>
      <c r="O286" s="771"/>
      <c r="Q286" s="35"/>
    </row>
    <row r="287" spans="2:17" x14ac:dyDescent="0.2">
      <c r="B287" s="771"/>
      <c r="C287" s="771"/>
      <c r="D287" s="771"/>
      <c r="E287" s="887"/>
      <c r="F287" s="885"/>
      <c r="G287" s="885"/>
      <c r="H287" s="771"/>
      <c r="I287" s="771"/>
      <c r="J287" s="771"/>
      <c r="K287" s="887"/>
      <c r="L287" s="771"/>
      <c r="M287" s="771"/>
      <c r="N287" s="771"/>
      <c r="O287" s="771"/>
      <c r="Q287" s="35"/>
    </row>
    <row r="288" spans="2:17" x14ac:dyDescent="0.2">
      <c r="B288" s="771"/>
      <c r="C288" s="771"/>
      <c r="D288" s="771"/>
      <c r="E288" s="887"/>
      <c r="F288" s="885"/>
      <c r="G288" s="885"/>
      <c r="H288" s="771"/>
      <c r="I288" s="771"/>
      <c r="J288" s="771"/>
      <c r="K288" s="887"/>
      <c r="L288" s="771"/>
      <c r="M288" s="771"/>
      <c r="N288" s="771"/>
      <c r="O288" s="771"/>
      <c r="Q288" s="35"/>
    </row>
    <row r="289" spans="2:17" x14ac:dyDescent="0.2">
      <c r="B289" s="771"/>
      <c r="C289" s="771"/>
      <c r="D289" s="771"/>
      <c r="E289" s="887"/>
      <c r="F289" s="885"/>
      <c r="G289" s="885"/>
      <c r="H289" s="771"/>
      <c r="I289" s="771"/>
      <c r="J289" s="771"/>
      <c r="K289" s="887"/>
      <c r="L289" s="771"/>
      <c r="M289" s="771"/>
      <c r="N289" s="771"/>
      <c r="O289" s="771"/>
      <c r="Q289" s="35"/>
    </row>
    <row r="290" spans="2:17" x14ac:dyDescent="0.2">
      <c r="B290" s="771"/>
      <c r="C290" s="771"/>
      <c r="D290" s="771"/>
      <c r="E290" s="887"/>
      <c r="F290" s="885"/>
      <c r="G290" s="885"/>
      <c r="H290" s="771"/>
      <c r="I290" s="771"/>
      <c r="J290" s="771"/>
      <c r="K290" s="887"/>
      <c r="L290" s="771"/>
      <c r="M290" s="771"/>
      <c r="N290" s="771"/>
      <c r="O290" s="771"/>
      <c r="Q290" s="35"/>
    </row>
    <row r="291" spans="2:17" x14ac:dyDescent="0.2">
      <c r="B291" s="771"/>
      <c r="C291" s="771"/>
      <c r="D291" s="771"/>
      <c r="E291" s="887"/>
      <c r="F291" s="885"/>
      <c r="G291" s="885"/>
      <c r="H291" s="771"/>
      <c r="I291" s="771"/>
      <c r="J291" s="771"/>
      <c r="K291" s="887"/>
      <c r="L291" s="771"/>
      <c r="M291" s="771"/>
      <c r="N291" s="771"/>
      <c r="O291" s="771"/>
      <c r="Q291" s="35"/>
    </row>
    <row r="292" spans="2:17" x14ac:dyDescent="0.2">
      <c r="B292" s="771"/>
      <c r="C292" s="771"/>
      <c r="D292" s="771"/>
      <c r="E292" s="887"/>
      <c r="F292" s="885"/>
      <c r="G292" s="885"/>
      <c r="H292" s="771"/>
      <c r="I292" s="771"/>
      <c r="J292" s="771"/>
      <c r="K292" s="887"/>
      <c r="L292" s="771"/>
      <c r="M292" s="771"/>
      <c r="N292" s="771"/>
      <c r="O292" s="771"/>
      <c r="Q292" s="35"/>
    </row>
    <row r="293" spans="2:17" x14ac:dyDescent="0.2">
      <c r="B293" s="771"/>
      <c r="C293" s="771"/>
      <c r="D293" s="771"/>
      <c r="E293" s="887"/>
      <c r="F293" s="885"/>
      <c r="G293" s="885"/>
      <c r="H293" s="771"/>
      <c r="I293" s="771"/>
      <c r="J293" s="771"/>
      <c r="K293" s="887"/>
      <c r="L293" s="771"/>
      <c r="M293" s="771"/>
      <c r="N293" s="771"/>
      <c r="O293" s="771"/>
      <c r="Q293" s="35"/>
    </row>
    <row r="294" spans="2:17" x14ac:dyDescent="0.2">
      <c r="B294" s="771"/>
      <c r="C294" s="771"/>
      <c r="D294" s="771"/>
      <c r="E294" s="887"/>
      <c r="F294" s="885"/>
      <c r="G294" s="885"/>
      <c r="H294" s="771"/>
      <c r="I294" s="771"/>
      <c r="J294" s="771"/>
      <c r="K294" s="887"/>
      <c r="L294" s="771"/>
      <c r="M294" s="771"/>
      <c r="N294" s="771"/>
      <c r="O294" s="771"/>
      <c r="Q294" s="35"/>
    </row>
    <row r="295" spans="2:17" x14ac:dyDescent="0.2">
      <c r="B295" s="771"/>
      <c r="C295" s="771"/>
      <c r="D295" s="771"/>
      <c r="E295" s="887"/>
      <c r="F295" s="885"/>
      <c r="G295" s="885"/>
      <c r="H295" s="771"/>
      <c r="I295" s="771"/>
      <c r="J295" s="771"/>
      <c r="K295" s="887"/>
      <c r="L295" s="771"/>
      <c r="M295" s="771"/>
      <c r="N295" s="771"/>
      <c r="O295" s="771"/>
      <c r="Q295" s="35"/>
    </row>
    <row r="296" spans="2:17" x14ac:dyDescent="0.2">
      <c r="B296" s="771"/>
      <c r="C296" s="771"/>
      <c r="D296" s="771"/>
      <c r="E296" s="887"/>
      <c r="F296" s="885"/>
      <c r="G296" s="885"/>
      <c r="H296" s="771"/>
      <c r="I296" s="771"/>
      <c r="J296" s="771"/>
      <c r="K296" s="887"/>
      <c r="L296" s="771"/>
      <c r="M296" s="771"/>
      <c r="N296" s="771"/>
      <c r="O296" s="771"/>
      <c r="Q296" s="35"/>
    </row>
    <row r="297" spans="2:17" x14ac:dyDescent="0.2">
      <c r="B297" s="771"/>
      <c r="C297" s="771"/>
      <c r="D297" s="771"/>
      <c r="E297" s="887"/>
      <c r="F297" s="885"/>
      <c r="G297" s="885"/>
      <c r="H297" s="771"/>
      <c r="I297" s="771"/>
      <c r="J297" s="771"/>
      <c r="K297" s="887"/>
      <c r="L297" s="771"/>
      <c r="M297" s="771"/>
      <c r="N297" s="771"/>
      <c r="O297" s="771"/>
      <c r="Q297" s="35"/>
    </row>
    <row r="298" spans="2:17" x14ac:dyDescent="0.2">
      <c r="B298" s="771"/>
      <c r="C298" s="771"/>
      <c r="D298" s="771"/>
      <c r="E298" s="887"/>
      <c r="F298" s="885"/>
      <c r="G298" s="885"/>
      <c r="H298" s="771"/>
      <c r="I298" s="771"/>
      <c r="J298" s="771"/>
      <c r="K298" s="887"/>
      <c r="L298" s="771"/>
      <c r="M298" s="771"/>
      <c r="N298" s="771"/>
      <c r="O298" s="771"/>
      <c r="Q298" s="35"/>
    </row>
    <row r="299" spans="2:17" x14ac:dyDescent="0.2">
      <c r="B299" s="771"/>
      <c r="C299" s="771"/>
      <c r="D299" s="771"/>
      <c r="E299" s="887"/>
      <c r="F299" s="885"/>
      <c r="G299" s="885"/>
      <c r="H299" s="771"/>
      <c r="I299" s="771"/>
      <c r="J299" s="771"/>
      <c r="K299" s="887"/>
      <c r="L299" s="771"/>
      <c r="M299" s="771"/>
      <c r="N299" s="771"/>
      <c r="O299" s="771"/>
      <c r="Q299" s="35"/>
    </row>
    <row r="300" spans="2:17" x14ac:dyDescent="0.2">
      <c r="B300" s="771"/>
      <c r="C300" s="771"/>
      <c r="D300" s="771"/>
      <c r="E300" s="887"/>
      <c r="F300" s="885"/>
      <c r="G300" s="885"/>
      <c r="H300" s="771"/>
      <c r="I300" s="771"/>
      <c r="J300" s="771"/>
      <c r="K300" s="887"/>
      <c r="L300" s="771"/>
      <c r="M300" s="771"/>
      <c r="N300" s="771"/>
      <c r="O300" s="771"/>
      <c r="Q300" s="35"/>
    </row>
    <row r="301" spans="2:17" x14ac:dyDescent="0.2">
      <c r="B301" s="771"/>
      <c r="C301" s="771"/>
      <c r="D301" s="771"/>
      <c r="E301" s="887"/>
      <c r="F301" s="885"/>
      <c r="G301" s="885"/>
      <c r="H301" s="771"/>
      <c r="I301" s="771"/>
      <c r="J301" s="771"/>
      <c r="K301" s="887"/>
      <c r="L301" s="771"/>
      <c r="M301" s="771"/>
      <c r="N301" s="771"/>
      <c r="O301" s="771"/>
      <c r="Q301" s="35"/>
    </row>
    <row r="302" spans="2:17" x14ac:dyDescent="0.2">
      <c r="B302" s="771"/>
      <c r="C302" s="771"/>
      <c r="D302" s="771"/>
      <c r="E302" s="887"/>
      <c r="F302" s="885"/>
      <c r="G302" s="885"/>
      <c r="H302" s="771"/>
      <c r="I302" s="771"/>
      <c r="J302" s="771"/>
      <c r="K302" s="887"/>
      <c r="L302" s="771"/>
      <c r="M302" s="771"/>
      <c r="N302" s="771"/>
      <c r="O302" s="771"/>
      <c r="Q302" s="35"/>
    </row>
    <row r="303" spans="2:17" x14ac:dyDescent="0.2">
      <c r="B303" s="771"/>
      <c r="C303" s="771"/>
      <c r="D303" s="771"/>
      <c r="E303" s="887"/>
      <c r="F303" s="885"/>
      <c r="G303" s="885"/>
      <c r="H303" s="771"/>
      <c r="I303" s="771"/>
      <c r="J303" s="771"/>
      <c r="K303" s="887"/>
      <c r="L303" s="771"/>
      <c r="M303" s="771"/>
      <c r="N303" s="771"/>
      <c r="O303" s="771"/>
      <c r="Q303" s="35"/>
    </row>
    <row r="304" spans="2:17" x14ac:dyDescent="0.2">
      <c r="B304" s="771"/>
      <c r="C304" s="771"/>
      <c r="D304" s="771"/>
      <c r="E304" s="887"/>
      <c r="F304" s="885"/>
      <c r="G304" s="885"/>
      <c r="H304" s="771"/>
      <c r="I304" s="771"/>
      <c r="J304" s="771"/>
      <c r="K304" s="887"/>
      <c r="L304" s="771"/>
      <c r="M304" s="771"/>
      <c r="N304" s="771"/>
      <c r="O304" s="771"/>
      <c r="Q304" s="35"/>
    </row>
    <row r="305" spans="2:17" x14ac:dyDescent="0.2">
      <c r="B305" s="771"/>
      <c r="C305" s="771"/>
      <c r="D305" s="771"/>
      <c r="E305" s="887"/>
      <c r="F305" s="885"/>
      <c r="G305" s="885"/>
      <c r="H305" s="771"/>
      <c r="I305" s="771"/>
      <c r="J305" s="771"/>
      <c r="K305" s="887"/>
      <c r="L305" s="771"/>
      <c r="M305" s="771"/>
      <c r="N305" s="771"/>
      <c r="O305" s="771"/>
      <c r="Q305" s="35"/>
    </row>
    <row r="306" spans="2:17" x14ac:dyDescent="0.2">
      <c r="B306" s="771"/>
      <c r="C306" s="771"/>
      <c r="D306" s="771"/>
      <c r="E306" s="887"/>
      <c r="F306" s="885"/>
      <c r="G306" s="885"/>
      <c r="H306" s="771"/>
      <c r="I306" s="771"/>
      <c r="J306" s="771"/>
      <c r="K306" s="887"/>
      <c r="L306" s="771"/>
      <c r="M306" s="771"/>
      <c r="N306" s="771"/>
      <c r="O306" s="771"/>
      <c r="Q306" s="35"/>
    </row>
    <row r="307" spans="2:17" x14ac:dyDescent="0.2">
      <c r="B307" s="771"/>
      <c r="C307" s="771"/>
      <c r="D307" s="771"/>
      <c r="E307" s="887"/>
      <c r="F307" s="885"/>
      <c r="G307" s="885"/>
      <c r="H307" s="771"/>
      <c r="I307" s="771"/>
      <c r="J307" s="771"/>
      <c r="K307" s="887"/>
      <c r="L307" s="771"/>
      <c r="M307" s="771"/>
      <c r="N307" s="771"/>
      <c r="O307" s="771"/>
      <c r="Q307" s="35"/>
    </row>
    <row r="308" spans="2:17" x14ac:dyDescent="0.2">
      <c r="B308" s="771"/>
      <c r="C308" s="771"/>
      <c r="D308" s="771"/>
      <c r="E308" s="887"/>
      <c r="F308" s="885"/>
      <c r="G308" s="885"/>
      <c r="H308" s="771"/>
      <c r="I308" s="771"/>
      <c r="J308" s="771"/>
      <c r="K308" s="887"/>
      <c r="L308" s="771"/>
      <c r="M308" s="771"/>
      <c r="N308" s="771"/>
      <c r="O308" s="771"/>
      <c r="Q308" s="35"/>
    </row>
    <row r="309" spans="2:17" x14ac:dyDescent="0.2">
      <c r="B309" s="771"/>
      <c r="C309" s="771"/>
      <c r="D309" s="771"/>
      <c r="E309" s="887"/>
      <c r="F309" s="885"/>
      <c r="G309" s="885"/>
      <c r="H309" s="771"/>
      <c r="I309" s="771"/>
      <c r="J309" s="771"/>
      <c r="K309" s="887"/>
      <c r="L309" s="771"/>
      <c r="M309" s="771"/>
      <c r="N309" s="771"/>
      <c r="O309" s="771"/>
      <c r="Q309" s="35"/>
    </row>
    <row r="310" spans="2:17" x14ac:dyDescent="0.2">
      <c r="B310" s="771"/>
      <c r="C310" s="771"/>
      <c r="D310" s="771"/>
      <c r="E310" s="887"/>
      <c r="F310" s="885"/>
      <c r="G310" s="885"/>
      <c r="H310" s="771"/>
      <c r="I310" s="771"/>
      <c r="J310" s="771"/>
      <c r="K310" s="887"/>
      <c r="L310" s="771"/>
      <c r="M310" s="771"/>
      <c r="N310" s="771"/>
      <c r="O310" s="771"/>
      <c r="Q310" s="35"/>
    </row>
    <row r="311" spans="2:17" x14ac:dyDescent="0.2">
      <c r="B311" s="771"/>
      <c r="C311" s="771"/>
      <c r="D311" s="771"/>
      <c r="E311" s="887"/>
      <c r="F311" s="885"/>
      <c r="G311" s="885"/>
      <c r="H311" s="771"/>
      <c r="I311" s="771"/>
      <c r="J311" s="771"/>
      <c r="K311" s="887"/>
      <c r="L311" s="771"/>
      <c r="M311" s="771"/>
      <c r="N311" s="771"/>
      <c r="O311" s="771"/>
      <c r="Q311" s="35"/>
    </row>
    <row r="312" spans="2:17" x14ac:dyDescent="0.2">
      <c r="B312" s="771"/>
      <c r="C312" s="771"/>
      <c r="D312" s="771"/>
      <c r="E312" s="887"/>
      <c r="F312" s="885"/>
      <c r="G312" s="885"/>
      <c r="H312" s="771"/>
      <c r="I312" s="771"/>
      <c r="J312" s="771"/>
      <c r="K312" s="887"/>
      <c r="L312" s="771"/>
      <c r="M312" s="771"/>
      <c r="N312" s="771"/>
      <c r="O312" s="771"/>
      <c r="Q312" s="35"/>
    </row>
    <row r="313" spans="2:17" x14ac:dyDescent="0.2">
      <c r="B313" s="771"/>
      <c r="C313" s="771"/>
      <c r="D313" s="771"/>
      <c r="E313" s="887"/>
      <c r="F313" s="885"/>
      <c r="G313" s="885"/>
      <c r="H313" s="771"/>
      <c r="I313" s="771"/>
      <c r="J313" s="771"/>
      <c r="K313" s="887"/>
      <c r="L313" s="771"/>
      <c r="M313" s="771"/>
      <c r="N313" s="771"/>
      <c r="O313" s="771"/>
      <c r="Q313" s="35"/>
    </row>
    <row r="314" spans="2:17" x14ac:dyDescent="0.2">
      <c r="B314" s="771"/>
      <c r="C314" s="771"/>
      <c r="D314" s="771"/>
      <c r="E314" s="887"/>
      <c r="F314" s="885"/>
      <c r="G314" s="885"/>
      <c r="H314" s="771"/>
      <c r="I314" s="771"/>
      <c r="J314" s="771"/>
      <c r="K314" s="887"/>
      <c r="L314" s="771"/>
      <c r="M314" s="771"/>
      <c r="N314" s="771"/>
      <c r="O314" s="771"/>
      <c r="Q314" s="35"/>
    </row>
    <row r="315" spans="2:17" x14ac:dyDescent="0.2">
      <c r="B315" s="771"/>
      <c r="C315" s="771"/>
      <c r="D315" s="771"/>
      <c r="E315" s="887"/>
      <c r="F315" s="885"/>
      <c r="G315" s="885"/>
      <c r="H315" s="771"/>
      <c r="I315" s="771"/>
      <c r="J315" s="771"/>
      <c r="K315" s="887"/>
      <c r="L315" s="771"/>
      <c r="M315" s="771"/>
      <c r="N315" s="771"/>
      <c r="O315" s="771"/>
      <c r="Q315" s="35"/>
    </row>
    <row r="316" spans="2:17" x14ac:dyDescent="0.2">
      <c r="B316" s="771"/>
      <c r="C316" s="771"/>
      <c r="D316" s="771"/>
      <c r="E316" s="887"/>
      <c r="F316" s="885"/>
      <c r="G316" s="885"/>
      <c r="H316" s="771"/>
      <c r="I316" s="771"/>
      <c r="J316" s="771"/>
      <c r="K316" s="887"/>
      <c r="L316" s="771"/>
      <c r="M316" s="771"/>
      <c r="N316" s="771"/>
      <c r="O316" s="771"/>
      <c r="Q316" s="35"/>
    </row>
    <row r="317" spans="2:17" x14ac:dyDescent="0.2">
      <c r="B317" s="771"/>
      <c r="C317" s="771"/>
      <c r="D317" s="771"/>
      <c r="E317" s="887"/>
      <c r="F317" s="885"/>
      <c r="G317" s="885"/>
      <c r="H317" s="771"/>
      <c r="I317" s="771"/>
      <c r="J317" s="771"/>
      <c r="K317" s="887"/>
      <c r="L317" s="771"/>
      <c r="M317" s="771"/>
      <c r="N317" s="771"/>
      <c r="O317" s="771"/>
      <c r="Q317" s="35"/>
    </row>
    <row r="318" spans="2:17" x14ac:dyDescent="0.2">
      <c r="B318" s="771"/>
      <c r="C318" s="771"/>
      <c r="D318" s="771"/>
      <c r="E318" s="887"/>
      <c r="F318" s="885"/>
      <c r="G318" s="885"/>
      <c r="H318" s="771"/>
      <c r="I318" s="771"/>
      <c r="J318" s="771"/>
      <c r="K318" s="887"/>
      <c r="L318" s="771"/>
      <c r="M318" s="771"/>
      <c r="N318" s="771"/>
      <c r="O318" s="771"/>
      <c r="Q318" s="35"/>
    </row>
    <row r="319" spans="2:17" x14ac:dyDescent="0.2">
      <c r="B319" s="771"/>
      <c r="C319" s="771"/>
      <c r="D319" s="771"/>
      <c r="E319" s="887"/>
      <c r="F319" s="885"/>
      <c r="G319" s="885"/>
      <c r="H319" s="771"/>
      <c r="I319" s="771"/>
      <c r="J319" s="771"/>
      <c r="K319" s="887"/>
      <c r="L319" s="771"/>
      <c r="M319" s="771"/>
      <c r="N319" s="771"/>
      <c r="O319" s="771"/>
      <c r="Q319" s="35"/>
    </row>
    <row r="320" spans="2:17" x14ac:dyDescent="0.2">
      <c r="B320" s="771"/>
      <c r="C320" s="771"/>
      <c r="D320" s="771"/>
      <c r="E320" s="887"/>
      <c r="F320" s="885"/>
      <c r="G320" s="885"/>
      <c r="H320" s="771"/>
      <c r="I320" s="771"/>
      <c r="J320" s="771"/>
      <c r="K320" s="887"/>
      <c r="L320" s="771"/>
      <c r="M320" s="771"/>
      <c r="N320" s="771"/>
      <c r="O320" s="771"/>
      <c r="Q320" s="35"/>
    </row>
    <row r="321" spans="2:17" x14ac:dyDescent="0.2">
      <c r="B321" s="771"/>
      <c r="C321" s="771"/>
      <c r="D321" s="771"/>
      <c r="E321" s="887"/>
      <c r="F321" s="885"/>
      <c r="G321" s="885"/>
      <c r="H321" s="771"/>
      <c r="I321" s="771"/>
      <c r="J321" s="771"/>
      <c r="K321" s="887"/>
      <c r="L321" s="771"/>
      <c r="M321" s="771"/>
      <c r="N321" s="771"/>
      <c r="O321" s="771"/>
      <c r="Q321" s="35"/>
    </row>
    <row r="322" spans="2:17" x14ac:dyDescent="0.2">
      <c r="B322" s="771"/>
      <c r="C322" s="771"/>
      <c r="D322" s="771"/>
      <c r="E322" s="887"/>
      <c r="F322" s="885"/>
      <c r="G322" s="885"/>
      <c r="H322" s="771"/>
      <c r="I322" s="771"/>
      <c r="J322" s="771"/>
      <c r="K322" s="887"/>
      <c r="L322" s="771"/>
      <c r="M322" s="771"/>
      <c r="N322" s="771"/>
      <c r="O322" s="771"/>
      <c r="Q322" s="35"/>
    </row>
    <row r="323" spans="2:17" x14ac:dyDescent="0.2">
      <c r="B323" s="771"/>
      <c r="C323" s="771"/>
      <c r="D323" s="771"/>
      <c r="E323" s="887"/>
      <c r="F323" s="885"/>
      <c r="G323" s="885"/>
      <c r="H323" s="771"/>
      <c r="I323" s="771"/>
      <c r="J323" s="771"/>
      <c r="K323" s="887"/>
      <c r="L323" s="771"/>
      <c r="M323" s="771"/>
      <c r="N323" s="771"/>
      <c r="O323" s="771"/>
      <c r="Q323" s="35"/>
    </row>
    <row r="324" spans="2:17" x14ac:dyDescent="0.2">
      <c r="B324" s="771"/>
      <c r="C324" s="771"/>
      <c r="D324" s="771"/>
      <c r="E324" s="887"/>
      <c r="F324" s="885"/>
      <c r="G324" s="885"/>
      <c r="H324" s="771"/>
      <c r="I324" s="771"/>
      <c r="J324" s="771"/>
      <c r="K324" s="887"/>
      <c r="L324" s="771"/>
      <c r="M324" s="771"/>
      <c r="N324" s="771"/>
      <c r="O324" s="771"/>
      <c r="Q324" s="35"/>
    </row>
    <row r="325" spans="2:17" x14ac:dyDescent="0.2">
      <c r="B325" s="771"/>
      <c r="C325" s="771"/>
      <c r="D325" s="771"/>
      <c r="E325" s="887"/>
      <c r="F325" s="885"/>
      <c r="G325" s="885"/>
      <c r="H325" s="771"/>
      <c r="I325" s="771"/>
      <c r="J325" s="771"/>
      <c r="K325" s="887"/>
      <c r="L325" s="771"/>
      <c r="M325" s="771"/>
      <c r="N325" s="771"/>
      <c r="O325" s="771"/>
      <c r="Q325" s="35"/>
    </row>
    <row r="326" spans="2:17" x14ac:dyDescent="0.2">
      <c r="B326" s="771"/>
      <c r="C326" s="771"/>
      <c r="D326" s="771"/>
      <c r="E326" s="887"/>
      <c r="F326" s="885"/>
      <c r="G326" s="885"/>
      <c r="H326" s="771"/>
      <c r="I326" s="771"/>
      <c r="J326" s="771"/>
      <c r="K326" s="887"/>
      <c r="L326" s="771"/>
      <c r="M326" s="771"/>
      <c r="N326" s="771"/>
      <c r="O326" s="771"/>
      <c r="Q326" s="35"/>
    </row>
    <row r="327" spans="2:17" x14ac:dyDescent="0.2">
      <c r="B327" s="771"/>
      <c r="C327" s="771"/>
      <c r="D327" s="771"/>
      <c r="E327" s="887"/>
      <c r="F327" s="885"/>
      <c r="G327" s="885"/>
      <c r="H327" s="771"/>
      <c r="I327" s="771"/>
      <c r="J327" s="771"/>
      <c r="K327" s="887"/>
      <c r="L327" s="771"/>
      <c r="M327" s="771"/>
      <c r="N327" s="771"/>
      <c r="O327" s="771"/>
      <c r="Q327" s="35"/>
    </row>
    <row r="328" spans="2:17" x14ac:dyDescent="0.2">
      <c r="B328" s="771"/>
      <c r="C328" s="771"/>
      <c r="D328" s="771"/>
      <c r="E328" s="887"/>
      <c r="F328" s="885"/>
      <c r="G328" s="885"/>
      <c r="H328" s="771"/>
      <c r="I328" s="771"/>
      <c r="J328" s="771"/>
      <c r="K328" s="887"/>
      <c r="L328" s="771"/>
      <c r="M328" s="771"/>
      <c r="N328" s="771"/>
      <c r="O328" s="771"/>
      <c r="Q328" s="35"/>
    </row>
  </sheetData>
  <sheetProtection formatCells="0" formatColumns="0" formatRows="0" insertColumns="0" insertRows="0" insertHyperlinks="0" deleteColumns="0" deleteRows="0"/>
  <customSheetViews>
    <customSheetView guid="{788B8383-784A-4263-9D04-45657AC129FF}" hiddenColumns="1">
      <selection activeCell="E10" sqref="E10"/>
      <pageMargins left="0.75" right="0.75" top="1" bottom="1" header="0.5" footer="0.5"/>
      <pageSetup paperSize="9" orientation="portrait" verticalDpi="0" r:id="rId1"/>
      <headerFooter alignWithMargins="0"/>
    </customSheetView>
  </customSheetViews>
  <mergeCells count="47">
    <mergeCell ref="A2:H2"/>
    <mergeCell ref="F18:G18"/>
    <mergeCell ref="H12:H18"/>
    <mergeCell ref="F16:G16"/>
    <mergeCell ref="F17:G17"/>
    <mergeCell ref="F11:G11"/>
    <mergeCell ref="H10:H11"/>
    <mergeCell ref="E4:H4"/>
    <mergeCell ref="H56:K57"/>
    <mergeCell ref="H60:K62"/>
    <mergeCell ref="H65:K67"/>
    <mergeCell ref="H70:K71"/>
    <mergeCell ref="H24:J24"/>
    <mergeCell ref="H35:J35"/>
    <mergeCell ref="H44:J44"/>
    <mergeCell ref="H49:I49"/>
    <mergeCell ref="H21:K22"/>
    <mergeCell ref="F12:G12"/>
    <mergeCell ref="F13:G13"/>
    <mergeCell ref="F14:G14"/>
    <mergeCell ref="F15:G15"/>
    <mergeCell ref="B24:D24"/>
    <mergeCell ref="B65:E67"/>
    <mergeCell ref="B70:E71"/>
    <mergeCell ref="B35:D35"/>
    <mergeCell ref="B44:D44"/>
    <mergeCell ref="B52:E53"/>
    <mergeCell ref="B56:E57"/>
    <mergeCell ref="B60:E62"/>
    <mergeCell ref="N56:Q57"/>
    <mergeCell ref="N60:Q62"/>
    <mergeCell ref="N65:Q67"/>
    <mergeCell ref="N70:Q71"/>
    <mergeCell ref="N21:Q22"/>
    <mergeCell ref="N37:O37"/>
    <mergeCell ref="N24:P24"/>
    <mergeCell ref="N44:P44"/>
    <mergeCell ref="N49:O49"/>
    <mergeCell ref="B21:E22"/>
    <mergeCell ref="A5:C5"/>
    <mergeCell ref="A4:C4"/>
    <mergeCell ref="A6:C6"/>
    <mergeCell ref="E5:G5"/>
    <mergeCell ref="E6:G6"/>
    <mergeCell ref="E7:G7"/>
    <mergeCell ref="E8:G8"/>
    <mergeCell ref="B10:E10"/>
  </mergeCells>
  <phoneticPr fontId="2" type="noConversion"/>
  <dataValidations count="5">
    <dataValidation type="list" allowBlank="1" showInputMessage="1" showErrorMessage="1" sqref="E4" xr:uid="{00000000-0002-0000-1500-000000000000}">
      <formula1>$W$4:$W$6</formula1>
    </dataValidation>
    <dataValidation type="list" allowBlank="1" showInputMessage="1" showErrorMessage="1" sqref="E7" xr:uid="{00000000-0002-0000-1500-000001000000}">
      <formula1>$AA$4:$AA$5</formula1>
    </dataValidation>
    <dataValidation type="list" allowBlank="1" showInputMessage="1" showErrorMessage="1" sqref="E8" xr:uid="{00000000-0002-0000-1500-000002000000}">
      <formula1>$AA$7:$AA$8</formula1>
    </dataValidation>
    <dataValidation type="list" allowBlank="1" showInputMessage="1" showErrorMessage="1" sqref="E6" xr:uid="{00000000-0002-0000-1500-000003000000}">
      <formula1>IF($E$5&lt;=40,$Y$4:$Y$12,$Z$9:$Z$15)</formula1>
    </dataValidation>
    <dataValidation type="list" allowBlank="1" showInputMessage="1" showErrorMessage="1" sqref="E5:G5" xr:uid="{00000000-0002-0000-1500-000004000000}">
      <formula1>$X$4:$X$9</formula1>
    </dataValidation>
  </dataValidations>
  <pageMargins left="0.75" right="0.75" top="1" bottom="1" header="0.5" footer="0.5"/>
  <pageSetup paperSize="9" orientation="portrait" r:id="rId2"/>
  <headerFooter alignWithMargins="0"/>
  <drawing r:id="rId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 codeName="Лист17"/>
  <dimension ref="A1:AW446"/>
  <sheetViews>
    <sheetView showGridLines="0" zoomScaleNormal="100" workbookViewId="0"/>
  </sheetViews>
  <sheetFormatPr defaultRowHeight="12.75" x14ac:dyDescent="0.2"/>
  <cols>
    <col min="1" max="1" width="7.42578125" style="8" customWidth="1"/>
    <col min="2" max="2" width="22.5703125" customWidth="1"/>
    <col min="4" max="4" width="42.140625" customWidth="1"/>
    <col min="5" max="5" width="6" style="10" customWidth="1"/>
    <col min="6" max="6" width="12.5703125" style="77" hidden="1" customWidth="1"/>
    <col min="7" max="7" width="9.140625" style="6"/>
    <col min="8" max="8" width="9.140625" style="24"/>
    <col min="9" max="9" width="7" style="8" customWidth="1"/>
    <col min="10" max="10" width="18.85546875" style="77" hidden="1" customWidth="1"/>
    <col min="11" max="11" width="9.140625" style="77" hidden="1" customWidth="1"/>
    <col min="12" max="12" width="3" style="77" hidden="1" customWidth="1"/>
    <col min="13" max="15" width="9.140625" style="77" hidden="1" customWidth="1"/>
    <col min="16" max="16" width="11.28515625" style="77" hidden="1" customWidth="1"/>
    <col min="17" max="17" width="9.140625" style="77" hidden="1" customWidth="1"/>
    <col min="18" max="18" width="4.5703125" style="8" customWidth="1"/>
    <col min="19" max="19" width="20.42578125" style="8" customWidth="1"/>
    <col min="20" max="20" width="3.5703125" style="8" bestFit="1" customWidth="1"/>
    <col min="21" max="29" width="9.140625" style="8"/>
    <col min="30" max="49" width="9.140625" style="771"/>
  </cols>
  <sheetData>
    <row r="1" spans="1:49" s="8" customFormat="1" ht="8.1" customHeight="1" thickBot="1" x14ac:dyDescent="0.25">
      <c r="E1" s="53"/>
      <c r="G1" s="37"/>
      <c r="H1" s="61"/>
      <c r="AD1" s="771"/>
      <c r="AE1" s="771"/>
      <c r="AF1" s="771"/>
      <c r="AG1" s="771"/>
      <c r="AH1" s="771"/>
      <c r="AI1" s="771"/>
      <c r="AJ1" s="771"/>
      <c r="AK1" s="771"/>
      <c r="AL1" s="771"/>
      <c r="AM1" s="771"/>
      <c r="AN1" s="771"/>
      <c r="AO1" s="771"/>
      <c r="AP1" s="771"/>
      <c r="AQ1" s="771"/>
      <c r="AR1" s="771"/>
      <c r="AS1" s="771"/>
      <c r="AT1" s="771"/>
      <c r="AU1" s="771"/>
      <c r="AV1" s="771"/>
      <c r="AW1" s="771"/>
    </row>
    <row r="2" spans="1:49" ht="20.100000000000001" customHeight="1" x14ac:dyDescent="0.2">
      <c r="B2" s="2289" t="s">
        <v>247</v>
      </c>
      <c r="C2" s="2239"/>
      <c r="D2" s="2239"/>
      <c r="E2" s="2239"/>
      <c r="F2" s="2239"/>
      <c r="G2" s="2239"/>
      <c r="H2" s="465"/>
      <c r="L2" s="77" t="s">
        <v>5060</v>
      </c>
      <c r="O2" s="1598"/>
      <c r="P2" s="1599" t="s">
        <v>5062</v>
      </c>
      <c r="Q2" s="1600" t="s">
        <v>5063</v>
      </c>
    </row>
    <row r="3" spans="1:49" ht="20.100000000000001" customHeight="1" thickBot="1" x14ac:dyDescent="0.25">
      <c r="A3" s="17"/>
      <c r="B3" s="2240"/>
      <c r="C3" s="2241"/>
      <c r="D3" s="2241"/>
      <c r="E3" s="2241"/>
      <c r="F3" s="2241"/>
      <c r="G3" s="2241"/>
      <c r="H3" s="467"/>
      <c r="J3" s="203" t="s">
        <v>247</v>
      </c>
      <c r="K3" s="204"/>
      <c r="L3" s="77">
        <v>32</v>
      </c>
      <c r="M3" s="204" t="s">
        <v>2626</v>
      </c>
      <c r="N3" s="204"/>
      <c r="O3" s="1598" t="s">
        <v>247</v>
      </c>
      <c r="P3" s="77" t="s">
        <v>3363</v>
      </c>
      <c r="Q3" s="77" t="s">
        <v>1694</v>
      </c>
    </row>
    <row r="4" spans="1:49" ht="15.75" customHeight="1" thickBot="1" x14ac:dyDescent="0.25">
      <c r="A4" s="17"/>
      <c r="B4" s="410" t="s">
        <v>277</v>
      </c>
      <c r="C4" s="1646">
        <v>25</v>
      </c>
      <c r="D4" s="1588" t="s">
        <v>5063</v>
      </c>
      <c r="E4" s="216"/>
      <c r="F4" s="488"/>
      <c r="G4" s="489" t="s">
        <v>141</v>
      </c>
      <c r="H4" s="483"/>
      <c r="J4" s="77">
        <v>22</v>
      </c>
      <c r="K4" s="77" t="s">
        <v>2134</v>
      </c>
      <c r="L4" s="77">
        <v>35</v>
      </c>
      <c r="M4" s="77" t="s">
        <v>2614</v>
      </c>
      <c r="O4" s="77" t="s">
        <v>1452</v>
      </c>
      <c r="P4" s="77" t="s">
        <v>2147</v>
      </c>
      <c r="Q4" s="77" t="s">
        <v>1575</v>
      </c>
    </row>
    <row r="5" spans="1:49" s="25" customFormat="1" ht="15.75" customHeight="1" thickBot="1" x14ac:dyDescent="0.25">
      <c r="A5" s="2302" t="s">
        <v>1382</v>
      </c>
      <c r="B5" s="1585" t="s">
        <v>5061</v>
      </c>
      <c r="C5" s="1646">
        <v>38</v>
      </c>
      <c r="D5" s="1645" t="s">
        <v>263</v>
      </c>
      <c r="E5" s="69" t="str">
        <f>"- верх"</f>
        <v>- верх</v>
      </c>
      <c r="F5" s="73"/>
      <c r="G5" s="115"/>
      <c r="H5" s="376" t="str">
        <f>IF(СОДЕРЖАНИЕ!P2=1,"EUR","RUB")</f>
        <v>RUB</v>
      </c>
      <c r="I5" s="54"/>
      <c r="J5" s="77">
        <v>25</v>
      </c>
      <c r="K5" s="77" t="s">
        <v>484</v>
      </c>
      <c r="L5" s="77">
        <v>38</v>
      </c>
      <c r="M5" s="77" t="s">
        <v>2623</v>
      </c>
      <c r="N5" s="77"/>
      <c r="O5" s="77"/>
      <c r="P5" s="77" t="s">
        <v>2148</v>
      </c>
      <c r="Q5" s="77" t="s">
        <v>1574</v>
      </c>
      <c r="R5" s="54"/>
      <c r="S5" s="54"/>
      <c r="T5" s="54"/>
      <c r="U5" s="54"/>
      <c r="V5" s="54"/>
      <c r="W5" s="54"/>
      <c r="X5" s="54"/>
      <c r="Y5" s="54"/>
      <c r="Z5" s="54"/>
      <c r="AA5" s="54"/>
      <c r="AB5" s="54"/>
      <c r="AC5" s="54"/>
      <c r="AD5" s="1379"/>
      <c r="AE5" s="1379"/>
      <c r="AF5" s="1379"/>
      <c r="AG5" s="1379"/>
      <c r="AH5" s="1379"/>
      <c r="AI5" s="1379"/>
      <c r="AJ5" s="1379"/>
      <c r="AK5" s="1379"/>
      <c r="AL5" s="1379"/>
      <c r="AM5" s="1379"/>
      <c r="AN5" s="1379"/>
      <c r="AO5" s="1379"/>
      <c r="AP5" s="1379"/>
      <c r="AQ5" s="1379"/>
      <c r="AR5" s="1379"/>
      <c r="AS5" s="1379"/>
      <c r="AT5" s="1379"/>
      <c r="AU5" s="1379"/>
      <c r="AV5" s="1379"/>
      <c r="AW5" s="1379"/>
    </row>
    <row r="6" spans="1:49" s="25" customFormat="1" ht="15.75" customHeight="1" thickBot="1" x14ac:dyDescent="0.25">
      <c r="A6" s="2302"/>
      <c r="B6" s="410"/>
      <c r="C6" s="1644"/>
      <c r="D6" s="1589" t="s">
        <v>263</v>
      </c>
      <c r="E6" s="1321" t="str">
        <f>"- низ"</f>
        <v>- низ</v>
      </c>
      <c r="F6" s="73"/>
      <c r="G6" s="677"/>
      <c r="H6" s="376"/>
      <c r="I6" s="54"/>
      <c r="J6" s="77">
        <v>28</v>
      </c>
      <c r="K6" s="77" t="s">
        <v>1658</v>
      </c>
      <c r="L6" s="77">
        <v>39</v>
      </c>
      <c r="M6" s="77" t="s">
        <v>2633</v>
      </c>
      <c r="N6" s="77"/>
      <c r="O6" s="77"/>
      <c r="P6" s="77"/>
      <c r="Q6" s="77"/>
      <c r="R6" s="54"/>
      <c r="S6" s="54"/>
      <c r="T6" s="54"/>
      <c r="U6" s="54"/>
      <c r="V6" s="54"/>
      <c r="W6" s="54"/>
      <c r="X6" s="54"/>
      <c r="Y6" s="54"/>
      <c r="Z6" s="54"/>
      <c r="AA6" s="54"/>
      <c r="AB6" s="54"/>
      <c r="AC6" s="54"/>
      <c r="AD6" s="1379"/>
      <c r="AE6" s="1379"/>
      <c r="AF6" s="1379"/>
      <c r="AG6" s="1379"/>
      <c r="AH6" s="1379"/>
      <c r="AI6" s="1379"/>
      <c r="AJ6" s="1379"/>
      <c r="AK6" s="1379"/>
      <c r="AL6" s="1379"/>
      <c r="AM6" s="1379"/>
      <c r="AN6" s="1379"/>
      <c r="AO6" s="1379"/>
      <c r="AP6" s="1379"/>
      <c r="AQ6" s="1379"/>
      <c r="AR6" s="1379"/>
      <c r="AS6" s="1379"/>
      <c r="AT6" s="1379"/>
      <c r="AU6" s="1379"/>
      <c r="AV6" s="1379"/>
      <c r="AW6" s="1379"/>
    </row>
    <row r="7" spans="1:49" ht="12.75" customHeight="1" x14ac:dyDescent="0.2">
      <c r="A7" s="2302"/>
      <c r="B7" s="2028"/>
      <c r="C7" s="2" t="str">
        <f>VLOOKUP(C4,J4:K6,2,FALSE)</f>
        <v>8931832/</v>
      </c>
      <c r="D7" s="71" t="str">
        <f>VLOOKUP(C7,всецены,2,FALSE)</f>
        <v xml:space="preserve">AVS HF, Силовой мех-м, 20F2501.05, NEW  </v>
      </c>
      <c r="E7" s="3">
        <v>2</v>
      </c>
      <c r="F7" s="63">
        <f t="shared" ref="F7:F14" si="0">VLOOKUP(C7,всецены,4,FALSE)</f>
        <v>1391.4064164000001</v>
      </c>
      <c r="G7" s="343">
        <f>F7*E7</f>
        <v>2782.8128328000003</v>
      </c>
      <c r="H7" s="2207">
        <f>SUM(G7:G17)</f>
        <v>5513.5800720000007</v>
      </c>
    </row>
    <row r="8" spans="1:49" ht="12.75" customHeight="1" x14ac:dyDescent="0.2">
      <c r="A8" s="2303" t="s">
        <v>7161</v>
      </c>
      <c r="B8" s="2024"/>
      <c r="C8" s="2" t="str">
        <f>IF($D$4=$P$2,P3,Q3)</f>
        <v>7272890/</v>
      </c>
      <c r="D8" s="2" t="str">
        <f t="shared" ref="D8:D14" si="1">VLOOKUP(C8,всецены,2,FALSE)</f>
        <v>AVS HF,HL,HS,Загл кр с лог,сер20F9001.BL</v>
      </c>
      <c r="E8" s="3">
        <v>2</v>
      </c>
      <c r="F8" s="63">
        <f t="shared" si="0"/>
        <v>12.198186</v>
      </c>
      <c r="G8" s="343">
        <f t="shared" ref="G8:G14" si="2">F8*E8</f>
        <v>24.396372</v>
      </c>
      <c r="H8" s="2208"/>
      <c r="K8" s="669" t="s">
        <v>265</v>
      </c>
      <c r="L8" s="669"/>
      <c r="M8" s="669" t="s">
        <v>266</v>
      </c>
      <c r="N8" s="669" t="s">
        <v>247</v>
      </c>
      <c r="O8" s="669"/>
      <c r="P8" s="669"/>
      <c r="Q8" s="669"/>
    </row>
    <row r="9" spans="1:49" ht="12.75" customHeight="1" x14ac:dyDescent="0.2">
      <c r="A9" s="2303"/>
      <c r="B9" s="2024"/>
      <c r="C9" s="2" t="str">
        <f>IF($D$4=$P$2,P4,Q4)</f>
        <v>6844408/</v>
      </c>
      <c r="D9" s="2" t="str">
        <f t="shared" si="1"/>
        <v xml:space="preserve">AVS HF, Загл. осн. сер. лев. 20F8001    </v>
      </c>
      <c r="E9" s="3">
        <v>1</v>
      </c>
      <c r="F9" s="63">
        <f t="shared" si="0"/>
        <v>99.211912800000007</v>
      </c>
      <c r="G9" s="343">
        <f t="shared" si="2"/>
        <v>99.211912800000007</v>
      </c>
      <c r="H9" s="2208"/>
      <c r="J9" s="77" t="s">
        <v>263</v>
      </c>
      <c r="K9" s="13" t="s">
        <v>1693</v>
      </c>
      <c r="L9" s="13">
        <v>2</v>
      </c>
      <c r="M9" s="13" t="s">
        <v>262</v>
      </c>
      <c r="N9" s="672"/>
      <c r="O9" s="676" t="s">
        <v>2108</v>
      </c>
      <c r="P9" s="672"/>
      <c r="Q9" s="673" t="s">
        <v>2106</v>
      </c>
      <c r="S9" s="2267" t="s">
        <v>3456</v>
      </c>
      <c r="T9" s="2267"/>
    </row>
    <row r="10" spans="1:49" ht="12.75" customHeight="1" x14ac:dyDescent="0.2">
      <c r="A10" s="2303"/>
      <c r="B10" s="2024"/>
      <c r="C10" s="2" t="str">
        <f>IF($D$4=$P$2,P5,Q5)</f>
        <v>6844238/</v>
      </c>
      <c r="D10" s="2" t="str">
        <f t="shared" si="1"/>
        <v xml:space="preserve">AVS HF, Загл. осн. сер. прав. 20F8001   </v>
      </c>
      <c r="E10" s="3">
        <v>1</v>
      </c>
      <c r="F10" s="63">
        <f t="shared" si="0"/>
        <v>99.211912800000007</v>
      </c>
      <c r="G10" s="343">
        <f t="shared" si="2"/>
        <v>99.211912800000007</v>
      </c>
      <c r="H10" s="2208"/>
      <c r="J10" s="77" t="s">
        <v>264</v>
      </c>
      <c r="K10" s="13" t="s">
        <v>862</v>
      </c>
      <c r="L10" s="13">
        <v>1</v>
      </c>
      <c r="M10" s="77" t="s">
        <v>3554</v>
      </c>
      <c r="N10" s="674" t="s">
        <v>1254</v>
      </c>
      <c r="O10" s="13" t="s">
        <v>1255</v>
      </c>
      <c r="P10" s="674" t="s">
        <v>1253</v>
      </c>
      <c r="Q10" s="675" t="s">
        <v>1033</v>
      </c>
      <c r="S10" s="2267"/>
      <c r="T10" s="2267"/>
    </row>
    <row r="11" spans="1:49" ht="12.75" customHeight="1" x14ac:dyDescent="0.2">
      <c r="A11" s="2303"/>
      <c r="B11" s="2024"/>
      <c r="C11" s="2" t="s">
        <v>2610</v>
      </c>
      <c r="D11" s="2" t="str">
        <f t="shared" si="1"/>
        <v>AVS HF-HKS, Прям планка п/шуруп 175H3100</v>
      </c>
      <c r="E11" s="3">
        <v>6</v>
      </c>
      <c r="F11" s="63">
        <f t="shared" si="0"/>
        <v>32.528496000000004</v>
      </c>
      <c r="G11" s="343">
        <f t="shared" si="2"/>
        <v>195.17097600000002</v>
      </c>
      <c r="H11" s="2208"/>
      <c r="M11" s="77" t="s">
        <v>3553</v>
      </c>
      <c r="N11" s="674" t="s">
        <v>1576</v>
      </c>
      <c r="O11" s="13"/>
      <c r="P11" s="674"/>
      <c r="Q11" s="13"/>
      <c r="R11" s="2300" t="s">
        <v>1781</v>
      </c>
      <c r="S11" s="2301"/>
      <c r="T11" s="957"/>
      <c r="U11" s="975"/>
      <c r="V11" s="975"/>
    </row>
    <row r="12" spans="1:49" ht="12.75" customHeight="1" x14ac:dyDescent="0.2">
      <c r="A12" s="2303"/>
      <c r="B12" s="2024"/>
      <c r="C12" s="2" t="str">
        <f>VLOOKUP(D5,J9:Q10,8,FALSE)</f>
        <v>6510533/</v>
      </c>
      <c r="D12" s="2" t="str">
        <f t="shared" si="1"/>
        <v>AVS HF, Петля б/пруж, накл д/ДСП 70T5550</v>
      </c>
      <c r="E12" s="3">
        <v>2</v>
      </c>
      <c r="F12" s="63">
        <f t="shared" si="0"/>
        <v>108.15724920000001</v>
      </c>
      <c r="G12" s="343">
        <f t="shared" si="2"/>
        <v>216.31449840000002</v>
      </c>
      <c r="H12" s="2208"/>
      <c r="N12" s="2298" t="s">
        <v>1765</v>
      </c>
      <c r="O12" s="2299"/>
      <c r="P12" s="2298" t="s">
        <v>1766</v>
      </c>
      <c r="Q12" s="2299"/>
      <c r="R12" s="943" t="s">
        <v>1813</v>
      </c>
      <c r="S12" s="956" t="s">
        <v>1782</v>
      </c>
      <c r="T12" s="968" t="s">
        <v>2237</v>
      </c>
      <c r="U12" s="975"/>
      <c r="V12" s="975"/>
    </row>
    <row r="13" spans="1:49" ht="12.75" customHeight="1" x14ac:dyDescent="0.2">
      <c r="A13" s="2303"/>
      <c r="B13" s="2024"/>
      <c r="C13" s="2" t="str">
        <f>VLOOKUP(D6,J9:O10,6,FALSE)</f>
        <v>6796673/</v>
      </c>
      <c r="D13" s="2" t="str">
        <f t="shared" si="1"/>
        <v>AVS HF, Петля средн б/пруж, ДСП 78Z5500T</v>
      </c>
      <c r="E13" s="3">
        <v>2</v>
      </c>
      <c r="F13" s="63">
        <f t="shared" si="0"/>
        <v>198.42382560000001</v>
      </c>
      <c r="G13" s="343">
        <f t="shared" si="2"/>
        <v>396.84765120000003</v>
      </c>
      <c r="H13" s="2208"/>
      <c r="R13" s="943" t="s">
        <v>1813</v>
      </c>
      <c r="S13" s="956" t="s">
        <v>2823</v>
      </c>
      <c r="T13" s="928" t="s">
        <v>2239</v>
      </c>
    </row>
    <row r="14" spans="1:49" ht="12.75" customHeight="1" x14ac:dyDescent="0.2">
      <c r="A14" s="2279" t="s">
        <v>1383</v>
      </c>
      <c r="B14" s="2024"/>
      <c r="C14" s="2" t="str">
        <f>VLOOKUP(C5,L3:M6,2,0)</f>
        <v>7360602/</v>
      </c>
      <c r="D14" s="2" t="str">
        <f t="shared" si="1"/>
        <v xml:space="preserve">AVS HF, Телеск рыч 700-900мм 20F3801.01 </v>
      </c>
      <c r="E14" s="3">
        <v>2</v>
      </c>
      <c r="F14" s="63">
        <f t="shared" si="0"/>
        <v>849.80695800000001</v>
      </c>
      <c r="G14" s="343">
        <f t="shared" si="2"/>
        <v>1699.613916</v>
      </c>
      <c r="H14" s="2208"/>
      <c r="R14" s="397"/>
      <c r="S14" s="975"/>
      <c r="T14" s="976" t="s">
        <v>2825</v>
      </c>
    </row>
    <row r="15" spans="1:49" ht="12.75" customHeight="1" x14ac:dyDescent="0.25">
      <c r="A15" s="2279"/>
      <c r="B15" s="2024"/>
      <c r="C15" s="2" t="str">
        <f>IF(D5=J10,P10,"")</f>
        <v/>
      </c>
      <c r="D15" s="2" t="str">
        <f>IF(C15="","",VLOOKUP(C15,всецены,2,FALSE))</f>
        <v/>
      </c>
      <c r="E15" s="3">
        <f>IF(C15="",0,2)</f>
        <v>0</v>
      </c>
      <c r="F15" s="63">
        <f>IF(C15="",0,VLOOKUP(C15,всецены,4,FALSE))</f>
        <v>0</v>
      </c>
      <c r="G15" s="343">
        <f>F15*E15</f>
        <v>0</v>
      </c>
      <c r="H15" s="2208"/>
      <c r="R15" s="970" t="s">
        <v>1815</v>
      </c>
      <c r="S15" s="971" t="s">
        <v>2813</v>
      </c>
      <c r="T15" s="972"/>
    </row>
    <row r="16" spans="1:49" ht="12.75" customHeight="1" x14ac:dyDescent="0.2">
      <c r="A16" s="2279"/>
      <c r="B16" s="2024"/>
      <c r="C16" s="2" t="str">
        <f>IF(D6=J10,N10,"")</f>
        <v/>
      </c>
      <c r="D16" s="2" t="str">
        <f>IF(C16="","",VLOOKUP(C16,всецены,2,FALSE))</f>
        <v/>
      </c>
      <c r="E16" s="3">
        <f>IF(C16="",0,1)</f>
        <v>0</v>
      </c>
      <c r="F16" s="63">
        <f>IF(C16="",0,VLOOKUP(C16,всецены,4,FALSE))</f>
        <v>0</v>
      </c>
      <c r="G16" s="343">
        <f>F16*E16</f>
        <v>0</v>
      </c>
      <c r="H16" s="2208"/>
    </row>
    <row r="17" spans="1:17" ht="12.75" customHeight="1" thickBot="1" x14ac:dyDescent="0.25">
      <c r="A17" s="2279"/>
      <c r="B17" s="2025"/>
      <c r="C17" s="353" t="str">
        <f>IF(D6=J10,N11,"")</f>
        <v/>
      </c>
      <c r="D17" s="353" t="str">
        <f>IF(C17="","",VLOOKUP(C17,всецены,2,FALSE))</f>
        <v/>
      </c>
      <c r="E17" s="355">
        <f>IF(C17="",0,1)</f>
        <v>0</v>
      </c>
      <c r="F17" s="435">
        <f>IF(C17="",0,VLOOKUP(C17,всецены,4,FALSE))</f>
        <v>0</v>
      </c>
      <c r="G17" s="487">
        <f>F17*E17</f>
        <v>0</v>
      </c>
      <c r="H17" s="2252"/>
    </row>
    <row r="18" spans="1:17" ht="13.5" customHeight="1" thickBot="1" x14ac:dyDescent="0.25">
      <c r="A18" s="2280"/>
      <c r="B18" s="433"/>
      <c r="C18" s="28"/>
      <c r="D18" s="28"/>
      <c r="E18" s="28"/>
      <c r="F18" s="341"/>
      <c r="G18" s="484"/>
      <c r="H18" s="485"/>
    </row>
    <row r="19" spans="1:17" ht="15" x14ac:dyDescent="0.2">
      <c r="A19" s="17"/>
      <c r="B19" s="2296" t="s">
        <v>1946</v>
      </c>
      <c r="C19" s="2297"/>
      <c r="D19" s="2297"/>
      <c r="E19" s="2297"/>
      <c r="F19" s="2297"/>
      <c r="G19" s="2297"/>
      <c r="H19" s="678"/>
    </row>
    <row r="20" spans="1:17" x14ac:dyDescent="0.2">
      <c r="A20" s="17"/>
      <c r="B20" s="2024"/>
      <c r="C20" s="2" t="s">
        <v>1142</v>
      </c>
      <c r="D20" s="2" t="str">
        <f>VLOOKUP(C20,всецены,2,FALSE)</f>
        <v xml:space="preserve">AVS HF, Ограничитель открывания 104 гр  </v>
      </c>
      <c r="E20" s="3">
        <v>1</v>
      </c>
      <c r="F20" s="63">
        <f>VLOOKUP(C20,всецены,4,FALSE)</f>
        <v>74.00232840000001</v>
      </c>
      <c r="G20" s="343">
        <f>F20*E20</f>
        <v>74.00232840000001</v>
      </c>
      <c r="H20" s="493">
        <f>G20</f>
        <v>74.00232840000001</v>
      </c>
    </row>
    <row r="21" spans="1:17" ht="13.5" thickBot="1" x14ac:dyDescent="0.25">
      <c r="A21" s="17"/>
      <c r="B21" s="2025"/>
      <c r="C21" s="353" t="s">
        <v>71</v>
      </c>
      <c r="D21" s="353" t="str">
        <f>VLOOKUP(C21,всецены,2,FALSE)</f>
        <v xml:space="preserve">AVS HF, Ограничитель открывания 83 гр   </v>
      </c>
      <c r="E21" s="355">
        <v>1</v>
      </c>
      <c r="F21" s="435">
        <f>VLOOKUP(C21,всецены,4,FALSE)</f>
        <v>74.00232840000001</v>
      </c>
      <c r="G21" s="487">
        <f>F21*E21</f>
        <v>74.00232840000001</v>
      </c>
      <c r="H21" s="492">
        <f>G21</f>
        <v>74.00232840000001</v>
      </c>
    </row>
    <row r="22" spans="1:17" ht="15" customHeight="1" x14ac:dyDescent="0.2">
      <c r="A22" s="17"/>
      <c r="B22" s="2284" t="s">
        <v>7162</v>
      </c>
      <c r="C22" s="2284"/>
      <c r="D22" s="2284"/>
      <c r="E22" s="2284"/>
      <c r="F22" s="2284"/>
      <c r="G22" s="2284"/>
      <c r="H22" s="61"/>
    </row>
    <row r="23" spans="1:17" ht="8.1" customHeight="1" thickBot="1" x14ac:dyDescent="0.25">
      <c r="B23" s="8"/>
      <c r="C23" s="8"/>
      <c r="D23" s="8"/>
      <c r="E23" s="53"/>
      <c r="F23" s="8"/>
      <c r="G23" s="37"/>
      <c r="H23" s="61"/>
      <c r="J23" s="8"/>
      <c r="K23" s="8"/>
      <c r="L23" s="8"/>
      <c r="M23" s="8"/>
      <c r="N23" s="8"/>
      <c r="O23" s="8"/>
      <c r="P23" s="8"/>
      <c r="Q23" s="8"/>
    </row>
    <row r="24" spans="1:17" ht="20.100000000000001" customHeight="1" x14ac:dyDescent="0.2">
      <c r="B24" s="2238" t="s">
        <v>3457</v>
      </c>
      <c r="C24" s="2239"/>
      <c r="D24" s="2239"/>
      <c r="E24" s="2239"/>
      <c r="F24" s="2239"/>
      <c r="G24" s="2239"/>
      <c r="H24" s="465"/>
    </row>
    <row r="25" spans="1:17" ht="20.100000000000001" customHeight="1" thickBot="1" x14ac:dyDescent="0.25">
      <c r="A25" s="17"/>
      <c r="B25" s="2240"/>
      <c r="C25" s="2241"/>
      <c r="D25" s="2241"/>
      <c r="E25" s="2241"/>
      <c r="F25" s="2241"/>
      <c r="G25" s="2241"/>
      <c r="H25" s="467"/>
      <c r="O25" s="77" t="s">
        <v>5064</v>
      </c>
    </row>
    <row r="26" spans="1:17" ht="15.75" customHeight="1" thickBot="1" x14ac:dyDescent="0.25">
      <c r="A26" s="17"/>
      <c r="B26" s="433"/>
      <c r="C26" s="28"/>
      <c r="D26" s="1647" t="s">
        <v>5063</v>
      </c>
      <c r="E26" s="32"/>
      <c r="F26" s="490" t="s">
        <v>142</v>
      </c>
      <c r="G26" s="484" t="s">
        <v>142</v>
      </c>
      <c r="H26" s="485"/>
      <c r="O26" s="77" t="s">
        <v>5062</v>
      </c>
      <c r="P26" s="77" t="s">
        <v>5063</v>
      </c>
    </row>
    <row r="27" spans="1:17" ht="15.75" thickBot="1" x14ac:dyDescent="0.25">
      <c r="A27" s="2283" t="s">
        <v>1382</v>
      </c>
      <c r="B27" s="410" t="s">
        <v>277</v>
      </c>
      <c r="C27" s="1646" t="s">
        <v>1339</v>
      </c>
      <c r="D27" s="1647" t="s">
        <v>263</v>
      </c>
      <c r="E27" s="94"/>
      <c r="F27" s="73"/>
      <c r="G27" s="115"/>
      <c r="H27" s="376" t="str">
        <f>IF(СОДЕРЖАНИЕ!P2=1,"EUR","RUB")</f>
        <v>RUB</v>
      </c>
      <c r="O27" s="77" t="s">
        <v>3363</v>
      </c>
      <c r="P27" s="77" t="s">
        <v>1694</v>
      </c>
    </row>
    <row r="28" spans="1:17" x14ac:dyDescent="0.2">
      <c r="A28" s="2283"/>
      <c r="B28" s="2028"/>
      <c r="C28" s="2" t="str">
        <f>VLOOKUP(C27,J29:K37,2,FALSE)</f>
        <v>8992152/</v>
      </c>
      <c r="D28" s="71" t="str">
        <f t="shared" ref="D28:D36" si="3">VLOOKUP(C28,всецены,2,FALSE)</f>
        <v xml:space="preserve">AVS HS, Силовой мех-м, 20S2H01.05, NEW  </v>
      </c>
      <c r="E28" s="3">
        <v>2</v>
      </c>
      <c r="F28" s="63">
        <f t="shared" ref="F28:F35" si="4">VLOOKUP(C28,всецены,4,FALSE)</f>
        <v>1569.4999320000002</v>
      </c>
      <c r="G28" s="343">
        <f>F28*E28</f>
        <v>3138.9998640000003</v>
      </c>
      <c r="H28" s="2210">
        <f>SUM(G28:G36)</f>
        <v>6092.5873008000017</v>
      </c>
      <c r="J28" s="205" t="s">
        <v>249</v>
      </c>
    </row>
    <row r="29" spans="1:17" ht="12.75" customHeight="1" x14ac:dyDescent="0.2">
      <c r="A29" s="2285" t="s">
        <v>7163</v>
      </c>
      <c r="B29" s="2024"/>
      <c r="C29" s="2" t="str">
        <f>IF($D$26=$O$26,O27,P27)</f>
        <v>7272890/</v>
      </c>
      <c r="D29" s="2" t="str">
        <f t="shared" si="3"/>
        <v>AVS HF,HL,HS,Загл кр с лог,сер20F9001.BL</v>
      </c>
      <c r="E29" s="3">
        <v>2</v>
      </c>
      <c r="F29" s="63">
        <f t="shared" si="4"/>
        <v>12.198186</v>
      </c>
      <c r="G29" s="343">
        <f t="shared" ref="G29:G35" si="5">F29*E29</f>
        <v>24.396372</v>
      </c>
      <c r="H29" s="2210"/>
      <c r="J29" s="205" t="s">
        <v>362</v>
      </c>
      <c r="K29" s="77" t="s">
        <v>2226</v>
      </c>
      <c r="O29" s="77" t="s">
        <v>656</v>
      </c>
      <c r="P29" s="77" t="s">
        <v>2079</v>
      </c>
    </row>
    <row r="30" spans="1:17" ht="12.75" customHeight="1" x14ac:dyDescent="0.2">
      <c r="A30" s="2285"/>
      <c r="B30" s="2024"/>
      <c r="C30" s="2" t="s">
        <v>2629</v>
      </c>
      <c r="D30" s="2" t="str">
        <f t="shared" si="3"/>
        <v xml:space="preserve">AVS HS, Загл. д/стабилиз.  20Q0003.03   </v>
      </c>
      <c r="E30" s="3">
        <v>2</v>
      </c>
      <c r="F30" s="63">
        <f t="shared" si="4"/>
        <v>8.9453364000000004</v>
      </c>
      <c r="G30" s="343">
        <f t="shared" si="5"/>
        <v>17.890672800000001</v>
      </c>
      <c r="H30" s="2210"/>
      <c r="J30" s="205" t="s">
        <v>1334</v>
      </c>
      <c r="K30" s="77" t="s">
        <v>1785</v>
      </c>
      <c r="O30" s="77" t="s">
        <v>657</v>
      </c>
      <c r="P30" s="77" t="s">
        <v>2078</v>
      </c>
    </row>
    <row r="31" spans="1:17" ht="12.75" customHeight="1" x14ac:dyDescent="0.2">
      <c r="A31" s="2285"/>
      <c r="B31" s="2024"/>
      <c r="C31" s="2" t="str">
        <f>IF($D$26=$O$26,O29,P29)</f>
        <v>7259508/</v>
      </c>
      <c r="D31" s="2" t="str">
        <f t="shared" si="3"/>
        <v xml:space="preserve">AVS HS, Загл. осн. сер. лев. 20S8001    </v>
      </c>
      <c r="E31" s="3">
        <v>1</v>
      </c>
      <c r="F31" s="63">
        <f t="shared" si="4"/>
        <v>99.211912800000007</v>
      </c>
      <c r="G31" s="343">
        <f t="shared" si="5"/>
        <v>99.211912800000007</v>
      </c>
      <c r="H31" s="2210"/>
      <c r="J31" s="205" t="s">
        <v>1344</v>
      </c>
      <c r="K31" s="77" t="s">
        <v>1786</v>
      </c>
    </row>
    <row r="32" spans="1:17" ht="12.75" customHeight="1" x14ac:dyDescent="0.2">
      <c r="A32" s="2285"/>
      <c r="B32" s="2024"/>
      <c r="C32" s="2" t="str">
        <f>IF($D$26=$O$26,O30,P30)</f>
        <v>7259448/</v>
      </c>
      <c r="D32" s="2" t="str">
        <f t="shared" si="3"/>
        <v xml:space="preserve">AVS HS, Загл. осн. сер. прав.  20S8001  </v>
      </c>
      <c r="E32" s="3">
        <v>1</v>
      </c>
      <c r="F32" s="63">
        <f t="shared" si="4"/>
        <v>99.211912800000007</v>
      </c>
      <c r="G32" s="343">
        <f t="shared" si="5"/>
        <v>99.211912800000007</v>
      </c>
      <c r="H32" s="2210"/>
      <c r="J32" s="205" t="s">
        <v>1335</v>
      </c>
      <c r="K32" s="77" t="s">
        <v>1077</v>
      </c>
    </row>
    <row r="33" spans="1:17" x14ac:dyDescent="0.2">
      <c r="A33" s="2285"/>
      <c r="B33" s="2024"/>
      <c r="C33" s="2" t="s">
        <v>2627</v>
      </c>
      <c r="D33" s="2" t="str">
        <f t="shared" si="3"/>
        <v xml:space="preserve">AVS HS, Рычаг левый 20S3501.06          </v>
      </c>
      <c r="E33" s="3">
        <v>1</v>
      </c>
      <c r="F33" s="63">
        <f t="shared" si="4"/>
        <v>981.54736680000008</v>
      </c>
      <c r="G33" s="343">
        <f t="shared" si="5"/>
        <v>981.54736680000008</v>
      </c>
      <c r="H33" s="2210"/>
      <c r="J33" s="205" t="s">
        <v>1345</v>
      </c>
      <c r="K33" s="77" t="s">
        <v>1078</v>
      </c>
    </row>
    <row r="34" spans="1:17" ht="12.75" customHeight="1" x14ac:dyDescent="0.2">
      <c r="A34" s="2291" t="s">
        <v>1383</v>
      </c>
      <c r="B34" s="2024"/>
      <c r="C34" s="2" t="s">
        <v>2621</v>
      </c>
      <c r="D34" s="2" t="str">
        <f t="shared" si="3"/>
        <v xml:space="preserve">AVS HS, Рычаг правый 20S3501.06         </v>
      </c>
      <c r="E34" s="3">
        <v>1</v>
      </c>
      <c r="F34" s="63">
        <f t="shared" si="4"/>
        <v>1120.6066871999999</v>
      </c>
      <c r="G34" s="343">
        <f t="shared" si="5"/>
        <v>1120.6066871999999</v>
      </c>
      <c r="H34" s="2210"/>
      <c r="J34" s="205" t="s">
        <v>1346</v>
      </c>
      <c r="K34" s="77" t="s">
        <v>1420</v>
      </c>
    </row>
    <row r="35" spans="1:17" ht="12.75" customHeight="1" x14ac:dyDescent="0.2">
      <c r="A35" s="2292"/>
      <c r="B35" s="2024"/>
      <c r="C35" s="2" t="s">
        <v>2616</v>
      </c>
      <c r="D35" s="2" t="str">
        <f t="shared" si="3"/>
        <v>AVS HS, Стабилизатор, 1061 мм. 20Q1061UN</v>
      </c>
      <c r="E35" s="3">
        <v>1</v>
      </c>
      <c r="F35" s="63">
        <f t="shared" si="4"/>
        <v>454.58573159999997</v>
      </c>
      <c r="G35" s="343">
        <f t="shared" si="5"/>
        <v>454.58573159999997</v>
      </c>
      <c r="H35" s="2210"/>
      <c r="J35" s="205" t="s">
        <v>1347</v>
      </c>
      <c r="K35" s="77" t="s">
        <v>1791</v>
      </c>
    </row>
    <row r="36" spans="1:17" ht="12.75" customHeight="1" thickBot="1" x14ac:dyDescent="0.25">
      <c r="A36" s="670"/>
      <c r="B36" s="2025"/>
      <c r="C36" s="353" t="str">
        <f>VLOOKUP(D27,J9:K10,2,FALSE)</f>
        <v>7259956/</v>
      </c>
      <c r="D36" s="353" t="str">
        <f t="shared" si="3"/>
        <v xml:space="preserve">AVS HS, HK, HL, Крепл фас, симм 20S4201 </v>
      </c>
      <c r="E36" s="355">
        <f>VLOOKUP(D27,J9:M10,3,FALSE)</f>
        <v>2</v>
      </c>
      <c r="F36" s="435">
        <f>VLOOKUP(C36,всецены,4,FALSE)</f>
        <v>78.068390399999998</v>
      </c>
      <c r="G36" s="487">
        <f>F36*E36</f>
        <v>156.1367808</v>
      </c>
      <c r="H36" s="2288"/>
      <c r="J36" s="205" t="s">
        <v>1339</v>
      </c>
      <c r="K36" s="77" t="s">
        <v>1792</v>
      </c>
    </row>
    <row r="37" spans="1:17" ht="15" customHeight="1" x14ac:dyDescent="0.2">
      <c r="A37" s="17"/>
      <c r="B37" s="2282" t="s">
        <v>7162</v>
      </c>
      <c r="C37" s="2282"/>
      <c r="D37" s="2282"/>
      <c r="E37" s="2282"/>
      <c r="F37" s="2282"/>
      <c r="G37" s="2282"/>
      <c r="H37" s="61"/>
      <c r="J37" s="205" t="s">
        <v>1348</v>
      </c>
      <c r="K37" s="77" t="s">
        <v>1793</v>
      </c>
    </row>
    <row r="38" spans="1:17" ht="8.1" customHeight="1" thickBot="1" x14ac:dyDescent="0.25">
      <c r="B38" s="8"/>
      <c r="C38" s="8"/>
      <c r="D38" s="8"/>
      <c r="E38" s="53"/>
      <c r="F38" s="8"/>
      <c r="G38" s="37"/>
      <c r="H38" s="61"/>
      <c r="J38" s="8"/>
      <c r="K38" s="8"/>
      <c r="L38" s="8"/>
      <c r="M38" s="8"/>
      <c r="N38" s="8"/>
      <c r="O38" s="8"/>
      <c r="P38" s="8"/>
      <c r="Q38" s="8"/>
    </row>
    <row r="39" spans="1:17" ht="20.100000000000001" customHeight="1" x14ac:dyDescent="0.2">
      <c r="B39" s="2289" t="s">
        <v>3458</v>
      </c>
      <c r="C39" s="2239"/>
      <c r="D39" s="2239"/>
      <c r="E39" s="2239"/>
      <c r="F39" s="2239"/>
      <c r="G39" s="2239"/>
      <c r="H39" s="465"/>
    </row>
    <row r="40" spans="1:17" ht="20.100000000000001" customHeight="1" thickBot="1" x14ac:dyDescent="0.25">
      <c r="A40" s="17"/>
      <c r="B40" s="2240"/>
      <c r="C40" s="2241"/>
      <c r="D40" s="2241"/>
      <c r="E40" s="2241"/>
      <c r="F40" s="2241"/>
      <c r="G40" s="2241"/>
      <c r="H40" s="467"/>
      <c r="O40" s="77" t="s">
        <v>5065</v>
      </c>
    </row>
    <row r="41" spans="1:17" ht="15.75" customHeight="1" thickBot="1" x14ac:dyDescent="0.25">
      <c r="A41" s="17"/>
      <c r="B41" s="433"/>
      <c r="C41" s="28"/>
      <c r="D41" s="1647" t="s">
        <v>5062</v>
      </c>
      <c r="E41" s="28"/>
      <c r="F41" s="491"/>
      <c r="G41" s="1655" t="s">
        <v>143</v>
      </c>
      <c r="H41" s="485"/>
      <c r="J41" s="205" t="s">
        <v>250</v>
      </c>
      <c r="O41" s="77" t="s">
        <v>5062</v>
      </c>
      <c r="P41" s="77" t="s">
        <v>5063</v>
      </c>
    </row>
    <row r="42" spans="1:17" ht="15.75" customHeight="1" thickBot="1" x14ac:dyDescent="0.25">
      <c r="A42" s="2283" t="s">
        <v>1382</v>
      </c>
      <c r="B42" s="410" t="s">
        <v>277</v>
      </c>
      <c r="C42" s="1646">
        <v>23</v>
      </c>
      <c r="D42" s="1645" t="s">
        <v>263</v>
      </c>
      <c r="E42" s="94"/>
      <c r="F42" s="73"/>
      <c r="G42" s="115"/>
      <c r="H42" s="376" t="str">
        <f>IF(СОДЕРЖАНИЕ!P2=1,"EUR","RUB")</f>
        <v>RUB</v>
      </c>
      <c r="I42" s="55"/>
      <c r="J42" s="206">
        <v>21</v>
      </c>
      <c r="K42" s="206" t="s">
        <v>839</v>
      </c>
      <c r="L42" s="206"/>
      <c r="M42" s="206"/>
      <c r="N42" s="206"/>
      <c r="O42" s="77" t="s">
        <v>3363</v>
      </c>
      <c r="P42" s="77" t="s">
        <v>1694</v>
      </c>
      <c r="Q42" s="206"/>
    </row>
    <row r="43" spans="1:17" ht="12.75" customHeight="1" x14ac:dyDescent="0.2">
      <c r="A43" s="2283"/>
      <c r="B43" s="2028"/>
      <c r="C43" s="2" t="str">
        <f>VLOOKUP(C42,J42:K46,2,FALSE)</f>
        <v>8992462/</v>
      </c>
      <c r="D43" s="71" t="str">
        <f t="shared" ref="D43:D51" si="6">VLOOKUP(C43,всецены,2,FALSE)</f>
        <v xml:space="preserve">AVS HL, Силовой мех-м  20L2301.05, NEW  </v>
      </c>
      <c r="E43" s="3">
        <v>2</v>
      </c>
      <c r="F43" s="65">
        <f t="shared" ref="F43:F51" si="7">VLOOKUP(C43,всецены,4,FALSE)</f>
        <v>1415.8027884000001</v>
      </c>
      <c r="G43" s="343">
        <f>F43*E43</f>
        <v>2831.6055768000001</v>
      </c>
      <c r="H43" s="2210">
        <f>SUM(G43:G51)</f>
        <v>6124.3025843999994</v>
      </c>
      <c r="J43" s="13">
        <v>23</v>
      </c>
      <c r="K43" s="13" t="s">
        <v>840</v>
      </c>
      <c r="L43" s="13"/>
      <c r="M43" s="13"/>
      <c r="N43" s="13"/>
      <c r="O43" s="13"/>
      <c r="P43" s="13"/>
      <c r="Q43" s="13"/>
    </row>
    <row r="44" spans="1:17" ht="12.75" customHeight="1" x14ac:dyDescent="0.2">
      <c r="A44" s="2285" t="s">
        <v>7164</v>
      </c>
      <c r="B44" s="2024"/>
      <c r="C44" s="2" t="str">
        <f>VLOOKUP(D42,J9:K10,2,FALSE)</f>
        <v>7259956/</v>
      </c>
      <c r="D44" s="2" t="str">
        <f t="shared" si="6"/>
        <v xml:space="preserve">AVS HS, HK, HL, Крепл фас, симм 20S4201 </v>
      </c>
      <c r="E44" s="3">
        <f>VLOOKUP(D42,J9:L10,3,FALSE)</f>
        <v>2</v>
      </c>
      <c r="F44" s="65">
        <f t="shared" si="7"/>
        <v>78.068390399999998</v>
      </c>
      <c r="G44" s="343">
        <f t="shared" ref="G44:G51" si="8">F44*E44</f>
        <v>156.1367808</v>
      </c>
      <c r="H44" s="2210"/>
      <c r="J44" s="13">
        <v>25</v>
      </c>
      <c r="K44" s="13" t="s">
        <v>891</v>
      </c>
      <c r="L44" s="13"/>
      <c r="M44" s="13"/>
      <c r="N44" s="13"/>
      <c r="O44" s="13" t="s">
        <v>2048</v>
      </c>
      <c r="P44" s="13" t="s">
        <v>304</v>
      </c>
      <c r="Q44" s="13"/>
    </row>
    <row r="45" spans="1:17" ht="12.75" customHeight="1" x14ac:dyDescent="0.2">
      <c r="A45" s="2285"/>
      <c r="B45" s="2024"/>
      <c r="C45" s="2" t="str">
        <f>IF($D$41=$O$41,O44,P44)</f>
        <v>7093277/</v>
      </c>
      <c r="D45" s="2" t="str">
        <f t="shared" si="6"/>
        <v xml:space="preserve">AVS HL, Загл. осн. бел. лев. 20L8001.02 </v>
      </c>
      <c r="E45" s="3">
        <v>1</v>
      </c>
      <c r="F45" s="65">
        <f t="shared" si="7"/>
        <v>121.98186</v>
      </c>
      <c r="G45" s="343">
        <f t="shared" si="8"/>
        <v>121.98186</v>
      </c>
      <c r="H45" s="2210"/>
      <c r="J45" s="13">
        <v>27</v>
      </c>
      <c r="K45" s="13" t="s">
        <v>893</v>
      </c>
      <c r="L45" s="13"/>
      <c r="M45" s="13"/>
      <c r="N45" s="13"/>
      <c r="O45" s="13" t="s">
        <v>2046</v>
      </c>
      <c r="P45" s="13" t="s">
        <v>1435</v>
      </c>
      <c r="Q45" s="13"/>
    </row>
    <row r="46" spans="1:17" ht="12.75" customHeight="1" x14ac:dyDescent="0.2">
      <c r="A46" s="2285"/>
      <c r="B46" s="2024"/>
      <c r="C46" s="2" t="str">
        <f>IF($D$41=$O$41,O45,P45)</f>
        <v>6489215/</v>
      </c>
      <c r="D46" s="2" t="str">
        <f t="shared" si="6"/>
        <v>AVS HL, Загл. осн. бел. прав. 20L8001.02</v>
      </c>
      <c r="E46" s="3">
        <v>1</v>
      </c>
      <c r="F46" s="65">
        <f t="shared" si="7"/>
        <v>121.98186</v>
      </c>
      <c r="G46" s="343">
        <f t="shared" si="8"/>
        <v>121.98186</v>
      </c>
      <c r="H46" s="2210"/>
      <c r="J46" s="13">
        <v>29</v>
      </c>
      <c r="K46" s="13" t="s">
        <v>894</v>
      </c>
      <c r="L46" s="13"/>
      <c r="M46" s="13"/>
      <c r="N46" s="13"/>
      <c r="O46" s="13"/>
      <c r="P46" s="13"/>
      <c r="Q46" s="13"/>
    </row>
    <row r="47" spans="1:17" ht="12.75" customHeight="1" x14ac:dyDescent="0.2">
      <c r="A47" s="2285"/>
      <c r="B47" s="2024"/>
      <c r="C47" s="2" t="s">
        <v>2701</v>
      </c>
      <c r="D47" s="2" t="str">
        <f t="shared" si="6"/>
        <v xml:space="preserve">AVS HL, Рычаг левый 20L3801.06          </v>
      </c>
      <c r="E47" s="3">
        <v>1</v>
      </c>
      <c r="F47" s="65">
        <f t="shared" si="7"/>
        <v>950.64529559999994</v>
      </c>
      <c r="G47" s="343">
        <f t="shared" si="8"/>
        <v>950.64529559999994</v>
      </c>
      <c r="H47" s="2210"/>
    </row>
    <row r="48" spans="1:17" ht="12.75" customHeight="1" x14ac:dyDescent="0.2">
      <c r="A48" s="2285"/>
      <c r="B48" s="2024"/>
      <c r="C48" s="2" t="s">
        <v>2613</v>
      </c>
      <c r="D48" s="2" t="str">
        <f t="shared" si="6"/>
        <v xml:space="preserve">AVS HL, Рычаг правый 20L3801.06         </v>
      </c>
      <c r="E48" s="3">
        <v>1</v>
      </c>
      <c r="F48" s="65">
        <f t="shared" si="7"/>
        <v>1136.8709352000001</v>
      </c>
      <c r="G48" s="343">
        <f t="shared" si="8"/>
        <v>1136.8709352000001</v>
      </c>
      <c r="H48" s="2210"/>
    </row>
    <row r="49" spans="1:49" ht="12.75" customHeight="1" x14ac:dyDescent="0.2">
      <c r="A49" s="920" t="s">
        <v>1383</v>
      </c>
      <c r="B49" s="2024"/>
      <c r="C49" s="2" t="s">
        <v>1196</v>
      </c>
      <c r="D49" s="2" t="str">
        <f t="shared" si="6"/>
        <v xml:space="preserve">AVS HL, Стабилизатор, 1061 мм 20Q1061UA </v>
      </c>
      <c r="E49" s="3">
        <v>1</v>
      </c>
      <c r="F49" s="65">
        <f t="shared" si="7"/>
        <v>735.1440096</v>
      </c>
      <c r="G49" s="343">
        <f t="shared" si="8"/>
        <v>735.1440096</v>
      </c>
      <c r="H49" s="2210"/>
    </row>
    <row r="50" spans="1:49" x14ac:dyDescent="0.2">
      <c r="A50" s="17"/>
      <c r="B50" s="2024"/>
      <c r="C50" s="2" t="s">
        <v>2618</v>
      </c>
      <c r="D50" s="2" t="str">
        <f t="shared" si="6"/>
        <v>AVS HL Стабилизатор, заглушка 20Q0003A01</v>
      </c>
      <c r="E50" s="3">
        <v>2</v>
      </c>
      <c r="F50" s="65">
        <f t="shared" si="7"/>
        <v>17.890672800000001</v>
      </c>
      <c r="G50" s="343">
        <f t="shared" si="8"/>
        <v>35.781345600000002</v>
      </c>
      <c r="H50" s="2210"/>
    </row>
    <row r="51" spans="1:49" ht="13.5" thickBot="1" x14ac:dyDescent="0.25">
      <c r="A51" s="17"/>
      <c r="B51" s="2025"/>
      <c r="C51" s="2" t="str">
        <f>IF($D$41=$O$41,O42,P42)</f>
        <v>5065724/</v>
      </c>
      <c r="D51" s="353" t="str">
        <f t="shared" si="6"/>
        <v>AVS HF,HL,HS,Загл кр с лог,бел20F9001.BL</v>
      </c>
      <c r="E51" s="355">
        <v>2</v>
      </c>
      <c r="F51" s="382">
        <f t="shared" si="7"/>
        <v>17.0774604</v>
      </c>
      <c r="G51" s="487">
        <f t="shared" si="8"/>
        <v>34.154920799999999</v>
      </c>
      <c r="H51" s="2288"/>
    </row>
    <row r="52" spans="1:49" ht="15" customHeight="1" x14ac:dyDescent="0.2">
      <c r="A52" s="17"/>
      <c r="B52" s="2284" t="s">
        <v>7162</v>
      </c>
      <c r="C52" s="2284"/>
      <c r="D52" s="2284"/>
      <c r="E52" s="2284"/>
      <c r="F52" s="2284"/>
      <c r="G52" s="2284"/>
      <c r="H52" s="61"/>
    </row>
    <row r="53" spans="1:49" ht="8.1" customHeight="1" thickBot="1" x14ac:dyDescent="0.25">
      <c r="B53" s="8"/>
      <c r="C53" s="8"/>
      <c r="D53" s="8"/>
      <c r="E53" s="53"/>
      <c r="F53" s="8"/>
      <c r="G53" s="37"/>
      <c r="H53" s="61"/>
      <c r="J53" s="8"/>
      <c r="K53" s="8"/>
      <c r="L53" s="8"/>
      <c r="M53" s="8"/>
      <c r="N53" s="8"/>
      <c r="O53" s="8"/>
      <c r="P53" s="8"/>
      <c r="Q53" s="8"/>
    </row>
    <row r="54" spans="1:49" s="1581" customFormat="1" ht="15" x14ac:dyDescent="0.2">
      <c r="A54" s="17"/>
      <c r="B54" s="2296" t="s">
        <v>1946</v>
      </c>
      <c r="C54" s="2297"/>
      <c r="D54" s="2297"/>
      <c r="E54" s="2297"/>
      <c r="F54" s="2297"/>
      <c r="G54" s="2297"/>
      <c r="H54" s="678"/>
      <c r="I54" s="8"/>
      <c r="J54" s="77"/>
      <c r="K54" s="77"/>
      <c r="L54" s="77"/>
      <c r="M54" s="77"/>
      <c r="N54" s="77"/>
      <c r="O54" s="77"/>
      <c r="P54" s="77"/>
      <c r="Q54" s="77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  <c r="AC54" s="8"/>
      <c r="AD54" s="771"/>
      <c r="AE54" s="771"/>
      <c r="AF54" s="771"/>
      <c r="AG54" s="771"/>
      <c r="AH54" s="771"/>
      <c r="AI54" s="771"/>
      <c r="AJ54" s="771"/>
      <c r="AK54" s="771"/>
      <c r="AL54" s="771"/>
      <c r="AM54" s="771"/>
      <c r="AN54" s="771"/>
      <c r="AO54" s="771"/>
      <c r="AP54" s="771"/>
      <c r="AQ54" s="771"/>
      <c r="AR54" s="771"/>
      <c r="AS54" s="771"/>
      <c r="AT54" s="771"/>
      <c r="AU54" s="771"/>
      <c r="AV54" s="771"/>
      <c r="AW54" s="771"/>
    </row>
    <row r="55" spans="1:49" s="1581" customFormat="1" ht="39.75" customHeight="1" thickBot="1" x14ac:dyDescent="0.25">
      <c r="A55" s="17"/>
      <c r="B55" s="1605"/>
      <c r="C55" s="1606" t="s">
        <v>3111</v>
      </c>
      <c r="D55" s="1606" t="str">
        <f>VLOOKUP(C55,всецены,2,FALSE)</f>
        <v xml:space="preserve">AVS HL, Огранич открыв 124гр, 20L7051   </v>
      </c>
      <c r="E55" s="1607">
        <v>2</v>
      </c>
      <c r="F55" s="1608">
        <f>VLOOKUP(C55,всецены,4,FALSE)</f>
        <v>272.426154</v>
      </c>
      <c r="G55" s="1609">
        <f>F55*E55</f>
        <v>544.85230799999999</v>
      </c>
      <c r="H55" s="1610">
        <f>G55</f>
        <v>544.85230799999999</v>
      </c>
      <c r="I55" s="8"/>
      <c r="J55" s="77"/>
      <c r="K55" s="77"/>
      <c r="L55" s="77"/>
      <c r="M55" s="77"/>
      <c r="N55" s="77"/>
      <c r="O55" s="77"/>
      <c r="P55" s="77"/>
      <c r="Q55" s="77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  <c r="AC55" s="8"/>
      <c r="AD55" s="771"/>
      <c r="AE55" s="771"/>
      <c r="AF55" s="771"/>
      <c r="AG55" s="771"/>
      <c r="AH55" s="771"/>
      <c r="AI55" s="771"/>
      <c r="AJ55" s="771"/>
      <c r="AK55" s="771"/>
      <c r="AL55" s="771"/>
      <c r="AM55" s="771"/>
      <c r="AN55" s="771"/>
      <c r="AO55" s="771"/>
      <c r="AP55" s="771"/>
      <c r="AQ55" s="771"/>
      <c r="AR55" s="771"/>
      <c r="AS55" s="771"/>
      <c r="AT55" s="771"/>
      <c r="AU55" s="771"/>
      <c r="AV55" s="771"/>
      <c r="AW55" s="771"/>
    </row>
    <row r="56" spans="1:49" s="1581" customFormat="1" ht="8.1" customHeight="1" thickBot="1" x14ac:dyDescent="0.25">
      <c r="A56" s="8"/>
      <c r="B56" s="8"/>
      <c r="C56" s="8"/>
      <c r="D56" s="8"/>
      <c r="E56" s="1583"/>
      <c r="F56" s="8"/>
      <c r="G56" s="37"/>
      <c r="H56" s="61"/>
      <c r="I56" s="8"/>
      <c r="J56" s="8"/>
      <c r="K56" s="8"/>
      <c r="L56" s="8"/>
      <c r="M56" s="8"/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  <c r="AA56" s="8"/>
      <c r="AB56" s="8"/>
      <c r="AC56" s="8"/>
      <c r="AD56" s="771"/>
      <c r="AE56" s="771"/>
      <c r="AF56" s="771"/>
      <c r="AG56" s="771"/>
      <c r="AH56" s="771"/>
      <c r="AI56" s="771"/>
      <c r="AJ56" s="771"/>
      <c r="AK56" s="771"/>
      <c r="AL56" s="771"/>
      <c r="AM56" s="771"/>
      <c r="AN56" s="771"/>
      <c r="AO56" s="771"/>
      <c r="AP56" s="771"/>
      <c r="AQ56" s="771"/>
      <c r="AR56" s="771"/>
      <c r="AS56" s="771"/>
      <c r="AT56" s="771"/>
      <c r="AU56" s="771"/>
      <c r="AV56" s="771"/>
      <c r="AW56" s="771"/>
    </row>
    <row r="57" spans="1:49" ht="20.25" x14ac:dyDescent="0.2">
      <c r="B57" s="2289" t="s">
        <v>3459</v>
      </c>
      <c r="C57" s="2239"/>
      <c r="D57" s="2239"/>
      <c r="E57" s="2239"/>
      <c r="F57" s="2239"/>
      <c r="G57" s="2239"/>
      <c r="H57" s="465"/>
    </row>
    <row r="58" spans="1:49" ht="21" thickBot="1" x14ac:dyDescent="0.25">
      <c r="A58" s="2283" t="s">
        <v>1382</v>
      </c>
      <c r="B58" s="2240"/>
      <c r="C58" s="2241"/>
      <c r="D58" s="2241"/>
      <c r="E58" s="2241"/>
      <c r="F58" s="2241"/>
      <c r="G58" s="2241"/>
      <c r="H58" s="467"/>
      <c r="O58" s="77" t="s">
        <v>5066</v>
      </c>
    </row>
    <row r="59" spans="1:49" ht="13.5" thickBot="1" x14ac:dyDescent="0.25">
      <c r="A59" s="2283"/>
      <c r="B59" s="433"/>
      <c r="C59" s="28"/>
      <c r="D59" s="1647" t="s">
        <v>5062</v>
      </c>
      <c r="E59" s="1141"/>
      <c r="F59" s="341"/>
      <c r="G59" s="484" t="s">
        <v>144</v>
      </c>
      <c r="H59" s="485"/>
    </row>
    <row r="60" spans="1:49" ht="15.75" customHeight="1" thickBot="1" x14ac:dyDescent="0.25">
      <c r="A60" s="2290" t="s">
        <v>7165</v>
      </c>
      <c r="B60" s="1142" t="s">
        <v>277</v>
      </c>
      <c r="C60" s="1646">
        <v>29</v>
      </c>
      <c r="D60" s="1645" t="s">
        <v>263</v>
      </c>
      <c r="E60" s="69"/>
      <c r="F60" s="73"/>
      <c r="G60" s="115"/>
      <c r="H60" s="1312" t="str">
        <f>IF(СОДЕРЖАНИЕ!P2=1,"EUR","RUB")</f>
        <v>RUB</v>
      </c>
      <c r="J60" s="205" t="s">
        <v>1401</v>
      </c>
      <c r="O60" s="77" t="s">
        <v>5062</v>
      </c>
      <c r="P60" s="77" t="s">
        <v>5063</v>
      </c>
    </row>
    <row r="61" spans="1:49" ht="12.75" customHeight="1" x14ac:dyDescent="0.2">
      <c r="A61" s="2290"/>
      <c r="B61" s="2295"/>
      <c r="C61" s="1031" t="str">
        <f>VLOOKUP(C60,J61:K64,2,FALSE)</f>
        <v>9390342/</v>
      </c>
      <c r="D61" s="71" t="str">
        <f t="shared" ref="D61:D66" si="9">VLOOKUP(C61,всецены,2,FALSE)</f>
        <v xml:space="preserve">AVS HK, Cиловой мех-м 20K2901.05, NEW   </v>
      </c>
      <c r="E61" s="1313">
        <v>2</v>
      </c>
      <c r="F61" s="1314">
        <f t="shared" ref="F61:F66" si="10">VLOOKUP(C61,всецены,4,FALSE)</f>
        <v>1933.0058747999999</v>
      </c>
      <c r="G61" s="1315">
        <f t="shared" ref="G61:G66" si="11">F61*E61</f>
        <v>3866.0117495999998</v>
      </c>
      <c r="H61" s="2286">
        <f>SUM(G61:G66)</f>
        <v>4311.6521447999985</v>
      </c>
      <c r="J61" s="77">
        <v>23</v>
      </c>
      <c r="K61" s="77" t="s">
        <v>1035</v>
      </c>
      <c r="O61" s="77" t="s">
        <v>346</v>
      </c>
      <c r="P61" s="77" t="s">
        <v>347</v>
      </c>
    </row>
    <row r="62" spans="1:49" ht="12.75" customHeight="1" x14ac:dyDescent="0.2">
      <c r="A62" s="2290"/>
      <c r="B62" s="2024"/>
      <c r="C62" s="2" t="str">
        <f>IF($D$59=$O$60,O61,P61)</f>
        <v>9383582/</v>
      </c>
      <c r="D62" s="1316" t="str">
        <f t="shared" si="9"/>
        <v xml:space="preserve">AVS HK, Загл. осн. бел. лев. 20K8001.02 </v>
      </c>
      <c r="E62" s="1313">
        <v>1</v>
      </c>
      <c r="F62" s="1314">
        <f t="shared" si="10"/>
        <v>130.11398400000002</v>
      </c>
      <c r="G62" s="1315">
        <f t="shared" si="11"/>
        <v>130.11398400000002</v>
      </c>
      <c r="H62" s="2286"/>
      <c r="J62" s="77">
        <v>25</v>
      </c>
      <c r="K62" s="77" t="s">
        <v>350</v>
      </c>
      <c r="O62" s="77" t="s">
        <v>348</v>
      </c>
      <c r="P62" s="77" t="s">
        <v>349</v>
      </c>
    </row>
    <row r="63" spans="1:49" ht="12.75" customHeight="1" x14ac:dyDescent="0.2">
      <c r="A63" s="2290"/>
      <c r="B63" s="2024"/>
      <c r="C63" s="2" t="str">
        <f>IF($D$59=$O$60,O62,P62)</f>
        <v>9383652/</v>
      </c>
      <c r="D63" s="1316" t="str">
        <f t="shared" si="9"/>
        <v>AVS HK, Загл. осн. бел. прав. 20K8001.02</v>
      </c>
      <c r="E63" s="1313">
        <v>1</v>
      </c>
      <c r="F63" s="1314">
        <f t="shared" si="10"/>
        <v>130.11398400000002</v>
      </c>
      <c r="G63" s="1315">
        <f t="shared" si="11"/>
        <v>130.11398400000002</v>
      </c>
      <c r="H63" s="2286"/>
      <c r="J63" s="77">
        <v>27</v>
      </c>
      <c r="K63" s="77" t="s">
        <v>2101</v>
      </c>
    </row>
    <row r="64" spans="1:49" ht="12.75" customHeight="1" x14ac:dyDescent="0.2">
      <c r="A64" s="2290"/>
      <c r="B64" s="2024"/>
      <c r="C64" s="1316" t="s">
        <v>1307</v>
      </c>
      <c r="D64" s="1316" t="str">
        <f t="shared" si="9"/>
        <v xml:space="preserve">AVS HK, Загл. с лого, лев 20K9001.BL    </v>
      </c>
      <c r="E64" s="1313">
        <v>1</v>
      </c>
      <c r="F64" s="1314">
        <f t="shared" si="10"/>
        <v>14.637823200000001</v>
      </c>
      <c r="G64" s="1315">
        <f t="shared" si="11"/>
        <v>14.637823200000001</v>
      </c>
      <c r="H64" s="2286"/>
      <c r="J64" s="77">
        <v>29</v>
      </c>
      <c r="K64" s="77" t="s">
        <v>2100</v>
      </c>
    </row>
    <row r="65" spans="1:49" s="1366" customFormat="1" ht="12.75" customHeight="1" x14ac:dyDescent="0.2">
      <c r="A65" s="2290"/>
      <c r="B65" s="2024"/>
      <c r="C65" s="1352" t="s">
        <v>1308</v>
      </c>
      <c r="D65" s="1316" t="str">
        <f t="shared" si="9"/>
        <v xml:space="preserve">AVS HK, Загл. с лого, прав 20K9001.BL   </v>
      </c>
      <c r="E65" s="1313">
        <v>1</v>
      </c>
      <c r="F65" s="1314">
        <f t="shared" si="10"/>
        <v>14.637823200000001</v>
      </c>
      <c r="G65" s="1315">
        <f t="shared" si="11"/>
        <v>14.637823200000001</v>
      </c>
      <c r="H65" s="2287"/>
      <c r="I65" s="8"/>
      <c r="J65" s="77"/>
      <c r="K65" s="77"/>
      <c r="L65" s="77"/>
      <c r="M65" s="77"/>
      <c r="N65" s="77"/>
      <c r="O65" s="77"/>
      <c r="P65" s="77"/>
      <c r="Q65" s="77"/>
      <c r="R65" s="8"/>
      <c r="S65" s="8"/>
      <c r="T65" s="8"/>
      <c r="U65" s="8"/>
      <c r="V65" s="8"/>
      <c r="W65" s="8"/>
      <c r="X65" s="8"/>
      <c r="Y65" s="8"/>
      <c r="Z65" s="8"/>
      <c r="AA65" s="8"/>
      <c r="AB65" s="8"/>
      <c r="AC65" s="8"/>
      <c r="AD65" s="771"/>
      <c r="AE65" s="771"/>
      <c r="AF65" s="771"/>
      <c r="AG65" s="771"/>
      <c r="AH65" s="771"/>
      <c r="AI65" s="771"/>
      <c r="AJ65" s="771"/>
      <c r="AK65" s="771"/>
      <c r="AL65" s="771"/>
      <c r="AM65" s="771"/>
      <c r="AN65" s="771"/>
      <c r="AO65" s="771"/>
      <c r="AP65" s="771"/>
      <c r="AQ65" s="771"/>
      <c r="AR65" s="771"/>
      <c r="AS65" s="771"/>
      <c r="AT65" s="771"/>
      <c r="AU65" s="771"/>
      <c r="AV65" s="771"/>
      <c r="AW65" s="771"/>
    </row>
    <row r="66" spans="1:49" ht="12.75" customHeight="1" thickBot="1" x14ac:dyDescent="0.25">
      <c r="A66" s="2290"/>
      <c r="B66" s="2025"/>
      <c r="C66" s="1317" t="str">
        <f>VLOOKUP(D60,J9:K10,2,FALSE)</f>
        <v>7259956/</v>
      </c>
      <c r="D66" s="1317" t="str">
        <f t="shared" si="9"/>
        <v xml:space="preserve">AVS HS, HK, HL, Крепл фас, симм 20S4201 </v>
      </c>
      <c r="E66" s="1318">
        <f>VLOOKUP(D60,J9:L10,3,FALSE)</f>
        <v>2</v>
      </c>
      <c r="F66" s="1319">
        <f t="shared" si="10"/>
        <v>78.068390399999998</v>
      </c>
      <c r="G66" s="1320">
        <f t="shared" si="11"/>
        <v>156.1367808</v>
      </c>
      <c r="H66" s="2288"/>
    </row>
    <row r="67" spans="1:49" ht="8.1" customHeight="1" thickBot="1" x14ac:dyDescent="0.25">
      <c r="A67" s="2291" t="s">
        <v>1383</v>
      </c>
      <c r="B67" s="916"/>
      <c r="C67" s="916"/>
      <c r="D67" s="916"/>
      <c r="E67" s="1144"/>
      <c r="F67" s="916"/>
      <c r="G67" s="1145"/>
      <c r="H67" s="42"/>
      <c r="J67" s="8"/>
      <c r="K67" s="8"/>
      <c r="L67" s="8"/>
      <c r="M67" s="8"/>
      <c r="N67" s="8"/>
      <c r="O67" s="8"/>
      <c r="P67" s="8"/>
      <c r="Q67" s="8"/>
    </row>
    <row r="68" spans="1:49" ht="20.25" x14ac:dyDescent="0.2">
      <c r="A68" s="2292"/>
      <c r="B68" s="2289" t="s">
        <v>3463</v>
      </c>
      <c r="C68" s="2239"/>
      <c r="D68" s="2239"/>
      <c r="E68" s="2239"/>
      <c r="F68" s="2239"/>
      <c r="G68" s="2239"/>
      <c r="H68" s="465"/>
    </row>
    <row r="69" spans="1:49" ht="21" thickBot="1" x14ac:dyDescent="0.25">
      <c r="A69" s="17"/>
      <c r="B69" s="2240"/>
      <c r="C69" s="2241"/>
      <c r="D69" s="2241"/>
      <c r="E69" s="2241"/>
      <c r="F69" s="2241"/>
      <c r="G69" s="2241"/>
      <c r="H69" s="467"/>
    </row>
    <row r="70" spans="1:49" ht="15.75" customHeight="1" thickBot="1" x14ac:dyDescent="0.25">
      <c r="A70" s="17"/>
      <c r="B70" s="433"/>
      <c r="C70" s="28"/>
      <c r="D70" s="1647" t="s">
        <v>5063</v>
      </c>
      <c r="E70" s="32"/>
      <c r="F70" s="341"/>
      <c r="G70" s="484" t="s">
        <v>144</v>
      </c>
      <c r="H70" s="485"/>
    </row>
    <row r="71" spans="1:49" ht="15.75" thickBot="1" x14ac:dyDescent="0.25">
      <c r="A71" s="2283" t="s">
        <v>1382</v>
      </c>
      <c r="B71" s="410" t="s">
        <v>277</v>
      </c>
      <c r="C71" s="1646">
        <v>29</v>
      </c>
      <c r="D71" s="1645" t="s">
        <v>263</v>
      </c>
      <c r="E71" s="69"/>
      <c r="F71" s="73"/>
      <c r="G71" s="115"/>
      <c r="H71" s="486" t="str">
        <f>IF(СОДЕРЖАНИЕ!P2=1,"EUR","RUB")</f>
        <v>RUB</v>
      </c>
    </row>
    <row r="72" spans="1:49" x14ac:dyDescent="0.2">
      <c r="A72" s="2283"/>
      <c r="B72" s="2028"/>
      <c r="C72" s="71" t="str">
        <f>VLOOKUP(C71,J72:K75,2,FALSE)</f>
        <v>9391572/</v>
      </c>
      <c r="D72" s="71" t="str">
        <f t="shared" ref="D72:D79" si="12">VLOOKUP(C72,всецены,2,FALSE)</f>
        <v xml:space="preserve">AVS HK TIP-ON, Cиловой мех-м  20K2901T  </v>
      </c>
      <c r="E72" s="3">
        <v>2</v>
      </c>
      <c r="F72" s="63">
        <f t="shared" ref="F72:F79" si="13">VLOOKUP(C72,всецены,4,FALSE)</f>
        <v>2227.3887636000004</v>
      </c>
      <c r="G72" s="343">
        <f t="shared" ref="G72:G79" si="14">F72*E72</f>
        <v>4454.7775272000008</v>
      </c>
      <c r="H72" s="2207">
        <f>SUM(G72:G79)</f>
        <v>5051.6754288000011</v>
      </c>
      <c r="J72" s="77">
        <v>23</v>
      </c>
      <c r="K72" s="13" t="s">
        <v>720</v>
      </c>
      <c r="L72" s="13"/>
      <c r="M72" s="13"/>
      <c r="N72" s="13"/>
      <c r="O72" s="13"/>
      <c r="P72" s="13"/>
      <c r="Q72" s="13"/>
    </row>
    <row r="73" spans="1:49" x14ac:dyDescent="0.2">
      <c r="A73" s="2290" t="s">
        <v>7165</v>
      </c>
      <c r="B73" s="2024"/>
      <c r="C73" s="2" t="str">
        <f>IF($D$70=$O$60,O61,P61)</f>
        <v>9383588/</v>
      </c>
      <c r="D73" s="2" t="str">
        <f t="shared" si="12"/>
        <v xml:space="preserve">AVS HK, Загл. осн. сер. лев. 20K8001.02 </v>
      </c>
      <c r="E73" s="3">
        <v>1</v>
      </c>
      <c r="F73" s="63">
        <f t="shared" si="13"/>
        <v>107.34403680000001</v>
      </c>
      <c r="G73" s="343">
        <f t="shared" si="14"/>
        <v>107.34403680000001</v>
      </c>
      <c r="H73" s="2208"/>
      <c r="J73" s="77">
        <v>25</v>
      </c>
      <c r="K73" s="209" t="s">
        <v>721</v>
      </c>
      <c r="L73" s="209"/>
      <c r="M73" s="209"/>
      <c r="N73" s="209"/>
      <c r="O73" s="209"/>
      <c r="P73" s="209"/>
      <c r="Q73" s="209"/>
    </row>
    <row r="74" spans="1:49" x14ac:dyDescent="0.2">
      <c r="A74" s="2290"/>
      <c r="B74" s="2024"/>
      <c r="C74" s="2" t="str">
        <f>IF($D$70=$O$60,O62,P62)</f>
        <v>9383658/</v>
      </c>
      <c r="D74" s="2" t="str">
        <f t="shared" si="12"/>
        <v>AVS HK, Загл. осн. сер. прав. 20K8001.02</v>
      </c>
      <c r="E74" s="3">
        <v>1</v>
      </c>
      <c r="F74" s="63">
        <f t="shared" si="13"/>
        <v>107.34403680000001</v>
      </c>
      <c r="G74" s="343">
        <f t="shared" si="14"/>
        <v>107.34403680000001</v>
      </c>
      <c r="H74" s="2208"/>
      <c r="J74" s="77">
        <v>27</v>
      </c>
      <c r="K74" s="13" t="s">
        <v>204</v>
      </c>
      <c r="L74" s="13"/>
      <c r="M74" s="13"/>
      <c r="N74" s="13"/>
      <c r="O74" s="13"/>
      <c r="P74" s="13"/>
      <c r="Q74" s="13"/>
    </row>
    <row r="75" spans="1:49" x14ac:dyDescent="0.2">
      <c r="A75" s="2290"/>
      <c r="B75" s="2024"/>
      <c r="C75" s="2" t="s">
        <v>1307</v>
      </c>
      <c r="D75" s="2" t="str">
        <f t="shared" si="12"/>
        <v xml:space="preserve">AVS HK, Загл. с лого, лев 20K9001.BL    </v>
      </c>
      <c r="E75" s="3">
        <v>1</v>
      </c>
      <c r="F75" s="63">
        <f t="shared" si="13"/>
        <v>14.637823200000001</v>
      </c>
      <c r="G75" s="343">
        <f t="shared" si="14"/>
        <v>14.637823200000001</v>
      </c>
      <c r="H75" s="2208"/>
      <c r="J75" s="77">
        <v>29</v>
      </c>
      <c r="K75" s="13" t="s">
        <v>205</v>
      </c>
      <c r="L75" s="13"/>
      <c r="M75" s="13"/>
      <c r="N75" s="13"/>
      <c r="O75" s="13"/>
      <c r="P75" s="13"/>
      <c r="Q75" s="13"/>
    </row>
    <row r="76" spans="1:49" s="1366" customFormat="1" x14ac:dyDescent="0.2">
      <c r="A76" s="2290"/>
      <c r="B76" s="2024"/>
      <c r="C76" s="1335" t="s">
        <v>1308</v>
      </c>
      <c r="D76" s="2" t="str">
        <f>VLOOKUP(C76,всецены,2,FALSE)</f>
        <v xml:space="preserve">AVS HK, Загл. с лого, прав 20K9001.BL   </v>
      </c>
      <c r="E76" s="3">
        <v>1</v>
      </c>
      <c r="F76" s="63">
        <f>VLOOKUP(C76,всецены,4,FALSE)</f>
        <v>14.637823200000001</v>
      </c>
      <c r="G76" s="343">
        <f>F76*E76</f>
        <v>14.637823200000001</v>
      </c>
      <c r="H76" s="2208"/>
      <c r="I76" s="8"/>
      <c r="J76" s="77"/>
      <c r="K76" s="13"/>
      <c r="L76" s="13"/>
      <c r="M76" s="13"/>
      <c r="N76" s="13"/>
      <c r="O76" s="13"/>
      <c r="P76" s="13"/>
      <c r="Q76" s="13"/>
      <c r="R76" s="8"/>
      <c r="S76" s="8"/>
      <c r="T76" s="8"/>
      <c r="U76" s="8"/>
      <c r="V76" s="8"/>
      <c r="W76" s="8"/>
      <c r="X76" s="8"/>
      <c r="Y76" s="8"/>
      <c r="Z76" s="8"/>
      <c r="AA76" s="8"/>
      <c r="AB76" s="8"/>
      <c r="AC76" s="8"/>
      <c r="AD76" s="771"/>
      <c r="AE76" s="771"/>
      <c r="AF76" s="771"/>
      <c r="AG76" s="771"/>
      <c r="AH76" s="771"/>
      <c r="AI76" s="771"/>
      <c r="AJ76" s="771"/>
      <c r="AK76" s="771"/>
      <c r="AL76" s="771"/>
      <c r="AM76" s="771"/>
      <c r="AN76" s="771"/>
      <c r="AO76" s="771"/>
      <c r="AP76" s="771"/>
      <c r="AQ76" s="771"/>
      <c r="AR76" s="771"/>
      <c r="AS76" s="771"/>
      <c r="AT76" s="771"/>
      <c r="AU76" s="771"/>
      <c r="AV76" s="771"/>
      <c r="AW76" s="771"/>
    </row>
    <row r="77" spans="1:49" x14ac:dyDescent="0.2">
      <c r="A77" s="2290"/>
      <c r="B77" s="2024"/>
      <c r="C77" s="2" t="str">
        <f>VLOOKUP(D71,J9:K10,2,FALSE)</f>
        <v>7259956/</v>
      </c>
      <c r="D77" s="2" t="str">
        <f t="shared" si="12"/>
        <v xml:space="preserve">AVS HS, HK, HL, Крепл фас, симм 20S4201 </v>
      </c>
      <c r="E77" s="3">
        <f>VLOOKUP(D71,J9:L10,3,FALSE)</f>
        <v>2</v>
      </c>
      <c r="F77" s="63">
        <f t="shared" si="13"/>
        <v>78.068390399999998</v>
      </c>
      <c r="G77" s="343">
        <f t="shared" si="14"/>
        <v>156.1367808</v>
      </c>
      <c r="H77" s="2208"/>
    </row>
    <row r="78" spans="1:49" x14ac:dyDescent="0.2">
      <c r="A78" s="2290"/>
      <c r="B78" s="2024"/>
      <c r="C78" s="2" t="str">
        <f>IF($D$70=$O$60,N102,O102)</f>
        <v>5315954/</v>
      </c>
      <c r="D78" s="2" t="str">
        <f t="shared" si="12"/>
        <v xml:space="preserve">Tip-on, коротк, сер, 956.1002           </v>
      </c>
      <c r="E78" s="3">
        <v>1</v>
      </c>
      <c r="F78" s="63">
        <f t="shared" si="13"/>
        <v>190.29170160000001</v>
      </c>
      <c r="G78" s="343">
        <f t="shared" si="14"/>
        <v>190.29170160000001</v>
      </c>
      <c r="H78" s="2208"/>
    </row>
    <row r="79" spans="1:49" x14ac:dyDescent="0.2">
      <c r="A79" s="2290"/>
      <c r="B79" s="2197"/>
      <c r="C79" s="2" t="s">
        <v>411</v>
      </c>
      <c r="D79" s="2" t="str">
        <f t="shared" si="12"/>
        <v>TIP-ON, планка п/шур (609.1500)955.1008S</v>
      </c>
      <c r="E79" s="3">
        <v>1</v>
      </c>
      <c r="F79" s="63">
        <f t="shared" si="13"/>
        <v>6.5056992000000005</v>
      </c>
      <c r="G79" s="343">
        <f t="shared" si="14"/>
        <v>6.5056992000000005</v>
      </c>
      <c r="H79" s="2209"/>
    </row>
    <row r="80" spans="1:49" ht="15" customHeight="1" x14ac:dyDescent="0.2">
      <c r="A80" s="2291" t="s">
        <v>1383</v>
      </c>
      <c r="B80" s="2293" t="s">
        <v>1946</v>
      </c>
      <c r="C80" s="2294"/>
      <c r="D80" s="2294"/>
      <c r="E80" s="2294"/>
      <c r="F80" s="2294"/>
      <c r="G80" s="2294"/>
      <c r="H80" s="485"/>
    </row>
    <row r="81" spans="1:49" x14ac:dyDescent="0.2">
      <c r="A81" s="2292"/>
      <c r="B81" s="2024"/>
      <c r="C81" s="2" t="s">
        <v>2208</v>
      </c>
      <c r="D81" s="2" t="str">
        <f>VLOOKUP(C81,всецены,2,FALSE)</f>
        <v xml:space="preserve">AVS HK, Ограничитель открывания 100 гр  </v>
      </c>
      <c r="E81" s="3">
        <v>1</v>
      </c>
      <c r="F81" s="63">
        <f>VLOOKUP(C81,всецены,4,FALSE)</f>
        <v>32.528496000000004</v>
      </c>
      <c r="G81" s="343">
        <f>F81*E81</f>
        <v>32.528496000000004</v>
      </c>
      <c r="H81" s="493">
        <f>G81</f>
        <v>32.528496000000004</v>
      </c>
    </row>
    <row r="82" spans="1:49" ht="13.5" thickBot="1" x14ac:dyDescent="0.25">
      <c r="A82" s="17"/>
      <c r="B82" s="2025"/>
      <c r="C82" s="353" t="s">
        <v>2209</v>
      </c>
      <c r="D82" s="353" t="str">
        <f>VLOOKUP(C82,всецены,2,FALSE)</f>
        <v xml:space="preserve">AVS HK, Ограничитель открывания 75 гр   </v>
      </c>
      <c r="E82" s="355">
        <v>1</v>
      </c>
      <c r="F82" s="435">
        <f>VLOOKUP(C82,всецены,4,FALSE)</f>
        <v>32.528496000000004</v>
      </c>
      <c r="G82" s="487">
        <f>F82*E82</f>
        <v>32.528496000000004</v>
      </c>
      <c r="H82" s="492">
        <f>G82</f>
        <v>32.528496000000004</v>
      </c>
    </row>
    <row r="83" spans="1:49" ht="15" customHeight="1" x14ac:dyDescent="0.2">
      <c r="A83" s="17"/>
      <c r="B83" s="2284" t="s">
        <v>7162</v>
      </c>
      <c r="C83" s="2284"/>
      <c r="D83" s="2284"/>
      <c r="E83" s="2284"/>
      <c r="F83" s="2284"/>
      <c r="G83" s="2284"/>
      <c r="H83" s="61"/>
    </row>
    <row r="84" spans="1:49" ht="8.1" customHeight="1" thickBot="1" x14ac:dyDescent="0.25">
      <c r="B84" s="8"/>
      <c r="C84" s="8"/>
      <c r="D84" s="8"/>
      <c r="E84" s="53"/>
      <c r="F84" s="8"/>
      <c r="G84" s="37"/>
      <c r="H84" s="61"/>
    </row>
    <row r="85" spans="1:49" ht="20.100000000000001" customHeight="1" x14ac:dyDescent="0.2">
      <c r="B85" s="2238" t="s">
        <v>3460</v>
      </c>
      <c r="C85" s="2239"/>
      <c r="D85" s="2239"/>
      <c r="E85" s="2239"/>
      <c r="F85" s="2239"/>
      <c r="G85" s="2239"/>
      <c r="H85" s="2253"/>
    </row>
    <row r="86" spans="1:49" ht="20.100000000000001" customHeight="1" x14ac:dyDescent="0.2">
      <c r="A86" s="2283" t="s">
        <v>1382</v>
      </c>
      <c r="B86" s="2240"/>
      <c r="C86" s="2241"/>
      <c r="D86" s="2241"/>
      <c r="E86" s="2241"/>
      <c r="F86" s="2241"/>
      <c r="G86" s="2241"/>
      <c r="H86" s="2254"/>
    </row>
    <row r="87" spans="1:49" ht="12.75" customHeight="1" thickBot="1" x14ac:dyDescent="0.25">
      <c r="A87" s="2283"/>
      <c r="B87" s="433"/>
      <c r="C87" s="28"/>
      <c r="D87" s="28"/>
      <c r="E87" s="28"/>
      <c r="F87" s="341"/>
      <c r="G87" s="484" t="s">
        <v>3453</v>
      </c>
      <c r="H87" s="485"/>
    </row>
    <row r="88" spans="1:49" s="1581" customFormat="1" ht="15.75" customHeight="1" thickBot="1" x14ac:dyDescent="0.35">
      <c r="A88" s="1587"/>
      <c r="B88" s="1585"/>
      <c r="C88" s="28"/>
      <c r="D88" s="1645" t="s">
        <v>5063</v>
      </c>
      <c r="E88" s="28"/>
      <c r="F88" s="341"/>
      <c r="G88" s="484"/>
      <c r="H88" s="485"/>
      <c r="I88" s="8"/>
      <c r="J88" s="77"/>
      <c r="K88" s="77"/>
      <c r="L88" s="77"/>
      <c r="M88" s="77"/>
      <c r="N88" s="77"/>
      <c r="O88" s="77"/>
      <c r="P88" s="77"/>
      <c r="Q88" s="77"/>
      <c r="R88" s="8"/>
      <c r="S88" s="8"/>
      <c r="T88" s="8"/>
      <c r="U88" s="8"/>
      <c r="V88" s="8"/>
      <c r="W88" s="8"/>
      <c r="X88" s="8"/>
      <c r="Y88" s="8"/>
      <c r="Z88" s="8"/>
      <c r="AA88" s="8"/>
      <c r="AB88" s="8"/>
      <c r="AC88" s="8"/>
      <c r="AD88" s="771"/>
      <c r="AE88" s="771"/>
      <c r="AF88" s="771"/>
      <c r="AG88" s="771"/>
      <c r="AH88" s="771"/>
      <c r="AI88" s="771"/>
      <c r="AJ88" s="771"/>
      <c r="AK88" s="771"/>
      <c r="AL88" s="771"/>
      <c r="AM88" s="771"/>
      <c r="AN88" s="771"/>
      <c r="AO88" s="771"/>
      <c r="AP88" s="771"/>
      <c r="AQ88" s="771"/>
      <c r="AR88" s="771"/>
      <c r="AS88" s="771"/>
      <c r="AT88" s="771"/>
      <c r="AU88" s="771"/>
      <c r="AV88" s="771"/>
      <c r="AW88" s="771"/>
    </row>
    <row r="89" spans="1:49" ht="15.75" thickBot="1" x14ac:dyDescent="0.25">
      <c r="A89" s="2278" t="s">
        <v>7224</v>
      </c>
      <c r="B89" s="1585" t="s">
        <v>277</v>
      </c>
      <c r="C89" s="1646" t="s">
        <v>5067</v>
      </c>
      <c r="D89" s="1645" t="s">
        <v>263</v>
      </c>
      <c r="E89" s="664"/>
      <c r="F89" s="664"/>
      <c r="G89" s="664"/>
      <c r="H89" s="485"/>
    </row>
    <row r="90" spans="1:49" ht="12.75" customHeight="1" x14ac:dyDescent="0.2">
      <c r="A90" s="2278"/>
      <c r="B90" s="2028"/>
      <c r="C90" s="665" t="s">
        <v>1301</v>
      </c>
      <c r="D90" s="671" t="s">
        <v>98</v>
      </c>
      <c r="E90" s="666" t="s">
        <v>785</v>
      </c>
      <c r="F90" s="667"/>
      <c r="G90" s="668"/>
      <c r="H90" s="486" t="str">
        <f>IF(СОДЕРЖАНИЕ!P2=1,"EUR","RUB")</f>
        <v>RUB</v>
      </c>
      <c r="N90" s="77" t="s">
        <v>5062</v>
      </c>
      <c r="O90" s="77" t="s">
        <v>5063</v>
      </c>
    </row>
    <row r="91" spans="1:49" ht="12.75" customHeight="1" x14ac:dyDescent="0.2">
      <c r="A91" s="2278"/>
      <c r="B91" s="2024"/>
      <c r="C91" s="2" t="str">
        <f>IF(C89=J91,K91,K92)</f>
        <v>7924571/</v>
      </c>
      <c r="D91" s="2" t="str">
        <f>VLOOKUP(C91,всецены,2,FALSE)</f>
        <v xml:space="preserve">AVS HK-S, Cиловой мех-м 20K2E01.02      </v>
      </c>
      <c r="E91" s="3">
        <v>2</v>
      </c>
      <c r="F91" s="63">
        <f>VLOOKUP(C91,всецены,4,FALSE)</f>
        <v>618.8546364</v>
      </c>
      <c r="G91" s="343">
        <f>F91*E91</f>
        <v>1237.7092728</v>
      </c>
      <c r="H91" s="2210">
        <f>SUM(G91:G95)</f>
        <v>1473.5408688000002</v>
      </c>
      <c r="J91" s="205" t="s">
        <v>2355</v>
      </c>
      <c r="K91" s="77" t="s">
        <v>2612</v>
      </c>
      <c r="N91" s="77" t="s">
        <v>394</v>
      </c>
      <c r="O91" s="77" t="s">
        <v>396</v>
      </c>
      <c r="R91" s="2281"/>
      <c r="S91" s="2281"/>
      <c r="T91" s="1331"/>
    </row>
    <row r="92" spans="1:49" ht="12.75" customHeight="1" x14ac:dyDescent="0.2">
      <c r="A92" s="2278"/>
      <c r="B92" s="2024"/>
      <c r="C92" s="2" t="str">
        <f>IF(D89=J10,M10,"1037431/")</f>
        <v>1037431/</v>
      </c>
      <c r="D92" s="2" t="str">
        <f>VLOOKUP(C92,всецены,2,FALSE)</f>
        <v>AVS HF-HKS, Прям планка п/шуруп 175H3100</v>
      </c>
      <c r="E92" s="3">
        <f>IF(D89="Глухой фасад",2,1)</f>
        <v>2</v>
      </c>
      <c r="F92" s="63">
        <f>VLOOKUP(C92,всецены,4,FALSE)</f>
        <v>32.528496000000004</v>
      </c>
      <c r="G92" s="343">
        <f>F92*E92</f>
        <v>65.056992000000008</v>
      </c>
      <c r="H92" s="2210"/>
      <c r="J92" s="205" t="s">
        <v>5067</v>
      </c>
      <c r="K92" s="77" t="s">
        <v>2628</v>
      </c>
      <c r="N92" s="77" t="s">
        <v>395</v>
      </c>
      <c r="O92" s="77" t="s">
        <v>1801</v>
      </c>
      <c r="R92" s="943"/>
      <c r="S92" s="1332"/>
      <c r="T92" s="1331"/>
    </row>
    <row r="93" spans="1:49" ht="12.75" customHeight="1" x14ac:dyDescent="0.2">
      <c r="A93" s="2278"/>
      <c r="B93" s="2024"/>
      <c r="C93" s="2" t="str">
        <f>IF(D89=J10,M11,"")</f>
        <v/>
      </c>
      <c r="D93" s="2" t="str">
        <f>IF(C93="","",VLOOKUP(C93,всецены,2,FALSE))</f>
        <v/>
      </c>
      <c r="E93" s="3" t="str">
        <f>IF(D89="Глухой фасад","",1)</f>
        <v/>
      </c>
      <c r="F93" s="63">
        <f>IF(C93="",0,VLOOKUP(C93,всецены,4,FALSE))</f>
        <v>0</v>
      </c>
      <c r="G93" s="343" t="str">
        <f>IF(C93="","",F93*E93)</f>
        <v/>
      </c>
      <c r="H93" s="2210"/>
      <c r="R93" s="943"/>
      <c r="S93" s="1332"/>
      <c r="T93" s="1331"/>
    </row>
    <row r="94" spans="1:49" ht="12.75" customHeight="1" x14ac:dyDescent="0.2">
      <c r="A94" s="2278"/>
      <c r="B94" s="2024"/>
      <c r="C94" s="2" t="str">
        <f>IF($D$88=$N$90,N91,O91)</f>
        <v>8671608/</v>
      </c>
      <c r="D94" s="2" t="str">
        <f>VLOOKUP(C94,всецены,2,FALSE)</f>
        <v xml:space="preserve">AVS HK-S, Загл. осн. сер. лев. 20K8A01  </v>
      </c>
      <c r="E94" s="3">
        <v>1</v>
      </c>
      <c r="F94" s="63">
        <f>VLOOKUP(C94,всецены,4,FALSE)</f>
        <v>85.387302000000005</v>
      </c>
      <c r="G94" s="343">
        <f>F94*E94</f>
        <v>85.387302000000005</v>
      </c>
      <c r="H94" s="2210"/>
    </row>
    <row r="95" spans="1:49" ht="13.5" customHeight="1" thickBot="1" x14ac:dyDescent="0.25">
      <c r="A95" s="2278"/>
      <c r="B95" s="2025"/>
      <c r="C95" s="1467" t="str">
        <f>IF($D$88=$N$90,N92,O92)</f>
        <v>8671778/</v>
      </c>
      <c r="D95" s="1467" t="str">
        <f>VLOOKUP(C95,всецены,2,FALSE)</f>
        <v xml:space="preserve">AVS HK-S, Загл. осн. сер. прав. 20K8A01 </v>
      </c>
      <c r="E95" s="355">
        <v>1</v>
      </c>
      <c r="F95" s="435">
        <f>VLOOKUP(C95,всецены,4,FALSE)</f>
        <v>85.387302000000005</v>
      </c>
      <c r="G95" s="487">
        <f>F95*E95</f>
        <v>85.387302000000005</v>
      </c>
      <c r="H95" s="2288"/>
    </row>
    <row r="96" spans="1:49" ht="8.25" customHeight="1" thickBot="1" x14ac:dyDescent="0.25">
      <c r="A96" s="2279" t="s">
        <v>1383</v>
      </c>
      <c r="B96" s="916"/>
      <c r="C96" s="916"/>
      <c r="D96" s="916"/>
      <c r="E96" s="1144"/>
      <c r="F96" s="916"/>
      <c r="G96" s="1145"/>
      <c r="H96" s="59"/>
    </row>
    <row r="97" spans="1:49" ht="20.100000000000001" customHeight="1" x14ac:dyDescent="0.3">
      <c r="A97" s="2280"/>
      <c r="B97" s="2289" t="s">
        <v>3462</v>
      </c>
      <c r="C97" s="2239"/>
      <c r="D97" s="2239"/>
      <c r="E97" s="2239"/>
      <c r="F97" s="2239"/>
      <c r="G97" s="2239"/>
      <c r="H97" s="2253"/>
      <c r="S97" s="1030"/>
    </row>
    <row r="98" spans="1:49" ht="20.100000000000001" customHeight="1" x14ac:dyDescent="0.2">
      <c r="A98" s="17"/>
      <c r="B98" s="2240"/>
      <c r="C98" s="2241"/>
      <c r="D98" s="2241"/>
      <c r="E98" s="2241"/>
      <c r="F98" s="2241"/>
      <c r="G98" s="2241"/>
      <c r="H98" s="2254"/>
    </row>
    <row r="99" spans="1:49" ht="13.5" thickBot="1" x14ac:dyDescent="0.25">
      <c r="A99" s="2302" t="s">
        <v>1382</v>
      </c>
      <c r="B99" s="433"/>
      <c r="C99" s="28"/>
      <c r="D99" s="28"/>
      <c r="E99" s="28"/>
      <c r="F99" s="341"/>
      <c r="G99" s="484" t="s">
        <v>3453</v>
      </c>
      <c r="H99" s="485"/>
    </row>
    <row r="100" spans="1:49" s="1581" customFormat="1" ht="13.5" thickBot="1" x14ac:dyDescent="0.25">
      <c r="A100" s="2302"/>
      <c r="B100" s="1585"/>
      <c r="C100" s="28"/>
      <c r="D100" s="1645" t="s">
        <v>5063</v>
      </c>
      <c r="E100" s="28"/>
      <c r="F100" s="341"/>
      <c r="G100" s="484"/>
      <c r="H100" s="485"/>
      <c r="I100" s="8"/>
      <c r="J100" s="77"/>
      <c r="K100" s="77"/>
      <c r="L100" s="77"/>
      <c r="M100" s="77"/>
      <c r="N100" s="77"/>
      <c r="O100" s="77"/>
      <c r="P100" s="77"/>
      <c r="Q100" s="77"/>
      <c r="R100" s="8"/>
      <c r="S100" s="8"/>
      <c r="T100" s="8"/>
      <c r="U100" s="8"/>
      <c r="V100" s="8"/>
      <c r="W100" s="8"/>
      <c r="X100" s="8"/>
      <c r="Y100" s="8"/>
      <c r="Z100" s="8"/>
      <c r="AA100" s="8"/>
      <c r="AB100" s="8"/>
      <c r="AC100" s="8"/>
      <c r="AD100" s="771"/>
      <c r="AE100" s="771"/>
      <c r="AF100" s="771"/>
      <c r="AG100" s="771"/>
      <c r="AH100" s="771"/>
      <c r="AI100" s="771"/>
      <c r="AJ100" s="771"/>
      <c r="AK100" s="771"/>
      <c r="AL100" s="771"/>
      <c r="AM100" s="771"/>
      <c r="AN100" s="771"/>
      <c r="AO100" s="771"/>
      <c r="AP100" s="771"/>
      <c r="AQ100" s="771"/>
      <c r="AR100" s="771"/>
      <c r="AS100" s="771"/>
      <c r="AT100" s="771"/>
      <c r="AU100" s="771"/>
      <c r="AV100" s="771"/>
      <c r="AW100" s="771"/>
    </row>
    <row r="101" spans="1:49" ht="15.75" thickBot="1" x14ac:dyDescent="0.25">
      <c r="A101" s="2302"/>
      <c r="B101" s="440"/>
      <c r="C101" s="1646" t="s">
        <v>1344</v>
      </c>
      <c r="D101" s="1645" t="s">
        <v>263</v>
      </c>
      <c r="E101" s="664"/>
      <c r="F101" s="664"/>
      <c r="G101" s="664"/>
      <c r="H101" s="752" t="str">
        <f>IF(СОДЕРЖАНИЕ!P2=1,"EUR","RUB")</f>
        <v>RUB</v>
      </c>
      <c r="N101" s="77" t="s">
        <v>5068</v>
      </c>
    </row>
    <row r="102" spans="1:49" ht="12.75" customHeight="1" x14ac:dyDescent="0.2">
      <c r="A102" s="2304" t="s">
        <v>7224</v>
      </c>
      <c r="B102" s="2024"/>
      <c r="C102" s="2" t="str">
        <f>IF(C101=J102,K102,K103)</f>
        <v>1010789/</v>
      </c>
      <c r="D102" s="1316" t="str">
        <f>VLOOKUP(C102,всецены,2,FALSE)</f>
        <v xml:space="preserve">AVS HK-S Tip-on, Cиловой мех-м 20K2C01T </v>
      </c>
      <c r="E102" s="1313">
        <v>2</v>
      </c>
      <c r="F102" s="1314">
        <f>VLOOKUP(C102,всецены,4,FALSE)</f>
        <v>631.05282239999997</v>
      </c>
      <c r="G102" s="1315">
        <f>F102*E102</f>
        <v>1262.1056447999999</v>
      </c>
      <c r="H102" s="2286">
        <f>SUM(G102:G108)</f>
        <v>1694.7346416</v>
      </c>
      <c r="J102" s="205" t="s">
        <v>1344</v>
      </c>
      <c r="K102" s="77" t="s">
        <v>2638</v>
      </c>
      <c r="N102" s="77" t="s">
        <v>3346</v>
      </c>
      <c r="O102" s="77" t="s">
        <v>3347</v>
      </c>
    </row>
    <row r="103" spans="1:49" ht="12.75" customHeight="1" x14ac:dyDescent="0.2">
      <c r="A103" s="2304"/>
      <c r="B103" s="2024"/>
      <c r="C103" s="1316" t="str">
        <f>IF(D101=J10,M10,"1037431/")</f>
        <v>1037431/</v>
      </c>
      <c r="D103" s="1316" t="str">
        <f>VLOOKUP(C103,всецены,2,FALSE)</f>
        <v>AVS HF-HKS, Прям планка п/шуруп 175H3100</v>
      </c>
      <c r="E103" s="1313">
        <f>IF(D101="Глухой фасад",2,1)</f>
        <v>2</v>
      </c>
      <c r="F103" s="1314">
        <f>VLOOKUP(C103,всецены,4,FALSE)</f>
        <v>32.528496000000004</v>
      </c>
      <c r="G103" s="1315">
        <f>F103*E103</f>
        <v>65.056992000000008</v>
      </c>
      <c r="H103" s="2286"/>
      <c r="J103" s="205" t="s">
        <v>1345</v>
      </c>
      <c r="K103" s="77" t="s">
        <v>2685</v>
      </c>
    </row>
    <row r="104" spans="1:49" ht="12.75" customHeight="1" x14ac:dyDescent="0.2">
      <c r="A104" s="2304"/>
      <c r="B104" s="2024"/>
      <c r="C104" s="1316" t="str">
        <f>IF(D101=J10,M11,"")</f>
        <v/>
      </c>
      <c r="D104" s="1316" t="str">
        <f>IF(C104="","",VLOOKUP(C104,всецены,2,FALSE))</f>
        <v/>
      </c>
      <c r="E104" s="1313" t="str">
        <f>IF(D101="Глухой фасад","",1)</f>
        <v/>
      </c>
      <c r="F104" s="1314">
        <f>IF(C104="",0,VLOOKUP(C104,всецены,4,FALSE))</f>
        <v>0</v>
      </c>
      <c r="G104" s="1315" t="str">
        <f>IF(C104="","",F104*E104)</f>
        <v/>
      </c>
      <c r="H104" s="2286"/>
    </row>
    <row r="105" spans="1:49" ht="12.75" customHeight="1" x14ac:dyDescent="0.2">
      <c r="A105" s="2304"/>
      <c r="B105" s="2024"/>
      <c r="C105" s="2" t="str">
        <f>IF($D$100=$N$90,N91,O91)</f>
        <v>8671608/</v>
      </c>
      <c r="D105" s="1316" t="str">
        <f>VLOOKUP(C105,всецены,2,FALSE)</f>
        <v xml:space="preserve">AVS HK-S, Загл. осн. сер. лев. 20K8A01  </v>
      </c>
      <c r="E105" s="1313">
        <v>1</v>
      </c>
      <c r="F105" s="1314">
        <f>VLOOKUP(C105,всецены,4,FALSE)</f>
        <v>85.387302000000005</v>
      </c>
      <c r="G105" s="1315">
        <f>F105*E105</f>
        <v>85.387302000000005</v>
      </c>
      <c r="H105" s="2286"/>
    </row>
    <row r="106" spans="1:49" s="1023" customFormat="1" ht="12.75" customHeight="1" x14ac:dyDescent="0.2">
      <c r="A106" s="2304"/>
      <c r="B106" s="2024"/>
      <c r="C106" s="2" t="str">
        <f>IF($D$100=$N$90,N92,O92)</f>
        <v>8671778/</v>
      </c>
      <c r="D106" s="1316" t="str">
        <f>VLOOKUP(C106,всецены,2,FALSE)</f>
        <v xml:space="preserve">AVS HK-S, Загл. осн. сер. прав. 20K8A01 </v>
      </c>
      <c r="E106" s="1313">
        <v>1</v>
      </c>
      <c r="F106" s="1314">
        <f>VLOOKUP(C106,всецены,4,FALSE)</f>
        <v>85.387302000000005</v>
      </c>
      <c r="G106" s="1315">
        <f>F106*E106</f>
        <v>85.387302000000005</v>
      </c>
      <c r="H106" s="2305"/>
      <c r="I106" s="8"/>
      <c r="J106" s="77"/>
      <c r="K106" s="77"/>
      <c r="L106" s="77"/>
      <c r="M106" s="77"/>
      <c r="N106" s="77"/>
      <c r="O106" s="77"/>
      <c r="P106" s="77"/>
      <c r="Q106" s="77"/>
      <c r="R106" s="8"/>
      <c r="S106" s="8"/>
      <c r="T106" s="8"/>
      <c r="U106" s="8"/>
      <c r="V106" s="8"/>
      <c r="W106" s="8"/>
      <c r="X106" s="8"/>
      <c r="Y106" s="8"/>
      <c r="Z106" s="8"/>
      <c r="AA106" s="8"/>
      <c r="AB106" s="8"/>
      <c r="AC106" s="8"/>
      <c r="AD106" s="771"/>
      <c r="AE106" s="771"/>
      <c r="AF106" s="771"/>
      <c r="AG106" s="771"/>
      <c r="AH106" s="771"/>
      <c r="AI106" s="771"/>
      <c r="AJ106" s="771"/>
      <c r="AK106" s="771"/>
      <c r="AL106" s="771"/>
      <c r="AM106" s="771"/>
      <c r="AN106" s="771"/>
      <c r="AO106" s="771"/>
      <c r="AP106" s="771"/>
      <c r="AQ106" s="771"/>
      <c r="AR106" s="771"/>
      <c r="AS106" s="771"/>
      <c r="AT106" s="771"/>
      <c r="AU106" s="771"/>
      <c r="AV106" s="771"/>
      <c r="AW106" s="771"/>
    </row>
    <row r="107" spans="1:49" s="1023" customFormat="1" ht="12.75" customHeight="1" x14ac:dyDescent="0.2">
      <c r="A107" s="2304"/>
      <c r="B107" s="2024"/>
      <c r="C107" s="2" t="str">
        <f>IF($D$100=$N$90,N102,O102)</f>
        <v>5315954/</v>
      </c>
      <c r="D107" s="1316" t="str">
        <f>VLOOKUP(C107,всецены,2,FALSE)</f>
        <v xml:space="preserve">Tip-on, коротк, сер, 956.1002           </v>
      </c>
      <c r="E107" s="1313">
        <v>1</v>
      </c>
      <c r="F107" s="1314">
        <f>VLOOKUP(C107,всецены,4,FALSE)</f>
        <v>190.29170160000001</v>
      </c>
      <c r="G107" s="1315">
        <f>F107*E107</f>
        <v>190.29170160000001</v>
      </c>
      <c r="H107" s="2305"/>
      <c r="I107" s="8"/>
      <c r="J107" s="77"/>
      <c r="K107" s="77"/>
      <c r="L107" s="77"/>
      <c r="M107" s="77"/>
      <c r="N107" s="77"/>
      <c r="O107" s="77"/>
      <c r="P107" s="77"/>
      <c r="Q107" s="77"/>
      <c r="R107" s="8"/>
      <c r="S107" s="8"/>
      <c r="T107" s="8"/>
      <c r="U107" s="8"/>
      <c r="V107" s="8"/>
      <c r="W107" s="8"/>
      <c r="X107" s="8"/>
      <c r="Y107" s="8"/>
      <c r="Z107" s="8"/>
      <c r="AA107" s="8"/>
      <c r="AB107" s="8"/>
      <c r="AC107" s="8"/>
      <c r="AD107" s="771"/>
      <c r="AE107" s="771"/>
      <c r="AF107" s="771"/>
      <c r="AG107" s="771"/>
      <c r="AH107" s="771"/>
      <c r="AI107" s="771"/>
      <c r="AJ107" s="771"/>
      <c r="AK107" s="771"/>
      <c r="AL107" s="771"/>
      <c r="AM107" s="771"/>
      <c r="AN107" s="771"/>
      <c r="AO107" s="771"/>
      <c r="AP107" s="771"/>
      <c r="AQ107" s="771"/>
      <c r="AR107" s="771"/>
      <c r="AS107" s="771"/>
      <c r="AT107" s="771"/>
      <c r="AU107" s="771"/>
      <c r="AV107" s="771"/>
      <c r="AW107" s="771"/>
    </row>
    <row r="108" spans="1:49" s="1023" customFormat="1" ht="13.5" customHeight="1" thickBot="1" x14ac:dyDescent="0.25">
      <c r="A108" s="2304"/>
      <c r="B108" s="2025"/>
      <c r="C108" s="1317" t="s">
        <v>411</v>
      </c>
      <c r="D108" s="1317" t="str">
        <f>VLOOKUP(C108,всецены,2,FALSE)</f>
        <v>TIP-ON, планка п/шур (609.1500)955.1008S</v>
      </c>
      <c r="E108" s="1318">
        <v>1</v>
      </c>
      <c r="F108" s="1319">
        <f>VLOOKUP(C108,всецены,4,FALSE)</f>
        <v>6.5056992000000005</v>
      </c>
      <c r="G108" s="1320">
        <f>F108*E108</f>
        <v>6.5056992000000005</v>
      </c>
      <c r="H108" s="2288"/>
      <c r="I108" s="8"/>
      <c r="J108" s="77"/>
      <c r="K108" s="77"/>
      <c r="L108" s="77"/>
      <c r="M108" s="77"/>
      <c r="N108" s="77"/>
      <c r="O108" s="77"/>
      <c r="P108" s="77"/>
      <c r="Q108" s="77"/>
      <c r="R108" s="8"/>
      <c r="S108" s="8"/>
      <c r="T108" s="8"/>
      <c r="U108" s="8"/>
      <c r="V108" s="8"/>
      <c r="W108" s="8"/>
      <c r="X108" s="8"/>
      <c r="Y108" s="8"/>
      <c r="Z108" s="8"/>
      <c r="AA108" s="8"/>
      <c r="AB108" s="8"/>
      <c r="AC108" s="8"/>
      <c r="AD108" s="771"/>
      <c r="AE108" s="771"/>
      <c r="AF108" s="771"/>
      <c r="AG108" s="771"/>
      <c r="AH108" s="771"/>
      <c r="AI108" s="771"/>
      <c r="AJ108" s="771"/>
      <c r="AK108" s="771"/>
      <c r="AL108" s="771"/>
      <c r="AM108" s="771"/>
      <c r="AN108" s="771"/>
      <c r="AO108" s="771"/>
      <c r="AP108" s="771"/>
      <c r="AQ108" s="771"/>
      <c r="AR108" s="771"/>
      <c r="AS108" s="771"/>
      <c r="AT108" s="771"/>
      <c r="AU108" s="771"/>
      <c r="AV108" s="771"/>
      <c r="AW108" s="771"/>
    </row>
    <row r="109" spans="1:49" ht="15" x14ac:dyDescent="0.2">
      <c r="A109" s="2279" t="s">
        <v>1383</v>
      </c>
      <c r="B109" s="2306" t="s">
        <v>1946</v>
      </c>
      <c r="C109" s="2307"/>
      <c r="D109" s="2307"/>
      <c r="E109" s="2307"/>
      <c r="F109" s="2307"/>
      <c r="G109" s="2307"/>
      <c r="H109" s="485"/>
    </row>
    <row r="110" spans="1:49" x14ac:dyDescent="0.2">
      <c r="A110" s="2280"/>
      <c r="B110" s="2024"/>
      <c r="C110" s="1316" t="s">
        <v>2098</v>
      </c>
      <c r="D110" s="1316" t="str">
        <f>VLOOKUP(C110,всецены,2,FALSE)</f>
        <v>AVS HK-S, Ограничитель открывания 100 гр</v>
      </c>
      <c r="E110" s="1313">
        <v>1</v>
      </c>
      <c r="F110" s="1314">
        <f>VLOOKUP(C110,всецены,4,FALSE)</f>
        <v>32.528496000000004</v>
      </c>
      <c r="G110" s="1315">
        <f>F110*E110</f>
        <v>32.528496000000004</v>
      </c>
      <c r="H110" s="1322">
        <f>G110</f>
        <v>32.528496000000004</v>
      </c>
    </row>
    <row r="111" spans="1:49" ht="13.5" thickBot="1" x14ac:dyDescent="0.25">
      <c r="A111" s="17"/>
      <c r="B111" s="2025"/>
      <c r="C111" s="1317" t="s">
        <v>2097</v>
      </c>
      <c r="D111" s="1317" t="str">
        <f>VLOOKUP(C111,всецены,2,FALSE)</f>
        <v xml:space="preserve">AVS HK-S, Ограничитель открывания 75 гр </v>
      </c>
      <c r="E111" s="1318">
        <v>1</v>
      </c>
      <c r="F111" s="1319">
        <f>VLOOKUP(C111,всецены,4,FALSE)</f>
        <v>32.528496000000004</v>
      </c>
      <c r="G111" s="1320">
        <f>F111*E111</f>
        <v>32.528496000000004</v>
      </c>
      <c r="H111" s="492">
        <f>G111</f>
        <v>32.528496000000004</v>
      </c>
    </row>
    <row r="112" spans="1:49" ht="15.75" x14ac:dyDescent="0.2">
      <c r="A112" s="17"/>
      <c r="B112" s="2284"/>
      <c r="C112" s="2284"/>
      <c r="D112" s="2284"/>
      <c r="E112" s="2284"/>
      <c r="F112" s="2284"/>
      <c r="G112" s="2284"/>
      <c r="H112" s="59"/>
    </row>
    <row r="113" spans="1:49" ht="13.5" thickBot="1" x14ac:dyDescent="0.25">
      <c r="B113" s="8"/>
      <c r="C113" s="8"/>
      <c r="D113" s="8"/>
      <c r="E113" s="53"/>
      <c r="G113" s="37"/>
      <c r="H113" s="61"/>
    </row>
    <row r="114" spans="1:49" ht="20.100000000000001" customHeight="1" x14ac:dyDescent="0.2">
      <c r="B114" s="2289" t="s">
        <v>3461</v>
      </c>
      <c r="C114" s="2239"/>
      <c r="D114" s="2239"/>
      <c r="E114" s="2239"/>
      <c r="F114" s="2239"/>
      <c r="G114" s="2239"/>
      <c r="H114" s="2253"/>
    </row>
    <row r="115" spans="1:49" ht="20.100000000000001" customHeight="1" x14ac:dyDescent="0.2">
      <c r="A115" s="17"/>
      <c r="B115" s="2240"/>
      <c r="C115" s="2241"/>
      <c r="D115" s="2241"/>
      <c r="E115" s="2241"/>
      <c r="F115" s="2241"/>
      <c r="G115" s="2241"/>
      <c r="H115" s="2254"/>
      <c r="J115" s="77" t="s">
        <v>5070</v>
      </c>
      <c r="K115" s="77" t="s">
        <v>1028</v>
      </c>
    </row>
    <row r="116" spans="1:49" ht="13.5" thickBot="1" x14ac:dyDescent="0.25">
      <c r="A116" s="2283" t="s">
        <v>1382</v>
      </c>
      <c r="C116" s="28"/>
      <c r="D116" s="28"/>
      <c r="E116" s="28"/>
      <c r="F116" s="341"/>
      <c r="G116" s="484" t="s">
        <v>3454</v>
      </c>
      <c r="H116" s="485"/>
      <c r="J116" s="77" t="s">
        <v>5071</v>
      </c>
      <c r="K116" s="77" t="s">
        <v>1321</v>
      </c>
    </row>
    <row r="117" spans="1:49" s="1581" customFormat="1" ht="13.5" thickBot="1" x14ac:dyDescent="0.25">
      <c r="A117" s="2283"/>
      <c r="B117" s="1601" t="s">
        <v>5069</v>
      </c>
      <c r="C117" s="126"/>
      <c r="D117" s="1645" t="s">
        <v>5072</v>
      </c>
      <c r="E117" s="28"/>
      <c r="F117" s="341"/>
      <c r="G117" s="484"/>
      <c r="H117" s="485"/>
      <c r="I117" s="8"/>
      <c r="J117" s="77" t="s">
        <v>5072</v>
      </c>
      <c r="K117" s="77" t="s">
        <v>2610</v>
      </c>
      <c r="L117" s="77"/>
      <c r="M117" s="77"/>
      <c r="N117" s="77"/>
      <c r="O117" s="77"/>
      <c r="P117" s="77"/>
      <c r="Q117" s="77"/>
      <c r="R117" s="8"/>
      <c r="S117" s="8"/>
      <c r="T117" s="8"/>
      <c r="U117" s="8"/>
      <c r="V117" s="8"/>
      <c r="W117" s="8"/>
      <c r="X117" s="8"/>
      <c r="Y117" s="8"/>
      <c r="Z117" s="8"/>
      <c r="AA117" s="8"/>
      <c r="AB117" s="8"/>
      <c r="AC117" s="8"/>
      <c r="AD117" s="771"/>
      <c r="AE117" s="771"/>
      <c r="AF117" s="771"/>
      <c r="AG117" s="771"/>
      <c r="AH117" s="771"/>
      <c r="AI117" s="771"/>
      <c r="AJ117" s="771"/>
      <c r="AK117" s="771"/>
      <c r="AL117" s="771"/>
      <c r="AM117" s="771"/>
      <c r="AN117" s="771"/>
      <c r="AO117" s="771"/>
      <c r="AP117" s="771"/>
      <c r="AQ117" s="771"/>
      <c r="AR117" s="771"/>
      <c r="AS117" s="771"/>
      <c r="AT117" s="771"/>
      <c r="AU117" s="771"/>
      <c r="AV117" s="771"/>
      <c r="AW117" s="771"/>
    </row>
    <row r="118" spans="1:49" ht="15.75" thickBot="1" x14ac:dyDescent="0.25">
      <c r="A118" s="2283"/>
      <c r="B118" s="1142" t="s">
        <v>277</v>
      </c>
      <c r="C118" s="1646">
        <v>15</v>
      </c>
      <c r="D118" s="1645" t="s">
        <v>263</v>
      </c>
      <c r="E118" s="664"/>
      <c r="F118" s="664"/>
      <c r="G118" s="664"/>
      <c r="H118" s="752" t="str">
        <f>IF(СОДЕРЖАНИЕ!P2=1,"EUR","RUB")</f>
        <v>RUB</v>
      </c>
      <c r="J118" s="77" t="s">
        <v>5073</v>
      </c>
      <c r="K118" s="77" t="s">
        <v>2635</v>
      </c>
    </row>
    <row r="119" spans="1:49" ht="12.75" customHeight="1" x14ac:dyDescent="0.2">
      <c r="A119" s="2304" t="s">
        <v>3455</v>
      </c>
      <c r="B119" s="2024"/>
      <c r="C119" s="1024" t="str">
        <f>VLOOKUP(C118,L125:M128,2,FALSE)</f>
        <v>1615152/</v>
      </c>
      <c r="D119" s="1024" t="str">
        <f>VLOOKUP(C119,всецены,2,FALSE)</f>
        <v xml:space="preserve">AVS HK-XS,  Cиловой мех-м,  20K1501     </v>
      </c>
      <c r="E119" s="1027">
        <v>2</v>
      </c>
      <c r="F119" s="1028">
        <f>VLOOKUP(C119,всецены,4,FALSE)</f>
        <v>593.64505200000008</v>
      </c>
      <c r="G119" s="1029">
        <f>F119*E119</f>
        <v>1187.2901040000002</v>
      </c>
      <c r="H119" s="2286">
        <f>SUM(G119:G123)</f>
        <v>1710.9988896000002</v>
      </c>
    </row>
    <row r="120" spans="1:49" x14ac:dyDescent="0.2">
      <c r="A120" s="2304"/>
      <c r="B120" s="2024"/>
      <c r="C120" s="771" t="s">
        <v>3350</v>
      </c>
      <c r="D120" s="1024" t="str">
        <f>VLOOKUP(C120,всецены,2,FALSE)</f>
        <v xml:space="preserve">AVS HK-XS, Крепл к корп, 20K5101        </v>
      </c>
      <c r="E120" s="1027">
        <v>2</v>
      </c>
      <c r="F120" s="1028">
        <f>VLOOKUP(C120,всецены,4,FALSE)</f>
        <v>37.407770400000004</v>
      </c>
      <c r="G120" s="1029">
        <f>F120*E120</f>
        <v>74.815540800000008</v>
      </c>
      <c r="H120" s="2286"/>
      <c r="J120" s="77" t="s">
        <v>263</v>
      </c>
      <c r="K120" s="77" t="s">
        <v>2088</v>
      </c>
    </row>
    <row r="121" spans="1:49" x14ac:dyDescent="0.2">
      <c r="A121" s="2304"/>
      <c r="B121" s="2024"/>
      <c r="C121" s="1220" t="str">
        <f>IF(D118=J9,M133,M134)</f>
        <v>8910604/</v>
      </c>
      <c r="D121" s="1024" t="str">
        <f>VLOOKUP(C121,всецены,2,FALSE)</f>
        <v xml:space="preserve">AVS HK-XS, Крепл фасада на сам, 20K4101 </v>
      </c>
      <c r="E121" s="1027">
        <v>2</v>
      </c>
      <c r="F121" s="1028">
        <f>VLOOKUP(C121,всецены,4,FALSE)</f>
        <v>26.022796800000002</v>
      </c>
      <c r="G121" s="1029">
        <f>F121*E121</f>
        <v>52.045593600000004</v>
      </c>
      <c r="H121" s="2286"/>
      <c r="J121" s="77" t="s">
        <v>264</v>
      </c>
      <c r="K121" s="77" t="s">
        <v>1098</v>
      </c>
    </row>
    <row r="122" spans="1:49" x14ac:dyDescent="0.2">
      <c r="A122" s="2304"/>
      <c r="B122" s="2024"/>
      <c r="C122" s="1323" t="str">
        <f>IF(D118="Глухой фасад",K120,K121)</f>
        <v>8884623/</v>
      </c>
      <c r="D122" s="1324" t="str">
        <f>VLOOKUP(C122,всецены,2,FALSE)</f>
        <v xml:space="preserve">CLIP top BM, Петля накл, 110гр, 71B3550 </v>
      </c>
      <c r="E122" s="1325">
        <v>2</v>
      </c>
      <c r="F122" s="1326">
        <f>VLOOKUP(C122,всецены,4,FALSE)</f>
        <v>165.8953296</v>
      </c>
      <c r="G122" s="1326">
        <f>F122*E122</f>
        <v>331.79065919999999</v>
      </c>
      <c r="H122" s="2308"/>
    </row>
    <row r="123" spans="1:49" ht="13.5" thickBot="1" x14ac:dyDescent="0.25">
      <c r="A123" s="2304"/>
      <c r="B123" s="2025"/>
      <c r="C123" s="1324" t="str">
        <f>VLOOKUP(D117,J115:K118,2,0)</f>
        <v>1037431/</v>
      </c>
      <c r="D123" s="1327" t="str">
        <f>VLOOKUP(C123,всецены,2,FALSE)</f>
        <v>AVS HF-HKS, Прям планка п/шуруп 175H3100</v>
      </c>
      <c r="E123" s="1328">
        <v>2</v>
      </c>
      <c r="F123" s="1329">
        <f>VLOOKUP(C123,всецены,4,FALSE)</f>
        <v>32.528496000000004</v>
      </c>
      <c r="G123" s="1329">
        <f>F123*E123</f>
        <v>65.056992000000008</v>
      </c>
      <c r="H123" s="2288"/>
    </row>
    <row r="124" spans="1:49" ht="8.1" customHeight="1" thickBot="1" x14ac:dyDescent="0.25">
      <c r="A124" s="2304"/>
      <c r="B124" s="2284"/>
      <c r="C124" s="2284"/>
      <c r="D124" s="2284"/>
      <c r="E124" s="2284"/>
      <c r="F124" s="2284"/>
      <c r="G124" s="2284"/>
      <c r="H124" s="59"/>
    </row>
    <row r="125" spans="1:49" ht="20.100000000000001" customHeight="1" x14ac:dyDescent="0.2">
      <c r="A125" s="2304"/>
      <c r="B125" s="2289" t="s">
        <v>3464</v>
      </c>
      <c r="C125" s="2239"/>
      <c r="D125" s="2239"/>
      <c r="E125" s="2239"/>
      <c r="F125" s="2239"/>
      <c r="G125" s="2239"/>
      <c r="H125" s="2253"/>
      <c r="L125" s="77">
        <v>11</v>
      </c>
      <c r="M125" s="77" t="s">
        <v>3371</v>
      </c>
      <c r="N125" s="77" t="s">
        <v>3372</v>
      </c>
    </row>
    <row r="126" spans="1:49" ht="20.100000000000001" customHeight="1" x14ac:dyDescent="0.2">
      <c r="A126" s="2291" t="s">
        <v>1383</v>
      </c>
      <c r="B126" s="2240"/>
      <c r="C126" s="2241"/>
      <c r="D126" s="2241"/>
      <c r="E126" s="2241"/>
      <c r="F126" s="2241"/>
      <c r="G126" s="2241"/>
      <c r="H126" s="2254"/>
      <c r="L126" s="77">
        <v>13</v>
      </c>
      <c r="M126" s="77" t="s">
        <v>3375</v>
      </c>
      <c r="N126" s="77" t="s">
        <v>3376</v>
      </c>
    </row>
    <row r="127" spans="1:49" s="1581" customFormat="1" ht="15.75" customHeight="1" thickBot="1" x14ac:dyDescent="0.25">
      <c r="A127" s="2291"/>
      <c r="C127" s="28"/>
      <c r="D127" s="28"/>
      <c r="E127" s="28"/>
      <c r="F127" s="341"/>
      <c r="G127" s="1603" t="s">
        <v>3454</v>
      </c>
      <c r="H127" s="1586"/>
      <c r="I127" s="8"/>
      <c r="J127" s="77"/>
      <c r="K127" s="77"/>
      <c r="L127" s="77"/>
      <c r="M127" s="77"/>
      <c r="N127" s="77"/>
      <c r="O127" s="77"/>
      <c r="P127" s="77"/>
      <c r="Q127" s="77"/>
      <c r="R127" s="8"/>
      <c r="S127" s="8"/>
      <c r="T127" s="8"/>
      <c r="U127" s="8"/>
      <c r="V127" s="8"/>
      <c r="W127" s="8"/>
      <c r="X127" s="8"/>
      <c r="Y127" s="8"/>
      <c r="Z127" s="8"/>
      <c r="AA127" s="8"/>
      <c r="AB127" s="8"/>
      <c r="AC127" s="8"/>
      <c r="AD127" s="771"/>
      <c r="AE127" s="771"/>
      <c r="AF127" s="771"/>
      <c r="AG127" s="771"/>
      <c r="AH127" s="771"/>
      <c r="AI127" s="771"/>
      <c r="AJ127" s="771"/>
      <c r="AK127" s="771"/>
      <c r="AL127" s="771"/>
      <c r="AM127" s="771"/>
      <c r="AN127" s="771"/>
      <c r="AO127" s="771"/>
      <c r="AP127" s="771"/>
      <c r="AQ127" s="771"/>
      <c r="AR127" s="771"/>
      <c r="AS127" s="771"/>
      <c r="AT127" s="771"/>
      <c r="AU127" s="771"/>
      <c r="AV127" s="771"/>
      <c r="AW127" s="771"/>
    </row>
    <row r="128" spans="1:49" ht="15.75" customHeight="1" thickBot="1" x14ac:dyDescent="0.25">
      <c r="A128" s="2291"/>
      <c r="B128" s="1601" t="s">
        <v>5069</v>
      </c>
      <c r="C128" s="126"/>
      <c r="D128" s="1645" t="s">
        <v>5072</v>
      </c>
      <c r="E128" s="28"/>
      <c r="F128" s="341"/>
      <c r="G128" s="484"/>
      <c r="H128" s="485"/>
      <c r="L128" s="77">
        <v>15</v>
      </c>
      <c r="M128" s="77" t="s">
        <v>3354</v>
      </c>
      <c r="N128" s="77" t="s">
        <v>3355</v>
      </c>
      <c r="S128" s="2267" t="s">
        <v>3456</v>
      </c>
      <c r="T128" s="2267"/>
    </row>
    <row r="129" spans="1:49" ht="15.75" customHeight="1" thickBot="1" x14ac:dyDescent="0.25">
      <c r="A129" s="1330"/>
      <c r="B129" s="1142" t="s">
        <v>277</v>
      </c>
      <c r="C129" s="1646">
        <v>13</v>
      </c>
      <c r="D129" s="1654" t="s">
        <v>263</v>
      </c>
      <c r="E129" s="664"/>
      <c r="F129" s="664"/>
      <c r="G129" s="664"/>
      <c r="H129" s="752" t="str">
        <f>IF(СОДЕРЖАНИЕ!P2=1,"EUR","RUB")</f>
        <v>RUB</v>
      </c>
      <c r="L129" s="77">
        <v>11</v>
      </c>
      <c r="M129" s="77" t="s">
        <v>3361</v>
      </c>
      <c r="N129" s="77" t="s">
        <v>3362</v>
      </c>
      <c r="S129" s="2267"/>
      <c r="T129" s="2267"/>
    </row>
    <row r="130" spans="1:49" x14ac:dyDescent="0.2">
      <c r="A130" s="2278"/>
      <c r="B130" s="2024"/>
      <c r="C130" s="1024" t="str">
        <f>VLOOKUP(C129,L129:M131,2,FALSE)</f>
        <v>9519259/</v>
      </c>
      <c r="D130" s="1024" t="str">
        <f t="shared" ref="D130:D136" si="15">VLOOKUP(C130,всецены,2,FALSE)</f>
        <v xml:space="preserve">AVS HK-XS,Tip-on, Cиловой м-м 20K1301T  </v>
      </c>
      <c r="E130" s="1027">
        <v>1</v>
      </c>
      <c r="F130" s="1028">
        <f t="shared" ref="F130:F136" si="16">VLOOKUP(C130,всецены,4,FALSE)</f>
        <v>639.18494640000006</v>
      </c>
      <c r="G130" s="1029">
        <f t="shared" ref="G130:G136" si="17">F130*E130</f>
        <v>639.18494640000006</v>
      </c>
      <c r="H130" s="2286">
        <f>SUM(G130:G136)</f>
        <v>1148.2559088</v>
      </c>
      <c r="L130" s="77">
        <v>13</v>
      </c>
      <c r="M130" s="77" t="s">
        <v>3377</v>
      </c>
      <c r="N130" s="77" t="s">
        <v>3378</v>
      </c>
      <c r="R130" s="2300" t="s">
        <v>1781</v>
      </c>
      <c r="S130" s="2301"/>
      <c r="T130" s="957"/>
    </row>
    <row r="131" spans="1:49" x14ac:dyDescent="0.2">
      <c r="A131" s="2278"/>
      <c r="B131" s="2024"/>
      <c r="C131" s="771" t="s">
        <v>3350</v>
      </c>
      <c r="D131" s="1024" t="str">
        <f t="shared" si="15"/>
        <v xml:space="preserve">AVS HK-XS, Крепл к корп, 20K5101        </v>
      </c>
      <c r="E131" s="1027">
        <v>1</v>
      </c>
      <c r="F131" s="1028">
        <f t="shared" si="16"/>
        <v>37.407770400000004</v>
      </c>
      <c r="G131" s="1029">
        <f t="shared" si="17"/>
        <v>37.407770400000004</v>
      </c>
      <c r="H131" s="2286"/>
      <c r="L131" s="77">
        <v>15</v>
      </c>
      <c r="M131" s="77" t="s">
        <v>3368</v>
      </c>
      <c r="N131" s="77" t="s">
        <v>3369</v>
      </c>
      <c r="R131" s="943" t="s">
        <v>1813</v>
      </c>
      <c r="S131" s="956" t="s">
        <v>1782</v>
      </c>
      <c r="T131" s="968" t="s">
        <v>2237</v>
      </c>
    </row>
    <row r="132" spans="1:49" x14ac:dyDescent="0.2">
      <c r="A132" s="2278"/>
      <c r="B132" s="2024"/>
      <c r="C132" s="1220" t="str">
        <f>IF(D129=J9,M133,M134)</f>
        <v>8910604/</v>
      </c>
      <c r="D132" s="1024" t="str">
        <f t="shared" si="15"/>
        <v xml:space="preserve">AVS HK-XS, Крепл фасада на сам, 20K4101 </v>
      </c>
      <c r="E132" s="1027">
        <v>1</v>
      </c>
      <c r="F132" s="1028">
        <f t="shared" si="16"/>
        <v>26.022796800000002</v>
      </c>
      <c r="G132" s="1029">
        <f t="shared" si="17"/>
        <v>26.022796800000002</v>
      </c>
      <c r="H132" s="2286"/>
      <c r="M132" s="77" t="s">
        <v>3350</v>
      </c>
      <c r="N132" s="77" t="s">
        <v>3351</v>
      </c>
      <c r="R132" s="943" t="s">
        <v>1813</v>
      </c>
      <c r="S132" s="956" t="s">
        <v>2823</v>
      </c>
      <c r="T132" s="928" t="s">
        <v>2239</v>
      </c>
    </row>
    <row r="133" spans="1:49" x14ac:dyDescent="0.2">
      <c r="A133" s="2278"/>
      <c r="B133" s="2024"/>
      <c r="C133" s="1316" t="s">
        <v>411</v>
      </c>
      <c r="D133" s="1024" t="str">
        <f t="shared" si="15"/>
        <v>TIP-ON, планка п/шур (609.1500)955.1008S</v>
      </c>
      <c r="E133" s="1027">
        <v>1</v>
      </c>
      <c r="F133" s="1028">
        <f t="shared" si="16"/>
        <v>6.5056992000000005</v>
      </c>
      <c r="G133" s="1029">
        <f t="shared" si="17"/>
        <v>6.5056992000000005</v>
      </c>
      <c r="H133" s="2308"/>
      <c r="M133" s="77" t="s">
        <v>3373</v>
      </c>
      <c r="N133" s="77" t="s">
        <v>3374</v>
      </c>
      <c r="R133" s="397"/>
      <c r="S133" s="975"/>
      <c r="T133" s="976" t="s">
        <v>2825</v>
      </c>
    </row>
    <row r="134" spans="1:49" s="1140" customFormat="1" ht="15" x14ac:dyDescent="0.25">
      <c r="A134" s="2278"/>
      <c r="B134" s="2024"/>
      <c r="C134" s="1335" t="s">
        <v>3347</v>
      </c>
      <c r="D134" s="1024" t="str">
        <f t="shared" si="15"/>
        <v xml:space="preserve">Tip-on, коротк, сер, 956.1002           </v>
      </c>
      <c r="E134" s="1027">
        <v>1</v>
      </c>
      <c r="F134" s="1028">
        <f t="shared" si="16"/>
        <v>190.29170160000001</v>
      </c>
      <c r="G134" s="1029">
        <f t="shared" si="17"/>
        <v>190.29170160000001</v>
      </c>
      <c r="H134" s="2305"/>
      <c r="I134" s="8"/>
      <c r="J134" s="77"/>
      <c r="K134" s="77"/>
      <c r="L134" s="77"/>
      <c r="M134" s="77" t="s">
        <v>3352</v>
      </c>
      <c r="N134" s="77" t="s">
        <v>3353</v>
      </c>
      <c r="O134" s="77"/>
      <c r="P134" s="77"/>
      <c r="Q134" s="77"/>
      <c r="R134" s="970" t="s">
        <v>1815</v>
      </c>
      <c r="S134" s="971" t="s">
        <v>2813</v>
      </c>
      <c r="T134" s="972"/>
      <c r="U134" s="8"/>
      <c r="V134" s="8"/>
      <c r="W134" s="8"/>
      <c r="X134" s="8"/>
      <c r="Y134" s="8"/>
      <c r="Z134" s="8"/>
      <c r="AA134" s="8"/>
      <c r="AB134" s="8"/>
      <c r="AC134" s="8"/>
      <c r="AD134" s="771"/>
      <c r="AE134" s="771"/>
      <c r="AF134" s="771"/>
      <c r="AG134" s="771"/>
      <c r="AH134" s="771"/>
      <c r="AI134" s="771"/>
      <c r="AJ134" s="771"/>
      <c r="AK134" s="771"/>
      <c r="AL134" s="771"/>
      <c r="AM134" s="771"/>
      <c r="AN134" s="771"/>
      <c r="AO134" s="771"/>
      <c r="AP134" s="771"/>
      <c r="AQ134" s="771"/>
      <c r="AR134" s="771"/>
      <c r="AS134" s="771"/>
      <c r="AT134" s="771"/>
      <c r="AU134" s="771"/>
      <c r="AV134" s="771"/>
      <c r="AW134" s="771"/>
    </row>
    <row r="135" spans="1:49" x14ac:dyDescent="0.2">
      <c r="A135" s="2278"/>
      <c r="B135" s="2024"/>
      <c r="C135" s="1323" t="str">
        <f>IF(D129="Глухой фасад",K137,K138)</f>
        <v>7657333/</v>
      </c>
      <c r="D135" s="1324" t="str">
        <f t="shared" si="15"/>
        <v>TIP-ON, CLIP T Б/ПР,107ГР,НАК,74T1550.TL</v>
      </c>
      <c r="E135" s="1325">
        <v>2</v>
      </c>
      <c r="F135" s="1326">
        <f t="shared" si="16"/>
        <v>91.8930012</v>
      </c>
      <c r="G135" s="1326">
        <f t="shared" si="17"/>
        <v>183.7860024</v>
      </c>
      <c r="H135" s="2308"/>
    </row>
    <row r="136" spans="1:49" ht="13.5" thickBot="1" x14ac:dyDescent="0.25">
      <c r="A136" s="2278"/>
      <c r="B136" s="2025"/>
      <c r="C136" s="1324" t="str">
        <f>VLOOKUP(D128,J115:K118,2,0)</f>
        <v>1037431/</v>
      </c>
      <c r="D136" s="1327" t="str">
        <f t="shared" si="15"/>
        <v>AVS HF-HKS, Прям планка п/шуруп 175H3100</v>
      </c>
      <c r="E136" s="1328">
        <v>2</v>
      </c>
      <c r="F136" s="1329">
        <f t="shared" si="16"/>
        <v>32.528496000000004</v>
      </c>
      <c r="G136" s="1329">
        <f t="shared" si="17"/>
        <v>65.056992000000008</v>
      </c>
      <c r="H136" s="2288"/>
    </row>
    <row r="137" spans="1:49" ht="15.75" x14ac:dyDescent="0.2">
      <c r="A137" s="17"/>
      <c r="B137" s="2284"/>
      <c r="C137" s="2284"/>
      <c r="D137" s="2284"/>
      <c r="E137" s="2284"/>
      <c r="F137" s="2284"/>
      <c r="G137" s="2284"/>
      <c r="H137" s="59"/>
      <c r="J137" s="77" t="s">
        <v>263</v>
      </c>
      <c r="K137" s="77" t="s">
        <v>409</v>
      </c>
    </row>
    <row r="138" spans="1:49" ht="6" customHeight="1" x14ac:dyDescent="0.2">
      <c r="B138" s="8"/>
      <c r="C138" s="8"/>
      <c r="D138" s="8"/>
      <c r="E138" s="53"/>
      <c r="G138" s="37"/>
      <c r="H138" s="61"/>
      <c r="J138" s="77" t="s">
        <v>264</v>
      </c>
      <c r="K138" s="77" t="s">
        <v>2014</v>
      </c>
    </row>
    <row r="139" spans="1:49" x14ac:dyDescent="0.2">
      <c r="B139" s="8"/>
      <c r="C139" s="1333"/>
      <c r="D139" s="91" t="s">
        <v>3465</v>
      </c>
      <c r="E139" s="53"/>
      <c r="G139" s="37"/>
      <c r="H139" s="61"/>
    </row>
    <row r="140" spans="1:49" x14ac:dyDescent="0.2">
      <c r="B140" s="8"/>
      <c r="C140" s="8"/>
      <c r="D140" s="8"/>
      <c r="E140" s="53"/>
      <c r="G140" s="37"/>
      <c r="H140" s="61"/>
    </row>
    <row r="141" spans="1:49" x14ac:dyDescent="0.2">
      <c r="B141" s="8"/>
      <c r="C141" s="8"/>
      <c r="D141" s="8"/>
      <c r="E141" s="53"/>
      <c r="G141" s="37"/>
      <c r="H141" s="61"/>
    </row>
    <row r="142" spans="1:49" x14ac:dyDescent="0.2">
      <c r="B142" s="8"/>
      <c r="C142" s="8"/>
      <c r="D142" s="8"/>
      <c r="E142" s="53"/>
      <c r="G142" s="37"/>
      <c r="H142" s="61"/>
    </row>
    <row r="143" spans="1:49" x14ac:dyDescent="0.2">
      <c r="B143" s="8"/>
      <c r="C143" s="8"/>
      <c r="D143" s="8"/>
      <c r="E143" s="53"/>
      <c r="G143" s="37"/>
      <c r="H143" s="61"/>
    </row>
    <row r="144" spans="1:49" x14ac:dyDescent="0.2">
      <c r="B144" s="8"/>
      <c r="C144" s="8"/>
      <c r="D144" s="8"/>
      <c r="E144" s="53"/>
      <c r="G144" s="37"/>
      <c r="H144" s="61"/>
    </row>
    <row r="145" spans="2:8" x14ac:dyDescent="0.2">
      <c r="B145" s="8"/>
      <c r="C145" s="8"/>
      <c r="D145" s="8"/>
      <c r="E145" s="53"/>
      <c r="G145" s="37"/>
      <c r="H145" s="61"/>
    </row>
    <row r="146" spans="2:8" x14ac:dyDescent="0.2">
      <c r="B146" s="8"/>
      <c r="C146" s="8"/>
      <c r="D146" s="8"/>
      <c r="E146" s="53"/>
      <c r="G146" s="37"/>
      <c r="H146" s="61"/>
    </row>
    <row r="147" spans="2:8" x14ac:dyDescent="0.2">
      <c r="B147" s="8"/>
      <c r="C147" s="8"/>
      <c r="D147" s="8"/>
      <c r="E147" s="53"/>
      <c r="G147" s="37"/>
      <c r="H147" s="61"/>
    </row>
    <row r="148" spans="2:8" x14ac:dyDescent="0.2">
      <c r="B148" s="8"/>
      <c r="C148" s="8"/>
      <c r="D148" s="8"/>
      <c r="E148" s="53"/>
      <c r="G148" s="37"/>
      <c r="H148" s="61"/>
    </row>
    <row r="149" spans="2:8" x14ac:dyDescent="0.2">
      <c r="B149" s="8"/>
      <c r="C149" s="8"/>
      <c r="D149" s="8"/>
      <c r="E149" s="53"/>
      <c r="G149" s="37"/>
      <c r="H149" s="61"/>
    </row>
    <row r="150" spans="2:8" x14ac:dyDescent="0.2">
      <c r="B150" s="8"/>
      <c r="C150" s="8"/>
      <c r="D150" s="8"/>
      <c r="E150" s="53"/>
      <c r="G150" s="37"/>
      <c r="H150" s="61"/>
    </row>
    <row r="151" spans="2:8" x14ac:dyDescent="0.2">
      <c r="B151" s="8"/>
      <c r="C151" s="8"/>
      <c r="D151" s="8"/>
      <c r="E151" s="53"/>
      <c r="G151" s="37"/>
      <c r="H151" s="61"/>
    </row>
    <row r="152" spans="2:8" x14ac:dyDescent="0.2">
      <c r="B152" s="8"/>
      <c r="C152" s="8"/>
      <c r="D152" s="8"/>
      <c r="E152" s="53"/>
      <c r="G152" s="37"/>
      <c r="H152" s="61"/>
    </row>
    <row r="153" spans="2:8" x14ac:dyDescent="0.2">
      <c r="B153" s="8"/>
      <c r="C153" s="8"/>
      <c r="D153" s="8"/>
      <c r="E153" s="53"/>
      <c r="G153" s="37"/>
      <c r="H153" s="61"/>
    </row>
    <row r="154" spans="2:8" x14ac:dyDescent="0.2">
      <c r="B154" s="8"/>
      <c r="C154" s="8"/>
      <c r="D154" s="8"/>
      <c r="E154" s="53"/>
      <c r="G154" s="37"/>
      <c r="H154" s="61"/>
    </row>
    <row r="155" spans="2:8" x14ac:dyDescent="0.2">
      <c r="B155" s="8"/>
      <c r="C155" s="8"/>
      <c r="D155" s="8"/>
      <c r="E155" s="53"/>
      <c r="G155" s="37"/>
      <c r="H155" s="61"/>
    </row>
    <row r="156" spans="2:8" x14ac:dyDescent="0.2">
      <c r="B156" s="8"/>
      <c r="C156" s="8"/>
      <c r="D156" s="8"/>
      <c r="E156" s="53"/>
      <c r="G156" s="37"/>
      <c r="H156" s="61"/>
    </row>
    <row r="157" spans="2:8" x14ac:dyDescent="0.2">
      <c r="B157" s="8"/>
      <c r="C157" s="8"/>
      <c r="D157" s="8"/>
      <c r="E157" s="53"/>
      <c r="G157" s="37"/>
      <c r="H157" s="61"/>
    </row>
    <row r="158" spans="2:8" x14ac:dyDescent="0.2">
      <c r="B158" s="8"/>
      <c r="C158" s="8"/>
      <c r="D158" s="8"/>
      <c r="E158" s="53"/>
      <c r="G158" s="37"/>
      <c r="H158" s="61"/>
    </row>
    <row r="159" spans="2:8" x14ac:dyDescent="0.2">
      <c r="B159" s="8"/>
      <c r="C159" s="8"/>
      <c r="D159" s="8"/>
      <c r="E159" s="53"/>
      <c r="G159" s="37"/>
      <c r="H159" s="61"/>
    </row>
    <row r="160" spans="2:8" x14ac:dyDescent="0.2">
      <c r="B160" s="8"/>
      <c r="C160" s="8"/>
      <c r="D160" s="8"/>
      <c r="E160" s="53"/>
      <c r="G160" s="37"/>
      <c r="H160" s="61"/>
    </row>
    <row r="161" spans="2:8" x14ac:dyDescent="0.2">
      <c r="B161" s="8"/>
      <c r="C161" s="8"/>
      <c r="D161" s="8"/>
      <c r="E161" s="53"/>
      <c r="G161" s="37"/>
      <c r="H161" s="61"/>
    </row>
    <row r="162" spans="2:8" x14ac:dyDescent="0.2">
      <c r="B162" s="8"/>
      <c r="C162" s="8"/>
      <c r="D162" s="8"/>
      <c r="E162" s="53"/>
      <c r="G162" s="37"/>
      <c r="H162" s="61"/>
    </row>
    <row r="163" spans="2:8" x14ac:dyDescent="0.2">
      <c r="B163" s="8"/>
      <c r="C163" s="8"/>
      <c r="D163" s="8"/>
      <c r="E163" s="53"/>
      <c r="G163" s="37"/>
      <c r="H163" s="61"/>
    </row>
    <row r="164" spans="2:8" x14ac:dyDescent="0.2">
      <c r="B164" s="8"/>
      <c r="C164" s="8"/>
      <c r="D164" s="8"/>
      <c r="E164" s="53"/>
      <c r="G164" s="37"/>
      <c r="H164" s="61"/>
    </row>
    <row r="165" spans="2:8" x14ac:dyDescent="0.2">
      <c r="B165" s="8"/>
      <c r="C165" s="8"/>
      <c r="D165" s="8"/>
      <c r="E165" s="53"/>
      <c r="G165" s="37"/>
      <c r="H165" s="61"/>
    </row>
    <row r="166" spans="2:8" x14ac:dyDescent="0.2">
      <c r="B166" s="8"/>
      <c r="C166" s="8"/>
      <c r="D166" s="8"/>
      <c r="E166" s="53"/>
      <c r="G166" s="37"/>
      <c r="H166" s="61"/>
    </row>
    <row r="167" spans="2:8" x14ac:dyDescent="0.2">
      <c r="B167" s="8"/>
      <c r="C167" s="8"/>
      <c r="D167" s="8"/>
      <c r="E167" s="53"/>
      <c r="G167" s="37"/>
      <c r="H167" s="61"/>
    </row>
    <row r="168" spans="2:8" x14ac:dyDescent="0.2">
      <c r="B168" s="8"/>
      <c r="C168" s="8"/>
      <c r="D168" s="8"/>
      <c r="E168" s="53"/>
      <c r="G168" s="37"/>
      <c r="H168" s="61"/>
    </row>
    <row r="169" spans="2:8" x14ac:dyDescent="0.2">
      <c r="B169" s="8"/>
      <c r="C169" s="8"/>
      <c r="D169" s="8"/>
      <c r="E169" s="53"/>
      <c r="G169" s="37"/>
      <c r="H169" s="61"/>
    </row>
    <row r="170" spans="2:8" x14ac:dyDescent="0.2">
      <c r="B170" s="8"/>
      <c r="C170" s="8"/>
      <c r="D170" s="8"/>
      <c r="E170" s="53"/>
      <c r="G170" s="37"/>
      <c r="H170" s="61"/>
    </row>
    <row r="171" spans="2:8" x14ac:dyDescent="0.2">
      <c r="B171" s="8"/>
      <c r="C171" s="8"/>
      <c r="D171" s="8"/>
      <c r="E171" s="53"/>
      <c r="G171" s="37"/>
      <c r="H171" s="61"/>
    </row>
    <row r="172" spans="2:8" x14ac:dyDescent="0.2">
      <c r="B172" s="8"/>
      <c r="C172" s="8"/>
      <c r="D172" s="8"/>
      <c r="E172" s="53"/>
      <c r="G172" s="37"/>
      <c r="H172" s="61"/>
    </row>
    <row r="173" spans="2:8" x14ac:dyDescent="0.2">
      <c r="B173" s="8"/>
      <c r="C173" s="8"/>
      <c r="D173" s="8"/>
      <c r="E173" s="53"/>
      <c r="G173" s="37"/>
      <c r="H173" s="61"/>
    </row>
    <row r="174" spans="2:8" x14ac:dyDescent="0.2">
      <c r="B174" s="8"/>
      <c r="C174" s="8"/>
      <c r="D174" s="8"/>
      <c r="E174" s="53"/>
      <c r="G174" s="37"/>
      <c r="H174" s="61"/>
    </row>
    <row r="175" spans="2:8" x14ac:dyDescent="0.2">
      <c r="B175" s="8"/>
      <c r="C175" s="8"/>
      <c r="D175" s="8"/>
      <c r="E175" s="53"/>
      <c r="G175" s="37"/>
      <c r="H175" s="61"/>
    </row>
    <row r="176" spans="2:8" x14ac:dyDescent="0.2">
      <c r="B176" s="8"/>
      <c r="C176" s="8"/>
      <c r="D176" s="8"/>
      <c r="E176" s="53"/>
      <c r="G176" s="37"/>
      <c r="H176" s="61"/>
    </row>
    <row r="177" spans="2:8" x14ac:dyDescent="0.2">
      <c r="B177" s="8"/>
      <c r="C177" s="8"/>
      <c r="D177" s="8"/>
      <c r="E177" s="53"/>
      <c r="G177" s="37"/>
      <c r="H177" s="61"/>
    </row>
    <row r="178" spans="2:8" x14ac:dyDescent="0.2">
      <c r="B178" s="8"/>
      <c r="C178" s="8"/>
      <c r="D178" s="8"/>
      <c r="E178" s="53"/>
      <c r="G178" s="37"/>
      <c r="H178" s="61"/>
    </row>
    <row r="179" spans="2:8" x14ac:dyDescent="0.2">
      <c r="B179" s="8"/>
      <c r="C179" s="8"/>
      <c r="D179" s="8"/>
      <c r="E179" s="53"/>
      <c r="G179" s="37"/>
      <c r="H179" s="61"/>
    </row>
    <row r="180" spans="2:8" x14ac:dyDescent="0.2">
      <c r="B180" s="8"/>
      <c r="C180" s="8"/>
      <c r="D180" s="8"/>
      <c r="E180" s="53"/>
      <c r="G180" s="37"/>
      <c r="H180" s="61"/>
    </row>
    <row r="181" spans="2:8" x14ac:dyDescent="0.2">
      <c r="B181" s="8"/>
      <c r="C181" s="8"/>
      <c r="D181" s="8"/>
      <c r="E181" s="53"/>
      <c r="G181" s="37"/>
      <c r="H181" s="61"/>
    </row>
    <row r="182" spans="2:8" x14ac:dyDescent="0.2">
      <c r="B182" s="8"/>
      <c r="C182" s="8"/>
      <c r="D182" s="8"/>
      <c r="E182" s="53"/>
      <c r="G182" s="37"/>
      <c r="H182" s="61"/>
    </row>
    <row r="183" spans="2:8" x14ac:dyDescent="0.2">
      <c r="B183" s="8"/>
      <c r="C183" s="8"/>
      <c r="D183" s="8"/>
      <c r="E183" s="53"/>
      <c r="G183" s="37"/>
      <c r="H183" s="61"/>
    </row>
    <row r="184" spans="2:8" x14ac:dyDescent="0.2">
      <c r="B184" s="8"/>
      <c r="C184" s="8"/>
      <c r="D184" s="8"/>
      <c r="E184" s="53"/>
      <c r="G184" s="37"/>
      <c r="H184" s="61"/>
    </row>
    <row r="185" spans="2:8" x14ac:dyDescent="0.2">
      <c r="B185" s="8"/>
      <c r="C185" s="8"/>
      <c r="D185" s="8"/>
      <c r="E185" s="53"/>
      <c r="G185" s="37"/>
      <c r="H185" s="61"/>
    </row>
    <row r="186" spans="2:8" x14ac:dyDescent="0.2">
      <c r="B186" s="8"/>
      <c r="C186" s="8"/>
      <c r="D186" s="8"/>
      <c r="E186" s="53"/>
      <c r="G186" s="37"/>
      <c r="H186" s="61"/>
    </row>
    <row r="187" spans="2:8" x14ac:dyDescent="0.2">
      <c r="B187" s="8"/>
      <c r="C187" s="8"/>
      <c r="D187" s="8"/>
      <c r="E187" s="53"/>
      <c r="G187" s="37"/>
      <c r="H187" s="61"/>
    </row>
    <row r="188" spans="2:8" x14ac:dyDescent="0.2">
      <c r="B188" s="8"/>
      <c r="C188" s="8"/>
      <c r="D188" s="8"/>
      <c r="E188" s="53"/>
      <c r="G188" s="37"/>
      <c r="H188" s="61"/>
    </row>
    <row r="189" spans="2:8" x14ac:dyDescent="0.2">
      <c r="B189" s="8"/>
      <c r="C189" s="8"/>
      <c r="D189" s="8"/>
      <c r="E189" s="53"/>
      <c r="G189" s="37"/>
      <c r="H189" s="61"/>
    </row>
    <row r="190" spans="2:8" x14ac:dyDescent="0.2">
      <c r="B190" s="8"/>
      <c r="C190" s="8"/>
      <c r="D190" s="8"/>
      <c r="E190" s="53"/>
      <c r="G190" s="37"/>
      <c r="H190" s="61"/>
    </row>
    <row r="191" spans="2:8" x14ac:dyDescent="0.2">
      <c r="B191" s="8"/>
      <c r="C191" s="8"/>
      <c r="D191" s="8"/>
      <c r="E191" s="53"/>
      <c r="G191" s="37"/>
      <c r="H191" s="61"/>
    </row>
    <row r="192" spans="2:8" x14ac:dyDescent="0.2">
      <c r="B192" s="8"/>
      <c r="C192" s="8"/>
      <c r="D192" s="8"/>
      <c r="E192" s="53"/>
      <c r="G192" s="37"/>
      <c r="H192" s="61"/>
    </row>
    <row r="193" spans="2:8" x14ac:dyDescent="0.2">
      <c r="B193" s="8"/>
      <c r="C193" s="8"/>
      <c r="D193" s="8"/>
      <c r="E193" s="53"/>
      <c r="G193" s="37"/>
      <c r="H193" s="61"/>
    </row>
    <row r="194" spans="2:8" x14ac:dyDescent="0.2">
      <c r="B194" s="8"/>
      <c r="C194" s="8"/>
      <c r="D194" s="8"/>
      <c r="E194" s="53"/>
      <c r="G194" s="37"/>
      <c r="H194" s="61"/>
    </row>
    <row r="195" spans="2:8" x14ac:dyDescent="0.2">
      <c r="B195" s="8"/>
      <c r="C195" s="8"/>
      <c r="D195" s="8"/>
      <c r="E195" s="53"/>
      <c r="G195" s="37"/>
      <c r="H195" s="61"/>
    </row>
    <row r="196" spans="2:8" x14ac:dyDescent="0.2">
      <c r="B196" s="8"/>
      <c r="C196" s="8"/>
      <c r="D196" s="8"/>
      <c r="E196" s="53"/>
      <c r="G196" s="37"/>
      <c r="H196" s="61"/>
    </row>
    <row r="197" spans="2:8" x14ac:dyDescent="0.2">
      <c r="B197" s="8"/>
      <c r="C197" s="8"/>
      <c r="D197" s="8"/>
      <c r="E197" s="53"/>
      <c r="G197" s="37"/>
      <c r="H197" s="61"/>
    </row>
    <row r="198" spans="2:8" x14ac:dyDescent="0.2">
      <c r="B198" s="8"/>
      <c r="C198" s="8"/>
      <c r="D198" s="8"/>
      <c r="E198" s="53"/>
      <c r="G198" s="37"/>
      <c r="H198" s="61"/>
    </row>
    <row r="199" spans="2:8" x14ac:dyDescent="0.2">
      <c r="B199" s="8"/>
      <c r="C199" s="8"/>
      <c r="D199" s="8"/>
      <c r="E199" s="53"/>
      <c r="G199" s="37"/>
      <c r="H199" s="61"/>
    </row>
    <row r="200" spans="2:8" x14ac:dyDescent="0.2">
      <c r="B200" s="8"/>
      <c r="C200" s="8"/>
      <c r="D200" s="8"/>
      <c r="E200" s="53"/>
      <c r="G200" s="37"/>
      <c r="H200" s="61"/>
    </row>
    <row r="201" spans="2:8" x14ac:dyDescent="0.2">
      <c r="B201" s="8"/>
      <c r="C201" s="8"/>
      <c r="D201" s="8"/>
      <c r="E201" s="53"/>
      <c r="G201" s="37"/>
      <c r="H201" s="61"/>
    </row>
    <row r="202" spans="2:8" x14ac:dyDescent="0.2">
      <c r="B202" s="8"/>
      <c r="C202" s="8"/>
      <c r="D202" s="8"/>
      <c r="E202" s="53"/>
      <c r="G202" s="37"/>
      <c r="H202" s="61"/>
    </row>
    <row r="203" spans="2:8" x14ac:dyDescent="0.2">
      <c r="B203" s="8"/>
      <c r="C203" s="8"/>
      <c r="D203" s="8"/>
      <c r="E203" s="53"/>
      <c r="G203" s="37"/>
      <c r="H203" s="61"/>
    </row>
    <row r="204" spans="2:8" x14ac:dyDescent="0.2">
      <c r="B204" s="8"/>
      <c r="C204" s="8"/>
      <c r="D204" s="8"/>
      <c r="E204" s="53"/>
      <c r="G204" s="37"/>
      <c r="H204" s="61"/>
    </row>
    <row r="205" spans="2:8" x14ac:dyDescent="0.2">
      <c r="B205" s="8"/>
      <c r="C205" s="8"/>
      <c r="D205" s="8"/>
      <c r="E205" s="53"/>
      <c r="G205" s="37"/>
      <c r="H205" s="61"/>
    </row>
    <row r="206" spans="2:8" x14ac:dyDescent="0.2">
      <c r="B206" s="8"/>
      <c r="C206" s="8"/>
      <c r="D206" s="8"/>
      <c r="E206" s="53"/>
      <c r="G206" s="37"/>
      <c r="H206" s="61"/>
    </row>
    <row r="207" spans="2:8" x14ac:dyDescent="0.2">
      <c r="B207" s="8"/>
      <c r="C207" s="8"/>
      <c r="D207" s="8"/>
      <c r="E207" s="53"/>
      <c r="G207" s="37"/>
      <c r="H207" s="61"/>
    </row>
    <row r="208" spans="2:8" x14ac:dyDescent="0.2">
      <c r="B208" s="8"/>
      <c r="C208" s="8"/>
      <c r="D208" s="8"/>
      <c r="E208" s="53"/>
      <c r="G208" s="37"/>
      <c r="H208" s="61"/>
    </row>
    <row r="209" spans="2:8" x14ac:dyDescent="0.2">
      <c r="B209" s="8"/>
      <c r="C209" s="8"/>
      <c r="D209" s="8"/>
      <c r="E209" s="53"/>
      <c r="G209" s="37"/>
      <c r="H209" s="61"/>
    </row>
    <row r="210" spans="2:8" x14ac:dyDescent="0.2">
      <c r="B210" s="8"/>
      <c r="C210" s="8"/>
      <c r="D210" s="8"/>
      <c r="E210" s="53"/>
      <c r="G210" s="37"/>
      <c r="H210" s="61"/>
    </row>
    <row r="211" spans="2:8" x14ac:dyDescent="0.2">
      <c r="B211" s="8"/>
      <c r="C211" s="8"/>
      <c r="D211" s="8"/>
      <c r="E211" s="53"/>
      <c r="G211" s="37"/>
      <c r="H211" s="61"/>
    </row>
    <row r="212" spans="2:8" x14ac:dyDescent="0.2">
      <c r="B212" s="8"/>
      <c r="C212" s="8"/>
      <c r="D212" s="8"/>
      <c r="E212" s="53"/>
      <c r="G212" s="37"/>
      <c r="H212" s="61"/>
    </row>
    <row r="213" spans="2:8" x14ac:dyDescent="0.2">
      <c r="B213" s="8"/>
      <c r="C213" s="8"/>
      <c r="D213" s="8"/>
      <c r="E213" s="53"/>
      <c r="G213" s="37"/>
      <c r="H213" s="61"/>
    </row>
    <row r="214" spans="2:8" x14ac:dyDescent="0.2">
      <c r="B214" s="8"/>
      <c r="C214" s="8"/>
      <c r="D214" s="8"/>
      <c r="E214" s="53"/>
      <c r="G214" s="37"/>
      <c r="H214" s="61"/>
    </row>
    <row r="215" spans="2:8" x14ac:dyDescent="0.2">
      <c r="B215" s="8"/>
      <c r="C215" s="8"/>
      <c r="D215" s="8"/>
      <c r="E215" s="53"/>
      <c r="G215" s="37"/>
      <c r="H215" s="61"/>
    </row>
    <row r="216" spans="2:8" x14ac:dyDescent="0.2">
      <c r="B216" s="8"/>
      <c r="C216" s="8"/>
      <c r="D216" s="8"/>
      <c r="E216" s="53"/>
      <c r="G216" s="37"/>
      <c r="H216" s="61"/>
    </row>
    <row r="217" spans="2:8" x14ac:dyDescent="0.2">
      <c r="B217" s="8"/>
      <c r="C217" s="8"/>
      <c r="D217" s="8"/>
      <c r="E217" s="53"/>
      <c r="G217" s="37"/>
      <c r="H217" s="61"/>
    </row>
    <row r="218" spans="2:8" x14ac:dyDescent="0.2">
      <c r="B218" s="8"/>
      <c r="C218" s="8"/>
      <c r="D218" s="8"/>
      <c r="E218" s="53"/>
      <c r="G218" s="37"/>
      <c r="H218" s="61"/>
    </row>
    <row r="219" spans="2:8" x14ac:dyDescent="0.2">
      <c r="B219" s="8"/>
      <c r="C219" s="8"/>
      <c r="D219" s="8"/>
      <c r="E219" s="53"/>
      <c r="G219" s="37"/>
      <c r="H219" s="61"/>
    </row>
    <row r="220" spans="2:8" x14ac:dyDescent="0.2">
      <c r="B220" s="8"/>
      <c r="C220" s="8"/>
      <c r="D220" s="8"/>
      <c r="E220" s="53"/>
      <c r="G220" s="37"/>
      <c r="H220" s="61"/>
    </row>
    <row r="221" spans="2:8" x14ac:dyDescent="0.2">
      <c r="B221" s="8"/>
      <c r="C221" s="8"/>
      <c r="D221" s="8"/>
      <c r="E221" s="53"/>
      <c r="G221" s="37"/>
      <c r="H221" s="61"/>
    </row>
    <row r="222" spans="2:8" x14ac:dyDescent="0.2">
      <c r="B222" s="8"/>
      <c r="C222" s="8"/>
      <c r="D222" s="8"/>
      <c r="E222" s="53"/>
      <c r="G222" s="37"/>
      <c r="H222" s="61"/>
    </row>
    <row r="223" spans="2:8" x14ac:dyDescent="0.2">
      <c r="B223" s="8"/>
      <c r="C223" s="8"/>
      <c r="D223" s="8"/>
      <c r="E223" s="53"/>
      <c r="G223" s="37"/>
      <c r="H223" s="61"/>
    </row>
    <row r="224" spans="2:8" x14ac:dyDescent="0.2">
      <c r="B224" s="8"/>
      <c r="C224" s="8"/>
      <c r="D224" s="8"/>
      <c r="E224" s="53"/>
      <c r="G224" s="37"/>
      <c r="H224" s="61"/>
    </row>
    <row r="225" spans="2:8" x14ac:dyDescent="0.2">
      <c r="B225" s="8"/>
      <c r="C225" s="8"/>
      <c r="D225" s="8"/>
      <c r="E225" s="53"/>
      <c r="G225" s="37"/>
      <c r="H225" s="61"/>
    </row>
    <row r="226" spans="2:8" x14ac:dyDescent="0.2">
      <c r="B226" s="8"/>
      <c r="C226" s="8"/>
      <c r="D226" s="8"/>
      <c r="E226" s="53"/>
      <c r="G226" s="37"/>
      <c r="H226" s="61"/>
    </row>
    <row r="227" spans="2:8" x14ac:dyDescent="0.2">
      <c r="B227" s="8"/>
      <c r="C227" s="8"/>
      <c r="D227" s="8"/>
      <c r="E227" s="53"/>
      <c r="G227" s="37"/>
      <c r="H227" s="61"/>
    </row>
    <row r="228" spans="2:8" x14ac:dyDescent="0.2">
      <c r="B228" s="8"/>
      <c r="C228" s="8"/>
      <c r="D228" s="8"/>
      <c r="E228" s="53"/>
      <c r="G228" s="37"/>
      <c r="H228" s="61"/>
    </row>
    <row r="229" spans="2:8" x14ac:dyDescent="0.2">
      <c r="B229" s="8"/>
      <c r="C229" s="8"/>
      <c r="D229" s="8"/>
      <c r="E229" s="53"/>
      <c r="G229" s="37"/>
      <c r="H229" s="61"/>
    </row>
    <row r="230" spans="2:8" x14ac:dyDescent="0.2">
      <c r="B230" s="8"/>
      <c r="C230" s="8"/>
      <c r="D230" s="8"/>
      <c r="E230" s="53"/>
      <c r="G230" s="37"/>
      <c r="H230" s="61"/>
    </row>
    <row r="231" spans="2:8" x14ac:dyDescent="0.2">
      <c r="B231" s="8"/>
      <c r="C231" s="8"/>
      <c r="D231" s="8"/>
      <c r="E231" s="53"/>
      <c r="G231" s="37"/>
      <c r="H231" s="61"/>
    </row>
    <row r="232" spans="2:8" x14ac:dyDescent="0.2">
      <c r="B232" s="8"/>
      <c r="C232" s="8"/>
      <c r="D232" s="8"/>
      <c r="E232" s="53"/>
      <c r="G232" s="37"/>
      <c r="H232" s="61"/>
    </row>
    <row r="233" spans="2:8" x14ac:dyDescent="0.2">
      <c r="B233" s="8"/>
      <c r="C233" s="8"/>
      <c r="D233" s="8"/>
      <c r="E233" s="53"/>
      <c r="G233" s="37"/>
      <c r="H233" s="61"/>
    </row>
    <row r="234" spans="2:8" x14ac:dyDescent="0.2">
      <c r="B234" s="8"/>
      <c r="C234" s="8"/>
      <c r="D234" s="8"/>
      <c r="E234" s="53"/>
      <c r="G234" s="37"/>
      <c r="H234" s="61"/>
    </row>
    <row r="235" spans="2:8" x14ac:dyDescent="0.2">
      <c r="B235" s="8"/>
      <c r="C235" s="8"/>
      <c r="D235" s="8"/>
      <c r="E235" s="53"/>
      <c r="G235" s="37"/>
      <c r="H235" s="61"/>
    </row>
    <row r="236" spans="2:8" x14ac:dyDescent="0.2">
      <c r="B236" s="8"/>
      <c r="C236" s="8"/>
      <c r="D236" s="8"/>
      <c r="E236" s="53"/>
      <c r="G236" s="37"/>
      <c r="H236" s="61"/>
    </row>
    <row r="237" spans="2:8" x14ac:dyDescent="0.2">
      <c r="B237" s="8"/>
      <c r="C237" s="8"/>
      <c r="D237" s="8"/>
      <c r="E237" s="53"/>
      <c r="G237" s="37"/>
      <c r="H237" s="61"/>
    </row>
    <row r="238" spans="2:8" x14ac:dyDescent="0.2">
      <c r="B238" s="8"/>
      <c r="C238" s="8"/>
      <c r="D238" s="8"/>
      <c r="E238" s="53"/>
      <c r="G238" s="37"/>
      <c r="H238" s="61"/>
    </row>
    <row r="239" spans="2:8" x14ac:dyDescent="0.2">
      <c r="B239" s="8"/>
      <c r="C239" s="8"/>
      <c r="D239" s="8"/>
      <c r="E239" s="53"/>
      <c r="G239" s="37"/>
      <c r="H239" s="61"/>
    </row>
    <row r="240" spans="2:8" x14ac:dyDescent="0.2">
      <c r="B240" s="8"/>
      <c r="C240" s="8"/>
      <c r="D240" s="8"/>
      <c r="E240" s="53"/>
      <c r="G240" s="37"/>
      <c r="H240" s="61"/>
    </row>
    <row r="241" spans="2:8" x14ac:dyDescent="0.2">
      <c r="B241" s="8"/>
      <c r="C241" s="8"/>
      <c r="D241" s="8"/>
      <c r="E241" s="53"/>
      <c r="G241" s="37"/>
      <c r="H241" s="61"/>
    </row>
    <row r="242" spans="2:8" x14ac:dyDescent="0.2">
      <c r="B242" s="8"/>
      <c r="C242" s="8"/>
      <c r="D242" s="8"/>
      <c r="E242" s="53"/>
      <c r="G242" s="37"/>
      <c r="H242" s="61"/>
    </row>
    <row r="243" spans="2:8" x14ac:dyDescent="0.2">
      <c r="B243" s="8"/>
      <c r="C243" s="8"/>
      <c r="D243" s="8"/>
      <c r="E243" s="53"/>
      <c r="G243" s="37"/>
      <c r="H243" s="61"/>
    </row>
    <row r="244" spans="2:8" x14ac:dyDescent="0.2">
      <c r="B244" s="8"/>
      <c r="C244" s="8"/>
      <c r="D244" s="8"/>
      <c r="E244" s="53"/>
      <c r="G244" s="37"/>
      <c r="H244" s="61"/>
    </row>
    <row r="245" spans="2:8" x14ac:dyDescent="0.2">
      <c r="B245" s="8"/>
      <c r="C245" s="8"/>
      <c r="D245" s="8"/>
      <c r="E245" s="53"/>
      <c r="G245" s="37"/>
      <c r="H245" s="61"/>
    </row>
    <row r="246" spans="2:8" x14ac:dyDescent="0.2">
      <c r="B246" s="8"/>
      <c r="C246" s="8"/>
      <c r="D246" s="8"/>
      <c r="E246" s="53"/>
      <c r="G246" s="37"/>
      <c r="H246" s="61"/>
    </row>
    <row r="247" spans="2:8" x14ac:dyDescent="0.2">
      <c r="B247" s="8"/>
      <c r="C247" s="8"/>
      <c r="D247" s="8"/>
      <c r="E247" s="53"/>
      <c r="G247" s="37"/>
      <c r="H247" s="61"/>
    </row>
    <row r="248" spans="2:8" x14ac:dyDescent="0.2">
      <c r="B248" s="8"/>
      <c r="C248" s="8"/>
      <c r="D248" s="8"/>
      <c r="E248" s="53"/>
      <c r="G248" s="37"/>
      <c r="H248" s="61"/>
    </row>
    <row r="249" spans="2:8" x14ac:dyDescent="0.2">
      <c r="B249" s="8"/>
      <c r="C249" s="8"/>
      <c r="D249" s="8"/>
      <c r="E249" s="53"/>
      <c r="G249" s="37"/>
      <c r="H249" s="61"/>
    </row>
    <row r="250" spans="2:8" x14ac:dyDescent="0.2">
      <c r="B250" s="8"/>
      <c r="C250" s="8"/>
      <c r="D250" s="8"/>
      <c r="E250" s="53"/>
      <c r="G250" s="37"/>
      <c r="H250" s="61"/>
    </row>
    <row r="251" spans="2:8" x14ac:dyDescent="0.2">
      <c r="B251" s="8"/>
      <c r="C251" s="8"/>
      <c r="D251" s="8"/>
      <c r="E251" s="53"/>
      <c r="G251" s="37"/>
      <c r="H251" s="61"/>
    </row>
    <row r="252" spans="2:8" x14ac:dyDescent="0.2">
      <c r="B252" s="8"/>
      <c r="C252" s="8"/>
      <c r="D252" s="8"/>
      <c r="E252" s="53"/>
      <c r="G252" s="37"/>
      <c r="H252" s="61"/>
    </row>
    <row r="253" spans="2:8" x14ac:dyDescent="0.2">
      <c r="B253" s="8"/>
      <c r="C253" s="8"/>
      <c r="D253" s="8"/>
      <c r="E253" s="53"/>
      <c r="G253" s="37"/>
      <c r="H253" s="61"/>
    </row>
    <row r="254" spans="2:8" x14ac:dyDescent="0.2">
      <c r="B254" s="8"/>
      <c r="C254" s="8"/>
      <c r="D254" s="8"/>
      <c r="E254" s="53"/>
      <c r="G254" s="37"/>
      <c r="H254" s="61"/>
    </row>
    <row r="255" spans="2:8" x14ac:dyDescent="0.2">
      <c r="B255" s="8"/>
      <c r="C255" s="8"/>
      <c r="D255" s="8"/>
      <c r="E255" s="53"/>
      <c r="G255" s="37"/>
      <c r="H255" s="61"/>
    </row>
    <row r="256" spans="2:8" x14ac:dyDescent="0.2">
      <c r="B256" s="8"/>
      <c r="C256" s="8"/>
      <c r="D256" s="8"/>
      <c r="E256" s="53"/>
      <c r="G256" s="37"/>
      <c r="H256" s="61"/>
    </row>
    <row r="257" spans="2:8" x14ac:dyDescent="0.2">
      <c r="B257" s="8"/>
      <c r="C257" s="8"/>
      <c r="D257" s="8"/>
      <c r="E257" s="53"/>
      <c r="G257" s="37"/>
      <c r="H257" s="61"/>
    </row>
    <row r="258" spans="2:8" x14ac:dyDescent="0.2">
      <c r="B258" s="8"/>
      <c r="C258" s="8"/>
      <c r="D258" s="8"/>
      <c r="E258" s="53"/>
      <c r="G258" s="37"/>
      <c r="H258" s="61"/>
    </row>
    <row r="259" spans="2:8" x14ac:dyDescent="0.2">
      <c r="B259" s="8"/>
      <c r="C259" s="8"/>
      <c r="D259" s="8"/>
      <c r="E259" s="53"/>
      <c r="G259" s="37"/>
      <c r="H259" s="61"/>
    </row>
    <row r="260" spans="2:8" x14ac:dyDescent="0.2">
      <c r="B260" s="8"/>
      <c r="C260" s="8"/>
      <c r="D260" s="8"/>
      <c r="E260" s="53"/>
      <c r="G260" s="37"/>
      <c r="H260" s="61"/>
    </row>
    <row r="261" spans="2:8" x14ac:dyDescent="0.2">
      <c r="B261" s="8"/>
      <c r="C261" s="8"/>
      <c r="D261" s="8"/>
      <c r="E261" s="53"/>
      <c r="G261" s="37"/>
      <c r="H261" s="61"/>
    </row>
    <row r="262" spans="2:8" x14ac:dyDescent="0.2">
      <c r="B262" s="8"/>
      <c r="C262" s="8"/>
      <c r="D262" s="8"/>
      <c r="E262" s="53"/>
      <c r="G262" s="37"/>
      <c r="H262" s="61"/>
    </row>
    <row r="263" spans="2:8" x14ac:dyDescent="0.2">
      <c r="B263" s="8"/>
      <c r="C263" s="8"/>
      <c r="D263" s="8"/>
      <c r="E263" s="53"/>
      <c r="G263" s="37"/>
      <c r="H263" s="61"/>
    </row>
    <row r="264" spans="2:8" x14ac:dyDescent="0.2">
      <c r="B264" s="8"/>
      <c r="C264" s="8"/>
      <c r="D264" s="8"/>
      <c r="E264" s="53"/>
      <c r="G264" s="37"/>
      <c r="H264" s="61"/>
    </row>
    <row r="265" spans="2:8" x14ac:dyDescent="0.2">
      <c r="B265" s="8"/>
      <c r="C265" s="8"/>
      <c r="D265" s="8"/>
      <c r="E265" s="53"/>
      <c r="G265" s="37"/>
      <c r="H265" s="61"/>
    </row>
    <row r="266" spans="2:8" x14ac:dyDescent="0.2">
      <c r="B266" s="8"/>
      <c r="C266" s="8"/>
      <c r="D266" s="8"/>
      <c r="E266" s="53"/>
      <c r="G266" s="37"/>
      <c r="H266" s="61"/>
    </row>
    <row r="267" spans="2:8" x14ac:dyDescent="0.2">
      <c r="B267" s="8"/>
      <c r="C267" s="8"/>
      <c r="D267" s="8"/>
      <c r="E267" s="53"/>
      <c r="G267" s="37"/>
      <c r="H267" s="61"/>
    </row>
    <row r="268" spans="2:8" x14ac:dyDescent="0.2">
      <c r="B268" s="8"/>
      <c r="C268" s="8"/>
      <c r="D268" s="8"/>
      <c r="E268" s="53"/>
      <c r="G268" s="37"/>
      <c r="H268" s="61"/>
    </row>
    <row r="269" spans="2:8" x14ac:dyDescent="0.2">
      <c r="B269" s="8"/>
      <c r="C269" s="8"/>
      <c r="D269" s="8"/>
      <c r="E269" s="53"/>
      <c r="G269" s="37"/>
      <c r="H269" s="61"/>
    </row>
    <row r="270" spans="2:8" x14ac:dyDescent="0.2">
      <c r="B270" s="8"/>
      <c r="C270" s="8"/>
      <c r="D270" s="8"/>
      <c r="E270" s="53"/>
      <c r="G270" s="37"/>
      <c r="H270" s="61"/>
    </row>
    <row r="271" spans="2:8" x14ac:dyDescent="0.2">
      <c r="B271" s="8"/>
      <c r="C271" s="8"/>
      <c r="D271" s="8"/>
      <c r="E271" s="53"/>
      <c r="G271" s="37"/>
      <c r="H271" s="61"/>
    </row>
    <row r="272" spans="2:8" x14ac:dyDescent="0.2">
      <c r="B272" s="8"/>
      <c r="C272" s="8"/>
      <c r="D272" s="8"/>
      <c r="E272" s="53"/>
      <c r="G272" s="37"/>
      <c r="H272" s="61"/>
    </row>
    <row r="273" spans="2:8" x14ac:dyDescent="0.2">
      <c r="B273" s="8"/>
      <c r="C273" s="8"/>
      <c r="D273" s="8"/>
      <c r="E273" s="53"/>
      <c r="G273" s="37"/>
      <c r="H273" s="61"/>
    </row>
    <row r="274" spans="2:8" x14ac:dyDescent="0.2">
      <c r="B274" s="8"/>
      <c r="C274" s="8"/>
      <c r="D274" s="8"/>
      <c r="E274" s="53"/>
      <c r="G274" s="37"/>
      <c r="H274" s="61"/>
    </row>
    <row r="275" spans="2:8" x14ac:dyDescent="0.2">
      <c r="B275" s="8"/>
      <c r="C275" s="8"/>
      <c r="D275" s="8"/>
      <c r="E275" s="53"/>
      <c r="G275" s="37"/>
      <c r="H275" s="61"/>
    </row>
    <row r="276" spans="2:8" x14ac:dyDescent="0.2">
      <c r="B276" s="8"/>
      <c r="C276" s="8"/>
      <c r="D276" s="8"/>
      <c r="E276" s="53"/>
      <c r="G276" s="37"/>
      <c r="H276" s="61"/>
    </row>
    <row r="277" spans="2:8" x14ac:dyDescent="0.2">
      <c r="B277" s="8"/>
      <c r="C277" s="8"/>
      <c r="D277" s="8"/>
      <c r="E277" s="53"/>
      <c r="G277" s="37"/>
      <c r="H277" s="61"/>
    </row>
    <row r="278" spans="2:8" x14ac:dyDescent="0.2">
      <c r="B278" s="8"/>
      <c r="C278" s="8"/>
      <c r="D278" s="8"/>
      <c r="E278" s="53"/>
      <c r="G278" s="37"/>
      <c r="H278" s="61"/>
    </row>
    <row r="279" spans="2:8" x14ac:dyDescent="0.2">
      <c r="B279" s="8"/>
      <c r="C279" s="8"/>
      <c r="D279" s="8"/>
      <c r="E279" s="53"/>
      <c r="G279" s="37"/>
      <c r="H279" s="61"/>
    </row>
    <row r="280" spans="2:8" x14ac:dyDescent="0.2">
      <c r="B280" s="8"/>
      <c r="C280" s="8"/>
      <c r="D280" s="8"/>
      <c r="E280" s="53"/>
      <c r="G280" s="37"/>
      <c r="H280" s="61"/>
    </row>
    <row r="281" spans="2:8" x14ac:dyDescent="0.2">
      <c r="B281" s="8"/>
      <c r="C281" s="8"/>
      <c r="D281" s="8"/>
      <c r="E281" s="53"/>
      <c r="G281" s="37"/>
      <c r="H281" s="61"/>
    </row>
    <row r="282" spans="2:8" x14ac:dyDescent="0.2">
      <c r="B282" s="8"/>
      <c r="C282" s="8"/>
      <c r="D282" s="8"/>
      <c r="E282" s="53"/>
      <c r="G282" s="37"/>
      <c r="H282" s="61"/>
    </row>
    <row r="283" spans="2:8" x14ac:dyDescent="0.2">
      <c r="B283" s="8"/>
      <c r="C283" s="8"/>
      <c r="D283" s="8"/>
      <c r="E283" s="53"/>
      <c r="G283" s="37"/>
      <c r="H283" s="61"/>
    </row>
    <row r="284" spans="2:8" x14ac:dyDescent="0.2">
      <c r="B284" s="8"/>
      <c r="C284" s="8"/>
      <c r="D284" s="8"/>
      <c r="E284" s="53"/>
      <c r="G284" s="37"/>
      <c r="H284" s="61"/>
    </row>
    <row r="285" spans="2:8" x14ac:dyDescent="0.2">
      <c r="B285" s="8"/>
      <c r="C285" s="8"/>
      <c r="D285" s="8"/>
      <c r="E285" s="53"/>
      <c r="G285" s="37"/>
      <c r="H285" s="61"/>
    </row>
    <row r="286" spans="2:8" x14ac:dyDescent="0.2">
      <c r="B286" s="8"/>
      <c r="C286" s="8"/>
      <c r="D286" s="8"/>
      <c r="E286" s="53"/>
      <c r="G286" s="37"/>
      <c r="H286" s="61"/>
    </row>
    <row r="287" spans="2:8" x14ac:dyDescent="0.2">
      <c r="B287" s="8"/>
      <c r="C287" s="8"/>
      <c r="D287" s="8"/>
      <c r="E287" s="53"/>
      <c r="G287" s="37"/>
      <c r="H287" s="61"/>
    </row>
    <row r="288" spans="2:8" x14ac:dyDescent="0.2">
      <c r="B288" s="8"/>
      <c r="C288" s="8"/>
      <c r="D288" s="8"/>
      <c r="E288" s="53"/>
      <c r="G288" s="37"/>
      <c r="H288" s="61"/>
    </row>
    <row r="289" spans="2:8" x14ac:dyDescent="0.2">
      <c r="B289" s="8"/>
      <c r="C289" s="8"/>
      <c r="D289" s="8"/>
      <c r="E289" s="53"/>
      <c r="G289" s="37"/>
      <c r="H289" s="61"/>
    </row>
    <row r="290" spans="2:8" x14ac:dyDescent="0.2">
      <c r="B290" s="8"/>
      <c r="C290" s="8"/>
      <c r="D290" s="8"/>
      <c r="E290" s="53"/>
      <c r="G290" s="37"/>
      <c r="H290" s="61"/>
    </row>
    <row r="291" spans="2:8" x14ac:dyDescent="0.2">
      <c r="B291" s="8"/>
      <c r="C291" s="8"/>
      <c r="D291" s="8"/>
      <c r="E291" s="53"/>
      <c r="G291" s="37"/>
      <c r="H291" s="61"/>
    </row>
    <row r="292" spans="2:8" x14ac:dyDescent="0.2">
      <c r="B292" s="8"/>
      <c r="C292" s="8"/>
      <c r="D292" s="8"/>
      <c r="E292" s="53"/>
      <c r="G292" s="37"/>
      <c r="H292" s="61"/>
    </row>
    <row r="293" spans="2:8" x14ac:dyDescent="0.2">
      <c r="B293" s="8"/>
      <c r="C293" s="8"/>
      <c r="D293" s="8"/>
      <c r="E293" s="53"/>
      <c r="G293" s="37"/>
      <c r="H293" s="61"/>
    </row>
    <row r="294" spans="2:8" x14ac:dyDescent="0.2">
      <c r="B294" s="8"/>
      <c r="C294" s="8"/>
      <c r="D294" s="8"/>
      <c r="E294" s="53"/>
      <c r="G294" s="37"/>
      <c r="H294" s="61"/>
    </row>
    <row r="295" spans="2:8" x14ac:dyDescent="0.2">
      <c r="B295" s="8"/>
      <c r="C295" s="8"/>
      <c r="D295" s="8"/>
      <c r="E295" s="53"/>
      <c r="G295" s="37"/>
      <c r="H295" s="61"/>
    </row>
    <row r="296" spans="2:8" x14ac:dyDescent="0.2">
      <c r="B296" s="8"/>
      <c r="C296" s="8"/>
      <c r="D296" s="8"/>
      <c r="E296" s="53"/>
      <c r="G296" s="37"/>
      <c r="H296" s="61"/>
    </row>
    <row r="297" spans="2:8" x14ac:dyDescent="0.2">
      <c r="B297" s="8"/>
      <c r="C297" s="8"/>
      <c r="D297" s="8"/>
      <c r="E297" s="53"/>
      <c r="G297" s="37"/>
      <c r="H297" s="61"/>
    </row>
    <row r="298" spans="2:8" x14ac:dyDescent="0.2">
      <c r="B298" s="8"/>
      <c r="C298" s="8"/>
      <c r="D298" s="8"/>
      <c r="E298" s="53"/>
      <c r="G298" s="37"/>
      <c r="H298" s="61"/>
    </row>
    <row r="299" spans="2:8" x14ac:dyDescent="0.2">
      <c r="B299" s="8"/>
      <c r="C299" s="8"/>
      <c r="D299" s="8"/>
      <c r="E299" s="53"/>
      <c r="G299" s="37"/>
      <c r="H299" s="61"/>
    </row>
    <row r="300" spans="2:8" x14ac:dyDescent="0.2">
      <c r="B300" s="8"/>
      <c r="C300" s="8"/>
      <c r="D300" s="8"/>
      <c r="E300" s="53"/>
      <c r="G300" s="37"/>
      <c r="H300" s="61"/>
    </row>
    <row r="301" spans="2:8" x14ac:dyDescent="0.2">
      <c r="B301" s="8"/>
      <c r="C301" s="8"/>
      <c r="D301" s="8"/>
      <c r="E301" s="53"/>
      <c r="G301" s="37"/>
      <c r="H301" s="61"/>
    </row>
    <row r="302" spans="2:8" x14ac:dyDescent="0.2">
      <c r="B302" s="8"/>
      <c r="C302" s="8"/>
      <c r="D302" s="8"/>
      <c r="E302" s="53"/>
      <c r="G302" s="37"/>
      <c r="H302" s="61"/>
    </row>
    <row r="303" spans="2:8" x14ac:dyDescent="0.2">
      <c r="B303" s="8"/>
      <c r="C303" s="8"/>
      <c r="D303" s="8"/>
      <c r="E303" s="53"/>
      <c r="G303" s="37"/>
      <c r="H303" s="61"/>
    </row>
    <row r="304" spans="2:8" x14ac:dyDescent="0.2">
      <c r="B304" s="8"/>
      <c r="C304" s="8"/>
      <c r="D304" s="8"/>
      <c r="E304" s="53"/>
      <c r="G304" s="37"/>
      <c r="H304" s="61"/>
    </row>
    <row r="305" spans="2:8" x14ac:dyDescent="0.2">
      <c r="B305" s="8"/>
      <c r="C305" s="8"/>
      <c r="D305" s="8"/>
      <c r="E305" s="53"/>
      <c r="G305" s="37"/>
      <c r="H305" s="61"/>
    </row>
    <row r="306" spans="2:8" x14ac:dyDescent="0.2">
      <c r="B306" s="8"/>
      <c r="C306" s="8"/>
      <c r="D306" s="8"/>
      <c r="E306" s="53"/>
      <c r="G306" s="37"/>
      <c r="H306" s="61"/>
    </row>
    <row r="307" spans="2:8" x14ac:dyDescent="0.2">
      <c r="B307" s="8"/>
      <c r="C307" s="8"/>
      <c r="D307" s="8"/>
      <c r="E307" s="53"/>
      <c r="G307" s="37"/>
      <c r="H307" s="61"/>
    </row>
    <row r="308" spans="2:8" x14ac:dyDescent="0.2">
      <c r="B308" s="8"/>
      <c r="C308" s="8"/>
      <c r="D308" s="8"/>
      <c r="E308" s="53"/>
      <c r="G308" s="37"/>
      <c r="H308" s="61"/>
    </row>
    <row r="309" spans="2:8" x14ac:dyDescent="0.2">
      <c r="B309" s="8"/>
      <c r="C309" s="8"/>
      <c r="D309" s="8"/>
      <c r="E309" s="53"/>
      <c r="G309" s="37"/>
      <c r="H309" s="61"/>
    </row>
    <row r="310" spans="2:8" x14ac:dyDescent="0.2">
      <c r="B310" s="8"/>
      <c r="C310" s="8"/>
      <c r="D310" s="8"/>
      <c r="E310" s="53"/>
      <c r="G310" s="37"/>
      <c r="H310" s="61"/>
    </row>
    <row r="311" spans="2:8" x14ac:dyDescent="0.2">
      <c r="B311" s="8"/>
      <c r="C311" s="8"/>
      <c r="D311" s="8"/>
      <c r="E311" s="53"/>
      <c r="G311" s="37"/>
      <c r="H311" s="61"/>
    </row>
    <row r="312" spans="2:8" x14ac:dyDescent="0.2">
      <c r="B312" s="8"/>
      <c r="C312" s="8"/>
      <c r="D312" s="8"/>
      <c r="E312" s="53"/>
      <c r="G312" s="37"/>
      <c r="H312" s="61"/>
    </row>
    <row r="313" spans="2:8" x14ac:dyDescent="0.2">
      <c r="B313" s="8"/>
      <c r="C313" s="8"/>
      <c r="D313" s="8"/>
      <c r="E313" s="53"/>
      <c r="G313" s="37"/>
      <c r="H313" s="61"/>
    </row>
    <row r="314" spans="2:8" x14ac:dyDescent="0.2">
      <c r="B314" s="8"/>
      <c r="C314" s="8"/>
      <c r="D314" s="8"/>
      <c r="E314" s="53"/>
      <c r="G314" s="37"/>
      <c r="H314" s="61"/>
    </row>
    <row r="315" spans="2:8" x14ac:dyDescent="0.2">
      <c r="B315" s="8"/>
      <c r="C315" s="8"/>
      <c r="D315" s="8"/>
      <c r="E315" s="53"/>
      <c r="G315" s="37"/>
      <c r="H315" s="61"/>
    </row>
    <row r="316" spans="2:8" x14ac:dyDescent="0.2">
      <c r="B316" s="8"/>
      <c r="C316" s="8"/>
      <c r="D316" s="8"/>
      <c r="E316" s="53"/>
      <c r="G316" s="37"/>
      <c r="H316" s="61"/>
    </row>
    <row r="317" spans="2:8" x14ac:dyDescent="0.2">
      <c r="B317" s="8"/>
      <c r="C317" s="8"/>
      <c r="D317" s="8"/>
      <c r="E317" s="53"/>
      <c r="G317" s="37"/>
      <c r="H317" s="61"/>
    </row>
    <row r="318" spans="2:8" x14ac:dyDescent="0.2">
      <c r="B318" s="8"/>
      <c r="C318" s="8"/>
      <c r="D318" s="8"/>
      <c r="E318" s="53"/>
      <c r="G318" s="37"/>
      <c r="H318" s="61"/>
    </row>
    <row r="319" spans="2:8" x14ac:dyDescent="0.2">
      <c r="B319" s="8"/>
      <c r="C319" s="8"/>
      <c r="D319" s="8"/>
      <c r="E319" s="53"/>
      <c r="G319" s="37"/>
      <c r="H319" s="61"/>
    </row>
    <row r="320" spans="2:8" x14ac:dyDescent="0.2">
      <c r="B320" s="8"/>
      <c r="C320" s="8"/>
      <c r="D320" s="8"/>
      <c r="E320" s="53"/>
      <c r="G320" s="37"/>
      <c r="H320" s="61"/>
    </row>
    <row r="321" spans="2:8" x14ac:dyDescent="0.2">
      <c r="B321" s="8"/>
      <c r="C321" s="8"/>
      <c r="D321" s="8"/>
      <c r="E321" s="53"/>
      <c r="G321" s="37"/>
      <c r="H321" s="61"/>
    </row>
    <row r="322" spans="2:8" x14ac:dyDescent="0.2">
      <c r="B322" s="8"/>
      <c r="C322" s="8"/>
      <c r="D322" s="8"/>
      <c r="E322" s="53"/>
      <c r="G322" s="37"/>
      <c r="H322" s="61"/>
    </row>
    <row r="323" spans="2:8" x14ac:dyDescent="0.2">
      <c r="B323" s="8"/>
      <c r="C323" s="8"/>
      <c r="D323" s="8"/>
      <c r="E323" s="53"/>
      <c r="G323" s="37"/>
      <c r="H323" s="61"/>
    </row>
    <row r="324" spans="2:8" x14ac:dyDescent="0.2">
      <c r="B324" s="8"/>
      <c r="C324" s="8"/>
      <c r="D324" s="8"/>
      <c r="E324" s="53"/>
      <c r="G324" s="37"/>
      <c r="H324" s="61"/>
    </row>
    <row r="325" spans="2:8" x14ac:dyDescent="0.2">
      <c r="B325" s="8"/>
      <c r="C325" s="8"/>
      <c r="D325" s="8"/>
      <c r="E325" s="53"/>
      <c r="G325" s="37"/>
      <c r="H325" s="61"/>
    </row>
    <row r="326" spans="2:8" x14ac:dyDescent="0.2">
      <c r="B326" s="8"/>
      <c r="C326" s="8"/>
      <c r="D326" s="8"/>
      <c r="E326" s="53"/>
      <c r="G326" s="37"/>
      <c r="H326" s="61"/>
    </row>
    <row r="327" spans="2:8" x14ac:dyDescent="0.2">
      <c r="B327" s="8"/>
      <c r="C327" s="8"/>
      <c r="D327" s="8"/>
      <c r="E327" s="53"/>
      <c r="G327" s="37"/>
      <c r="H327" s="61"/>
    </row>
    <row r="328" spans="2:8" x14ac:dyDescent="0.2">
      <c r="B328" s="8"/>
      <c r="C328" s="8"/>
      <c r="D328" s="8"/>
      <c r="E328" s="53"/>
      <c r="G328" s="37"/>
      <c r="H328" s="61"/>
    </row>
    <row r="329" spans="2:8" x14ac:dyDescent="0.2">
      <c r="B329" s="8"/>
      <c r="C329" s="8"/>
      <c r="D329" s="8"/>
      <c r="E329" s="53"/>
      <c r="G329" s="37"/>
      <c r="H329" s="61"/>
    </row>
    <row r="330" spans="2:8" x14ac:dyDescent="0.2">
      <c r="B330" s="8"/>
      <c r="C330" s="8"/>
      <c r="D330" s="8"/>
      <c r="E330" s="53"/>
      <c r="G330" s="37"/>
      <c r="H330" s="61"/>
    </row>
    <row r="331" spans="2:8" x14ac:dyDescent="0.2">
      <c r="B331" s="8"/>
      <c r="C331" s="8"/>
      <c r="D331" s="8"/>
      <c r="E331" s="53"/>
      <c r="G331" s="37"/>
      <c r="H331" s="61"/>
    </row>
    <row r="332" spans="2:8" x14ac:dyDescent="0.2">
      <c r="B332" s="8"/>
      <c r="C332" s="8"/>
      <c r="D332" s="8"/>
      <c r="E332" s="53"/>
      <c r="G332" s="37"/>
      <c r="H332" s="61"/>
    </row>
    <row r="333" spans="2:8" x14ac:dyDescent="0.2">
      <c r="B333" s="8"/>
      <c r="C333" s="8"/>
      <c r="D333" s="8"/>
      <c r="E333" s="53"/>
      <c r="G333" s="37"/>
      <c r="H333" s="61"/>
    </row>
    <row r="334" spans="2:8" x14ac:dyDescent="0.2">
      <c r="B334" s="8"/>
      <c r="C334" s="8"/>
      <c r="D334" s="8"/>
      <c r="E334" s="53"/>
      <c r="G334" s="37"/>
      <c r="H334" s="61"/>
    </row>
    <row r="335" spans="2:8" x14ac:dyDescent="0.2">
      <c r="B335" s="8"/>
      <c r="C335" s="8"/>
      <c r="D335" s="8"/>
      <c r="E335" s="53"/>
      <c r="G335" s="37"/>
      <c r="H335" s="61"/>
    </row>
    <row r="336" spans="2:8" x14ac:dyDescent="0.2">
      <c r="B336" s="8"/>
      <c r="C336" s="8"/>
      <c r="D336" s="8"/>
      <c r="E336" s="53"/>
      <c r="G336" s="37"/>
      <c r="H336" s="61"/>
    </row>
    <row r="337" spans="2:8" x14ac:dyDescent="0.2">
      <c r="B337" s="8"/>
      <c r="C337" s="8"/>
      <c r="D337" s="8"/>
      <c r="E337" s="53"/>
      <c r="G337" s="37"/>
      <c r="H337" s="61"/>
    </row>
    <row r="338" spans="2:8" x14ac:dyDescent="0.2">
      <c r="B338" s="8"/>
      <c r="C338" s="8"/>
      <c r="D338" s="8"/>
      <c r="E338" s="53"/>
      <c r="G338" s="37"/>
      <c r="H338" s="61"/>
    </row>
    <row r="339" spans="2:8" x14ac:dyDescent="0.2">
      <c r="B339" s="8"/>
      <c r="C339" s="8"/>
      <c r="D339" s="8"/>
      <c r="E339" s="53"/>
      <c r="G339" s="37"/>
      <c r="H339" s="61"/>
    </row>
    <row r="340" spans="2:8" x14ac:dyDescent="0.2">
      <c r="B340" s="8"/>
      <c r="C340" s="8"/>
      <c r="D340" s="8"/>
      <c r="E340" s="53"/>
      <c r="G340" s="37"/>
      <c r="H340" s="61"/>
    </row>
    <row r="341" spans="2:8" x14ac:dyDescent="0.2">
      <c r="B341" s="8"/>
      <c r="C341" s="8"/>
      <c r="D341" s="8"/>
      <c r="E341" s="53"/>
      <c r="G341" s="37"/>
      <c r="H341" s="61"/>
    </row>
    <row r="342" spans="2:8" x14ac:dyDescent="0.2">
      <c r="B342" s="8"/>
      <c r="C342" s="8"/>
      <c r="D342" s="8"/>
      <c r="E342" s="53"/>
      <c r="G342" s="37"/>
      <c r="H342" s="61"/>
    </row>
    <row r="343" spans="2:8" x14ac:dyDescent="0.2">
      <c r="B343" s="8"/>
      <c r="C343" s="8"/>
      <c r="D343" s="8"/>
      <c r="E343" s="53"/>
      <c r="G343" s="37"/>
      <c r="H343" s="61"/>
    </row>
    <row r="344" spans="2:8" x14ac:dyDescent="0.2">
      <c r="B344" s="8"/>
      <c r="C344" s="8"/>
      <c r="D344" s="8"/>
      <c r="E344" s="53"/>
      <c r="G344" s="37"/>
      <c r="H344" s="61"/>
    </row>
    <row r="345" spans="2:8" x14ac:dyDescent="0.2">
      <c r="B345" s="8"/>
      <c r="C345" s="8"/>
      <c r="D345" s="8"/>
      <c r="E345" s="53"/>
      <c r="G345" s="37"/>
      <c r="H345" s="61"/>
    </row>
    <row r="346" spans="2:8" x14ac:dyDescent="0.2">
      <c r="B346" s="8"/>
      <c r="C346" s="8"/>
      <c r="D346" s="8"/>
      <c r="E346" s="53"/>
      <c r="G346" s="37"/>
      <c r="H346" s="61"/>
    </row>
    <row r="347" spans="2:8" x14ac:dyDescent="0.2">
      <c r="B347" s="8"/>
      <c r="C347" s="8"/>
      <c r="D347" s="8"/>
      <c r="E347" s="53"/>
      <c r="G347" s="37"/>
      <c r="H347" s="61"/>
    </row>
    <row r="348" spans="2:8" x14ac:dyDescent="0.2">
      <c r="B348" s="8"/>
      <c r="C348" s="8"/>
      <c r="D348" s="8"/>
      <c r="E348" s="53"/>
      <c r="G348" s="37"/>
      <c r="H348" s="61"/>
    </row>
    <row r="349" spans="2:8" x14ac:dyDescent="0.2">
      <c r="B349" s="8"/>
      <c r="C349" s="8"/>
      <c r="D349" s="8"/>
      <c r="E349" s="53"/>
      <c r="G349" s="37"/>
      <c r="H349" s="61"/>
    </row>
    <row r="350" spans="2:8" x14ac:dyDescent="0.2">
      <c r="B350" s="8"/>
      <c r="C350" s="8"/>
      <c r="D350" s="8"/>
      <c r="E350" s="53"/>
      <c r="G350" s="37"/>
      <c r="H350" s="61"/>
    </row>
    <row r="351" spans="2:8" x14ac:dyDescent="0.2">
      <c r="B351" s="8"/>
      <c r="C351" s="8"/>
      <c r="D351" s="8"/>
      <c r="E351" s="53"/>
      <c r="G351" s="37"/>
      <c r="H351" s="61"/>
    </row>
    <row r="352" spans="2:8" x14ac:dyDescent="0.2">
      <c r="B352" s="8"/>
      <c r="C352" s="8"/>
      <c r="D352" s="8"/>
      <c r="E352" s="53"/>
      <c r="G352" s="37"/>
      <c r="H352" s="61"/>
    </row>
    <row r="353" spans="2:8" x14ac:dyDescent="0.2">
      <c r="B353" s="8"/>
      <c r="C353" s="8"/>
      <c r="D353" s="8"/>
      <c r="E353" s="53"/>
      <c r="G353" s="37"/>
      <c r="H353" s="61"/>
    </row>
    <row r="354" spans="2:8" x14ac:dyDescent="0.2">
      <c r="B354" s="8"/>
      <c r="C354" s="8"/>
      <c r="D354" s="8"/>
      <c r="E354" s="53"/>
      <c r="G354" s="37"/>
      <c r="H354" s="61"/>
    </row>
    <row r="355" spans="2:8" x14ac:dyDescent="0.2">
      <c r="B355" s="8"/>
      <c r="C355" s="8"/>
      <c r="D355" s="8"/>
      <c r="E355" s="53"/>
      <c r="G355" s="37"/>
      <c r="H355" s="61"/>
    </row>
    <row r="356" spans="2:8" x14ac:dyDescent="0.2">
      <c r="B356" s="8"/>
      <c r="C356" s="8"/>
      <c r="D356" s="8"/>
      <c r="E356" s="53"/>
      <c r="G356" s="37"/>
      <c r="H356" s="61"/>
    </row>
    <row r="357" spans="2:8" x14ac:dyDescent="0.2">
      <c r="B357" s="8"/>
      <c r="C357" s="8"/>
      <c r="D357" s="8"/>
      <c r="E357" s="53"/>
      <c r="G357" s="37"/>
      <c r="H357" s="61"/>
    </row>
    <row r="358" spans="2:8" x14ac:dyDescent="0.2">
      <c r="B358" s="8"/>
      <c r="C358" s="8"/>
      <c r="D358" s="8"/>
      <c r="E358" s="53"/>
      <c r="G358" s="37"/>
      <c r="H358" s="61"/>
    </row>
    <row r="359" spans="2:8" x14ac:dyDescent="0.2">
      <c r="B359" s="8"/>
      <c r="C359" s="8"/>
      <c r="D359" s="8"/>
      <c r="E359" s="53"/>
      <c r="G359" s="37"/>
      <c r="H359" s="61"/>
    </row>
    <row r="360" spans="2:8" x14ac:dyDescent="0.2">
      <c r="B360" s="8"/>
      <c r="C360" s="8"/>
      <c r="D360" s="8"/>
      <c r="E360" s="53"/>
      <c r="G360" s="37"/>
      <c r="H360" s="61"/>
    </row>
    <row r="361" spans="2:8" x14ac:dyDescent="0.2">
      <c r="B361" s="8"/>
      <c r="C361" s="8"/>
      <c r="D361" s="8"/>
      <c r="E361" s="53"/>
      <c r="G361" s="37"/>
      <c r="H361" s="61"/>
    </row>
    <row r="362" spans="2:8" x14ac:dyDescent="0.2">
      <c r="B362" s="8"/>
      <c r="C362" s="8"/>
      <c r="D362" s="8"/>
      <c r="E362" s="53"/>
      <c r="G362" s="37"/>
      <c r="H362" s="61"/>
    </row>
    <row r="363" spans="2:8" x14ac:dyDescent="0.2">
      <c r="B363" s="8"/>
      <c r="C363" s="8"/>
      <c r="D363" s="8"/>
      <c r="E363" s="53"/>
      <c r="G363" s="37"/>
      <c r="H363" s="61"/>
    </row>
    <row r="364" spans="2:8" x14ac:dyDescent="0.2">
      <c r="B364" s="8"/>
      <c r="C364" s="8"/>
      <c r="D364" s="8"/>
      <c r="E364" s="53"/>
      <c r="G364" s="37"/>
      <c r="H364" s="61"/>
    </row>
    <row r="365" spans="2:8" x14ac:dyDescent="0.2">
      <c r="B365" s="8"/>
      <c r="C365" s="8"/>
      <c r="D365" s="8"/>
      <c r="E365" s="53"/>
      <c r="G365" s="37"/>
      <c r="H365" s="61"/>
    </row>
    <row r="366" spans="2:8" x14ac:dyDescent="0.2">
      <c r="B366" s="8"/>
      <c r="C366" s="8"/>
      <c r="D366" s="8"/>
      <c r="E366" s="53"/>
      <c r="G366" s="37"/>
      <c r="H366" s="61"/>
    </row>
    <row r="367" spans="2:8" x14ac:dyDescent="0.2">
      <c r="B367" s="8"/>
      <c r="C367" s="8"/>
      <c r="D367" s="8"/>
      <c r="E367" s="53"/>
      <c r="G367" s="37"/>
      <c r="H367" s="61"/>
    </row>
    <row r="368" spans="2:8" x14ac:dyDescent="0.2">
      <c r="B368" s="8"/>
      <c r="C368" s="8"/>
      <c r="D368" s="8"/>
      <c r="E368" s="53"/>
      <c r="G368" s="37"/>
      <c r="H368" s="61"/>
    </row>
    <row r="369" spans="2:8" x14ac:dyDescent="0.2">
      <c r="B369" s="8"/>
      <c r="C369" s="8"/>
      <c r="D369" s="8"/>
      <c r="E369" s="53"/>
      <c r="G369" s="37"/>
      <c r="H369" s="61"/>
    </row>
    <row r="370" spans="2:8" x14ac:dyDescent="0.2">
      <c r="B370" s="8"/>
      <c r="C370" s="8"/>
      <c r="D370" s="8"/>
      <c r="E370" s="53"/>
      <c r="G370" s="37"/>
      <c r="H370" s="61"/>
    </row>
    <row r="371" spans="2:8" x14ac:dyDescent="0.2">
      <c r="B371" s="8"/>
      <c r="C371" s="8"/>
      <c r="D371" s="8"/>
      <c r="E371" s="53"/>
      <c r="G371" s="37"/>
      <c r="H371" s="61"/>
    </row>
    <row r="372" spans="2:8" x14ac:dyDescent="0.2">
      <c r="B372" s="8"/>
      <c r="C372" s="8"/>
      <c r="D372" s="8"/>
      <c r="E372" s="53"/>
      <c r="G372" s="37"/>
      <c r="H372" s="61"/>
    </row>
    <row r="373" spans="2:8" x14ac:dyDescent="0.2">
      <c r="B373" s="8"/>
      <c r="C373" s="8"/>
      <c r="D373" s="8"/>
      <c r="E373" s="53"/>
      <c r="G373" s="37"/>
      <c r="H373" s="61"/>
    </row>
    <row r="374" spans="2:8" x14ac:dyDescent="0.2">
      <c r="B374" s="8"/>
      <c r="C374" s="8"/>
      <c r="D374" s="8"/>
      <c r="E374" s="53"/>
      <c r="G374" s="37"/>
      <c r="H374" s="61"/>
    </row>
    <row r="375" spans="2:8" x14ac:dyDescent="0.2">
      <c r="B375" s="8"/>
      <c r="C375" s="8"/>
      <c r="D375" s="8"/>
      <c r="E375" s="53"/>
      <c r="G375" s="37"/>
      <c r="H375" s="61"/>
    </row>
    <row r="376" spans="2:8" x14ac:dyDescent="0.2">
      <c r="B376" s="8"/>
      <c r="C376" s="8"/>
      <c r="D376" s="8"/>
      <c r="E376" s="53"/>
      <c r="G376" s="37"/>
      <c r="H376" s="61"/>
    </row>
    <row r="377" spans="2:8" x14ac:dyDescent="0.2">
      <c r="B377" s="8"/>
      <c r="C377" s="8"/>
      <c r="D377" s="8"/>
      <c r="E377" s="53"/>
      <c r="G377" s="37"/>
      <c r="H377" s="61"/>
    </row>
    <row r="378" spans="2:8" x14ac:dyDescent="0.2">
      <c r="B378" s="8"/>
      <c r="C378" s="8"/>
      <c r="D378" s="8"/>
      <c r="E378" s="53"/>
      <c r="G378" s="37"/>
      <c r="H378" s="61"/>
    </row>
    <row r="379" spans="2:8" x14ac:dyDescent="0.2">
      <c r="B379" s="8"/>
      <c r="C379" s="8"/>
      <c r="D379" s="8"/>
      <c r="E379" s="53"/>
      <c r="G379" s="37"/>
      <c r="H379" s="61"/>
    </row>
    <row r="380" spans="2:8" x14ac:dyDescent="0.2">
      <c r="B380" s="8"/>
      <c r="C380" s="8"/>
      <c r="D380" s="8"/>
      <c r="E380" s="53"/>
      <c r="G380" s="37"/>
      <c r="H380" s="61"/>
    </row>
    <row r="381" spans="2:8" x14ac:dyDescent="0.2">
      <c r="B381" s="8"/>
      <c r="C381" s="8"/>
      <c r="D381" s="8"/>
      <c r="E381" s="53"/>
      <c r="G381" s="37"/>
      <c r="H381" s="61"/>
    </row>
    <row r="382" spans="2:8" x14ac:dyDescent="0.2">
      <c r="B382" s="8"/>
      <c r="C382" s="8"/>
      <c r="D382" s="8"/>
      <c r="E382" s="53"/>
      <c r="G382" s="37"/>
      <c r="H382" s="61"/>
    </row>
    <row r="383" spans="2:8" x14ac:dyDescent="0.2">
      <c r="B383" s="8"/>
      <c r="C383" s="8"/>
      <c r="D383" s="8"/>
      <c r="E383" s="53"/>
      <c r="G383" s="37"/>
      <c r="H383" s="61"/>
    </row>
    <row r="384" spans="2:8" x14ac:dyDescent="0.2">
      <c r="B384" s="8"/>
      <c r="C384" s="8"/>
      <c r="D384" s="8"/>
      <c r="E384" s="53"/>
      <c r="G384" s="37"/>
      <c r="H384" s="61"/>
    </row>
    <row r="385" spans="2:8" x14ac:dyDescent="0.2">
      <c r="B385" s="8"/>
      <c r="C385" s="8"/>
      <c r="D385" s="8"/>
      <c r="E385" s="53"/>
      <c r="G385" s="37"/>
      <c r="H385" s="61"/>
    </row>
    <row r="386" spans="2:8" x14ac:dyDescent="0.2">
      <c r="B386" s="8"/>
      <c r="C386" s="8"/>
      <c r="D386" s="8"/>
      <c r="E386" s="53"/>
      <c r="G386" s="37"/>
      <c r="H386" s="61"/>
    </row>
    <row r="387" spans="2:8" x14ac:dyDescent="0.2">
      <c r="B387" s="8"/>
      <c r="C387" s="8"/>
      <c r="D387" s="8"/>
      <c r="E387" s="53"/>
      <c r="G387" s="37"/>
      <c r="H387" s="61"/>
    </row>
    <row r="388" spans="2:8" x14ac:dyDescent="0.2">
      <c r="B388" s="8"/>
      <c r="C388" s="8"/>
      <c r="D388" s="8"/>
      <c r="E388" s="53"/>
      <c r="G388" s="37"/>
      <c r="H388" s="61"/>
    </row>
    <row r="389" spans="2:8" x14ac:dyDescent="0.2">
      <c r="B389" s="8"/>
      <c r="C389" s="8"/>
      <c r="D389" s="8"/>
      <c r="E389" s="53"/>
      <c r="G389" s="37"/>
      <c r="H389" s="61"/>
    </row>
    <row r="390" spans="2:8" x14ac:dyDescent="0.2">
      <c r="B390" s="8"/>
      <c r="C390" s="8"/>
      <c r="D390" s="8"/>
      <c r="E390" s="53"/>
      <c r="G390" s="37"/>
      <c r="H390" s="61"/>
    </row>
    <row r="391" spans="2:8" x14ac:dyDescent="0.2">
      <c r="B391" s="8"/>
      <c r="C391" s="8"/>
      <c r="D391" s="8"/>
      <c r="E391" s="53"/>
      <c r="G391" s="37"/>
      <c r="H391" s="61"/>
    </row>
    <row r="392" spans="2:8" x14ac:dyDescent="0.2">
      <c r="B392" s="8"/>
      <c r="C392" s="8"/>
      <c r="D392" s="8"/>
      <c r="E392" s="53"/>
      <c r="G392" s="37"/>
      <c r="H392" s="61"/>
    </row>
    <row r="393" spans="2:8" x14ac:dyDescent="0.2">
      <c r="B393" s="8"/>
      <c r="C393" s="8"/>
      <c r="D393" s="8"/>
      <c r="E393" s="53"/>
      <c r="G393" s="37"/>
      <c r="H393" s="61"/>
    </row>
    <row r="394" spans="2:8" x14ac:dyDescent="0.2">
      <c r="B394" s="8"/>
      <c r="C394" s="8"/>
      <c r="D394" s="8"/>
      <c r="E394" s="53"/>
      <c r="G394" s="37"/>
      <c r="H394" s="61"/>
    </row>
    <row r="395" spans="2:8" x14ac:dyDescent="0.2">
      <c r="B395" s="8"/>
      <c r="C395" s="8"/>
      <c r="D395" s="8"/>
      <c r="E395" s="53"/>
      <c r="G395" s="37"/>
      <c r="H395" s="61"/>
    </row>
    <row r="396" spans="2:8" x14ac:dyDescent="0.2">
      <c r="B396" s="8"/>
      <c r="C396" s="8"/>
      <c r="D396" s="8"/>
      <c r="E396" s="53"/>
      <c r="G396" s="37"/>
      <c r="H396" s="61"/>
    </row>
    <row r="397" spans="2:8" x14ac:dyDescent="0.2">
      <c r="B397" s="8"/>
      <c r="C397" s="8"/>
      <c r="D397" s="8"/>
      <c r="E397" s="53"/>
      <c r="G397" s="37"/>
      <c r="H397" s="61"/>
    </row>
    <row r="398" spans="2:8" x14ac:dyDescent="0.2">
      <c r="B398" s="8"/>
      <c r="C398" s="8"/>
      <c r="D398" s="8"/>
      <c r="E398" s="53"/>
      <c r="G398" s="37"/>
      <c r="H398" s="61"/>
    </row>
    <row r="399" spans="2:8" x14ac:dyDescent="0.2">
      <c r="B399" s="8"/>
      <c r="C399" s="8"/>
      <c r="D399" s="8"/>
      <c r="E399" s="53"/>
      <c r="G399" s="37"/>
      <c r="H399" s="61"/>
    </row>
    <row r="400" spans="2:8" x14ac:dyDescent="0.2">
      <c r="B400" s="8"/>
      <c r="C400" s="8"/>
      <c r="D400" s="8"/>
      <c r="E400" s="53"/>
      <c r="G400" s="37"/>
      <c r="H400" s="61"/>
    </row>
    <row r="401" spans="2:8" x14ac:dyDescent="0.2">
      <c r="B401" s="8"/>
      <c r="C401" s="8"/>
      <c r="D401" s="8"/>
      <c r="E401" s="53"/>
      <c r="G401" s="37"/>
      <c r="H401" s="61"/>
    </row>
    <row r="402" spans="2:8" x14ac:dyDescent="0.2">
      <c r="B402" s="8"/>
      <c r="C402" s="8"/>
      <c r="D402" s="8"/>
      <c r="E402" s="53"/>
      <c r="G402" s="37"/>
      <c r="H402" s="61"/>
    </row>
    <row r="403" spans="2:8" x14ac:dyDescent="0.2">
      <c r="B403" s="8"/>
      <c r="C403" s="8"/>
      <c r="D403" s="8"/>
      <c r="E403" s="53"/>
      <c r="G403" s="37"/>
      <c r="H403" s="61"/>
    </row>
    <row r="404" spans="2:8" x14ac:dyDescent="0.2">
      <c r="B404" s="8"/>
      <c r="C404" s="8"/>
      <c r="D404" s="8"/>
      <c r="E404" s="53"/>
      <c r="G404" s="37"/>
      <c r="H404" s="61"/>
    </row>
    <row r="405" spans="2:8" x14ac:dyDescent="0.2">
      <c r="B405" s="8"/>
      <c r="C405" s="8"/>
      <c r="D405" s="8"/>
      <c r="E405" s="53"/>
      <c r="G405" s="37"/>
      <c r="H405" s="61"/>
    </row>
    <row r="406" spans="2:8" x14ac:dyDescent="0.2">
      <c r="B406" s="8"/>
      <c r="C406" s="8"/>
      <c r="D406" s="8"/>
      <c r="E406" s="53"/>
      <c r="G406" s="37"/>
      <c r="H406" s="61"/>
    </row>
    <row r="407" spans="2:8" x14ac:dyDescent="0.2">
      <c r="B407" s="8"/>
      <c r="C407" s="8"/>
      <c r="D407" s="8"/>
      <c r="E407" s="53"/>
      <c r="G407" s="37"/>
      <c r="H407" s="61"/>
    </row>
    <row r="408" spans="2:8" x14ac:dyDescent="0.2">
      <c r="B408" s="8"/>
      <c r="C408" s="8"/>
      <c r="D408" s="8"/>
      <c r="E408" s="53"/>
      <c r="G408" s="37"/>
      <c r="H408" s="61"/>
    </row>
    <row r="409" spans="2:8" x14ac:dyDescent="0.2">
      <c r="B409" s="8"/>
      <c r="C409" s="8"/>
      <c r="D409" s="8"/>
      <c r="E409" s="53"/>
      <c r="G409" s="37"/>
      <c r="H409" s="61"/>
    </row>
    <row r="410" spans="2:8" x14ac:dyDescent="0.2">
      <c r="B410" s="8"/>
      <c r="C410" s="8"/>
      <c r="D410" s="8"/>
      <c r="E410" s="53"/>
      <c r="G410" s="37"/>
      <c r="H410" s="61"/>
    </row>
    <row r="411" spans="2:8" x14ac:dyDescent="0.2">
      <c r="B411" s="8"/>
      <c r="C411" s="8"/>
      <c r="D411" s="8"/>
      <c r="E411" s="53"/>
      <c r="G411" s="37"/>
      <c r="H411" s="61"/>
    </row>
    <row r="412" spans="2:8" x14ac:dyDescent="0.2">
      <c r="B412" s="8"/>
      <c r="C412" s="8"/>
      <c r="D412" s="8"/>
      <c r="E412" s="53"/>
      <c r="G412" s="37"/>
      <c r="H412" s="61"/>
    </row>
    <row r="413" spans="2:8" x14ac:dyDescent="0.2">
      <c r="C413" s="8"/>
      <c r="D413" s="8"/>
      <c r="E413" s="53"/>
      <c r="G413" s="37"/>
      <c r="H413" s="61"/>
    </row>
    <row r="414" spans="2:8" x14ac:dyDescent="0.2">
      <c r="C414" s="8"/>
      <c r="D414" s="8"/>
      <c r="E414" s="53"/>
      <c r="G414" s="37"/>
      <c r="H414" s="61"/>
    </row>
    <row r="415" spans="2:8" x14ac:dyDescent="0.2">
      <c r="C415" s="8"/>
      <c r="D415" s="8"/>
      <c r="E415" s="53"/>
      <c r="G415" s="37"/>
      <c r="H415" s="61"/>
    </row>
    <row r="416" spans="2:8" x14ac:dyDescent="0.2">
      <c r="C416" s="8"/>
      <c r="D416" s="8"/>
      <c r="E416" s="53"/>
      <c r="G416" s="37"/>
      <c r="H416" s="61"/>
    </row>
    <row r="417" spans="3:8" x14ac:dyDescent="0.2">
      <c r="C417" s="8"/>
      <c r="D417" s="8"/>
      <c r="E417" s="53"/>
      <c r="G417" s="37"/>
      <c r="H417" s="61"/>
    </row>
    <row r="418" spans="3:8" x14ac:dyDescent="0.2">
      <c r="C418" s="8"/>
      <c r="D418" s="8"/>
      <c r="E418" s="53"/>
      <c r="G418" s="37"/>
      <c r="H418" s="61"/>
    </row>
    <row r="419" spans="3:8" x14ac:dyDescent="0.2">
      <c r="C419" s="8"/>
      <c r="D419" s="8"/>
      <c r="E419" s="53"/>
      <c r="G419" s="37"/>
      <c r="H419" s="61"/>
    </row>
    <row r="420" spans="3:8" x14ac:dyDescent="0.2">
      <c r="C420" s="8"/>
      <c r="D420" s="8"/>
      <c r="E420" s="53"/>
      <c r="G420" s="37"/>
      <c r="H420" s="61"/>
    </row>
    <row r="421" spans="3:8" x14ac:dyDescent="0.2">
      <c r="C421" s="8"/>
      <c r="D421" s="8"/>
      <c r="E421" s="53"/>
      <c r="G421" s="37"/>
      <c r="H421" s="61"/>
    </row>
    <row r="422" spans="3:8" x14ac:dyDescent="0.2">
      <c r="C422" s="8"/>
      <c r="D422" s="8"/>
      <c r="E422" s="53"/>
      <c r="G422" s="37"/>
      <c r="H422" s="61"/>
    </row>
    <row r="423" spans="3:8" x14ac:dyDescent="0.2">
      <c r="C423" s="8"/>
      <c r="D423" s="8"/>
      <c r="E423" s="53"/>
      <c r="G423" s="37"/>
      <c r="H423" s="61"/>
    </row>
    <row r="424" spans="3:8" x14ac:dyDescent="0.2">
      <c r="C424" s="8"/>
      <c r="D424" s="8"/>
      <c r="E424" s="53"/>
      <c r="G424" s="37"/>
      <c r="H424" s="61"/>
    </row>
    <row r="425" spans="3:8" x14ac:dyDescent="0.2">
      <c r="C425" s="8"/>
      <c r="D425" s="8"/>
      <c r="E425" s="53"/>
      <c r="G425" s="37"/>
      <c r="H425" s="61"/>
    </row>
    <row r="426" spans="3:8" x14ac:dyDescent="0.2">
      <c r="C426" s="8"/>
      <c r="D426" s="8"/>
      <c r="E426" s="53"/>
      <c r="G426" s="37"/>
      <c r="H426" s="61"/>
    </row>
    <row r="427" spans="3:8" x14ac:dyDescent="0.2">
      <c r="C427" s="8"/>
      <c r="D427" s="8"/>
      <c r="E427" s="53"/>
      <c r="G427" s="37"/>
      <c r="H427" s="61"/>
    </row>
    <row r="428" spans="3:8" x14ac:dyDescent="0.2">
      <c r="C428" s="8"/>
      <c r="D428" s="8"/>
      <c r="E428" s="53"/>
      <c r="G428" s="37"/>
      <c r="H428" s="61"/>
    </row>
    <row r="429" spans="3:8" x14ac:dyDescent="0.2">
      <c r="C429" s="8"/>
      <c r="D429" s="8"/>
      <c r="E429" s="53"/>
      <c r="G429" s="37"/>
      <c r="H429" s="61"/>
    </row>
    <row r="430" spans="3:8" x14ac:dyDescent="0.2">
      <c r="C430" s="8"/>
      <c r="D430" s="8"/>
      <c r="E430" s="53"/>
      <c r="G430" s="37"/>
      <c r="H430" s="61"/>
    </row>
    <row r="431" spans="3:8" x14ac:dyDescent="0.2">
      <c r="C431" s="8"/>
      <c r="D431" s="8"/>
      <c r="E431" s="53"/>
      <c r="G431" s="37"/>
      <c r="H431" s="61"/>
    </row>
    <row r="432" spans="3:8" x14ac:dyDescent="0.2">
      <c r="C432" s="8"/>
      <c r="D432" s="8"/>
      <c r="E432" s="53"/>
      <c r="G432" s="37"/>
      <c r="H432" s="61"/>
    </row>
    <row r="433" spans="3:8" x14ac:dyDescent="0.2">
      <c r="C433" s="8"/>
      <c r="D433" s="8"/>
      <c r="E433" s="53"/>
      <c r="G433" s="37"/>
      <c r="H433" s="61"/>
    </row>
    <row r="434" spans="3:8" x14ac:dyDescent="0.2">
      <c r="C434" s="8"/>
      <c r="D434" s="8"/>
      <c r="E434" s="53"/>
      <c r="G434" s="37"/>
      <c r="H434" s="61"/>
    </row>
    <row r="435" spans="3:8" x14ac:dyDescent="0.2">
      <c r="C435" s="8"/>
      <c r="D435" s="8"/>
      <c r="E435" s="53"/>
      <c r="G435" s="37"/>
      <c r="H435" s="61"/>
    </row>
    <row r="436" spans="3:8" x14ac:dyDescent="0.2">
      <c r="C436" s="8"/>
      <c r="D436" s="8"/>
      <c r="E436" s="53"/>
      <c r="G436" s="37"/>
      <c r="H436" s="61"/>
    </row>
    <row r="437" spans="3:8" x14ac:dyDescent="0.2">
      <c r="C437" s="8"/>
      <c r="D437" s="8"/>
      <c r="E437" s="53"/>
      <c r="G437" s="37"/>
      <c r="H437" s="61"/>
    </row>
    <row r="438" spans="3:8" x14ac:dyDescent="0.2">
      <c r="C438" s="8"/>
      <c r="D438" s="8"/>
      <c r="E438" s="53"/>
      <c r="G438" s="37"/>
      <c r="H438" s="61"/>
    </row>
    <row r="439" spans="3:8" x14ac:dyDescent="0.2">
      <c r="C439" s="8"/>
      <c r="D439" s="8"/>
      <c r="E439" s="53"/>
      <c r="G439" s="37"/>
      <c r="H439" s="61"/>
    </row>
    <row r="440" spans="3:8" x14ac:dyDescent="0.2">
      <c r="C440" s="8"/>
      <c r="D440" s="8"/>
      <c r="E440" s="53"/>
      <c r="G440" s="37"/>
      <c r="H440" s="61"/>
    </row>
    <row r="441" spans="3:8" x14ac:dyDescent="0.2">
      <c r="C441" s="8"/>
      <c r="D441" s="8"/>
      <c r="E441" s="53"/>
      <c r="G441" s="37"/>
      <c r="H441" s="61"/>
    </row>
    <row r="442" spans="3:8" x14ac:dyDescent="0.2">
      <c r="C442" s="8"/>
      <c r="D442" s="8"/>
      <c r="E442" s="53"/>
      <c r="G442" s="37"/>
      <c r="H442" s="61"/>
    </row>
    <row r="443" spans="3:8" x14ac:dyDescent="0.2">
      <c r="C443" s="8"/>
      <c r="D443" s="8"/>
      <c r="E443" s="53"/>
      <c r="G443" s="37"/>
      <c r="H443" s="61"/>
    </row>
    <row r="444" spans="3:8" x14ac:dyDescent="0.2">
      <c r="C444" s="8"/>
      <c r="D444" s="8"/>
      <c r="E444" s="53"/>
      <c r="G444" s="37"/>
      <c r="H444" s="61"/>
    </row>
    <row r="445" spans="3:8" x14ac:dyDescent="0.2">
      <c r="C445" s="8"/>
      <c r="D445" s="8"/>
      <c r="E445" s="53"/>
      <c r="G445" s="37"/>
      <c r="H445" s="61"/>
    </row>
    <row r="446" spans="3:8" x14ac:dyDescent="0.2">
      <c r="C446" s="8"/>
      <c r="D446" s="8"/>
      <c r="E446" s="53"/>
      <c r="G446" s="37"/>
      <c r="H446" s="61"/>
    </row>
  </sheetData>
  <protectedRanges>
    <protectedRange sqref="C4 C27 C42 C60 C71 C118 C129 C6 C89" name="Диапазон1"/>
    <protectedRange sqref="D5:D6 D27 D42 D60 D71 D89 D101 D118 D129" name="Диапазон2"/>
  </protectedRanges>
  <customSheetViews>
    <customSheetView guid="{788B8383-784A-4263-9D04-45657AC129FF}" hiddenColumns="1">
      <pageMargins left="0.78740157480314965" right="0.78740157480314965" top="0.39370078740157483" bottom="0.39370078740157483" header="0.51181102362204722" footer="0.51181102362204722"/>
      <pageSetup paperSize="9" orientation="portrait" r:id="rId1"/>
      <headerFooter alignWithMargins="0"/>
    </customSheetView>
  </customSheetViews>
  <mergeCells count="72">
    <mergeCell ref="S128:T129"/>
    <mergeCell ref="R130:S130"/>
    <mergeCell ref="S9:T10"/>
    <mergeCell ref="A58:A59"/>
    <mergeCell ref="A60:A66"/>
    <mergeCell ref="A67:A68"/>
    <mergeCell ref="A86:A87"/>
    <mergeCell ref="B124:G124"/>
    <mergeCell ref="B114:H115"/>
    <mergeCell ref="A116:A118"/>
    <mergeCell ref="B119:B123"/>
    <mergeCell ref="H119:H123"/>
    <mergeCell ref="B125:H126"/>
    <mergeCell ref="A130:A136"/>
    <mergeCell ref="B130:B136"/>
    <mergeCell ref="H130:H136"/>
    <mergeCell ref="B137:G137"/>
    <mergeCell ref="A119:A125"/>
    <mergeCell ref="A109:A110"/>
    <mergeCell ref="B109:G109"/>
    <mergeCell ref="B110:B111"/>
    <mergeCell ref="B112:G112"/>
    <mergeCell ref="A126:A128"/>
    <mergeCell ref="A102:A108"/>
    <mergeCell ref="B97:H98"/>
    <mergeCell ref="A99:A101"/>
    <mergeCell ref="B102:B108"/>
    <mergeCell ref="H102:H108"/>
    <mergeCell ref="B24:G25"/>
    <mergeCell ref="B22:G22"/>
    <mergeCell ref="H7:H17"/>
    <mergeCell ref="A5:A7"/>
    <mergeCell ref="A14:A18"/>
    <mergeCell ref="A8:A13"/>
    <mergeCell ref="P12:Q12"/>
    <mergeCell ref="B20:B21"/>
    <mergeCell ref="B19:G19"/>
    <mergeCell ref="R11:S11"/>
    <mergeCell ref="B2:G3"/>
    <mergeCell ref="B7:B17"/>
    <mergeCell ref="N12:O12"/>
    <mergeCell ref="A80:A81"/>
    <mergeCell ref="B85:H86"/>
    <mergeCell ref="B81:B82"/>
    <mergeCell ref="B80:G80"/>
    <mergeCell ref="B28:B36"/>
    <mergeCell ref="B57:G58"/>
    <mergeCell ref="B39:G40"/>
    <mergeCell ref="B43:B51"/>
    <mergeCell ref="B61:B66"/>
    <mergeCell ref="A34:A35"/>
    <mergeCell ref="A29:A33"/>
    <mergeCell ref="H28:H36"/>
    <mergeCell ref="H43:H51"/>
    <mergeCell ref="A27:A28"/>
    <mergeCell ref="B54:G54"/>
    <mergeCell ref="A89:A95"/>
    <mergeCell ref="A96:A97"/>
    <mergeCell ref="R91:S91"/>
    <mergeCell ref="B37:G37"/>
    <mergeCell ref="A42:A43"/>
    <mergeCell ref="B52:G52"/>
    <mergeCell ref="A44:A48"/>
    <mergeCell ref="H72:H79"/>
    <mergeCell ref="H61:H66"/>
    <mergeCell ref="H91:H95"/>
    <mergeCell ref="B68:G69"/>
    <mergeCell ref="B72:B79"/>
    <mergeCell ref="B90:B95"/>
    <mergeCell ref="B83:G83"/>
    <mergeCell ref="A71:A72"/>
    <mergeCell ref="A73:A79"/>
  </mergeCells>
  <phoneticPr fontId="2" type="noConversion"/>
  <dataValidations count="17">
    <dataValidation type="list" allowBlank="1" showInputMessage="1" showErrorMessage="1" sqref="C71" xr:uid="{00000000-0002-0000-1600-000000000000}">
      <formula1>$J$72:$J$75</formula1>
    </dataValidation>
    <dataValidation type="list" allowBlank="1" showInputMessage="1" showErrorMessage="1" sqref="C60" xr:uid="{00000000-0002-0000-1600-000001000000}">
      <formula1>$J$61:$J$64</formula1>
    </dataValidation>
    <dataValidation type="list" allowBlank="1" showInputMessage="1" showErrorMessage="1" sqref="C42" xr:uid="{00000000-0002-0000-1600-000002000000}">
      <formula1>$J$42:$J$46</formula1>
    </dataValidation>
    <dataValidation type="list" allowBlank="1" showInputMessage="1" showErrorMessage="1" sqref="D89 D71 D60 D42 D27 D5:D6 D101 D118 D129" xr:uid="{00000000-0002-0000-1600-000003000000}">
      <formula1>$J$9:$J$10</formula1>
    </dataValidation>
    <dataValidation type="list" allowBlank="1" showInputMessage="1" showErrorMessage="1" sqref="C27" xr:uid="{00000000-0002-0000-1600-000004000000}">
      <formula1>$J$29:$J$37</formula1>
    </dataValidation>
    <dataValidation type="list" allowBlank="1" showInputMessage="1" showErrorMessage="1" sqref="C129 C118" xr:uid="{00000000-0002-0000-1600-000005000000}">
      <formula1>$L$129:$L$131</formula1>
    </dataValidation>
    <dataValidation type="list" allowBlank="1" showInputMessage="1" showErrorMessage="1" sqref="C6 C4" xr:uid="{00000000-0002-0000-1600-000006000000}">
      <formula1>$J$4:$J$6</formula1>
    </dataValidation>
    <dataValidation type="list" allowBlank="1" showInputMessage="1" showErrorMessage="1" sqref="C5" xr:uid="{00000000-0002-0000-1600-000007000000}">
      <formula1>HF_рычаги</formula1>
    </dataValidation>
    <dataValidation type="list" allowBlank="1" showInputMessage="1" showErrorMessage="1" sqref="D4" xr:uid="{00000000-0002-0000-1600-000008000000}">
      <formula1>HF_заглушки</formula1>
    </dataValidation>
    <dataValidation type="list" allowBlank="1" showInputMessage="1" showErrorMessage="1" sqref="D26" xr:uid="{00000000-0002-0000-1600-000009000000}">
      <formula1>$O$26:$P$26</formula1>
    </dataValidation>
    <dataValidation type="list" allowBlank="1" showInputMessage="1" showErrorMessage="1" sqref="D41" xr:uid="{00000000-0002-0000-1600-00000A000000}">
      <formula1>$O$41:$P$41</formula1>
    </dataValidation>
    <dataValidation type="list" allowBlank="1" showInputMessage="1" showErrorMessage="1" sqref="D59 D70" xr:uid="{00000000-0002-0000-1600-00000B000000}">
      <formula1>$O$60:$P$60</formula1>
    </dataValidation>
    <dataValidation type="list" allowBlank="1" showInputMessage="1" showErrorMessage="1" sqref="C89" xr:uid="{00000000-0002-0000-1600-00000C000000}">
      <formula1>$J$91:$J$92</formula1>
    </dataValidation>
    <dataValidation type="list" allowBlank="1" showInputMessage="1" showErrorMessage="1" sqref="D88 D100" xr:uid="{00000000-0002-0000-1600-00000D000000}">
      <formula1>$N$90:$O$90</formula1>
    </dataValidation>
    <dataValidation type="list" allowBlank="1" showInputMessage="1" showErrorMessage="1" sqref="C101" xr:uid="{00000000-0002-0000-1600-00000E000000}">
      <formula1>$J$102:$J$103</formula1>
    </dataValidation>
    <dataValidation type="list" allowBlank="1" showInputMessage="1" showErrorMessage="1" sqref="C116 C127" xr:uid="{00000000-0002-0000-1600-00000F000000}">
      <formula1>$J$115:$J$119</formula1>
    </dataValidation>
    <dataValidation type="list" allowBlank="1" showInputMessage="1" showErrorMessage="1" sqref="D117 D128" xr:uid="{00000000-0002-0000-1600-000010000000}">
      <formula1>$J$115:$J$118</formula1>
    </dataValidation>
  </dataValidations>
  <hyperlinks>
    <hyperlink ref="S12" location="'5.2'!A1" display="AVS Servo-Drive" xr:uid="{00000000-0004-0000-1600-000000000000}"/>
    <hyperlink ref="S13" location="'8'!A1" display="Информация" xr:uid="{00000000-0004-0000-1600-000001000000}"/>
    <hyperlink ref="R12" location="'5.2'!A1" display="→" xr:uid="{00000000-0004-0000-1600-000002000000}"/>
    <hyperlink ref="R13" location="'8'!A1" display="→" xr:uid="{00000000-0004-0000-1600-000003000000}"/>
    <hyperlink ref="R15:T15" location="СОДЕРЖАНИЕ!A1" display="←" xr:uid="{00000000-0004-0000-1600-000004000000}"/>
    <hyperlink ref="S131" location="'5.2'!A1" display="AVS Servo-Drive" xr:uid="{00000000-0004-0000-1600-000005000000}"/>
    <hyperlink ref="S132" location="'8'!A1" display="Информация" xr:uid="{00000000-0004-0000-1600-000006000000}"/>
    <hyperlink ref="R131" location="'5.2'!A1" display="→" xr:uid="{00000000-0004-0000-1600-000007000000}"/>
    <hyperlink ref="R132" location="'8'!A1" display="→" xr:uid="{00000000-0004-0000-1600-000008000000}"/>
    <hyperlink ref="R134:T134" location="СОДЕРЖАНИЕ!A1" display="←" xr:uid="{00000000-0004-0000-1600-000009000000}"/>
  </hyperlinks>
  <pageMargins left="0.78740157480314965" right="0.78740157480314965" top="0.39370078740157483" bottom="0.39370078740157483" header="0.51181102362204722" footer="0.51181102362204722"/>
  <pageSetup paperSize="9" orientation="portrait" r:id="rId2"/>
  <headerFooter alignWithMargins="0"/>
  <ignoredErrors>
    <ignoredError sqref="G93" formula="1"/>
    <ignoredError sqref="T13 T132" numberStoredAsText="1"/>
  </ignoredErrors>
  <drawing r:id="rId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 codeName="Лист18"/>
  <dimension ref="A1:AT408"/>
  <sheetViews>
    <sheetView workbookViewId="0">
      <selection activeCell="A3" sqref="A3"/>
    </sheetView>
  </sheetViews>
  <sheetFormatPr defaultRowHeight="12.75" x14ac:dyDescent="0.2"/>
  <cols>
    <col min="1" max="1" width="29" bestFit="1" customWidth="1"/>
    <col min="2" max="2" width="7.42578125" style="189" customWidth="1"/>
    <col min="3" max="3" width="34.28515625" style="189" bestFit="1" customWidth="1"/>
    <col min="4" max="4" width="2" hidden="1" customWidth="1"/>
    <col min="5" max="5" width="3.42578125" bestFit="1" customWidth="1"/>
    <col min="6" max="6" width="7" hidden="1" customWidth="1"/>
    <col min="7" max="7" width="8" hidden="1" customWidth="1"/>
    <col min="8" max="8" width="0.85546875" style="8" customWidth="1"/>
    <col min="9" max="9" width="7.42578125" style="8" customWidth="1"/>
    <col min="10" max="10" width="33.85546875" bestFit="1" customWidth="1"/>
    <col min="11" max="11" width="2" hidden="1" customWidth="1"/>
    <col min="12" max="12" width="3.42578125" bestFit="1" customWidth="1"/>
    <col min="13" max="13" width="7" hidden="1" customWidth="1"/>
    <col min="14" max="14" width="8" hidden="1" customWidth="1"/>
    <col min="15" max="15" width="0.85546875" style="8" customWidth="1"/>
    <col min="16" max="16" width="7.42578125" style="8" customWidth="1"/>
    <col min="17" max="17" width="34.42578125" bestFit="1" customWidth="1"/>
    <col min="18" max="18" width="2" hidden="1" customWidth="1"/>
    <col min="19" max="19" width="3.42578125" bestFit="1" customWidth="1"/>
    <col min="20" max="21" width="7" hidden="1" customWidth="1"/>
    <col min="22" max="22" width="0.85546875" style="28" hidden="1" customWidth="1"/>
    <col min="23" max="23" width="7.42578125" style="28" hidden="1" customWidth="1"/>
    <col min="24" max="24" width="33" hidden="1" customWidth="1"/>
    <col min="25" max="25" width="2" hidden="1" customWidth="1"/>
    <col min="26" max="26" width="3.42578125" hidden="1" customWidth="1"/>
    <col min="27" max="28" width="7" hidden="1" customWidth="1"/>
    <col min="29" max="29" width="4.28515625" customWidth="1"/>
    <col min="30" max="30" width="9.140625" style="24"/>
    <col min="31" max="31" width="3.140625" style="8" customWidth="1"/>
    <col min="32" max="32" width="3.5703125" style="207" hidden="1" customWidth="1"/>
    <col min="33" max="33" width="9.140625" style="77" hidden="1" customWidth="1"/>
    <col min="34" max="34" width="5.28515625" style="8" customWidth="1"/>
    <col min="35" max="35" width="19.140625" style="8" customWidth="1"/>
    <col min="36" max="36" width="4.85546875" style="964" customWidth="1"/>
    <col min="37" max="46" width="9.140625" style="8"/>
  </cols>
  <sheetData>
    <row r="1" spans="1:46" ht="20.100000000000001" customHeight="1" x14ac:dyDescent="0.2">
      <c r="A1" s="2179" t="s">
        <v>1403</v>
      </c>
      <c r="B1" s="2179"/>
      <c r="C1" s="2179"/>
      <c r="D1" s="2179"/>
      <c r="E1" s="2179"/>
      <c r="F1" s="2179"/>
      <c r="G1" s="2179"/>
      <c r="H1" s="2179"/>
      <c r="I1" s="2179"/>
      <c r="J1" s="2179"/>
      <c r="K1" s="2179"/>
      <c r="L1" s="2179"/>
      <c r="M1" s="2179"/>
      <c r="N1" s="2179"/>
      <c r="O1" s="2179"/>
      <c r="P1" s="2179"/>
      <c r="Q1" s="2179"/>
      <c r="R1" s="2179"/>
      <c r="S1" s="2179"/>
      <c r="T1" s="2179"/>
      <c r="U1" s="2179"/>
      <c r="V1" s="2179"/>
      <c r="W1" s="2179"/>
      <c r="X1" s="2179"/>
      <c r="Y1" s="2179"/>
      <c r="Z1" s="2179"/>
      <c r="AA1" s="23"/>
      <c r="AB1" s="23"/>
      <c r="AC1" s="76"/>
      <c r="AD1" s="76"/>
    </row>
    <row r="2" spans="1:46" ht="20.100000000000001" customHeight="1" x14ac:dyDescent="0.2">
      <c r="A2" s="2179"/>
      <c r="B2" s="2179"/>
      <c r="C2" s="2179"/>
      <c r="D2" s="2179"/>
      <c r="E2" s="2179"/>
      <c r="F2" s="2179"/>
      <c r="G2" s="2179"/>
      <c r="H2" s="2179"/>
      <c r="I2" s="2179"/>
      <c r="J2" s="2179"/>
      <c r="K2" s="2179"/>
      <c r="L2" s="2179"/>
      <c r="M2" s="2179"/>
      <c r="N2" s="2179"/>
      <c r="O2" s="2179"/>
      <c r="P2" s="2179"/>
      <c r="Q2" s="2179"/>
      <c r="R2" s="2179"/>
      <c r="S2" s="2179"/>
      <c r="T2" s="2179"/>
      <c r="U2" s="2179"/>
      <c r="V2" s="2179"/>
      <c r="W2" s="2179"/>
      <c r="X2" s="2179"/>
      <c r="Y2" s="2179"/>
      <c r="Z2" s="2179"/>
      <c r="AA2" s="23"/>
      <c r="AB2" s="23"/>
      <c r="AC2" s="76"/>
      <c r="AD2" s="76"/>
    </row>
    <row r="3" spans="1:46" ht="20.100000000000001" customHeight="1" x14ac:dyDescent="0.2">
      <c r="A3" s="225" t="s">
        <v>1296</v>
      </c>
      <c r="B3" s="187"/>
      <c r="C3" s="187"/>
      <c r="D3" s="26"/>
      <c r="E3" s="26"/>
      <c r="F3" s="26"/>
      <c r="G3" s="26"/>
      <c r="H3" s="26"/>
      <c r="I3" s="26"/>
      <c r="J3" s="26"/>
      <c r="K3" s="26"/>
      <c r="L3" s="26"/>
      <c r="M3" s="26"/>
      <c r="N3" s="26"/>
      <c r="O3" s="26"/>
      <c r="P3" s="26"/>
      <c r="Q3" s="26"/>
      <c r="R3" s="26"/>
      <c r="S3" s="26"/>
      <c r="T3" s="26"/>
      <c r="U3" s="26"/>
      <c r="V3" s="216"/>
      <c r="W3" s="216"/>
      <c r="X3" s="26"/>
      <c r="Y3" s="26"/>
      <c r="Z3" s="26"/>
      <c r="AA3" s="26"/>
      <c r="AB3" s="26"/>
      <c r="AC3" s="78"/>
      <c r="AD3" s="23"/>
    </row>
    <row r="4" spans="1:46" ht="21" thickBot="1" x14ac:dyDescent="0.3">
      <c r="A4" s="181" t="s">
        <v>246</v>
      </c>
      <c r="B4" s="221"/>
      <c r="C4" s="2312" t="s">
        <v>247</v>
      </c>
      <c r="D4" s="2312"/>
      <c r="E4" s="2312"/>
      <c r="F4" s="224"/>
      <c r="G4" s="224"/>
      <c r="H4" s="211"/>
      <c r="I4" s="211"/>
      <c r="J4" s="2311" t="s">
        <v>249</v>
      </c>
      <c r="K4" s="2312"/>
      <c r="L4" s="2312"/>
      <c r="M4" s="224"/>
      <c r="N4" s="224"/>
      <c r="O4" s="211"/>
      <c r="P4" s="211"/>
      <c r="Q4" s="2311" t="s">
        <v>250</v>
      </c>
      <c r="R4" s="2312"/>
      <c r="S4" s="2312"/>
      <c r="T4" s="232"/>
      <c r="U4" s="232"/>
      <c r="V4" s="217"/>
      <c r="W4" s="217"/>
      <c r="X4" s="2311" t="s">
        <v>1401</v>
      </c>
      <c r="Y4" s="2312"/>
      <c r="Z4" s="2312"/>
      <c r="AA4" s="221"/>
      <c r="AB4" s="221"/>
      <c r="AC4" s="78"/>
      <c r="AD4" s="23"/>
    </row>
    <row r="5" spans="1:46" ht="21" thickBot="1" x14ac:dyDescent="0.25">
      <c r="A5" s="129" t="s">
        <v>248</v>
      </c>
      <c r="B5" s="184"/>
      <c r="C5" s="2316">
        <v>22</v>
      </c>
      <c r="D5" s="2316"/>
      <c r="E5" s="2316"/>
      <c r="F5" s="200"/>
      <c r="G5" s="200"/>
      <c r="H5" s="212"/>
      <c r="I5" s="212"/>
      <c r="J5" s="2315" t="s">
        <v>1347</v>
      </c>
      <c r="K5" s="2316"/>
      <c r="L5" s="2316"/>
      <c r="M5" s="200"/>
      <c r="N5" s="200"/>
      <c r="O5" s="212"/>
      <c r="P5" s="212"/>
      <c r="Q5" s="2315">
        <v>25</v>
      </c>
      <c r="R5" s="2316"/>
      <c r="S5" s="2316"/>
      <c r="T5" s="184"/>
      <c r="U5" s="184"/>
      <c r="V5" s="214"/>
      <c r="W5" s="214"/>
      <c r="X5" s="2315">
        <v>27</v>
      </c>
      <c r="Y5" s="2316"/>
      <c r="Z5" s="2316"/>
      <c r="AA5" s="184"/>
      <c r="AB5" s="184"/>
      <c r="AC5" s="78"/>
      <c r="AD5" s="23"/>
      <c r="AH5" s="958" t="s">
        <v>1813</v>
      </c>
      <c r="AI5" s="960" t="s">
        <v>1781</v>
      </c>
      <c r="AJ5" s="967" t="s">
        <v>2236</v>
      </c>
    </row>
    <row r="6" spans="1:46" ht="21" thickBot="1" x14ac:dyDescent="0.3">
      <c r="A6" s="129" t="s">
        <v>1775</v>
      </c>
      <c r="B6" s="222"/>
      <c r="C6" s="2314">
        <v>4</v>
      </c>
      <c r="D6" s="2314"/>
      <c r="E6" s="2314"/>
      <c r="F6" s="199"/>
      <c r="G6" s="199"/>
      <c r="H6" s="213"/>
      <c r="I6" s="213"/>
      <c r="J6" s="2313">
        <v>0</v>
      </c>
      <c r="K6" s="2314"/>
      <c r="L6" s="2314"/>
      <c r="M6" s="199"/>
      <c r="N6" s="199"/>
      <c r="O6" s="213"/>
      <c r="P6" s="213"/>
      <c r="Q6" s="2313">
        <v>0</v>
      </c>
      <c r="R6" s="2314"/>
      <c r="S6" s="2314"/>
      <c r="T6" s="222"/>
      <c r="U6" s="222"/>
      <c r="V6" s="218"/>
      <c r="W6" s="218"/>
      <c r="X6" s="2313">
        <v>0</v>
      </c>
      <c r="Y6" s="2314"/>
      <c r="Z6" s="2314"/>
      <c r="AA6" s="222"/>
      <c r="AB6" s="222"/>
      <c r="AC6" s="183"/>
      <c r="AD6" s="23"/>
      <c r="AH6" s="2309" t="s">
        <v>1782</v>
      </c>
      <c r="AI6" s="2310"/>
      <c r="AJ6" s="969"/>
    </row>
    <row r="7" spans="1:46" ht="20.25" x14ac:dyDescent="0.25">
      <c r="A7" s="181" t="s">
        <v>1405</v>
      </c>
      <c r="B7" s="180"/>
      <c r="C7" s="223">
        <f>SUM(C6:Z6)</f>
        <v>4</v>
      </c>
      <c r="D7" s="184"/>
      <c r="E7" s="184"/>
      <c r="F7" s="184"/>
      <c r="G7" s="184"/>
      <c r="H7" s="214"/>
      <c r="I7" s="214"/>
      <c r="J7" s="220"/>
      <c r="K7" s="184"/>
      <c r="L7" s="184"/>
      <c r="M7" s="184"/>
      <c r="N7" s="184"/>
      <c r="O7" s="214"/>
      <c r="P7" s="214"/>
      <c r="Q7" s="220"/>
      <c r="R7" s="184"/>
      <c r="S7" s="184"/>
      <c r="T7" s="184"/>
      <c r="U7" s="184"/>
      <c r="V7" s="214"/>
      <c r="W7" s="214"/>
      <c r="X7" s="220"/>
      <c r="Y7" s="184"/>
      <c r="Z7" s="184"/>
      <c r="AA7" s="184"/>
      <c r="AB7" s="184"/>
      <c r="AC7" s="78"/>
      <c r="AD7" s="23"/>
      <c r="AH7" s="958" t="s">
        <v>1813</v>
      </c>
      <c r="AI7" s="959" t="s">
        <v>2823</v>
      </c>
      <c r="AJ7" s="967" t="s">
        <v>2239</v>
      </c>
    </row>
    <row r="8" spans="1:46" ht="20.100000000000001" customHeight="1" thickBot="1" x14ac:dyDescent="0.25">
      <c r="A8" s="2181" t="s">
        <v>1297</v>
      </c>
      <c r="B8" s="2181"/>
      <c r="C8" s="2181"/>
      <c r="D8" s="2181"/>
      <c r="E8" s="2181"/>
      <c r="F8" s="2181"/>
      <c r="G8" s="2181"/>
      <c r="H8" s="2181"/>
      <c r="I8" s="2181"/>
      <c r="J8" s="2181"/>
      <c r="K8" s="2181"/>
      <c r="L8" s="2181"/>
      <c r="M8" s="2181"/>
      <c r="N8" s="2181"/>
      <c r="O8" s="2181"/>
      <c r="P8" s="2181"/>
      <c r="Q8" s="2181"/>
      <c r="R8" s="2181"/>
      <c r="S8" s="2181"/>
      <c r="T8" s="225"/>
      <c r="U8" s="225"/>
      <c r="X8" s="8"/>
      <c r="Y8" s="8"/>
      <c r="Z8" s="8"/>
      <c r="AA8" s="8"/>
      <c r="AB8" s="8"/>
      <c r="AC8" s="78"/>
      <c r="AD8" s="23"/>
      <c r="AJ8" s="210" t="s">
        <v>2824</v>
      </c>
    </row>
    <row r="9" spans="1:46" ht="15" customHeight="1" x14ac:dyDescent="0.25">
      <c r="A9" s="185" t="s">
        <v>1402</v>
      </c>
      <c r="B9" s="198"/>
      <c r="C9" s="518"/>
      <c r="D9" s="519"/>
      <c r="E9" s="519"/>
      <c r="F9" s="519"/>
      <c r="G9" s="519"/>
      <c r="H9" s="520"/>
      <c r="I9" s="520"/>
      <c r="J9" s="520"/>
      <c r="K9" s="519"/>
      <c r="L9" s="519"/>
      <c r="M9" s="519"/>
      <c r="N9" s="519"/>
      <c r="O9" s="520"/>
      <c r="P9" s="520"/>
      <c r="Q9" s="520"/>
      <c r="R9" s="519"/>
      <c r="S9" s="521"/>
      <c r="T9" s="226"/>
      <c r="U9" s="226"/>
      <c r="V9" s="227"/>
      <c r="W9" s="227"/>
      <c r="X9" s="227"/>
      <c r="Y9" s="226"/>
      <c r="Z9" s="228"/>
      <c r="AA9" s="233"/>
      <c r="AB9" s="233"/>
      <c r="AC9" s="230"/>
      <c r="AD9" s="23"/>
      <c r="AH9" s="970" t="s">
        <v>1815</v>
      </c>
      <c r="AI9" s="971" t="s">
        <v>2813</v>
      </c>
      <c r="AJ9" s="972"/>
    </row>
    <row r="10" spans="1:46" s="196" customFormat="1" ht="9" customHeight="1" x14ac:dyDescent="0.2">
      <c r="A10" s="197"/>
      <c r="B10" s="194" t="s">
        <v>1301</v>
      </c>
      <c r="C10" s="504" t="s">
        <v>784</v>
      </c>
      <c r="D10" s="144"/>
      <c r="E10" s="194" t="s">
        <v>2117</v>
      </c>
      <c r="F10" s="194"/>
      <c r="G10" s="194"/>
      <c r="H10" s="194"/>
      <c r="I10" s="194" t="s">
        <v>1301</v>
      </c>
      <c r="J10" s="144" t="s">
        <v>784</v>
      </c>
      <c r="K10" s="144"/>
      <c r="L10" s="194" t="s">
        <v>2117</v>
      </c>
      <c r="M10" s="194"/>
      <c r="N10" s="194"/>
      <c r="O10" s="194"/>
      <c r="P10" s="194" t="s">
        <v>1301</v>
      </c>
      <c r="Q10" s="144" t="s">
        <v>784</v>
      </c>
      <c r="R10" s="144"/>
      <c r="S10" s="522" t="s">
        <v>2117</v>
      </c>
      <c r="T10" s="194"/>
      <c r="U10" s="194"/>
      <c r="V10" s="194"/>
      <c r="W10" s="194" t="s">
        <v>1301</v>
      </c>
      <c r="X10" s="144" t="s">
        <v>784</v>
      </c>
      <c r="Y10" s="144"/>
      <c r="Z10" s="229" t="s">
        <v>2117</v>
      </c>
      <c r="AA10" s="194"/>
      <c r="AB10" s="194"/>
      <c r="AC10" s="231"/>
      <c r="AD10" s="23"/>
      <c r="AE10" s="195"/>
      <c r="AF10" s="207"/>
      <c r="AG10" s="77"/>
      <c r="AH10" s="195"/>
      <c r="AI10" s="195"/>
      <c r="AJ10" s="965"/>
      <c r="AK10" s="195"/>
      <c r="AL10" s="195"/>
      <c r="AM10" s="195"/>
      <c r="AN10" s="195"/>
      <c r="AO10" s="195"/>
      <c r="AP10" s="195"/>
      <c r="AQ10" s="195"/>
      <c r="AR10" s="195"/>
      <c r="AS10" s="195"/>
      <c r="AT10" s="195"/>
    </row>
    <row r="11" spans="1:46" ht="12" customHeight="1" x14ac:dyDescent="0.2">
      <c r="B11" s="219" t="str">
        <f>VLOOKUP(C5,HF,2,FALSE)</f>
        <v>8931762/</v>
      </c>
      <c r="C11" s="523" t="str">
        <f t="shared" ref="C11:C17" si="0">IF($C$6=0," ",VLOOKUP(B11,всецены,2,FALSE))</f>
        <v xml:space="preserve">AVS HF, Силовой мех-м, 20F2201.05, NEW  </v>
      </c>
      <c r="D11" s="191">
        <v>2</v>
      </c>
      <c r="E11" s="947">
        <f t="shared" ref="E11:E17" si="1">D11*$C$6</f>
        <v>8</v>
      </c>
      <c r="F11" s="191">
        <f t="shared" ref="F11:F17" si="2">VLOOKUP(B11,всецены,4,FALSE)</f>
        <v>1284.0623796</v>
      </c>
      <c r="G11" s="191">
        <f>F11*E11</f>
        <v>10272.4990368</v>
      </c>
      <c r="H11" s="193"/>
      <c r="I11" s="186" t="str">
        <f>VLOOKUP(J5,HS,2,FALSE)</f>
        <v>8988502/</v>
      </c>
      <c r="J11" s="186" t="str">
        <f t="shared" ref="J11:J16" si="3">IF($J$6=0," ",VLOOKUP(I11,всецены,2,FALSE))</f>
        <v xml:space="preserve"> </v>
      </c>
      <c r="K11" s="191">
        <v>2</v>
      </c>
      <c r="L11" s="947">
        <f t="shared" ref="L11:L16" si="4">K11*$J$6</f>
        <v>0</v>
      </c>
      <c r="M11" s="191">
        <f t="shared" ref="M11:M16" si="5">VLOOKUP(I11,всецены,4,FALSE)</f>
        <v>1569.4999320000002</v>
      </c>
      <c r="N11" s="191">
        <f t="shared" ref="N11:N16" si="6">M11*L11</f>
        <v>0</v>
      </c>
      <c r="O11" s="193"/>
      <c r="P11" s="186" t="str">
        <f>VLOOKUP(Q5,HL,2,FALSE)</f>
        <v>8992532/</v>
      </c>
      <c r="Q11" s="186" t="str">
        <f t="shared" ref="Q11:Q17" si="7">IF($Q$6=0," ",VLOOKUP(P11,всецены,2,FALSE))</f>
        <v xml:space="preserve"> </v>
      </c>
      <c r="R11" s="239">
        <v>2</v>
      </c>
      <c r="S11" s="948">
        <f t="shared" ref="S11:S17" si="8">R11*$Q$6</f>
        <v>0</v>
      </c>
      <c r="T11" s="242">
        <f t="shared" ref="T11:T17" si="9">VLOOKUP(P11,всецены,4,FALSE)</f>
        <v>1569.4999320000002</v>
      </c>
      <c r="U11" s="191">
        <f>T11*S11</f>
        <v>0</v>
      </c>
      <c r="V11" s="241"/>
      <c r="W11" s="186" t="str">
        <f>VLOOKUP(X5,HK,2,FALSE)</f>
        <v>9390272/</v>
      </c>
      <c r="X11" s="186"/>
      <c r="Y11" s="242">
        <v>2</v>
      </c>
      <c r="Z11" s="190">
        <f>Y11*$X$6</f>
        <v>0</v>
      </c>
      <c r="AA11" s="191">
        <f>VLOOKUP(W11,всецены,4,FALSE)</f>
        <v>1219.0053875999999</v>
      </c>
      <c r="AB11" s="191">
        <f>AA11*Z11</f>
        <v>0</v>
      </c>
      <c r="AC11" s="230"/>
      <c r="AD11" s="23"/>
      <c r="AF11" s="207" t="s">
        <v>247</v>
      </c>
      <c r="AG11" s="204"/>
    </row>
    <row r="12" spans="1:46" ht="12" customHeight="1" x14ac:dyDescent="0.2">
      <c r="A12" s="8"/>
      <c r="B12" s="219" t="s">
        <v>1694</v>
      </c>
      <c r="C12" s="523" t="str">
        <f t="shared" si="0"/>
        <v>AVS HF,HL,HS,Загл кр с лог,сер20F9001.BL</v>
      </c>
      <c r="D12" s="191">
        <v>2</v>
      </c>
      <c r="E12" s="947">
        <f t="shared" si="1"/>
        <v>8</v>
      </c>
      <c r="F12" s="191">
        <f t="shared" si="2"/>
        <v>12.198186</v>
      </c>
      <c r="G12" s="191">
        <f t="shared" ref="G12:G17" si="10">F12*E12</f>
        <v>97.585487999999998</v>
      </c>
      <c r="H12" s="193"/>
      <c r="I12" s="186" t="s">
        <v>1693</v>
      </c>
      <c r="J12" s="186" t="str">
        <f t="shared" si="3"/>
        <v xml:space="preserve"> </v>
      </c>
      <c r="K12" s="191">
        <v>2</v>
      </c>
      <c r="L12" s="947">
        <f t="shared" si="4"/>
        <v>0</v>
      </c>
      <c r="M12" s="191">
        <f t="shared" si="5"/>
        <v>78.068390399999998</v>
      </c>
      <c r="N12" s="191">
        <f t="shared" si="6"/>
        <v>0</v>
      </c>
      <c r="O12" s="193"/>
      <c r="P12" s="186" t="s">
        <v>1693</v>
      </c>
      <c r="Q12" s="186" t="str">
        <f t="shared" si="7"/>
        <v xml:space="preserve"> </v>
      </c>
      <c r="R12" s="239">
        <v>2</v>
      </c>
      <c r="S12" s="948">
        <f t="shared" si="8"/>
        <v>0</v>
      </c>
      <c r="T12" s="242">
        <f t="shared" si="9"/>
        <v>78.068390399999998</v>
      </c>
      <c r="U12" s="191">
        <f t="shared" ref="U12:U17" si="11">T12*S12</f>
        <v>0</v>
      </c>
      <c r="V12" s="241"/>
      <c r="W12" s="186" t="s">
        <v>347</v>
      </c>
      <c r="X12" s="186" t="str">
        <f>IF($X$6=0," ",VLOOKUP(W12,всецены,2,FALSE))</f>
        <v xml:space="preserve"> </v>
      </c>
      <c r="Y12" s="242">
        <v>1</v>
      </c>
      <c r="Z12" s="190">
        <f>Y12*$X$6</f>
        <v>0</v>
      </c>
      <c r="AA12" s="191">
        <f>VLOOKUP(W12,всецены,4,FALSE)</f>
        <v>107.34403680000001</v>
      </c>
      <c r="AB12" s="191">
        <f>AA12*Z12</f>
        <v>0</v>
      </c>
      <c r="AC12" s="230"/>
      <c r="AD12" s="23"/>
      <c r="AF12" s="207">
        <v>22</v>
      </c>
      <c r="AG12" s="77" t="s">
        <v>2134</v>
      </c>
    </row>
    <row r="13" spans="1:46" ht="12" customHeight="1" x14ac:dyDescent="0.2">
      <c r="A13" s="8"/>
      <c r="B13" s="219" t="s">
        <v>1574</v>
      </c>
      <c r="C13" s="523" t="str">
        <f t="shared" si="0"/>
        <v xml:space="preserve">AVS HF, Загл. осн. сер. прав. 20F8001   </v>
      </c>
      <c r="D13" s="191">
        <v>1</v>
      </c>
      <c r="E13" s="947">
        <f t="shared" si="1"/>
        <v>4</v>
      </c>
      <c r="F13" s="191">
        <f t="shared" si="2"/>
        <v>99.211912800000007</v>
      </c>
      <c r="G13" s="191">
        <f t="shared" si="10"/>
        <v>396.84765120000003</v>
      </c>
      <c r="H13" s="193"/>
      <c r="I13" s="186" t="s">
        <v>1694</v>
      </c>
      <c r="J13" s="186" t="str">
        <f t="shared" si="3"/>
        <v xml:space="preserve"> </v>
      </c>
      <c r="K13" s="191">
        <v>2</v>
      </c>
      <c r="L13" s="947">
        <f t="shared" si="4"/>
        <v>0</v>
      </c>
      <c r="M13" s="191">
        <f t="shared" si="5"/>
        <v>12.198186</v>
      </c>
      <c r="N13" s="191">
        <f t="shared" si="6"/>
        <v>0</v>
      </c>
      <c r="O13" s="193"/>
      <c r="P13" s="186" t="s">
        <v>1694</v>
      </c>
      <c r="Q13" s="186" t="str">
        <f t="shared" si="7"/>
        <v xml:space="preserve"> </v>
      </c>
      <c r="R13" s="239">
        <v>2</v>
      </c>
      <c r="S13" s="948">
        <f t="shared" si="8"/>
        <v>0</v>
      </c>
      <c r="T13" s="242">
        <f t="shared" si="9"/>
        <v>12.198186</v>
      </c>
      <c r="U13" s="191">
        <f t="shared" si="11"/>
        <v>0</v>
      </c>
      <c r="V13" s="241"/>
      <c r="W13" s="186" t="s">
        <v>349</v>
      </c>
      <c r="X13" s="186" t="str">
        <f>IF($X$6=0," ",VLOOKUP(W13,всецены,2,FALSE))</f>
        <v xml:space="preserve"> </v>
      </c>
      <c r="Y13" s="242">
        <v>1</v>
      </c>
      <c r="Z13" s="190">
        <f>Y13*$X$6</f>
        <v>0</v>
      </c>
      <c r="AA13" s="191">
        <f>VLOOKUP(W13,всецены,4,FALSE)</f>
        <v>107.34403680000001</v>
      </c>
      <c r="AB13" s="191">
        <f>AA13*Z13</f>
        <v>0</v>
      </c>
      <c r="AC13" s="230"/>
      <c r="AD13" s="23"/>
      <c r="AF13" s="207">
        <v>25</v>
      </c>
      <c r="AG13" s="77" t="s">
        <v>484</v>
      </c>
    </row>
    <row r="14" spans="1:46" ht="12" customHeight="1" x14ac:dyDescent="0.2">
      <c r="A14" s="8"/>
      <c r="B14" s="219" t="s">
        <v>954</v>
      </c>
      <c r="C14" s="523" t="str">
        <f t="shared" si="0"/>
        <v>AVS HF, Прям планка с эксц 175H5400(снят</v>
      </c>
      <c r="D14" s="243">
        <v>6</v>
      </c>
      <c r="E14" s="947">
        <f t="shared" si="1"/>
        <v>24</v>
      </c>
      <c r="F14" s="191">
        <f t="shared" si="2"/>
        <v>21.956734800000003</v>
      </c>
      <c r="G14" s="191">
        <f t="shared" si="10"/>
        <v>526.96163520000005</v>
      </c>
      <c r="H14" s="193"/>
      <c r="I14" s="186" t="s">
        <v>2629</v>
      </c>
      <c r="J14" s="186" t="str">
        <f t="shared" si="3"/>
        <v xml:space="preserve"> </v>
      </c>
      <c r="K14" s="191">
        <v>2</v>
      </c>
      <c r="L14" s="947">
        <f t="shared" si="4"/>
        <v>0</v>
      </c>
      <c r="M14" s="191">
        <f t="shared" si="5"/>
        <v>8.9453364000000004</v>
      </c>
      <c r="N14" s="191">
        <f t="shared" si="6"/>
        <v>0</v>
      </c>
      <c r="O14" s="193"/>
      <c r="P14" s="186" t="s">
        <v>1435</v>
      </c>
      <c r="Q14" s="186" t="str">
        <f t="shared" si="7"/>
        <v xml:space="preserve"> </v>
      </c>
      <c r="R14" s="239">
        <v>1</v>
      </c>
      <c r="S14" s="948">
        <f t="shared" si="8"/>
        <v>0</v>
      </c>
      <c r="T14" s="242">
        <f t="shared" si="9"/>
        <v>99.211912800000007</v>
      </c>
      <c r="U14" s="191">
        <f t="shared" si="11"/>
        <v>0</v>
      </c>
      <c r="V14" s="241"/>
      <c r="W14" s="186" t="s">
        <v>2084</v>
      </c>
      <c r="X14" s="186" t="str">
        <f>IF($X$6=0," ",VLOOKUP(W14,всецены,2,FALSE))</f>
        <v xml:space="preserve"> </v>
      </c>
      <c r="Y14" s="242">
        <v>2</v>
      </c>
      <c r="Z14" s="190">
        <f>Y14*$X$6</f>
        <v>0</v>
      </c>
      <c r="AA14" s="191">
        <f>VLOOKUP(W14,всецены,4,FALSE)</f>
        <v>14.637823200000001</v>
      </c>
      <c r="AB14" s="191">
        <f>AA14*Z14</f>
        <v>0</v>
      </c>
      <c r="AC14" s="230"/>
      <c r="AD14" s="23"/>
      <c r="AF14" s="207">
        <v>28</v>
      </c>
      <c r="AG14" s="77" t="s">
        <v>1658</v>
      </c>
    </row>
    <row r="15" spans="1:46" ht="12" customHeight="1" x14ac:dyDescent="0.2">
      <c r="A15" s="8"/>
      <c r="B15" s="219" t="s">
        <v>2106</v>
      </c>
      <c r="C15" s="523" t="str">
        <f t="shared" si="0"/>
        <v>AVS HF, Петля б/пруж, накл д/ДСП 70T5550</v>
      </c>
      <c r="D15" s="243">
        <v>2</v>
      </c>
      <c r="E15" s="947">
        <f t="shared" si="1"/>
        <v>8</v>
      </c>
      <c r="F15" s="191">
        <f t="shared" si="2"/>
        <v>108.15724920000001</v>
      </c>
      <c r="G15" s="191">
        <f t="shared" si="10"/>
        <v>865.25799360000008</v>
      </c>
      <c r="H15" s="193"/>
      <c r="I15" s="186" t="s">
        <v>2078</v>
      </c>
      <c r="J15" s="186" t="str">
        <f t="shared" si="3"/>
        <v xml:space="preserve"> </v>
      </c>
      <c r="K15" s="191">
        <v>1</v>
      </c>
      <c r="L15" s="947">
        <f t="shared" si="4"/>
        <v>0</v>
      </c>
      <c r="M15" s="191">
        <f t="shared" si="5"/>
        <v>99.211912800000007</v>
      </c>
      <c r="N15" s="191">
        <f t="shared" si="6"/>
        <v>0</v>
      </c>
      <c r="O15" s="193"/>
      <c r="P15" s="186" t="s">
        <v>2618</v>
      </c>
      <c r="Q15" s="186" t="str">
        <f t="shared" si="7"/>
        <v xml:space="preserve"> </v>
      </c>
      <c r="R15" s="239">
        <v>2</v>
      </c>
      <c r="S15" s="948">
        <f t="shared" si="8"/>
        <v>0</v>
      </c>
      <c r="T15" s="242">
        <f t="shared" si="9"/>
        <v>17.890672800000001</v>
      </c>
      <c r="U15" s="191">
        <f t="shared" si="11"/>
        <v>0</v>
      </c>
      <c r="V15" s="241"/>
      <c r="W15" s="186" t="s">
        <v>1693</v>
      </c>
      <c r="X15" s="186" t="str">
        <f>IF($X$6=0," ",VLOOKUP(W15,всецены,2,FALSE))</f>
        <v xml:space="preserve"> </v>
      </c>
      <c r="Y15" s="242">
        <v>2</v>
      </c>
      <c r="Z15" s="190">
        <f>Y15*$X$6</f>
        <v>0</v>
      </c>
      <c r="AA15" s="191">
        <f>VLOOKUP(W15,всецены,4,FALSE)</f>
        <v>78.068390399999998</v>
      </c>
      <c r="AB15" s="191">
        <f>AA15*Z15</f>
        <v>0</v>
      </c>
      <c r="AC15" s="230"/>
      <c r="AD15" s="23"/>
      <c r="AF15" s="207" t="s">
        <v>249</v>
      </c>
    </row>
    <row r="16" spans="1:46" ht="12" customHeight="1" x14ac:dyDescent="0.2">
      <c r="A16" s="8"/>
      <c r="B16" s="219" t="s">
        <v>2108</v>
      </c>
      <c r="C16" s="523" t="str">
        <f t="shared" si="0"/>
        <v>AVS HF, Петля средн б/пруж, ДСП 78Z5500T</v>
      </c>
      <c r="D16" s="243">
        <v>2</v>
      </c>
      <c r="E16" s="947">
        <f t="shared" si="1"/>
        <v>8</v>
      </c>
      <c r="F16" s="191">
        <f t="shared" si="2"/>
        <v>198.42382560000001</v>
      </c>
      <c r="G16" s="191">
        <f t="shared" si="10"/>
        <v>1587.3906048000001</v>
      </c>
      <c r="H16" s="193"/>
      <c r="I16" s="186" t="s">
        <v>2616</v>
      </c>
      <c r="J16" s="186" t="str">
        <f t="shared" si="3"/>
        <v xml:space="preserve"> </v>
      </c>
      <c r="K16" s="191">
        <v>1</v>
      </c>
      <c r="L16" s="947">
        <f t="shared" si="4"/>
        <v>0</v>
      </c>
      <c r="M16" s="191">
        <f t="shared" si="5"/>
        <v>454.58573159999997</v>
      </c>
      <c r="N16" s="191">
        <f t="shared" si="6"/>
        <v>0</v>
      </c>
      <c r="O16" s="193"/>
      <c r="P16" s="186" t="s">
        <v>2613</v>
      </c>
      <c r="Q16" s="186" t="str">
        <f t="shared" si="7"/>
        <v xml:space="preserve"> </v>
      </c>
      <c r="R16" s="239">
        <v>1</v>
      </c>
      <c r="S16" s="948">
        <f t="shared" si="8"/>
        <v>0</v>
      </c>
      <c r="T16" s="242">
        <f t="shared" si="9"/>
        <v>1136.8709352000001</v>
      </c>
      <c r="U16" s="191">
        <f t="shared" si="11"/>
        <v>0</v>
      </c>
      <c r="V16" s="241"/>
      <c r="W16" s="244"/>
      <c r="X16" s="244"/>
      <c r="Y16" s="245"/>
      <c r="Z16" s="252"/>
      <c r="AA16" s="244"/>
      <c r="AB16" s="244"/>
      <c r="AC16" s="230"/>
      <c r="AD16" s="23"/>
      <c r="AF16" s="207" t="s">
        <v>362</v>
      </c>
      <c r="AG16" s="77" t="s">
        <v>2226</v>
      </c>
    </row>
    <row r="17" spans="1:33" ht="12" customHeight="1" x14ac:dyDescent="0.2">
      <c r="A17" s="8"/>
      <c r="B17" s="219" t="s">
        <v>2623</v>
      </c>
      <c r="C17" s="523" t="str">
        <f t="shared" si="0"/>
        <v xml:space="preserve">AVS HF, Телеск рыч 700-900мм 20F3801.01 </v>
      </c>
      <c r="D17" s="243">
        <v>2</v>
      </c>
      <c r="E17" s="947">
        <f t="shared" si="1"/>
        <v>8</v>
      </c>
      <c r="F17" s="191">
        <f t="shared" si="2"/>
        <v>849.80695800000001</v>
      </c>
      <c r="G17" s="191">
        <f t="shared" si="10"/>
        <v>6798.4556640000001</v>
      </c>
      <c r="H17" s="193"/>
      <c r="I17" s="246"/>
      <c r="J17" s="246"/>
      <c r="K17" s="246"/>
      <c r="L17" s="949"/>
      <c r="M17" s="191"/>
      <c r="N17" s="191"/>
      <c r="O17" s="247"/>
      <c r="P17" s="186" t="s">
        <v>1196</v>
      </c>
      <c r="Q17" s="186" t="str">
        <f t="shared" si="7"/>
        <v xml:space="preserve"> </v>
      </c>
      <c r="R17" s="239">
        <v>1</v>
      </c>
      <c r="S17" s="948">
        <f t="shared" si="8"/>
        <v>0</v>
      </c>
      <c r="T17" s="242">
        <f t="shared" si="9"/>
        <v>735.1440096</v>
      </c>
      <c r="U17" s="191">
        <f t="shared" si="11"/>
        <v>0</v>
      </c>
      <c r="V17" s="241"/>
      <c r="W17" s="244"/>
      <c r="X17" s="244"/>
      <c r="Y17" s="245"/>
      <c r="Z17" s="252"/>
      <c r="AA17" s="244"/>
      <c r="AB17" s="244"/>
      <c r="AC17" s="230"/>
      <c r="AD17" s="23"/>
      <c r="AF17" s="207" t="s">
        <v>1334</v>
      </c>
      <c r="AG17" s="77" t="s">
        <v>1785</v>
      </c>
    </row>
    <row r="18" spans="1:33" ht="13.5" customHeight="1" x14ac:dyDescent="0.25">
      <c r="A18" s="181" t="s">
        <v>1298</v>
      </c>
      <c r="B18" s="187"/>
      <c r="C18" s="524"/>
      <c r="D18" s="248"/>
      <c r="E18" s="248"/>
      <c r="F18" s="248"/>
      <c r="G18" s="248"/>
      <c r="H18" s="248"/>
      <c r="I18" s="247"/>
      <c r="J18" s="247"/>
      <c r="K18" s="247"/>
      <c r="L18" s="950"/>
      <c r="M18" s="247"/>
      <c r="N18" s="192"/>
      <c r="O18" s="247"/>
      <c r="P18" s="192"/>
      <c r="Q18" s="192"/>
      <c r="R18" s="192"/>
      <c r="S18" s="951"/>
      <c r="T18" s="192"/>
      <c r="U18" s="192"/>
      <c r="V18" s="192"/>
      <c r="W18" s="192"/>
      <c r="X18" s="248"/>
      <c r="Y18" s="248"/>
      <c r="Z18" s="249"/>
      <c r="AA18" s="248"/>
      <c r="AB18" s="248"/>
      <c r="AC18" s="230"/>
      <c r="AD18" s="23"/>
      <c r="AF18" s="207" t="s">
        <v>1344</v>
      </c>
      <c r="AG18" s="77" t="s">
        <v>1786</v>
      </c>
    </row>
    <row r="19" spans="1:33" ht="12" customHeight="1" x14ac:dyDescent="0.2">
      <c r="A19" s="210"/>
      <c r="B19" s="219" t="s">
        <v>953</v>
      </c>
      <c r="C19" s="523" t="str">
        <f>IF($C$6=0," ",VLOOKUP(B19,всецены,2,FALSE))</f>
        <v xml:space="preserve">AVS HF, SD, Привод                      </v>
      </c>
      <c r="D19" s="191">
        <v>1</v>
      </c>
      <c r="E19" s="947">
        <f>D19*$C$6</f>
        <v>4</v>
      </c>
      <c r="F19" s="191">
        <f>VLOOKUP(B19,всецены,4,FALSE)</f>
        <v>15861.707862000001</v>
      </c>
      <c r="G19" s="191">
        <f>F19*E19</f>
        <v>63446.831448000004</v>
      </c>
      <c r="H19" s="193"/>
      <c r="I19" s="186" t="s">
        <v>834</v>
      </c>
      <c r="J19" s="186" t="str">
        <f>IF($J$6=0," ",VLOOKUP(I19,всецены,2,FALSE))</f>
        <v xml:space="preserve"> </v>
      </c>
      <c r="K19" s="191">
        <v>1</v>
      </c>
      <c r="L19" s="947">
        <f>K19*$J$6</f>
        <v>0</v>
      </c>
      <c r="M19" s="191">
        <f>VLOOKUP(I19,всецены,4,FALSE)</f>
        <v>15828.3661536</v>
      </c>
      <c r="N19" s="191">
        <f>M19*L19</f>
        <v>0</v>
      </c>
      <c r="O19" s="193"/>
      <c r="P19" s="186" t="s">
        <v>834</v>
      </c>
      <c r="Q19" s="186" t="str">
        <f>IF($Q$6=0," ",VLOOKUP(P19,всецены,2,FALSE))</f>
        <v xml:space="preserve"> </v>
      </c>
      <c r="R19" s="219">
        <v>1</v>
      </c>
      <c r="S19" s="948">
        <f>R19*$Q$6</f>
        <v>0</v>
      </c>
      <c r="T19" s="242">
        <f>VLOOKUP(P19,всецены,4,FALSE)</f>
        <v>15828.3661536</v>
      </c>
      <c r="U19" s="191">
        <f>T19*S19</f>
        <v>0</v>
      </c>
      <c r="V19" s="241"/>
      <c r="W19" s="241"/>
      <c r="X19" s="248"/>
      <c r="Y19" s="248"/>
      <c r="Z19" s="249"/>
      <c r="AA19" s="248"/>
      <c r="AB19" s="248"/>
      <c r="AC19" s="230"/>
      <c r="AD19" s="23"/>
      <c r="AF19" s="207" t="s">
        <v>1335</v>
      </c>
      <c r="AG19" s="77" t="s">
        <v>1077</v>
      </c>
    </row>
    <row r="20" spans="1:33" ht="12" customHeight="1" x14ac:dyDescent="0.2">
      <c r="A20" s="8"/>
      <c r="B20" s="219" t="s">
        <v>952</v>
      </c>
      <c r="C20" s="523" t="str">
        <f>IF($C$6=0," ",VLOOKUP(B20,всецены,2,FALSE))</f>
        <v xml:space="preserve">AVS HF, SD, Загл. осн. сер. лев         </v>
      </c>
      <c r="D20" s="191">
        <v>1</v>
      </c>
      <c r="E20" s="947">
        <f>D20*$C$6</f>
        <v>4</v>
      </c>
      <c r="F20" s="191">
        <f>VLOOKUP(B20,всецены,4,FALSE)</f>
        <v>309.8339244</v>
      </c>
      <c r="G20" s="191">
        <f>F20*E20</f>
        <v>1239.3356976</v>
      </c>
      <c r="H20" s="193"/>
      <c r="I20" s="186" t="s">
        <v>833</v>
      </c>
      <c r="J20" s="186" t="str">
        <f>IF($J$6=0," ",VLOOKUP(I20,всецены,2,FALSE))</f>
        <v xml:space="preserve"> </v>
      </c>
      <c r="K20" s="191">
        <v>1</v>
      </c>
      <c r="L20" s="947">
        <f>K20*$J$6</f>
        <v>0</v>
      </c>
      <c r="M20" s="191">
        <f>VLOOKUP(I20,всецены,4,FALSE)</f>
        <v>309.8339244</v>
      </c>
      <c r="N20" s="191">
        <f>M20*L20</f>
        <v>0</v>
      </c>
      <c r="O20" s="193"/>
      <c r="P20" s="186" t="s">
        <v>1802</v>
      </c>
      <c r="Q20" s="186" t="str">
        <f>IF($Q$6=0," ",VLOOKUP(P20,всецены,2,FALSE))</f>
        <v xml:space="preserve"> </v>
      </c>
      <c r="R20" s="219">
        <v>1</v>
      </c>
      <c r="S20" s="948">
        <f>R20*$Q$6</f>
        <v>0</v>
      </c>
      <c r="T20" s="242">
        <f>VLOOKUP(P20,всецены,4,FALSE)</f>
        <v>309.8339244</v>
      </c>
      <c r="U20" s="191">
        <f>T20*S20</f>
        <v>0</v>
      </c>
      <c r="V20" s="241"/>
      <c r="W20" s="241"/>
      <c r="X20" s="248"/>
      <c r="Y20" s="248"/>
      <c r="Z20" s="249"/>
      <c r="AA20" s="248"/>
      <c r="AB20" s="248"/>
      <c r="AC20" s="230"/>
      <c r="AD20" s="23"/>
      <c r="AF20" s="207" t="s">
        <v>1345</v>
      </c>
      <c r="AG20" s="77" t="s">
        <v>1078</v>
      </c>
    </row>
    <row r="21" spans="1:33" ht="12" customHeight="1" x14ac:dyDescent="0.2">
      <c r="A21" s="8"/>
      <c r="B21" s="188"/>
      <c r="C21" s="508"/>
      <c r="D21" s="192"/>
      <c r="E21" s="952"/>
      <c r="F21" s="192"/>
      <c r="G21" s="192"/>
      <c r="H21" s="192"/>
      <c r="I21" s="186"/>
      <c r="J21" s="186"/>
      <c r="K21" s="191"/>
      <c r="L21" s="947"/>
      <c r="M21" s="191"/>
      <c r="N21" s="191"/>
      <c r="O21" s="193"/>
      <c r="P21" s="186"/>
      <c r="Q21" s="186"/>
      <c r="R21" s="219"/>
      <c r="S21" s="948"/>
      <c r="T21" s="242"/>
      <c r="U21" s="191"/>
      <c r="V21" s="241"/>
      <c r="W21" s="241"/>
      <c r="X21" s="248"/>
      <c r="Y21" s="248"/>
      <c r="Z21" s="249"/>
      <c r="AA21" s="248"/>
      <c r="AB21" s="248"/>
      <c r="AC21" s="230"/>
      <c r="AD21" s="23"/>
      <c r="AF21" s="207" t="s">
        <v>1346</v>
      </c>
      <c r="AG21" s="77" t="s">
        <v>1420</v>
      </c>
    </row>
    <row r="22" spans="1:33" ht="12" customHeight="1" x14ac:dyDescent="0.2">
      <c r="A22" s="8"/>
      <c r="B22" s="188"/>
      <c r="C22" s="508"/>
      <c r="D22" s="192"/>
      <c r="E22" s="952"/>
      <c r="F22" s="192"/>
      <c r="G22" s="192"/>
      <c r="H22" s="192"/>
      <c r="I22" s="186" t="s">
        <v>2779</v>
      </c>
      <c r="J22" s="186" t="str">
        <f>IF($J$6=0," ",VLOOKUP(I22,всецены,2,FALSE))</f>
        <v xml:space="preserve"> </v>
      </c>
      <c r="K22" s="191">
        <v>1</v>
      </c>
      <c r="L22" s="947">
        <f>K22*$J$6</f>
        <v>0</v>
      </c>
      <c r="M22" s="191">
        <f>VLOOKUP(I22,всецены,4,FALSE)</f>
        <v>1515.8279136000001</v>
      </c>
      <c r="N22" s="191">
        <f>M22*L22</f>
        <v>0</v>
      </c>
      <c r="O22" s="193"/>
      <c r="P22" s="186" t="s">
        <v>2639</v>
      </c>
      <c r="Q22" s="186" t="str">
        <f>IF($Q$6=0," ",VLOOKUP(P22,всецены,2,FALSE))</f>
        <v xml:space="preserve"> </v>
      </c>
      <c r="R22" s="219">
        <v>1</v>
      </c>
      <c r="S22" s="948">
        <f>R22*$Q$6</f>
        <v>0</v>
      </c>
      <c r="T22" s="242">
        <f>VLOOKUP(P22,всецены,4,FALSE)</f>
        <v>1943.577636</v>
      </c>
      <c r="U22" s="191">
        <f>T22*S22</f>
        <v>0</v>
      </c>
      <c r="V22" s="241"/>
      <c r="W22" s="241"/>
      <c r="X22" s="248"/>
      <c r="Y22" s="248"/>
      <c r="Z22" s="249"/>
      <c r="AA22" s="248"/>
      <c r="AB22" s="248"/>
      <c r="AC22" s="230"/>
      <c r="AD22" s="23"/>
      <c r="AF22" s="207" t="s">
        <v>1347</v>
      </c>
      <c r="AG22" s="77" t="s">
        <v>1791</v>
      </c>
    </row>
    <row r="23" spans="1:33" ht="12" customHeight="1" x14ac:dyDescent="0.2">
      <c r="A23" s="8"/>
      <c r="B23" s="188"/>
      <c r="C23" s="508"/>
      <c r="D23" s="192"/>
      <c r="E23" s="952"/>
      <c r="F23" s="192"/>
      <c r="G23" s="192"/>
      <c r="H23" s="192"/>
      <c r="I23" s="186" t="s">
        <v>2674</v>
      </c>
      <c r="J23" s="186" t="str">
        <f>IF($J$6=0," ",VLOOKUP(I23,всецены,2,FALSE))</f>
        <v xml:space="preserve"> </v>
      </c>
      <c r="K23" s="191">
        <v>1</v>
      </c>
      <c r="L23" s="947">
        <f>K23*$J$6</f>
        <v>0</v>
      </c>
      <c r="M23" s="191">
        <f>VLOOKUP(I23,всецены,4,FALSE)</f>
        <v>2244.4662239999998</v>
      </c>
      <c r="N23" s="191">
        <f>M23*L23</f>
        <v>0</v>
      </c>
      <c r="O23" s="193"/>
      <c r="P23" s="186"/>
      <c r="Q23" s="186"/>
      <c r="R23" s="219"/>
      <c r="S23" s="948"/>
      <c r="T23" s="517"/>
      <c r="U23" s="240"/>
      <c r="V23" s="241"/>
      <c r="W23" s="241"/>
      <c r="X23" s="248"/>
      <c r="Y23" s="248"/>
      <c r="Z23" s="249"/>
      <c r="AA23" s="248"/>
      <c r="AB23" s="248"/>
      <c r="AC23" s="230"/>
      <c r="AD23" s="23"/>
      <c r="AF23" s="207" t="s">
        <v>1339</v>
      </c>
      <c r="AG23" s="77" t="s">
        <v>1792</v>
      </c>
    </row>
    <row r="24" spans="1:33" ht="13.5" customHeight="1" x14ac:dyDescent="0.2">
      <c r="A24" s="185" t="s">
        <v>1404</v>
      </c>
      <c r="B24" s="192"/>
      <c r="C24" s="508"/>
      <c r="D24" s="135"/>
      <c r="E24" s="193"/>
      <c r="F24" s="193"/>
      <c r="G24" s="193"/>
      <c r="H24" s="193"/>
      <c r="I24" s="193"/>
      <c r="J24" s="247"/>
      <c r="K24" s="247"/>
      <c r="L24" s="247"/>
      <c r="M24" s="247"/>
      <c r="N24" s="192"/>
      <c r="O24" s="247"/>
      <c r="P24" s="247"/>
      <c r="Q24" s="248"/>
      <c r="R24" s="248"/>
      <c r="S24" s="525"/>
      <c r="T24" s="248"/>
      <c r="U24" s="248"/>
      <c r="V24" s="248"/>
      <c r="W24" s="248"/>
      <c r="X24" s="248"/>
      <c r="Y24" s="248"/>
      <c r="Z24" s="249"/>
      <c r="AA24" s="248"/>
      <c r="AB24" s="248"/>
      <c r="AC24" s="230"/>
      <c r="AD24" s="23"/>
      <c r="AF24" s="207" t="s">
        <v>1348</v>
      </c>
      <c r="AG24" s="77" t="s">
        <v>1793</v>
      </c>
    </row>
    <row r="25" spans="1:33" ht="12" customHeight="1" x14ac:dyDescent="0.2">
      <c r="B25" s="219" t="s">
        <v>951</v>
      </c>
      <c r="C25" s="523" t="str">
        <f t="shared" ref="C25:C32" si="12">VLOOKUP(B25,всецены,2,FALSE)</f>
        <v xml:space="preserve">AVS HF, HS, HL, SD, Дистанц амортизатор </v>
      </c>
      <c r="D25" s="191">
        <v>4</v>
      </c>
      <c r="E25" s="947">
        <f>6*C6+4*J6+4*Q6+2*X6</f>
        <v>24</v>
      </c>
      <c r="F25" s="191">
        <f t="shared" ref="F25:F32" si="13">VLOOKUP(B25,всецены,4,FALSE)</f>
        <v>52.045593600000004</v>
      </c>
      <c r="G25" s="191">
        <f>F25*E25</f>
        <v>1249.0942464</v>
      </c>
      <c r="H25" s="193"/>
      <c r="I25" s="193"/>
      <c r="J25" s="247"/>
      <c r="K25" s="247"/>
      <c r="L25" s="247"/>
      <c r="M25" s="247"/>
      <c r="N25" s="192"/>
      <c r="O25" s="247"/>
      <c r="P25" s="247"/>
      <c r="Q25" s="248"/>
      <c r="R25" s="248"/>
      <c r="S25" s="525"/>
      <c r="T25" s="248"/>
      <c r="U25" s="248"/>
      <c r="V25" s="248"/>
      <c r="W25" s="248"/>
      <c r="X25" s="248"/>
      <c r="Y25" s="248"/>
      <c r="Z25" s="249"/>
      <c r="AA25" s="248"/>
      <c r="AB25" s="248"/>
      <c r="AC25" s="230"/>
      <c r="AD25" s="23"/>
      <c r="AF25" s="207" t="s">
        <v>250</v>
      </c>
    </row>
    <row r="26" spans="1:33" ht="12" customHeight="1" x14ac:dyDescent="0.2">
      <c r="A26" s="8"/>
      <c r="B26" s="219" t="s">
        <v>1080</v>
      </c>
      <c r="C26" s="523" t="str">
        <f t="shared" si="12"/>
        <v xml:space="preserve">AVS SD, Кнопка-переключатель, сер       </v>
      </c>
      <c r="D26" s="191">
        <v>2</v>
      </c>
      <c r="E26" s="947">
        <f>D26*$C$7</f>
        <v>8</v>
      </c>
      <c r="F26" s="191">
        <f t="shared" si="13"/>
        <v>2250.9719232000002</v>
      </c>
      <c r="G26" s="191">
        <f t="shared" ref="G26:G32" si="14">F26*E26</f>
        <v>18007.775385600002</v>
      </c>
      <c r="H26" s="193"/>
      <c r="I26" s="193"/>
      <c r="J26" s="247"/>
      <c r="K26" s="247"/>
      <c r="L26" s="247"/>
      <c r="M26" s="247"/>
      <c r="N26" s="192"/>
      <c r="O26" s="247"/>
      <c r="P26" s="247"/>
      <c r="Q26" s="248"/>
      <c r="R26" s="248"/>
      <c r="S26" s="525"/>
      <c r="T26" s="248"/>
      <c r="U26" s="248"/>
      <c r="V26" s="248"/>
      <c r="W26" s="248"/>
      <c r="X26" s="248"/>
      <c r="Y26" s="248"/>
      <c r="Z26" s="249"/>
      <c r="AA26" s="248"/>
      <c r="AB26" s="248"/>
      <c r="AC26" s="230"/>
      <c r="AD26" s="23"/>
      <c r="AF26" s="208">
        <v>21</v>
      </c>
      <c r="AG26" s="206" t="s">
        <v>839</v>
      </c>
    </row>
    <row r="27" spans="1:33" ht="12" customHeight="1" x14ac:dyDescent="0.2">
      <c r="A27" s="8"/>
      <c r="B27" s="219" t="s">
        <v>2207</v>
      </c>
      <c r="C27" s="523" t="str">
        <f t="shared" si="12"/>
        <v xml:space="preserve">SD, Блок питания 72Вт,Z10NE020F         </v>
      </c>
      <c r="D27" s="191">
        <v>1</v>
      </c>
      <c r="E27" s="947">
        <v>1</v>
      </c>
      <c r="F27" s="191">
        <f t="shared" si="13"/>
        <v>6887.9090280000009</v>
      </c>
      <c r="G27" s="191">
        <f t="shared" si="14"/>
        <v>6887.9090280000009</v>
      </c>
      <c r="H27" s="193"/>
      <c r="I27" s="193"/>
      <c r="J27" s="247"/>
      <c r="K27" s="247"/>
      <c r="L27" s="247"/>
      <c r="M27" s="247"/>
      <c r="N27" s="192"/>
      <c r="O27" s="247"/>
      <c r="P27" s="247"/>
      <c r="Q27" s="248"/>
      <c r="R27" s="248"/>
      <c r="S27" s="525"/>
      <c r="T27" s="248"/>
      <c r="U27" s="248"/>
      <c r="V27" s="248"/>
      <c r="W27" s="248"/>
      <c r="X27" s="248"/>
      <c r="Y27" s="248"/>
      <c r="Z27" s="249"/>
      <c r="AA27" s="248"/>
      <c r="AB27" s="248"/>
      <c r="AC27" s="230"/>
      <c r="AD27" s="23"/>
      <c r="AF27" s="208">
        <v>23</v>
      </c>
      <c r="AG27" s="13" t="s">
        <v>840</v>
      </c>
    </row>
    <row r="28" spans="1:33" ht="12" customHeight="1" x14ac:dyDescent="0.2">
      <c r="A28" s="8"/>
      <c r="B28" s="219" t="s">
        <v>244</v>
      </c>
      <c r="C28" s="523" t="str">
        <f t="shared" si="12"/>
        <v>SD, Держ блока пит к стене,Z10NG100(снят</v>
      </c>
      <c r="D28" s="191">
        <v>1</v>
      </c>
      <c r="E28" s="947">
        <v>1</v>
      </c>
      <c r="F28" s="191">
        <f t="shared" si="13"/>
        <v>222.0069852</v>
      </c>
      <c r="G28" s="191">
        <f t="shared" si="14"/>
        <v>222.0069852</v>
      </c>
      <c r="H28" s="193"/>
      <c r="I28" s="193"/>
      <c r="J28" s="247"/>
      <c r="K28" s="247"/>
      <c r="L28" s="247"/>
      <c r="M28" s="247"/>
      <c r="N28" s="192"/>
      <c r="O28" s="247"/>
      <c r="P28" s="247"/>
      <c r="Q28" s="248"/>
      <c r="R28" s="248"/>
      <c r="S28" s="525"/>
      <c r="T28" s="248"/>
      <c r="U28" s="248"/>
      <c r="V28" s="248"/>
      <c r="W28" s="248"/>
      <c r="X28" s="248"/>
      <c r="Y28" s="248"/>
      <c r="Z28" s="249"/>
      <c r="AA28" s="248"/>
      <c r="AB28" s="248"/>
      <c r="AC28" s="230"/>
      <c r="AD28" s="23"/>
      <c r="AF28" s="208">
        <v>25</v>
      </c>
      <c r="AG28" s="13" t="s">
        <v>891</v>
      </c>
    </row>
    <row r="29" spans="1:33" ht="12" customHeight="1" x14ac:dyDescent="0.2">
      <c r="A29" s="8"/>
      <c r="B29" s="219" t="s">
        <v>326</v>
      </c>
      <c r="C29" s="523" t="str">
        <f t="shared" si="12"/>
        <v xml:space="preserve">SD, Кабель сетевой д/Европы,Z10M200E    </v>
      </c>
      <c r="D29" s="191">
        <v>1</v>
      </c>
      <c r="E29" s="947">
        <v>1</v>
      </c>
      <c r="F29" s="191">
        <f t="shared" si="13"/>
        <v>531.02769720000003</v>
      </c>
      <c r="G29" s="191">
        <f t="shared" si="14"/>
        <v>531.02769720000003</v>
      </c>
      <c r="H29" s="193"/>
      <c r="I29" s="193"/>
      <c r="J29" s="247"/>
      <c r="K29" s="247"/>
      <c r="L29" s="247"/>
      <c r="M29" s="247"/>
      <c r="N29" s="192"/>
      <c r="O29" s="247"/>
      <c r="P29" s="247"/>
      <c r="Q29" s="248"/>
      <c r="R29" s="248"/>
      <c r="S29" s="525"/>
      <c r="T29" s="248"/>
      <c r="U29" s="248"/>
      <c r="V29" s="248"/>
      <c r="W29" s="248"/>
      <c r="X29" s="248"/>
      <c r="Y29" s="248"/>
      <c r="Z29" s="249"/>
      <c r="AA29" s="248"/>
      <c r="AB29" s="248"/>
      <c r="AC29" s="230"/>
      <c r="AD29" s="23"/>
      <c r="AF29" s="208">
        <v>27</v>
      </c>
      <c r="AG29" s="13" t="s">
        <v>893</v>
      </c>
    </row>
    <row r="30" spans="1:33" ht="12" customHeight="1" x14ac:dyDescent="0.2">
      <c r="A30" s="8"/>
      <c r="B30" s="219" t="s">
        <v>139</v>
      </c>
      <c r="C30" s="523" t="str">
        <f t="shared" si="12"/>
        <v xml:space="preserve">SD, Защита концов кабеля,Z10K0008       </v>
      </c>
      <c r="D30" s="191">
        <v>2</v>
      </c>
      <c r="E30" s="947">
        <f>IF(C7=1,E31+1,E31+2)</f>
        <v>7</v>
      </c>
      <c r="F30" s="191">
        <f t="shared" si="13"/>
        <v>30.902071199999998</v>
      </c>
      <c r="G30" s="191">
        <f t="shared" si="14"/>
        <v>216.31449839999999</v>
      </c>
      <c r="H30" s="193"/>
      <c r="I30" s="193"/>
      <c r="J30" s="247"/>
      <c r="K30" s="247"/>
      <c r="L30" s="247"/>
      <c r="M30" s="247"/>
      <c r="N30" s="192"/>
      <c r="O30" s="247"/>
      <c r="P30" s="247"/>
      <c r="Q30" s="248"/>
      <c r="R30" s="248"/>
      <c r="S30" s="525"/>
      <c r="T30" s="248"/>
      <c r="U30" s="248"/>
      <c r="V30" s="248"/>
      <c r="W30" s="248"/>
      <c r="X30" s="248"/>
      <c r="Y30" s="248"/>
      <c r="Z30" s="249"/>
      <c r="AA30" s="248"/>
      <c r="AB30" s="248"/>
      <c r="AC30" s="230"/>
      <c r="AD30" s="23"/>
      <c r="AF30" s="208">
        <v>29</v>
      </c>
      <c r="AG30" s="13" t="s">
        <v>894</v>
      </c>
    </row>
    <row r="31" spans="1:33" ht="12" customHeight="1" x14ac:dyDescent="0.2">
      <c r="A31" s="8"/>
      <c r="B31" s="219" t="s">
        <v>1394</v>
      </c>
      <c r="C31" s="523" t="str">
        <f t="shared" si="12"/>
        <v xml:space="preserve">SD, Соединительный узел,Z10V1000.01     </v>
      </c>
      <c r="D31" s="191">
        <v>1</v>
      </c>
      <c r="E31" s="947">
        <f>IF(C7=1,1,C7+1)</f>
        <v>5</v>
      </c>
      <c r="F31" s="191">
        <f t="shared" si="13"/>
        <v>368.3852172</v>
      </c>
      <c r="G31" s="191">
        <f t="shared" si="14"/>
        <v>1841.9260859999999</v>
      </c>
      <c r="H31" s="193"/>
      <c r="I31" s="193"/>
      <c r="J31" s="247"/>
      <c r="K31" s="247"/>
      <c r="L31" s="247"/>
      <c r="M31" s="247"/>
      <c r="N31" s="192"/>
      <c r="O31" s="247"/>
      <c r="P31" s="247"/>
      <c r="Q31" s="248"/>
      <c r="R31" s="248"/>
      <c r="S31" s="525"/>
      <c r="T31" s="248"/>
      <c r="U31" s="248"/>
      <c r="V31" s="248"/>
      <c r="W31" s="248"/>
      <c r="X31" s="248"/>
      <c r="Y31" s="248"/>
      <c r="Z31" s="249"/>
      <c r="AA31" s="248"/>
      <c r="AB31" s="248"/>
      <c r="AC31" s="230"/>
      <c r="AD31" s="23"/>
      <c r="AF31" s="207" t="s">
        <v>1401</v>
      </c>
    </row>
    <row r="32" spans="1:33" ht="12" customHeight="1" thickBot="1" x14ac:dyDescent="0.25">
      <c r="A32" s="8"/>
      <c r="B32" s="219" t="s">
        <v>327</v>
      </c>
      <c r="C32" s="526" t="str">
        <f t="shared" si="12"/>
        <v xml:space="preserve">SD, Кабель электрический, 6м,Z10K600A   </v>
      </c>
      <c r="D32" s="527">
        <v>1</v>
      </c>
      <c r="E32" s="953">
        <f>IF(C7=1,0,1)</f>
        <v>1</v>
      </c>
      <c r="F32" s="527">
        <f t="shared" si="13"/>
        <v>1440.1991604</v>
      </c>
      <c r="G32" s="527">
        <f t="shared" si="14"/>
        <v>1440.1991604</v>
      </c>
      <c r="H32" s="528"/>
      <c r="I32" s="528"/>
      <c r="J32" s="529"/>
      <c r="K32" s="529"/>
      <c r="L32" s="529"/>
      <c r="M32" s="529"/>
      <c r="N32" s="514"/>
      <c r="O32" s="529"/>
      <c r="P32" s="529"/>
      <c r="Q32" s="530"/>
      <c r="R32" s="530"/>
      <c r="S32" s="531"/>
      <c r="T32" s="250"/>
      <c r="U32" s="250"/>
      <c r="V32" s="250"/>
      <c r="W32" s="250"/>
      <c r="X32" s="250"/>
      <c r="Y32" s="250"/>
      <c r="Z32" s="251"/>
      <c r="AA32" s="248"/>
      <c r="AB32" s="248"/>
      <c r="AC32" s="230"/>
      <c r="AD32" s="201"/>
      <c r="AF32" s="207">
        <v>23</v>
      </c>
      <c r="AG32" s="77" t="s">
        <v>1035</v>
      </c>
    </row>
    <row r="33" spans="1:46" ht="13.5" hidden="1" customHeight="1" x14ac:dyDescent="0.2">
      <c r="A33" s="8"/>
      <c r="B33" s="188"/>
      <c r="C33" s="263">
        <f>SUM(G27,G28,G29,G32)</f>
        <v>9081.1428708000003</v>
      </c>
      <c r="D33" s="8"/>
      <c r="E33" s="8"/>
      <c r="F33" s="8"/>
      <c r="G33" s="8"/>
      <c r="J33" s="134"/>
      <c r="K33" s="134"/>
      <c r="L33" s="134"/>
      <c r="M33" s="134"/>
      <c r="N33" s="234"/>
      <c r="O33" s="134"/>
      <c r="P33" s="134"/>
      <c r="Q33" s="26"/>
      <c r="R33" s="26"/>
      <c r="S33" s="26"/>
      <c r="T33" s="26"/>
      <c r="U33" s="26"/>
      <c r="V33" s="216"/>
      <c r="W33" s="216"/>
      <c r="X33" s="26"/>
      <c r="Y33" s="26"/>
      <c r="Z33" s="26"/>
      <c r="AA33" s="26"/>
      <c r="AB33" s="26"/>
      <c r="AC33" s="78"/>
      <c r="AD33" s="201"/>
      <c r="AF33" s="207">
        <v>25</v>
      </c>
      <c r="AG33" s="77" t="s">
        <v>350</v>
      </c>
    </row>
    <row r="34" spans="1:46" ht="13.5" hidden="1" customHeight="1" x14ac:dyDescent="0.2">
      <c r="A34" s="106" t="s">
        <v>1777</v>
      </c>
      <c r="B34" s="192"/>
      <c r="C34" s="264">
        <f>SUM(G34,N34,U34,AB34)</f>
        <v>115627.41830640002</v>
      </c>
      <c r="D34" s="192"/>
      <c r="E34" s="135"/>
      <c r="F34" s="135"/>
      <c r="G34" s="235">
        <f>SUM(G11:G33)</f>
        <v>115627.41830640002</v>
      </c>
      <c r="H34" s="215"/>
      <c r="I34" s="215"/>
      <c r="J34" s="134"/>
      <c r="K34" s="134"/>
      <c r="L34" s="134"/>
      <c r="M34" s="134"/>
      <c r="N34" s="236">
        <f>SUM(N11:N33)</f>
        <v>0</v>
      </c>
      <c r="O34" s="134"/>
      <c r="P34" s="134"/>
      <c r="Q34" s="237"/>
      <c r="R34" s="237"/>
      <c r="S34" s="237"/>
      <c r="T34" s="237"/>
      <c r="U34" s="236">
        <f>SUM(U11:U33)</f>
        <v>0</v>
      </c>
      <c r="V34" s="238"/>
      <c r="W34" s="238"/>
      <c r="X34" s="237"/>
      <c r="Y34" s="237"/>
      <c r="Z34" s="237"/>
      <c r="AA34" s="237"/>
      <c r="AB34" s="236">
        <f>SUM(AB11:AB33)</f>
        <v>0</v>
      </c>
      <c r="AC34" s="78"/>
      <c r="AD34" s="182"/>
      <c r="AF34" s="207">
        <v>27</v>
      </c>
      <c r="AG34" s="77" t="s">
        <v>2101</v>
      </c>
    </row>
    <row r="35" spans="1:46" ht="13.5" hidden="1" customHeight="1" x14ac:dyDescent="0.2">
      <c r="A35" s="106" t="s">
        <v>1778</v>
      </c>
      <c r="B35" s="192"/>
      <c r="C35" s="264">
        <f>SUM(G19:G20,N19:N23,U19:U22,G25:G32)</f>
        <v>95082.42023280001</v>
      </c>
      <c r="D35" s="192"/>
      <c r="E35" s="135"/>
      <c r="F35" s="135"/>
      <c r="G35" s="235"/>
      <c r="H35" s="215"/>
      <c r="I35" s="215"/>
      <c r="J35" s="134"/>
      <c r="K35" s="134"/>
      <c r="L35" s="134"/>
      <c r="M35" s="134"/>
      <c r="N35" s="236"/>
      <c r="O35" s="134"/>
      <c r="P35" s="134"/>
      <c r="Q35" s="237"/>
      <c r="R35" s="237"/>
      <c r="S35" s="237"/>
      <c r="T35" s="237"/>
      <c r="U35" s="236"/>
      <c r="V35" s="238"/>
      <c r="W35" s="238"/>
      <c r="X35" s="237"/>
      <c r="Y35" s="237"/>
      <c r="Z35" s="237"/>
      <c r="AA35" s="237"/>
      <c r="AB35" s="236"/>
      <c r="AC35" s="78"/>
      <c r="AD35" s="182"/>
    </row>
    <row r="36" spans="1:46" ht="13.5" hidden="1" customHeight="1" x14ac:dyDescent="0.2">
      <c r="A36" s="8"/>
      <c r="B36" s="192"/>
      <c r="C36" s="192"/>
      <c r="D36" s="192"/>
      <c r="E36" s="135"/>
      <c r="F36" s="135"/>
      <c r="G36" s="235"/>
      <c r="H36" s="215"/>
      <c r="I36" s="215"/>
      <c r="J36" s="134"/>
      <c r="K36" s="134"/>
      <c r="L36" s="134"/>
      <c r="M36" s="134"/>
      <c r="N36" s="236"/>
      <c r="O36" s="134"/>
      <c r="P36" s="134"/>
      <c r="Q36" s="237"/>
      <c r="R36" s="237"/>
      <c r="S36" s="237"/>
      <c r="T36" s="237"/>
      <c r="U36" s="236"/>
      <c r="V36" s="238"/>
      <c r="W36" s="238"/>
      <c r="X36" s="237"/>
      <c r="Y36" s="237"/>
      <c r="Z36" s="237"/>
      <c r="AA36" s="237"/>
      <c r="AB36" s="236"/>
      <c r="AC36" s="78"/>
      <c r="AD36" s="182"/>
    </row>
    <row r="37" spans="1:46" ht="8.1" customHeight="1" x14ac:dyDescent="0.2">
      <c r="A37" s="8"/>
      <c r="B37" s="192"/>
      <c r="C37" s="192"/>
      <c r="D37" s="192"/>
      <c r="E37" s="135"/>
      <c r="F37" s="135"/>
      <c r="G37" s="135"/>
      <c r="H37" s="193"/>
      <c r="I37" s="193"/>
      <c r="J37" s="134"/>
      <c r="K37" s="134"/>
      <c r="L37" s="134"/>
      <c r="M37" s="134"/>
      <c r="N37" s="134"/>
      <c r="O37" s="134"/>
      <c r="P37" s="134"/>
      <c r="Q37" s="26"/>
      <c r="R37" s="26"/>
      <c r="S37" s="26"/>
      <c r="T37" s="26"/>
      <c r="U37" s="26"/>
      <c r="V37" s="216"/>
      <c r="W37" s="216"/>
      <c r="X37" s="26"/>
      <c r="Y37" s="26"/>
      <c r="Z37" s="26"/>
      <c r="AA37" s="26"/>
      <c r="AB37" s="26"/>
      <c r="AC37" s="78"/>
      <c r="AD37" s="201"/>
      <c r="AF37" s="207">
        <v>29</v>
      </c>
      <c r="AG37" s="77" t="s">
        <v>2100</v>
      </c>
    </row>
    <row r="38" spans="1:46" s="262" customFormat="1" ht="17.100000000000001" customHeight="1" x14ac:dyDescent="0.25">
      <c r="A38" s="181" t="s">
        <v>1776</v>
      </c>
      <c r="B38" s="253"/>
      <c r="C38" s="318">
        <f>C34</f>
        <v>115627.41830640002</v>
      </c>
      <c r="D38" s="319"/>
      <c r="E38" s="320"/>
      <c r="F38" s="320"/>
      <c r="G38" s="320"/>
      <c r="H38" s="321"/>
      <c r="I38" s="321" t="str">
        <f>IF(СОДЕРЖАНИЕ!$P$2=1,"EUR","RUB")</f>
        <v>RUB</v>
      </c>
      <c r="J38" s="86"/>
      <c r="K38" s="254"/>
      <c r="L38" s="328"/>
      <c r="M38" s="328"/>
      <c r="N38" s="328"/>
      <c r="O38" s="328"/>
      <c r="P38" s="328"/>
      <c r="Q38" s="329"/>
      <c r="R38" s="329"/>
      <c r="S38" s="329"/>
      <c r="T38" s="255"/>
      <c r="U38" s="255"/>
      <c r="V38" s="256"/>
      <c r="W38" s="256"/>
      <c r="X38" s="255"/>
      <c r="Y38" s="255"/>
      <c r="Z38" s="255"/>
      <c r="AA38" s="255"/>
      <c r="AB38" s="255"/>
      <c r="AC38" s="257"/>
      <c r="AD38" s="332"/>
      <c r="AE38" s="259"/>
      <c r="AF38" s="260"/>
      <c r="AG38" s="261"/>
      <c r="AH38" s="259"/>
      <c r="AI38" s="259"/>
      <c r="AJ38" s="966"/>
      <c r="AK38" s="259"/>
      <c r="AL38" s="259"/>
      <c r="AM38" s="259"/>
      <c r="AN38" s="259"/>
      <c r="AO38" s="259"/>
      <c r="AP38" s="259"/>
      <c r="AQ38" s="259"/>
      <c r="AR38" s="259"/>
      <c r="AS38" s="259"/>
      <c r="AT38" s="259"/>
    </row>
    <row r="39" spans="1:46" ht="8.1" customHeight="1" x14ac:dyDescent="0.25">
      <c r="A39" s="314"/>
      <c r="B39" s="192"/>
      <c r="C39" s="322"/>
      <c r="D39" s="323"/>
      <c r="E39" s="324"/>
      <c r="F39" s="324"/>
      <c r="G39" s="324"/>
      <c r="H39" s="325"/>
      <c r="I39" s="325"/>
      <c r="J39" s="87"/>
      <c r="K39" s="134"/>
      <c r="L39" s="134"/>
      <c r="M39" s="134"/>
      <c r="N39" s="134"/>
      <c r="O39" s="134"/>
      <c r="P39" s="134"/>
      <c r="Q39" s="26"/>
      <c r="R39" s="26"/>
      <c r="S39" s="26"/>
      <c r="T39" s="26"/>
      <c r="U39" s="26"/>
      <c r="V39" s="216"/>
      <c r="W39" s="216"/>
      <c r="X39" s="26"/>
      <c r="Y39" s="26"/>
      <c r="Z39" s="26"/>
      <c r="AA39" s="26"/>
      <c r="AB39" s="26"/>
      <c r="AC39" s="78"/>
      <c r="AD39" s="201"/>
    </row>
    <row r="40" spans="1:46" ht="17.100000000000001" customHeight="1" x14ac:dyDescent="0.25">
      <c r="A40" s="181" t="s">
        <v>1779</v>
      </c>
      <c r="B40" s="253"/>
      <c r="C40" s="318">
        <f>C35</f>
        <v>95082.42023280001</v>
      </c>
      <c r="D40" s="319"/>
      <c r="E40" s="320"/>
      <c r="F40" s="320"/>
      <c r="G40" s="320"/>
      <c r="H40" s="321"/>
      <c r="I40" s="321" t="str">
        <f>IF(СОДЕРЖАНИЕ!$P$2=1,"EUR","RUB")</f>
        <v>RUB</v>
      </c>
      <c r="J40" s="86"/>
      <c r="K40" s="134"/>
      <c r="L40" s="330"/>
      <c r="M40" s="330"/>
      <c r="N40" s="330"/>
      <c r="O40" s="330"/>
      <c r="P40" s="330"/>
      <c r="Q40" s="23"/>
      <c r="R40" s="23"/>
      <c r="S40" s="23"/>
      <c r="T40" s="26"/>
      <c r="U40" s="26"/>
      <c r="V40" s="216"/>
      <c r="W40" s="216"/>
      <c r="X40" s="26"/>
      <c r="Y40" s="26"/>
      <c r="Z40" s="26"/>
      <c r="AA40" s="26"/>
      <c r="AB40" s="26"/>
      <c r="AC40" s="78"/>
      <c r="AD40" s="201"/>
    </row>
    <row r="41" spans="1:46" ht="8.1" customHeight="1" x14ac:dyDescent="0.25">
      <c r="A41" s="314"/>
      <c r="B41" s="192"/>
      <c r="C41" s="322"/>
      <c r="D41" s="323"/>
      <c r="E41" s="324"/>
      <c r="F41" s="324"/>
      <c r="G41" s="324"/>
      <c r="H41" s="325"/>
      <c r="I41" s="325"/>
      <c r="J41" s="87"/>
      <c r="K41" s="134"/>
      <c r="L41" s="134"/>
      <c r="M41" s="134"/>
      <c r="N41" s="134"/>
      <c r="O41" s="134"/>
      <c r="P41" s="134"/>
      <c r="Q41" s="26"/>
      <c r="R41" s="26"/>
      <c r="S41" s="26"/>
      <c r="T41" s="26"/>
      <c r="U41" s="26"/>
      <c r="V41" s="216"/>
      <c r="W41" s="216"/>
      <c r="X41" s="26"/>
      <c r="Y41" s="26"/>
      <c r="Z41" s="26"/>
      <c r="AA41" s="26"/>
      <c r="AB41" s="26"/>
      <c r="AC41" s="78"/>
      <c r="AD41" s="201"/>
    </row>
    <row r="42" spans="1:46" s="262" customFormat="1" ht="17.100000000000001" customHeight="1" x14ac:dyDescent="0.25">
      <c r="A42" s="2177" t="s">
        <v>1438</v>
      </c>
      <c r="B42" s="2177"/>
      <c r="C42" s="2177"/>
      <c r="D42" s="2177"/>
      <c r="E42" s="2177"/>
      <c r="F42" s="2177"/>
      <c r="G42" s="2177"/>
      <c r="H42" s="2177"/>
      <c r="I42" s="1385"/>
      <c r="J42" s="318">
        <f>IF(C7=1,F32,IF(C7=2,C33-F32,C33))</f>
        <v>9081.1428708000003</v>
      </c>
      <c r="K42" s="319"/>
      <c r="L42" s="2317" t="str">
        <f>IF(СОДЕРЖАНИЕ!$P$2=1,"EUR","RUB")</f>
        <v>RUB</v>
      </c>
      <c r="M42" s="2317"/>
      <c r="N42" s="2317"/>
      <c r="O42" s="2317"/>
      <c r="P42" s="2317"/>
      <c r="Q42" s="331"/>
      <c r="R42" s="255"/>
      <c r="S42" s="329"/>
      <c r="T42" s="255"/>
      <c r="U42" s="255"/>
      <c r="V42" s="256"/>
      <c r="W42" s="256"/>
      <c r="X42" s="255"/>
      <c r="Y42" s="255"/>
      <c r="Z42" s="255"/>
      <c r="AA42" s="255"/>
      <c r="AB42" s="255"/>
      <c r="AC42" s="257"/>
      <c r="AD42" s="332"/>
      <c r="AE42" s="259"/>
      <c r="AF42" s="260"/>
      <c r="AG42" s="261"/>
      <c r="AH42" s="259"/>
      <c r="AI42" s="259"/>
      <c r="AJ42" s="966"/>
      <c r="AK42" s="259"/>
      <c r="AL42" s="259"/>
      <c r="AM42" s="259"/>
      <c r="AN42" s="259"/>
      <c r="AO42" s="259"/>
      <c r="AP42" s="259"/>
      <c r="AQ42" s="259"/>
      <c r="AR42" s="259"/>
      <c r="AS42" s="259"/>
      <c r="AT42" s="259"/>
    </row>
    <row r="43" spans="1:46" s="8" customFormat="1" ht="17.100000000000001" customHeight="1" x14ac:dyDescent="0.25">
      <c r="A43" s="326"/>
      <c r="B43" s="192"/>
      <c r="C43" s="323"/>
      <c r="D43" s="323"/>
      <c r="E43" s="324"/>
      <c r="F43" s="324"/>
      <c r="G43" s="324"/>
      <c r="H43" s="325"/>
      <c r="I43" s="325"/>
      <c r="J43" s="87"/>
      <c r="K43" s="134"/>
      <c r="L43" s="134"/>
      <c r="M43" s="134"/>
      <c r="N43" s="134"/>
      <c r="O43" s="134"/>
      <c r="P43" s="134"/>
      <c r="Q43" s="26"/>
      <c r="R43" s="26"/>
      <c r="S43" s="26"/>
      <c r="T43" s="26"/>
      <c r="U43" s="26"/>
      <c r="V43" s="216"/>
      <c r="W43" s="216"/>
      <c r="X43" s="26"/>
      <c r="Y43" s="26"/>
      <c r="Z43" s="26"/>
      <c r="AA43" s="26"/>
      <c r="AB43" s="26"/>
      <c r="AC43" s="78"/>
      <c r="AD43" s="182"/>
      <c r="AF43" s="327"/>
      <c r="AJ43" s="964"/>
    </row>
    <row r="44" spans="1:46" s="8" customFormat="1" ht="17.100000000000001" customHeight="1" x14ac:dyDescent="0.2">
      <c r="A44" s="326"/>
      <c r="B44" s="192"/>
      <c r="C44" s="188"/>
      <c r="K44" s="134"/>
      <c r="L44" s="134"/>
      <c r="M44" s="134"/>
      <c r="N44" s="134"/>
      <c r="O44" s="134"/>
      <c r="P44" s="134"/>
      <c r="Q44" s="26"/>
      <c r="R44" s="26"/>
      <c r="S44" s="26"/>
      <c r="T44" s="26"/>
      <c r="U44" s="26"/>
      <c r="V44" s="216"/>
      <c r="W44" s="216"/>
      <c r="X44" s="26"/>
      <c r="Y44" s="26"/>
      <c r="Z44" s="26"/>
      <c r="AA44" s="26"/>
      <c r="AB44" s="26"/>
      <c r="AC44" s="78"/>
      <c r="AD44" s="182"/>
      <c r="AF44" s="327"/>
      <c r="AJ44" s="964"/>
    </row>
    <row r="45" spans="1:46" ht="13.5" customHeight="1" x14ac:dyDescent="0.2">
      <c r="A45" s="8"/>
      <c r="B45" s="192"/>
      <c r="C45" s="192"/>
      <c r="D45" s="192"/>
      <c r="E45" s="135"/>
      <c r="F45" s="135"/>
      <c r="G45" s="135"/>
      <c r="H45" s="193"/>
      <c r="I45" s="193"/>
      <c r="J45" s="134"/>
      <c r="K45" s="134"/>
      <c r="L45" s="134"/>
      <c r="M45" s="134"/>
      <c r="N45" s="134"/>
      <c r="O45" s="134"/>
      <c r="P45" s="134"/>
      <c r="Q45" s="26"/>
      <c r="R45" s="26"/>
      <c r="S45" s="26"/>
      <c r="T45" s="26"/>
      <c r="U45" s="26"/>
      <c r="V45" s="216"/>
      <c r="W45" s="216"/>
      <c r="X45" s="26"/>
      <c r="Y45" s="26"/>
      <c r="Z45" s="26"/>
      <c r="AA45" s="26"/>
      <c r="AB45" s="26"/>
      <c r="AC45" s="78"/>
      <c r="AD45" s="182"/>
    </row>
    <row r="46" spans="1:46" ht="13.5" customHeight="1" x14ac:dyDescent="0.2">
      <c r="A46" s="8"/>
      <c r="B46" s="192"/>
      <c r="C46" s="192"/>
      <c r="D46" s="192"/>
      <c r="E46" s="135"/>
      <c r="F46" s="135"/>
      <c r="G46" s="135"/>
      <c r="H46" s="193"/>
      <c r="I46" s="193"/>
      <c r="J46" s="134"/>
      <c r="K46" s="134"/>
      <c r="L46" s="134"/>
      <c r="M46" s="134"/>
      <c r="N46" s="134"/>
      <c r="O46" s="134"/>
      <c r="P46" s="134"/>
      <c r="Q46" s="26"/>
      <c r="R46" s="26"/>
      <c r="S46" s="26"/>
      <c r="T46" s="26"/>
      <c r="U46" s="26"/>
      <c r="V46" s="216"/>
      <c r="W46" s="216"/>
      <c r="X46" s="26"/>
      <c r="Y46" s="26"/>
      <c r="Z46" s="26"/>
      <c r="AA46" s="26"/>
      <c r="AB46" s="26"/>
      <c r="AC46" s="78"/>
      <c r="AD46" s="182"/>
    </row>
    <row r="47" spans="1:46" ht="13.5" customHeight="1" x14ac:dyDescent="0.2">
      <c r="A47" s="8"/>
      <c r="B47" s="192"/>
      <c r="C47" s="192"/>
      <c r="D47" s="192"/>
      <c r="E47" s="135"/>
      <c r="F47" s="135"/>
      <c r="G47" s="135"/>
      <c r="H47" s="193"/>
      <c r="I47" s="193"/>
      <c r="J47" s="134"/>
      <c r="K47" s="134"/>
      <c r="L47" s="134"/>
      <c r="M47" s="134"/>
      <c r="N47" s="134"/>
      <c r="O47" s="134"/>
      <c r="P47" s="134"/>
      <c r="Q47" s="26"/>
      <c r="R47" s="26"/>
      <c r="S47" s="26"/>
      <c r="T47" s="26"/>
      <c r="U47" s="26"/>
      <c r="V47" s="216"/>
      <c r="W47" s="216"/>
      <c r="X47" s="26"/>
      <c r="Y47" s="26"/>
      <c r="Z47" s="26"/>
      <c r="AA47" s="26"/>
      <c r="AB47" s="26"/>
      <c r="AC47" s="78"/>
      <c r="AD47" s="182"/>
    </row>
    <row r="48" spans="1:46" ht="13.5" customHeight="1" x14ac:dyDescent="0.2">
      <c r="A48" s="8"/>
      <c r="B48" s="192"/>
      <c r="C48" s="192"/>
      <c r="D48" s="192"/>
      <c r="E48" s="135"/>
      <c r="F48" s="135"/>
      <c r="G48" s="135"/>
      <c r="H48" s="193"/>
      <c r="I48" s="193"/>
      <c r="J48" s="134"/>
      <c r="K48" s="134"/>
      <c r="L48" s="134"/>
      <c r="M48" s="134"/>
      <c r="N48" s="134"/>
      <c r="O48" s="134"/>
      <c r="P48" s="134"/>
      <c r="Q48" s="26"/>
      <c r="R48" s="26"/>
      <c r="S48" s="26"/>
      <c r="T48" s="26"/>
      <c r="U48" s="26"/>
      <c r="V48" s="216"/>
      <c r="W48" s="216"/>
      <c r="X48" s="26"/>
      <c r="Y48" s="26"/>
      <c r="Z48" s="26"/>
      <c r="AA48" s="26"/>
      <c r="AB48" s="26"/>
      <c r="AC48" s="78"/>
      <c r="AD48" s="182"/>
    </row>
    <row r="49" spans="1:30" ht="13.5" customHeight="1" x14ac:dyDescent="0.2">
      <c r="A49" s="8"/>
      <c r="B49" s="192"/>
      <c r="C49" s="192"/>
      <c r="D49" s="192"/>
      <c r="E49" s="135"/>
      <c r="F49" s="135"/>
      <c r="G49" s="135"/>
      <c r="H49" s="193"/>
      <c r="I49" s="193"/>
      <c r="J49" s="134"/>
      <c r="K49" s="134"/>
      <c r="L49" s="134"/>
      <c r="M49" s="134"/>
      <c r="N49" s="134"/>
      <c r="O49" s="134"/>
      <c r="P49" s="134"/>
      <c r="Q49" s="26"/>
      <c r="R49" s="26"/>
      <c r="S49" s="26"/>
      <c r="T49" s="26"/>
      <c r="U49" s="26"/>
      <c r="V49" s="216"/>
      <c r="W49" s="216"/>
      <c r="X49" s="26"/>
      <c r="Y49" s="26"/>
      <c r="Z49" s="26"/>
      <c r="AA49" s="26"/>
      <c r="AB49" s="26"/>
      <c r="AC49" s="78"/>
      <c r="AD49" s="182"/>
    </row>
    <row r="50" spans="1:30" ht="13.5" customHeight="1" x14ac:dyDescent="0.2">
      <c r="A50" s="8"/>
      <c r="B50" s="192"/>
      <c r="C50" s="192"/>
      <c r="D50" s="192"/>
      <c r="E50" s="135"/>
      <c r="F50" s="135"/>
      <c r="G50" s="135"/>
      <c r="H50" s="193"/>
      <c r="I50" s="193"/>
      <c r="J50" s="134"/>
      <c r="K50" s="134"/>
      <c r="L50" s="134"/>
      <c r="M50" s="134"/>
      <c r="N50" s="134"/>
      <c r="O50" s="134"/>
      <c r="P50" s="134"/>
      <c r="Q50" s="26"/>
      <c r="R50" s="26"/>
      <c r="S50" s="26"/>
      <c r="T50" s="26"/>
      <c r="U50" s="26"/>
      <c r="V50" s="216"/>
      <c r="W50" s="216"/>
      <c r="X50" s="26"/>
      <c r="Y50" s="26"/>
      <c r="Z50" s="26"/>
      <c r="AA50" s="26"/>
      <c r="AB50" s="26"/>
      <c r="AC50" s="78"/>
      <c r="AD50" s="182"/>
    </row>
    <row r="51" spans="1:30" x14ac:dyDescent="0.2">
      <c r="A51" s="8"/>
      <c r="B51" s="188"/>
      <c r="C51" s="188"/>
      <c r="D51" s="8"/>
      <c r="E51" s="8"/>
      <c r="F51" s="8"/>
      <c r="G51" s="8"/>
      <c r="J51" s="8"/>
      <c r="K51" s="8"/>
      <c r="L51" s="8"/>
      <c r="M51" s="8"/>
      <c r="N51" s="8"/>
      <c r="Q51" s="8"/>
      <c r="R51" s="8"/>
      <c r="S51" s="8"/>
      <c r="T51" s="8"/>
      <c r="U51" s="8"/>
      <c r="X51" s="8"/>
      <c r="Y51" s="8"/>
      <c r="Z51" s="8"/>
      <c r="AA51" s="8"/>
      <c r="AB51" s="8"/>
      <c r="AC51" s="8"/>
      <c r="AD51" s="202"/>
    </row>
    <row r="52" spans="1:30" x14ac:dyDescent="0.2">
      <c r="A52" s="8"/>
      <c r="B52" s="188"/>
      <c r="C52" s="188"/>
      <c r="D52" s="8"/>
      <c r="E52" s="8"/>
      <c r="F52" s="8"/>
      <c r="G52" s="8"/>
      <c r="J52" s="8"/>
      <c r="K52" s="8"/>
      <c r="L52" s="8"/>
      <c r="M52" s="8"/>
      <c r="N52" s="8"/>
      <c r="Q52" s="8"/>
      <c r="R52" s="8"/>
      <c r="S52" s="8"/>
      <c r="T52" s="8"/>
      <c r="U52" s="8"/>
      <c r="X52" s="8"/>
      <c r="Y52" s="8"/>
      <c r="Z52" s="8"/>
      <c r="AA52" s="8"/>
      <c r="AB52" s="8"/>
      <c r="AC52" s="8"/>
      <c r="AD52" s="202"/>
    </row>
    <row r="53" spans="1:30" x14ac:dyDescent="0.2">
      <c r="A53" s="8"/>
      <c r="B53" s="188"/>
      <c r="C53" s="188"/>
      <c r="D53" s="8"/>
      <c r="E53" s="8"/>
      <c r="F53" s="8"/>
      <c r="G53" s="8"/>
      <c r="J53" s="8"/>
      <c r="K53" s="8"/>
      <c r="L53" s="8"/>
      <c r="M53" s="8"/>
      <c r="N53" s="8"/>
      <c r="Q53" s="8"/>
      <c r="R53" s="8"/>
      <c r="S53" s="8"/>
      <c r="T53" s="8"/>
      <c r="U53" s="8"/>
      <c r="X53" s="8"/>
      <c r="Y53" s="8"/>
      <c r="Z53" s="8"/>
      <c r="AA53" s="8"/>
      <c r="AB53" s="8"/>
      <c r="AC53" s="8"/>
      <c r="AD53" s="202"/>
    </row>
    <row r="54" spans="1:30" x14ac:dyDescent="0.2">
      <c r="A54" s="8"/>
      <c r="B54" s="188"/>
      <c r="C54" s="188"/>
      <c r="D54" s="8"/>
      <c r="E54" s="8"/>
      <c r="F54" s="8"/>
      <c r="G54" s="8"/>
      <c r="J54" s="8"/>
      <c r="K54" s="8"/>
      <c r="L54" s="8"/>
      <c r="M54" s="8"/>
      <c r="N54" s="8"/>
      <c r="Q54" s="8"/>
      <c r="R54" s="8"/>
      <c r="S54" s="8"/>
      <c r="T54" s="8"/>
      <c r="U54" s="8"/>
      <c r="X54" s="8"/>
      <c r="Y54" s="8"/>
      <c r="Z54" s="8"/>
      <c r="AA54" s="8"/>
      <c r="AB54" s="8"/>
      <c r="AC54" s="8"/>
      <c r="AD54" s="61"/>
    </row>
    <row r="55" spans="1:30" x14ac:dyDescent="0.2">
      <c r="A55" s="8"/>
      <c r="B55" s="188"/>
      <c r="C55" s="188"/>
      <c r="D55" s="8"/>
      <c r="E55" s="8"/>
      <c r="F55" s="8"/>
      <c r="G55" s="8"/>
      <c r="J55" s="8"/>
      <c r="K55" s="8"/>
      <c r="L55" s="8"/>
      <c r="M55" s="8"/>
      <c r="N55" s="8"/>
      <c r="Q55" s="8"/>
      <c r="R55" s="8"/>
      <c r="S55" s="8"/>
      <c r="T55" s="8"/>
      <c r="U55" s="8"/>
      <c r="X55" s="8"/>
      <c r="Y55" s="8"/>
      <c r="Z55" s="8"/>
      <c r="AA55" s="8"/>
      <c r="AB55" s="8"/>
      <c r="AC55" s="8"/>
      <c r="AD55" s="61"/>
    </row>
    <row r="56" spans="1:30" x14ac:dyDescent="0.2">
      <c r="A56" s="8"/>
      <c r="B56" s="188"/>
      <c r="C56" s="188"/>
      <c r="D56" s="8"/>
      <c r="E56" s="8"/>
      <c r="F56" s="8"/>
      <c r="G56" s="8"/>
      <c r="J56" s="8"/>
      <c r="K56" s="8"/>
      <c r="L56" s="8"/>
      <c r="M56" s="8"/>
      <c r="N56" s="8"/>
      <c r="Q56" s="8"/>
      <c r="R56" s="8"/>
      <c r="S56" s="8"/>
      <c r="T56" s="8"/>
      <c r="U56" s="8"/>
      <c r="X56" s="8"/>
      <c r="Y56" s="8"/>
      <c r="Z56" s="8"/>
      <c r="AA56" s="8"/>
      <c r="AB56" s="8"/>
      <c r="AC56" s="8"/>
      <c r="AD56" s="61"/>
    </row>
    <row r="57" spans="1:30" x14ac:dyDescent="0.2">
      <c r="A57" s="8"/>
      <c r="B57" s="188"/>
      <c r="C57" s="188"/>
      <c r="D57" s="8"/>
      <c r="E57" s="8"/>
      <c r="F57" s="8"/>
      <c r="G57" s="8"/>
      <c r="J57" s="8"/>
      <c r="K57" s="8"/>
      <c r="L57" s="8"/>
      <c r="M57" s="8"/>
      <c r="N57" s="8"/>
      <c r="Q57" s="8"/>
      <c r="R57" s="8"/>
      <c r="S57" s="8"/>
      <c r="T57" s="8"/>
      <c r="U57" s="8"/>
      <c r="X57" s="8"/>
      <c r="Y57" s="8"/>
      <c r="Z57" s="8"/>
      <c r="AA57" s="8"/>
      <c r="AB57" s="8"/>
      <c r="AC57" s="8"/>
      <c r="AD57" s="61"/>
    </row>
    <row r="58" spans="1:30" x14ac:dyDescent="0.2">
      <c r="A58" s="8"/>
      <c r="B58" s="188"/>
      <c r="C58" s="188"/>
      <c r="D58" s="8"/>
      <c r="E58" s="8"/>
      <c r="F58" s="8"/>
      <c r="G58" s="8"/>
      <c r="J58" s="8"/>
      <c r="K58" s="8"/>
      <c r="L58" s="8"/>
      <c r="M58" s="8"/>
      <c r="N58" s="8"/>
      <c r="Q58" s="8"/>
      <c r="R58" s="8"/>
      <c r="S58" s="8"/>
      <c r="T58" s="8"/>
      <c r="U58" s="8"/>
      <c r="X58" s="8"/>
      <c r="Y58" s="8"/>
      <c r="Z58" s="8"/>
      <c r="AA58" s="8"/>
      <c r="AB58" s="8"/>
      <c r="AC58" s="8"/>
      <c r="AD58" s="61"/>
    </row>
    <row r="59" spans="1:30" x14ac:dyDescent="0.2">
      <c r="A59" s="8"/>
      <c r="B59" s="188"/>
      <c r="C59" s="188"/>
      <c r="D59" s="8"/>
      <c r="E59" s="8"/>
      <c r="F59" s="8"/>
      <c r="G59" s="8"/>
      <c r="J59" s="8"/>
      <c r="K59" s="8"/>
      <c r="L59" s="8"/>
      <c r="M59" s="8"/>
      <c r="N59" s="8"/>
      <c r="Q59" s="8"/>
      <c r="R59" s="8"/>
      <c r="S59" s="8"/>
      <c r="T59" s="8"/>
      <c r="U59" s="8"/>
      <c r="X59" s="8"/>
      <c r="Y59" s="8"/>
      <c r="Z59" s="8"/>
      <c r="AA59" s="8"/>
      <c r="AB59" s="8"/>
      <c r="AC59" s="8"/>
      <c r="AD59" s="61"/>
    </row>
    <row r="60" spans="1:30" x14ac:dyDescent="0.2">
      <c r="A60" s="8"/>
      <c r="B60" s="188"/>
      <c r="C60" s="188"/>
      <c r="D60" s="8"/>
      <c r="E60" s="8"/>
      <c r="F60" s="8"/>
      <c r="G60" s="8"/>
      <c r="J60" s="8"/>
      <c r="K60" s="8"/>
      <c r="L60" s="8"/>
      <c r="M60" s="8"/>
      <c r="N60" s="8"/>
      <c r="Q60" s="8"/>
      <c r="R60" s="8"/>
      <c r="S60" s="8"/>
      <c r="T60" s="8"/>
      <c r="U60" s="8"/>
      <c r="X60" s="8"/>
      <c r="Y60" s="8"/>
      <c r="Z60" s="8"/>
      <c r="AA60" s="8"/>
      <c r="AB60" s="8"/>
      <c r="AC60" s="8"/>
      <c r="AD60" s="61"/>
    </row>
    <row r="61" spans="1:30" x14ac:dyDescent="0.2">
      <c r="A61" s="8"/>
      <c r="B61" s="188"/>
      <c r="C61" s="188"/>
      <c r="D61" s="8"/>
      <c r="E61" s="8"/>
      <c r="F61" s="8"/>
      <c r="G61" s="8"/>
      <c r="J61" s="8"/>
      <c r="K61" s="8"/>
      <c r="L61" s="8"/>
      <c r="M61" s="8"/>
      <c r="N61" s="8"/>
      <c r="Q61" s="8"/>
      <c r="R61" s="8"/>
      <c r="S61" s="8"/>
      <c r="T61" s="8"/>
      <c r="U61" s="8"/>
      <c r="X61" s="8"/>
      <c r="Y61" s="8"/>
      <c r="Z61" s="8"/>
      <c r="AA61" s="8"/>
      <c r="AB61" s="8"/>
      <c r="AC61" s="8"/>
      <c r="AD61" s="61"/>
    </row>
    <row r="62" spans="1:30" x14ac:dyDescent="0.2">
      <c r="A62" s="8"/>
      <c r="B62" s="188"/>
      <c r="C62" s="188"/>
      <c r="D62" s="8"/>
      <c r="E62" s="8"/>
      <c r="F62" s="8"/>
      <c r="G62" s="8"/>
      <c r="J62" s="8"/>
      <c r="K62" s="8"/>
      <c r="L62" s="8"/>
      <c r="M62" s="8"/>
      <c r="N62" s="8"/>
      <c r="Q62" s="8"/>
      <c r="R62" s="8"/>
      <c r="S62" s="8"/>
      <c r="T62" s="8"/>
      <c r="U62" s="8"/>
      <c r="X62" s="8"/>
      <c r="Y62" s="8"/>
      <c r="Z62" s="8"/>
      <c r="AA62" s="8"/>
      <c r="AB62" s="8"/>
      <c r="AC62" s="8"/>
      <c r="AD62" s="61"/>
    </row>
    <row r="63" spans="1:30" x14ac:dyDescent="0.2">
      <c r="A63" s="8"/>
      <c r="B63" s="188"/>
      <c r="C63" s="188"/>
      <c r="D63" s="8"/>
      <c r="E63" s="8"/>
      <c r="F63" s="8"/>
      <c r="G63" s="8"/>
      <c r="J63" s="8"/>
      <c r="K63" s="8"/>
      <c r="L63" s="8"/>
      <c r="M63" s="8"/>
      <c r="N63" s="8"/>
      <c r="Q63" s="8"/>
      <c r="R63" s="8"/>
      <c r="S63" s="8"/>
      <c r="T63" s="8"/>
      <c r="U63" s="8"/>
      <c r="X63" s="8"/>
      <c r="Y63" s="8"/>
      <c r="Z63" s="8"/>
      <c r="AA63" s="8"/>
      <c r="AB63" s="8"/>
      <c r="AC63" s="8"/>
      <c r="AD63" s="61"/>
    </row>
    <row r="64" spans="1:30" x14ac:dyDescent="0.2">
      <c r="A64" s="8"/>
      <c r="B64" s="188"/>
      <c r="C64" s="188"/>
      <c r="D64" s="8"/>
      <c r="E64" s="8"/>
      <c r="F64" s="8"/>
      <c r="G64" s="8"/>
      <c r="J64" s="8"/>
      <c r="K64" s="8"/>
      <c r="L64" s="8"/>
      <c r="M64" s="8"/>
      <c r="N64" s="8"/>
      <c r="Q64" s="8"/>
      <c r="R64" s="8"/>
      <c r="S64" s="8"/>
      <c r="T64" s="8"/>
      <c r="U64" s="8"/>
      <c r="X64" s="8"/>
      <c r="Y64" s="8"/>
      <c r="Z64" s="8"/>
      <c r="AA64" s="8"/>
      <c r="AB64" s="8"/>
      <c r="AC64" s="8"/>
      <c r="AD64" s="61"/>
    </row>
    <row r="65" spans="1:30" x14ac:dyDescent="0.2">
      <c r="A65" s="8"/>
      <c r="B65" s="188"/>
      <c r="C65" s="188"/>
      <c r="D65" s="8"/>
      <c r="E65" s="8"/>
      <c r="F65" s="8"/>
      <c r="G65" s="8"/>
      <c r="J65" s="8"/>
      <c r="K65" s="8"/>
      <c r="L65" s="8"/>
      <c r="M65" s="8"/>
      <c r="N65" s="8"/>
      <c r="Q65" s="8"/>
      <c r="R65" s="8"/>
      <c r="S65" s="8"/>
      <c r="T65" s="8"/>
      <c r="U65" s="8"/>
      <c r="X65" s="8"/>
      <c r="Y65" s="8"/>
      <c r="Z65" s="8"/>
      <c r="AA65" s="8"/>
      <c r="AB65" s="8"/>
      <c r="AC65" s="8"/>
      <c r="AD65" s="61"/>
    </row>
    <row r="66" spans="1:30" x14ac:dyDescent="0.2">
      <c r="A66" s="8"/>
      <c r="B66" s="188"/>
      <c r="C66" s="188"/>
      <c r="D66" s="8"/>
      <c r="E66" s="8"/>
      <c r="F66" s="8"/>
      <c r="G66" s="8"/>
      <c r="J66" s="8"/>
      <c r="K66" s="8"/>
      <c r="L66" s="8"/>
      <c r="M66" s="8"/>
      <c r="N66" s="8"/>
      <c r="Q66" s="8"/>
      <c r="R66" s="8"/>
      <c r="S66" s="8"/>
      <c r="T66" s="8"/>
      <c r="U66" s="8"/>
      <c r="X66" s="8"/>
      <c r="Y66" s="8"/>
      <c r="Z66" s="8"/>
      <c r="AA66" s="8"/>
      <c r="AB66" s="8"/>
      <c r="AC66" s="8"/>
      <c r="AD66" s="61"/>
    </row>
    <row r="67" spans="1:30" x14ac:dyDescent="0.2">
      <c r="A67" s="8"/>
      <c r="B67" s="188"/>
      <c r="C67" s="188"/>
      <c r="D67" s="8"/>
      <c r="E67" s="8"/>
      <c r="F67" s="8"/>
      <c r="G67" s="8"/>
      <c r="J67" s="8"/>
      <c r="K67" s="8"/>
      <c r="L67" s="8"/>
      <c r="M67" s="8"/>
      <c r="N67" s="8"/>
      <c r="Q67" s="8"/>
      <c r="R67" s="8"/>
      <c r="S67" s="8"/>
      <c r="T67" s="8"/>
      <c r="U67" s="8"/>
      <c r="X67" s="8"/>
      <c r="Y67" s="8"/>
      <c r="Z67" s="8"/>
      <c r="AA67" s="8"/>
      <c r="AB67" s="8"/>
      <c r="AC67" s="8"/>
      <c r="AD67" s="61"/>
    </row>
    <row r="68" spans="1:30" x14ac:dyDescent="0.2">
      <c r="A68" s="8"/>
      <c r="B68" s="188"/>
      <c r="C68" s="188"/>
      <c r="D68" s="8"/>
      <c r="E68" s="8"/>
      <c r="F68" s="8"/>
      <c r="G68" s="8"/>
      <c r="J68" s="8"/>
      <c r="K68" s="8"/>
      <c r="L68" s="8"/>
      <c r="M68" s="8"/>
      <c r="N68" s="8"/>
      <c r="Q68" s="8"/>
      <c r="R68" s="8"/>
      <c r="S68" s="8"/>
      <c r="T68" s="8"/>
      <c r="U68" s="8"/>
      <c r="X68" s="8"/>
      <c r="Y68" s="8"/>
      <c r="Z68" s="8"/>
      <c r="AA68" s="8"/>
      <c r="AB68" s="8"/>
      <c r="AC68" s="8"/>
      <c r="AD68" s="61"/>
    </row>
    <row r="69" spans="1:30" x14ac:dyDescent="0.2">
      <c r="A69" s="8"/>
      <c r="B69" s="188"/>
      <c r="C69" s="188"/>
      <c r="D69" s="8"/>
      <c r="E69" s="8"/>
      <c r="F69" s="8"/>
      <c r="G69" s="8"/>
      <c r="J69" s="8"/>
      <c r="K69" s="8"/>
      <c r="L69" s="8"/>
      <c r="M69" s="8"/>
      <c r="N69" s="8"/>
      <c r="Q69" s="8"/>
      <c r="R69" s="8"/>
      <c r="S69" s="8"/>
      <c r="T69" s="8"/>
      <c r="U69" s="8"/>
      <c r="X69" s="8"/>
      <c r="Y69" s="8"/>
      <c r="Z69" s="8"/>
      <c r="AA69" s="8"/>
      <c r="AB69" s="8"/>
      <c r="AC69" s="8"/>
      <c r="AD69" s="61"/>
    </row>
    <row r="70" spans="1:30" x14ac:dyDescent="0.2">
      <c r="A70" s="8"/>
      <c r="B70" s="188"/>
      <c r="C70" s="188"/>
      <c r="D70" s="8"/>
      <c r="E70" s="8"/>
      <c r="F70" s="8"/>
      <c r="G70" s="8"/>
      <c r="J70" s="8"/>
      <c r="K70" s="8"/>
      <c r="L70" s="8"/>
      <c r="M70" s="8"/>
      <c r="N70" s="8"/>
      <c r="Q70" s="8"/>
      <c r="R70" s="8"/>
      <c r="S70" s="8"/>
      <c r="T70" s="8"/>
      <c r="U70" s="8"/>
      <c r="X70" s="8"/>
      <c r="Y70" s="8"/>
      <c r="Z70" s="8"/>
      <c r="AA70" s="8"/>
      <c r="AB70" s="8"/>
      <c r="AC70" s="8"/>
      <c r="AD70" s="61"/>
    </row>
    <row r="71" spans="1:30" x14ac:dyDescent="0.2">
      <c r="A71" s="8"/>
      <c r="B71" s="188"/>
      <c r="C71" s="188"/>
      <c r="D71" s="8"/>
      <c r="E71" s="8"/>
      <c r="F71" s="8"/>
      <c r="G71" s="8"/>
      <c r="J71" s="8"/>
      <c r="K71" s="8"/>
      <c r="L71" s="8"/>
      <c r="M71" s="8"/>
      <c r="N71" s="8"/>
      <c r="Q71" s="8"/>
      <c r="R71" s="8"/>
      <c r="S71" s="8"/>
      <c r="T71" s="8"/>
      <c r="U71" s="8"/>
      <c r="X71" s="8"/>
      <c r="Y71" s="8"/>
      <c r="Z71" s="8"/>
      <c r="AA71" s="8"/>
      <c r="AB71" s="8"/>
      <c r="AC71" s="8"/>
      <c r="AD71" s="61"/>
    </row>
    <row r="72" spans="1:30" x14ac:dyDescent="0.2">
      <c r="A72" s="8"/>
      <c r="B72" s="188"/>
      <c r="C72" s="188"/>
      <c r="D72" s="8"/>
      <c r="E72" s="8"/>
      <c r="F72" s="8"/>
      <c r="G72" s="8"/>
      <c r="J72" s="8"/>
      <c r="K72" s="8"/>
      <c r="L72" s="8"/>
      <c r="M72" s="8"/>
      <c r="N72" s="8"/>
      <c r="Q72" s="8"/>
      <c r="R72" s="8"/>
      <c r="S72" s="8"/>
      <c r="T72" s="8"/>
      <c r="U72" s="8"/>
      <c r="X72" s="8"/>
      <c r="Y72" s="8"/>
      <c r="Z72" s="8"/>
      <c r="AA72" s="8"/>
      <c r="AB72" s="8"/>
      <c r="AC72" s="8"/>
      <c r="AD72" s="61"/>
    </row>
    <row r="73" spans="1:30" x14ac:dyDescent="0.2">
      <c r="A73" s="8"/>
      <c r="B73" s="188"/>
      <c r="C73" s="188"/>
      <c r="D73" s="8"/>
      <c r="E73" s="8"/>
      <c r="F73" s="8"/>
      <c r="G73" s="8"/>
      <c r="J73" s="8"/>
      <c r="K73" s="8"/>
      <c r="L73" s="8"/>
      <c r="M73" s="8"/>
      <c r="N73" s="8"/>
      <c r="Q73" s="8"/>
      <c r="R73" s="8"/>
      <c r="S73" s="8"/>
      <c r="T73" s="8"/>
      <c r="U73" s="8"/>
      <c r="X73" s="8"/>
      <c r="Y73" s="8"/>
      <c r="Z73" s="8"/>
      <c r="AA73" s="8"/>
      <c r="AB73" s="8"/>
      <c r="AC73" s="8"/>
      <c r="AD73" s="61"/>
    </row>
    <row r="74" spans="1:30" x14ac:dyDescent="0.2">
      <c r="A74" s="8"/>
      <c r="B74" s="188"/>
      <c r="C74" s="188"/>
      <c r="D74" s="8"/>
      <c r="E74" s="8"/>
      <c r="F74" s="8"/>
      <c r="G74" s="8"/>
      <c r="J74" s="8"/>
      <c r="K74" s="8"/>
      <c r="L74" s="8"/>
      <c r="M74" s="8"/>
      <c r="N74" s="8"/>
      <c r="Q74" s="8"/>
      <c r="R74" s="8"/>
      <c r="S74" s="8"/>
      <c r="T74" s="8"/>
      <c r="U74" s="8"/>
      <c r="X74" s="8"/>
      <c r="Y74" s="8"/>
      <c r="Z74" s="8"/>
      <c r="AA74" s="8"/>
      <c r="AB74" s="8"/>
      <c r="AC74" s="8"/>
      <c r="AD74" s="61"/>
    </row>
    <row r="75" spans="1:30" x14ac:dyDescent="0.2">
      <c r="A75" s="8"/>
      <c r="B75" s="188"/>
      <c r="C75" s="188"/>
      <c r="D75" s="8"/>
      <c r="E75" s="8"/>
      <c r="F75" s="8"/>
      <c r="G75" s="8"/>
      <c r="J75" s="8"/>
      <c r="K75" s="8"/>
      <c r="L75" s="8"/>
      <c r="M75" s="8"/>
      <c r="N75" s="8"/>
      <c r="Q75" s="8"/>
      <c r="R75" s="8"/>
      <c r="S75" s="8"/>
      <c r="T75" s="8"/>
      <c r="U75" s="8"/>
      <c r="X75" s="8"/>
      <c r="Y75" s="8"/>
      <c r="Z75" s="8"/>
      <c r="AA75" s="8"/>
      <c r="AB75" s="8"/>
      <c r="AC75" s="8"/>
      <c r="AD75" s="61"/>
    </row>
    <row r="76" spans="1:30" x14ac:dyDescent="0.2">
      <c r="A76" s="8"/>
      <c r="B76" s="188"/>
      <c r="C76" s="188"/>
      <c r="D76" s="8"/>
      <c r="E76" s="8"/>
      <c r="F76" s="8"/>
      <c r="G76" s="8"/>
      <c r="J76" s="8"/>
      <c r="K76" s="8"/>
      <c r="L76" s="8"/>
      <c r="M76" s="8"/>
      <c r="N76" s="8"/>
      <c r="Q76" s="8"/>
      <c r="R76" s="8"/>
      <c r="S76" s="8"/>
      <c r="T76" s="8"/>
      <c r="U76" s="8"/>
      <c r="X76" s="8"/>
      <c r="Y76" s="8"/>
      <c r="Z76" s="8"/>
      <c r="AA76" s="8"/>
      <c r="AB76" s="8"/>
      <c r="AC76" s="8"/>
      <c r="AD76" s="61"/>
    </row>
    <row r="77" spans="1:30" x14ac:dyDescent="0.2">
      <c r="A77" s="8"/>
      <c r="B77" s="188"/>
      <c r="C77" s="188"/>
      <c r="D77" s="8"/>
      <c r="E77" s="8"/>
      <c r="F77" s="8"/>
      <c r="G77" s="8"/>
      <c r="J77" s="8"/>
      <c r="K77" s="8"/>
      <c r="L77" s="8"/>
      <c r="M77" s="8"/>
      <c r="N77" s="8"/>
      <c r="Q77" s="8"/>
      <c r="R77" s="8"/>
      <c r="S77" s="8"/>
      <c r="T77" s="8"/>
      <c r="U77" s="8"/>
      <c r="X77" s="8"/>
      <c r="Y77" s="8"/>
      <c r="Z77" s="8"/>
      <c r="AA77" s="8"/>
      <c r="AB77" s="8"/>
      <c r="AC77" s="8"/>
      <c r="AD77" s="61"/>
    </row>
    <row r="78" spans="1:30" x14ac:dyDescent="0.2">
      <c r="A78" s="8"/>
      <c r="B78" s="188"/>
      <c r="C78" s="188"/>
      <c r="D78" s="8"/>
      <c r="E78" s="8"/>
      <c r="F78" s="8"/>
      <c r="G78" s="8"/>
      <c r="J78" s="8"/>
      <c r="K78" s="8"/>
      <c r="L78" s="8"/>
      <c r="M78" s="8"/>
      <c r="N78" s="8"/>
      <c r="Q78" s="8"/>
      <c r="R78" s="8"/>
      <c r="S78" s="8"/>
      <c r="T78" s="8"/>
      <c r="U78" s="8"/>
      <c r="X78" s="8"/>
      <c r="Y78" s="8"/>
      <c r="Z78" s="8"/>
      <c r="AA78" s="8"/>
      <c r="AB78" s="8"/>
      <c r="AC78" s="8"/>
      <c r="AD78" s="61"/>
    </row>
    <row r="79" spans="1:30" x14ac:dyDescent="0.2">
      <c r="A79" s="8"/>
      <c r="B79" s="188"/>
      <c r="C79" s="188"/>
      <c r="D79" s="8"/>
      <c r="E79" s="8"/>
      <c r="F79" s="8"/>
      <c r="G79" s="8"/>
      <c r="J79" s="8"/>
      <c r="K79" s="8"/>
      <c r="L79" s="8"/>
      <c r="M79" s="8"/>
      <c r="N79" s="8"/>
      <c r="Q79" s="8"/>
      <c r="R79" s="8"/>
      <c r="S79" s="8"/>
      <c r="T79" s="8"/>
      <c r="U79" s="8"/>
      <c r="X79" s="8"/>
      <c r="Y79" s="8"/>
      <c r="Z79" s="8"/>
      <c r="AA79" s="8"/>
      <c r="AB79" s="8"/>
      <c r="AC79" s="8"/>
      <c r="AD79" s="61"/>
    </row>
    <row r="80" spans="1:30" x14ac:dyDescent="0.2">
      <c r="A80" s="8"/>
      <c r="B80" s="188"/>
      <c r="C80" s="188"/>
      <c r="D80" s="8"/>
      <c r="E80" s="8"/>
      <c r="F80" s="8"/>
      <c r="G80" s="8"/>
      <c r="J80" s="8"/>
      <c r="K80" s="8"/>
      <c r="L80" s="8"/>
      <c r="M80" s="8"/>
      <c r="N80" s="8"/>
      <c r="Q80" s="8"/>
      <c r="R80" s="8"/>
      <c r="S80" s="8"/>
      <c r="T80" s="8"/>
      <c r="U80" s="8"/>
      <c r="X80" s="8"/>
      <c r="Y80" s="8"/>
      <c r="Z80" s="8"/>
      <c r="AA80" s="8"/>
      <c r="AB80" s="8"/>
      <c r="AC80" s="8"/>
      <c r="AD80" s="61"/>
    </row>
    <row r="81" spans="1:30" x14ac:dyDescent="0.2">
      <c r="A81" s="8"/>
      <c r="B81" s="188"/>
      <c r="C81" s="188"/>
      <c r="D81" s="8"/>
      <c r="E81" s="8"/>
      <c r="F81" s="8"/>
      <c r="G81" s="8"/>
      <c r="J81" s="8"/>
      <c r="K81" s="8"/>
      <c r="L81" s="8"/>
      <c r="M81" s="8"/>
      <c r="N81" s="8"/>
      <c r="Q81" s="8"/>
      <c r="R81" s="8"/>
      <c r="S81" s="8"/>
      <c r="T81" s="8"/>
      <c r="U81" s="8"/>
      <c r="X81" s="8"/>
      <c r="Y81" s="8"/>
      <c r="Z81" s="8"/>
      <c r="AA81" s="8"/>
      <c r="AB81" s="8"/>
      <c r="AC81" s="8"/>
      <c r="AD81" s="61"/>
    </row>
    <row r="82" spans="1:30" x14ac:dyDescent="0.2">
      <c r="A82" s="8"/>
      <c r="B82" s="188"/>
      <c r="C82" s="188"/>
      <c r="D82" s="8"/>
      <c r="E82" s="8"/>
      <c r="F82" s="8"/>
      <c r="G82" s="8"/>
      <c r="J82" s="8"/>
      <c r="K82" s="8"/>
      <c r="L82" s="8"/>
      <c r="M82" s="8"/>
      <c r="N82" s="8"/>
      <c r="Q82" s="8"/>
      <c r="R82" s="8"/>
      <c r="S82" s="8"/>
      <c r="T82" s="8"/>
      <c r="U82" s="8"/>
      <c r="X82" s="8"/>
      <c r="Y82" s="8"/>
      <c r="Z82" s="8"/>
      <c r="AA82" s="8"/>
      <c r="AB82" s="8"/>
      <c r="AC82" s="8"/>
      <c r="AD82" s="61"/>
    </row>
    <row r="83" spans="1:30" x14ac:dyDescent="0.2">
      <c r="A83" s="8"/>
      <c r="B83" s="188"/>
      <c r="C83" s="188"/>
      <c r="D83" s="8"/>
      <c r="E83" s="8"/>
      <c r="F83" s="8"/>
      <c r="G83" s="8"/>
      <c r="J83" s="8"/>
      <c r="K83" s="8"/>
      <c r="L83" s="8"/>
      <c r="M83" s="8"/>
      <c r="N83" s="8"/>
      <c r="Q83" s="8"/>
      <c r="R83" s="8"/>
      <c r="S83" s="8"/>
      <c r="T83" s="8"/>
      <c r="U83" s="8"/>
      <c r="X83" s="8"/>
      <c r="Y83" s="8"/>
      <c r="Z83" s="8"/>
      <c r="AA83" s="8"/>
      <c r="AB83" s="8"/>
      <c r="AC83" s="8"/>
      <c r="AD83" s="61"/>
    </row>
    <row r="84" spans="1:30" x14ac:dyDescent="0.2">
      <c r="A84" s="8"/>
      <c r="B84" s="188"/>
      <c r="C84" s="188"/>
      <c r="D84" s="8"/>
      <c r="E84" s="8"/>
      <c r="F84" s="8"/>
      <c r="G84" s="8"/>
      <c r="J84" s="8"/>
      <c r="K84" s="8"/>
      <c r="L84" s="8"/>
      <c r="M84" s="8"/>
      <c r="N84" s="8"/>
      <c r="Q84" s="8"/>
      <c r="R84" s="8"/>
      <c r="S84" s="8"/>
      <c r="T84" s="8"/>
      <c r="U84" s="8"/>
      <c r="X84" s="8"/>
      <c r="Y84" s="8"/>
      <c r="Z84" s="8"/>
      <c r="AA84" s="8"/>
      <c r="AB84" s="8"/>
      <c r="AC84" s="8"/>
      <c r="AD84" s="61"/>
    </row>
    <row r="85" spans="1:30" x14ac:dyDescent="0.2">
      <c r="A85" s="8"/>
      <c r="B85" s="188"/>
      <c r="C85" s="188"/>
      <c r="D85" s="8"/>
      <c r="E85" s="8"/>
      <c r="F85" s="8"/>
      <c r="G85" s="8"/>
      <c r="J85" s="8"/>
      <c r="K85" s="8"/>
      <c r="L85" s="8"/>
      <c r="M85" s="8"/>
      <c r="N85" s="8"/>
      <c r="Q85" s="8"/>
      <c r="R85" s="8"/>
      <c r="S85" s="8"/>
      <c r="T85" s="8"/>
      <c r="U85" s="8"/>
      <c r="X85" s="8"/>
      <c r="Y85" s="8"/>
      <c r="Z85" s="8"/>
      <c r="AA85" s="8"/>
      <c r="AB85" s="8"/>
      <c r="AC85" s="8"/>
      <c r="AD85" s="61"/>
    </row>
    <row r="86" spans="1:30" x14ac:dyDescent="0.2">
      <c r="A86" s="8"/>
      <c r="B86" s="188"/>
      <c r="C86" s="188"/>
      <c r="D86" s="8"/>
      <c r="E86" s="8"/>
      <c r="F86" s="8"/>
      <c r="G86" s="8"/>
      <c r="J86" s="8"/>
      <c r="K86" s="8"/>
      <c r="L86" s="8"/>
      <c r="M86" s="8"/>
      <c r="N86" s="8"/>
      <c r="Q86" s="8"/>
      <c r="R86" s="8"/>
      <c r="S86" s="8"/>
      <c r="T86" s="8"/>
      <c r="U86" s="8"/>
      <c r="X86" s="8"/>
      <c r="Y86" s="8"/>
      <c r="Z86" s="8"/>
      <c r="AA86" s="8"/>
      <c r="AB86" s="8"/>
      <c r="AC86" s="8"/>
      <c r="AD86" s="61"/>
    </row>
    <row r="87" spans="1:30" x14ac:dyDescent="0.2">
      <c r="A87" s="8"/>
      <c r="B87" s="188"/>
      <c r="C87" s="188"/>
      <c r="D87" s="8"/>
      <c r="E87" s="8"/>
      <c r="F87" s="8"/>
      <c r="G87" s="8"/>
      <c r="J87" s="8"/>
      <c r="K87" s="8"/>
      <c r="L87" s="8"/>
      <c r="M87" s="8"/>
      <c r="N87" s="8"/>
      <c r="Q87" s="8"/>
      <c r="R87" s="8"/>
      <c r="S87" s="8"/>
      <c r="T87" s="8"/>
      <c r="U87" s="8"/>
      <c r="X87" s="8"/>
      <c r="Y87" s="8"/>
      <c r="Z87" s="8"/>
      <c r="AA87" s="8"/>
      <c r="AB87" s="8"/>
      <c r="AC87" s="8"/>
      <c r="AD87" s="61"/>
    </row>
    <row r="88" spans="1:30" x14ac:dyDescent="0.2">
      <c r="A88" s="8"/>
      <c r="B88" s="188"/>
      <c r="C88" s="188"/>
      <c r="D88" s="8"/>
      <c r="E88" s="8"/>
      <c r="F88" s="8"/>
      <c r="G88" s="8"/>
      <c r="J88" s="8"/>
      <c r="K88" s="8"/>
      <c r="L88" s="8"/>
      <c r="M88" s="8"/>
      <c r="N88" s="8"/>
      <c r="Q88" s="8"/>
      <c r="R88" s="8"/>
      <c r="S88" s="8"/>
      <c r="T88" s="8"/>
      <c r="U88" s="8"/>
      <c r="X88" s="8"/>
      <c r="Y88" s="8"/>
      <c r="Z88" s="8"/>
      <c r="AA88" s="8"/>
      <c r="AB88" s="8"/>
      <c r="AC88" s="8"/>
      <c r="AD88" s="61"/>
    </row>
    <row r="89" spans="1:30" x14ac:dyDescent="0.2">
      <c r="A89" s="8"/>
      <c r="B89" s="188"/>
      <c r="C89" s="188"/>
      <c r="D89" s="8"/>
      <c r="E89" s="8"/>
      <c r="F89" s="8"/>
      <c r="G89" s="8"/>
      <c r="J89" s="8"/>
      <c r="K89" s="8"/>
      <c r="L89" s="8"/>
      <c r="M89" s="8"/>
      <c r="N89" s="8"/>
      <c r="Q89" s="8"/>
      <c r="R89" s="8"/>
      <c r="S89" s="8"/>
      <c r="T89" s="8"/>
      <c r="U89" s="8"/>
      <c r="X89" s="8"/>
      <c r="Y89" s="8"/>
      <c r="Z89" s="8"/>
      <c r="AA89" s="8"/>
      <c r="AB89" s="8"/>
      <c r="AC89" s="8"/>
      <c r="AD89" s="61"/>
    </row>
    <row r="90" spans="1:30" x14ac:dyDescent="0.2">
      <c r="A90" s="8"/>
      <c r="B90" s="188"/>
      <c r="C90" s="188"/>
      <c r="D90" s="8"/>
      <c r="E90" s="8"/>
      <c r="F90" s="8"/>
      <c r="G90" s="8"/>
      <c r="J90" s="8"/>
      <c r="K90" s="8"/>
      <c r="L90" s="8"/>
      <c r="M90" s="8"/>
      <c r="N90" s="8"/>
      <c r="Q90" s="8"/>
      <c r="R90" s="8"/>
      <c r="S90" s="8"/>
      <c r="T90" s="8"/>
      <c r="U90" s="8"/>
      <c r="X90" s="8"/>
      <c r="Y90" s="8"/>
      <c r="Z90" s="8"/>
      <c r="AA90" s="8"/>
      <c r="AB90" s="8"/>
      <c r="AC90" s="8"/>
      <c r="AD90" s="61"/>
    </row>
    <row r="91" spans="1:30" x14ac:dyDescent="0.2">
      <c r="A91" s="8"/>
      <c r="B91" s="188"/>
      <c r="C91" s="188"/>
      <c r="D91" s="8"/>
      <c r="E91" s="8"/>
      <c r="F91" s="8"/>
      <c r="G91" s="8"/>
      <c r="J91" s="8"/>
      <c r="K91" s="8"/>
      <c r="L91" s="8"/>
      <c r="M91" s="8"/>
      <c r="N91" s="8"/>
      <c r="Q91" s="8"/>
      <c r="R91" s="8"/>
      <c r="S91" s="8"/>
      <c r="T91" s="8"/>
      <c r="U91" s="8"/>
      <c r="X91" s="8"/>
      <c r="Y91" s="8"/>
      <c r="Z91" s="8"/>
      <c r="AA91" s="8"/>
      <c r="AB91" s="8"/>
      <c r="AC91" s="8"/>
      <c r="AD91" s="61"/>
    </row>
    <row r="92" spans="1:30" x14ac:dyDescent="0.2">
      <c r="A92" s="8"/>
      <c r="B92" s="188"/>
      <c r="C92" s="188"/>
      <c r="D92" s="8"/>
      <c r="E92" s="8"/>
      <c r="F92" s="8"/>
      <c r="G92" s="8"/>
      <c r="J92" s="8"/>
      <c r="K92" s="8"/>
      <c r="L92" s="8"/>
      <c r="M92" s="8"/>
      <c r="N92" s="8"/>
      <c r="Q92" s="8"/>
      <c r="R92" s="8"/>
      <c r="S92" s="8"/>
      <c r="T92" s="8"/>
      <c r="U92" s="8"/>
      <c r="X92" s="8"/>
      <c r="Y92" s="8"/>
      <c r="Z92" s="8"/>
      <c r="AA92" s="8"/>
      <c r="AB92" s="8"/>
      <c r="AC92" s="8"/>
      <c r="AD92" s="61"/>
    </row>
    <row r="93" spans="1:30" x14ac:dyDescent="0.2">
      <c r="A93" s="8"/>
      <c r="B93" s="188"/>
      <c r="C93" s="188"/>
      <c r="D93" s="8"/>
      <c r="E93" s="8"/>
      <c r="F93" s="8"/>
      <c r="G93" s="8"/>
      <c r="J93" s="8"/>
      <c r="K93" s="8"/>
      <c r="L93" s="8"/>
      <c r="M93" s="8"/>
      <c r="N93" s="8"/>
      <c r="Q93" s="8"/>
      <c r="R93" s="8"/>
      <c r="S93" s="8"/>
      <c r="T93" s="8"/>
      <c r="U93" s="8"/>
      <c r="X93" s="8"/>
      <c r="Y93" s="8"/>
      <c r="Z93" s="8"/>
      <c r="AA93" s="8"/>
      <c r="AB93" s="8"/>
      <c r="AC93" s="8"/>
      <c r="AD93" s="61"/>
    </row>
    <row r="94" spans="1:30" x14ac:dyDescent="0.2">
      <c r="A94" s="8"/>
      <c r="B94" s="188"/>
      <c r="C94" s="188"/>
      <c r="D94" s="8"/>
      <c r="E94" s="8"/>
      <c r="F94" s="8"/>
      <c r="G94" s="8"/>
      <c r="J94" s="8"/>
      <c r="K94" s="8"/>
      <c r="L94" s="8"/>
      <c r="M94" s="8"/>
      <c r="N94" s="8"/>
      <c r="Q94" s="8"/>
      <c r="R94" s="8"/>
      <c r="S94" s="8"/>
      <c r="T94" s="8"/>
      <c r="U94" s="8"/>
      <c r="X94" s="8"/>
      <c r="Y94" s="8"/>
      <c r="Z94" s="8"/>
      <c r="AA94" s="8"/>
      <c r="AB94" s="8"/>
      <c r="AC94" s="8"/>
      <c r="AD94" s="61"/>
    </row>
    <row r="95" spans="1:30" x14ac:dyDescent="0.2">
      <c r="A95" s="8"/>
      <c r="B95" s="188"/>
      <c r="C95" s="188"/>
      <c r="D95" s="8"/>
      <c r="E95" s="8"/>
      <c r="F95" s="8"/>
      <c r="G95" s="8"/>
      <c r="J95" s="8"/>
      <c r="K95" s="8"/>
      <c r="L95" s="8"/>
      <c r="M95" s="8"/>
      <c r="N95" s="8"/>
      <c r="Q95" s="8"/>
      <c r="R95" s="8"/>
      <c r="S95" s="8"/>
      <c r="T95" s="8"/>
      <c r="U95" s="8"/>
      <c r="X95" s="8"/>
      <c r="Y95" s="8"/>
      <c r="Z95" s="8"/>
      <c r="AA95" s="8"/>
      <c r="AB95" s="8"/>
      <c r="AC95" s="8"/>
      <c r="AD95" s="61"/>
    </row>
    <row r="96" spans="1:30" x14ac:dyDescent="0.2">
      <c r="A96" s="8"/>
      <c r="B96" s="188"/>
      <c r="C96" s="188"/>
      <c r="D96" s="8"/>
      <c r="E96" s="8"/>
      <c r="F96" s="8"/>
      <c r="G96" s="8"/>
      <c r="J96" s="8"/>
      <c r="K96" s="8"/>
      <c r="L96" s="8"/>
      <c r="M96" s="8"/>
      <c r="N96" s="8"/>
      <c r="Q96" s="8"/>
      <c r="R96" s="8"/>
      <c r="S96" s="8"/>
      <c r="T96" s="8"/>
      <c r="U96" s="8"/>
      <c r="X96" s="8"/>
      <c r="Y96" s="8"/>
      <c r="Z96" s="8"/>
      <c r="AA96" s="8"/>
      <c r="AB96" s="8"/>
      <c r="AC96" s="8"/>
      <c r="AD96" s="61"/>
    </row>
    <row r="97" spans="1:30" x14ac:dyDescent="0.2">
      <c r="A97" s="8"/>
      <c r="B97" s="188"/>
      <c r="C97" s="188"/>
      <c r="D97" s="8"/>
      <c r="E97" s="8"/>
      <c r="F97" s="8"/>
      <c r="G97" s="8"/>
      <c r="J97" s="8"/>
      <c r="K97" s="8"/>
      <c r="L97" s="8"/>
      <c r="M97" s="8"/>
      <c r="N97" s="8"/>
      <c r="Q97" s="8"/>
      <c r="R97" s="8"/>
      <c r="S97" s="8"/>
      <c r="T97" s="8"/>
      <c r="U97" s="8"/>
      <c r="X97" s="8"/>
      <c r="Y97" s="8"/>
      <c r="Z97" s="8"/>
      <c r="AA97" s="8"/>
      <c r="AB97" s="8"/>
      <c r="AC97" s="8"/>
      <c r="AD97" s="61"/>
    </row>
    <row r="98" spans="1:30" x14ac:dyDescent="0.2">
      <c r="A98" s="8"/>
      <c r="B98" s="188"/>
      <c r="C98" s="188"/>
      <c r="D98" s="8"/>
      <c r="E98" s="8"/>
      <c r="F98" s="8"/>
      <c r="G98" s="8"/>
      <c r="J98" s="8"/>
      <c r="K98" s="8"/>
      <c r="L98" s="8"/>
      <c r="M98" s="8"/>
      <c r="N98" s="8"/>
      <c r="Q98" s="8"/>
      <c r="R98" s="8"/>
      <c r="S98" s="8"/>
      <c r="T98" s="8"/>
      <c r="U98" s="8"/>
      <c r="X98" s="8"/>
      <c r="Y98" s="8"/>
      <c r="Z98" s="8"/>
      <c r="AA98" s="8"/>
      <c r="AB98" s="8"/>
      <c r="AC98" s="8"/>
      <c r="AD98" s="61"/>
    </row>
    <row r="99" spans="1:30" x14ac:dyDescent="0.2">
      <c r="A99" s="8"/>
      <c r="B99" s="188"/>
      <c r="C99" s="188"/>
      <c r="D99" s="8"/>
      <c r="E99" s="8"/>
      <c r="F99" s="8"/>
      <c r="G99" s="8"/>
      <c r="J99" s="8"/>
      <c r="K99" s="8"/>
      <c r="L99" s="8"/>
      <c r="M99" s="8"/>
      <c r="N99" s="8"/>
      <c r="Q99" s="8"/>
      <c r="R99" s="8"/>
      <c r="S99" s="8"/>
      <c r="T99" s="8"/>
      <c r="U99" s="8"/>
      <c r="X99" s="8"/>
      <c r="Y99" s="8"/>
      <c r="Z99" s="8"/>
      <c r="AA99" s="8"/>
      <c r="AB99" s="8"/>
      <c r="AC99" s="8"/>
      <c r="AD99" s="61"/>
    </row>
    <row r="100" spans="1:30" x14ac:dyDescent="0.2">
      <c r="A100" s="8"/>
      <c r="B100" s="188"/>
      <c r="C100" s="188"/>
      <c r="D100" s="8"/>
      <c r="E100" s="8"/>
      <c r="F100" s="8"/>
      <c r="G100" s="8"/>
      <c r="J100" s="8"/>
      <c r="K100" s="8"/>
      <c r="L100" s="8"/>
      <c r="M100" s="8"/>
      <c r="N100" s="8"/>
      <c r="Q100" s="8"/>
      <c r="R100" s="8"/>
      <c r="S100" s="8"/>
      <c r="T100" s="8"/>
      <c r="U100" s="8"/>
      <c r="X100" s="8"/>
      <c r="Y100" s="8"/>
      <c r="Z100" s="8"/>
      <c r="AA100" s="8"/>
      <c r="AB100" s="8"/>
      <c r="AC100" s="8"/>
      <c r="AD100" s="61"/>
    </row>
    <row r="101" spans="1:30" x14ac:dyDescent="0.2">
      <c r="A101" s="8"/>
      <c r="B101" s="188"/>
      <c r="C101" s="188"/>
      <c r="D101" s="8"/>
      <c r="E101" s="8"/>
      <c r="F101" s="8"/>
      <c r="G101" s="8"/>
      <c r="J101" s="8"/>
      <c r="K101" s="8"/>
      <c r="L101" s="8"/>
      <c r="M101" s="8"/>
      <c r="N101" s="8"/>
      <c r="Q101" s="8"/>
      <c r="R101" s="8"/>
      <c r="S101" s="8"/>
      <c r="T101" s="8"/>
      <c r="U101" s="8"/>
      <c r="X101" s="8"/>
      <c r="Y101" s="8"/>
      <c r="Z101" s="8"/>
      <c r="AA101" s="8"/>
      <c r="AB101" s="8"/>
      <c r="AC101" s="8"/>
      <c r="AD101" s="61"/>
    </row>
    <row r="102" spans="1:30" x14ac:dyDescent="0.2">
      <c r="A102" s="8"/>
      <c r="B102" s="188"/>
      <c r="C102" s="188"/>
      <c r="D102" s="8"/>
      <c r="E102" s="8"/>
      <c r="F102" s="8"/>
      <c r="G102" s="8"/>
      <c r="J102" s="8"/>
      <c r="K102" s="8"/>
      <c r="L102" s="8"/>
      <c r="M102" s="8"/>
      <c r="N102" s="8"/>
      <c r="Q102" s="8"/>
      <c r="R102" s="8"/>
      <c r="S102" s="8"/>
      <c r="T102" s="8"/>
      <c r="U102" s="8"/>
      <c r="X102" s="8"/>
      <c r="Y102" s="8"/>
      <c r="Z102" s="8"/>
      <c r="AA102" s="8"/>
      <c r="AB102" s="8"/>
      <c r="AC102" s="8"/>
      <c r="AD102" s="61"/>
    </row>
    <row r="103" spans="1:30" x14ac:dyDescent="0.2">
      <c r="A103" s="8"/>
      <c r="B103" s="188"/>
      <c r="C103" s="188"/>
      <c r="D103" s="8"/>
      <c r="E103" s="8"/>
      <c r="F103" s="8"/>
      <c r="G103" s="8"/>
      <c r="J103" s="8"/>
      <c r="K103" s="8"/>
      <c r="L103" s="8"/>
      <c r="M103" s="8"/>
      <c r="N103" s="8"/>
      <c r="Q103" s="8"/>
      <c r="R103" s="8"/>
      <c r="S103" s="8"/>
      <c r="T103" s="8"/>
      <c r="U103" s="8"/>
      <c r="X103" s="8"/>
      <c r="Y103" s="8"/>
      <c r="Z103" s="8"/>
      <c r="AA103" s="8"/>
      <c r="AB103" s="8"/>
      <c r="AC103" s="8"/>
      <c r="AD103" s="61"/>
    </row>
    <row r="104" spans="1:30" x14ac:dyDescent="0.2">
      <c r="A104" s="8"/>
      <c r="B104" s="188"/>
      <c r="C104" s="188"/>
      <c r="D104" s="8"/>
      <c r="E104" s="8"/>
      <c r="F104" s="8"/>
      <c r="G104" s="8"/>
      <c r="J104" s="8"/>
      <c r="K104" s="8"/>
      <c r="L104" s="8"/>
      <c r="M104" s="8"/>
      <c r="N104" s="8"/>
      <c r="Q104" s="8"/>
      <c r="R104" s="8"/>
      <c r="S104" s="8"/>
      <c r="T104" s="8"/>
      <c r="U104" s="8"/>
      <c r="X104" s="8"/>
      <c r="Y104" s="8"/>
      <c r="Z104" s="8"/>
      <c r="AA104" s="8"/>
      <c r="AB104" s="8"/>
      <c r="AC104" s="8"/>
      <c r="AD104" s="61"/>
    </row>
    <row r="105" spans="1:30" x14ac:dyDescent="0.2">
      <c r="A105" s="8"/>
      <c r="B105" s="188"/>
      <c r="C105" s="188"/>
      <c r="D105" s="8"/>
      <c r="E105" s="8"/>
      <c r="F105" s="8"/>
      <c r="G105" s="8"/>
      <c r="J105" s="8"/>
      <c r="K105" s="8"/>
      <c r="L105" s="8"/>
      <c r="M105" s="8"/>
      <c r="N105" s="8"/>
      <c r="Q105" s="8"/>
      <c r="R105" s="8"/>
      <c r="S105" s="8"/>
      <c r="T105" s="8"/>
      <c r="U105" s="8"/>
      <c r="X105" s="8"/>
      <c r="Y105" s="8"/>
      <c r="Z105" s="8"/>
      <c r="AA105" s="8"/>
      <c r="AB105" s="8"/>
      <c r="AC105" s="8"/>
      <c r="AD105" s="61"/>
    </row>
    <row r="106" spans="1:30" x14ac:dyDescent="0.2">
      <c r="A106" s="8"/>
      <c r="B106" s="188"/>
      <c r="C106" s="188"/>
      <c r="D106" s="8"/>
      <c r="E106" s="8"/>
      <c r="F106" s="8"/>
      <c r="G106" s="8"/>
      <c r="J106" s="8"/>
      <c r="K106" s="8"/>
      <c r="L106" s="8"/>
      <c r="M106" s="8"/>
      <c r="N106" s="8"/>
      <c r="Q106" s="8"/>
      <c r="R106" s="8"/>
      <c r="S106" s="8"/>
      <c r="T106" s="8"/>
      <c r="U106" s="8"/>
      <c r="X106" s="8"/>
      <c r="Y106" s="8"/>
      <c r="Z106" s="8"/>
      <c r="AA106" s="8"/>
      <c r="AB106" s="8"/>
      <c r="AC106" s="8"/>
      <c r="AD106" s="61"/>
    </row>
    <row r="107" spans="1:30" x14ac:dyDescent="0.2">
      <c r="A107" s="8"/>
      <c r="B107" s="188"/>
      <c r="C107" s="188"/>
      <c r="D107" s="8"/>
      <c r="E107" s="8"/>
      <c r="F107" s="8"/>
      <c r="G107" s="8"/>
      <c r="J107" s="8"/>
      <c r="K107" s="8"/>
      <c r="L107" s="8"/>
      <c r="M107" s="8"/>
      <c r="N107" s="8"/>
      <c r="Q107" s="8"/>
      <c r="R107" s="8"/>
      <c r="S107" s="8"/>
      <c r="T107" s="8"/>
      <c r="U107" s="8"/>
      <c r="X107" s="8"/>
      <c r="Y107" s="8"/>
      <c r="Z107" s="8"/>
      <c r="AA107" s="8"/>
      <c r="AB107" s="8"/>
      <c r="AC107" s="8"/>
      <c r="AD107" s="61"/>
    </row>
    <row r="108" spans="1:30" x14ac:dyDescent="0.2">
      <c r="A108" s="8"/>
      <c r="B108" s="188"/>
      <c r="C108" s="188"/>
      <c r="D108" s="8"/>
      <c r="E108" s="8"/>
      <c r="F108" s="8"/>
      <c r="G108" s="8"/>
      <c r="J108" s="8"/>
      <c r="K108" s="8"/>
      <c r="L108" s="8"/>
      <c r="M108" s="8"/>
      <c r="N108" s="8"/>
      <c r="Q108" s="8"/>
      <c r="R108" s="8"/>
      <c r="S108" s="8"/>
      <c r="T108" s="8"/>
      <c r="U108" s="8"/>
      <c r="X108" s="8"/>
      <c r="Y108" s="8"/>
      <c r="Z108" s="8"/>
      <c r="AA108" s="8"/>
      <c r="AB108" s="8"/>
      <c r="AC108" s="8"/>
      <c r="AD108" s="61"/>
    </row>
    <row r="109" spans="1:30" x14ac:dyDescent="0.2">
      <c r="A109" s="8"/>
      <c r="B109" s="188"/>
      <c r="C109" s="188"/>
      <c r="D109" s="8"/>
      <c r="E109" s="8"/>
      <c r="F109" s="8"/>
      <c r="G109" s="8"/>
      <c r="J109" s="8"/>
      <c r="K109" s="8"/>
      <c r="L109" s="8"/>
      <c r="M109" s="8"/>
      <c r="N109" s="8"/>
      <c r="Q109" s="8"/>
      <c r="R109" s="8"/>
      <c r="S109" s="8"/>
      <c r="T109" s="8"/>
      <c r="U109" s="8"/>
      <c r="X109" s="8"/>
      <c r="Y109" s="8"/>
      <c r="Z109" s="8"/>
      <c r="AA109" s="8"/>
      <c r="AB109" s="8"/>
      <c r="AC109" s="8"/>
      <c r="AD109" s="61"/>
    </row>
    <row r="110" spans="1:30" x14ac:dyDescent="0.2">
      <c r="A110" s="8"/>
      <c r="B110" s="188"/>
      <c r="C110" s="188"/>
      <c r="D110" s="8"/>
      <c r="E110" s="8"/>
      <c r="F110" s="8"/>
      <c r="G110" s="8"/>
      <c r="J110" s="8"/>
      <c r="K110" s="8"/>
      <c r="L110" s="8"/>
      <c r="M110" s="8"/>
      <c r="N110" s="8"/>
      <c r="Q110" s="8"/>
      <c r="R110" s="8"/>
      <c r="S110" s="8"/>
      <c r="T110" s="8"/>
      <c r="U110" s="8"/>
      <c r="X110" s="8"/>
      <c r="Y110" s="8"/>
      <c r="Z110" s="8"/>
      <c r="AA110" s="8"/>
      <c r="AB110" s="8"/>
      <c r="AC110" s="8"/>
      <c r="AD110" s="61"/>
    </row>
    <row r="111" spans="1:30" x14ac:dyDescent="0.2">
      <c r="A111" s="8"/>
      <c r="B111" s="188"/>
      <c r="C111" s="188"/>
      <c r="D111" s="8"/>
      <c r="E111" s="8"/>
      <c r="F111" s="8"/>
      <c r="G111" s="8"/>
      <c r="J111" s="8"/>
      <c r="K111" s="8"/>
      <c r="L111" s="8"/>
      <c r="M111" s="8"/>
      <c r="N111" s="8"/>
      <c r="Q111" s="8"/>
      <c r="R111" s="8"/>
      <c r="S111" s="8"/>
      <c r="T111" s="8"/>
      <c r="U111" s="8"/>
      <c r="X111" s="8"/>
      <c r="Y111" s="8"/>
      <c r="Z111" s="8"/>
      <c r="AA111" s="8"/>
      <c r="AB111" s="8"/>
      <c r="AC111" s="8"/>
      <c r="AD111" s="61"/>
    </row>
    <row r="112" spans="1:30" x14ac:dyDescent="0.2">
      <c r="A112" s="8"/>
      <c r="B112" s="188"/>
      <c r="C112" s="188"/>
      <c r="D112" s="8"/>
      <c r="E112" s="8"/>
      <c r="F112" s="8"/>
      <c r="G112" s="8"/>
      <c r="J112" s="8"/>
      <c r="K112" s="8"/>
      <c r="L112" s="8"/>
      <c r="M112" s="8"/>
      <c r="N112" s="8"/>
      <c r="Q112" s="8"/>
      <c r="R112" s="8"/>
      <c r="S112" s="8"/>
      <c r="T112" s="8"/>
      <c r="U112" s="8"/>
      <c r="X112" s="8"/>
      <c r="Y112" s="8"/>
      <c r="Z112" s="8"/>
      <c r="AA112" s="8"/>
      <c r="AB112" s="8"/>
      <c r="AC112" s="8"/>
      <c r="AD112" s="61"/>
    </row>
    <row r="113" spans="1:30" x14ac:dyDescent="0.2">
      <c r="A113" s="8"/>
      <c r="B113" s="188"/>
      <c r="C113" s="188"/>
      <c r="D113" s="8"/>
      <c r="E113" s="8"/>
      <c r="F113" s="8"/>
      <c r="G113" s="8"/>
      <c r="J113" s="8"/>
      <c r="K113" s="8"/>
      <c r="L113" s="8"/>
      <c r="M113" s="8"/>
      <c r="N113" s="8"/>
      <c r="Q113" s="8"/>
      <c r="R113" s="8"/>
      <c r="S113" s="8"/>
      <c r="T113" s="8"/>
      <c r="U113" s="8"/>
      <c r="X113" s="8"/>
      <c r="Y113" s="8"/>
      <c r="Z113" s="8"/>
      <c r="AA113" s="8"/>
      <c r="AB113" s="8"/>
      <c r="AC113" s="8"/>
      <c r="AD113" s="61"/>
    </row>
    <row r="114" spans="1:30" x14ac:dyDescent="0.2">
      <c r="A114" s="8"/>
      <c r="B114" s="188"/>
      <c r="C114" s="188"/>
      <c r="D114" s="8"/>
      <c r="E114" s="8"/>
      <c r="F114" s="8"/>
      <c r="G114" s="8"/>
      <c r="J114" s="8"/>
      <c r="K114" s="8"/>
      <c r="L114" s="8"/>
      <c r="M114" s="8"/>
      <c r="N114" s="8"/>
      <c r="Q114" s="8"/>
      <c r="R114" s="8"/>
      <c r="S114" s="8"/>
      <c r="T114" s="8"/>
      <c r="U114" s="8"/>
      <c r="X114" s="8"/>
      <c r="Y114" s="8"/>
      <c r="Z114" s="8"/>
      <c r="AA114" s="8"/>
      <c r="AB114" s="8"/>
      <c r="AC114" s="8"/>
      <c r="AD114" s="61"/>
    </row>
    <row r="115" spans="1:30" x14ac:dyDescent="0.2">
      <c r="A115" s="8"/>
      <c r="B115" s="188"/>
      <c r="C115" s="188"/>
      <c r="D115" s="8"/>
      <c r="E115" s="8"/>
      <c r="F115" s="8"/>
      <c r="G115" s="8"/>
      <c r="J115" s="8"/>
      <c r="K115" s="8"/>
      <c r="L115" s="8"/>
      <c r="M115" s="8"/>
      <c r="N115" s="8"/>
      <c r="Q115" s="8"/>
      <c r="R115" s="8"/>
      <c r="S115" s="8"/>
      <c r="T115" s="8"/>
      <c r="U115" s="8"/>
      <c r="X115" s="8"/>
      <c r="Y115" s="8"/>
      <c r="Z115" s="8"/>
      <c r="AA115" s="8"/>
      <c r="AB115" s="8"/>
      <c r="AC115" s="8"/>
      <c r="AD115" s="61"/>
    </row>
    <row r="116" spans="1:30" x14ac:dyDescent="0.2">
      <c r="A116" s="8"/>
      <c r="B116" s="188"/>
      <c r="C116" s="188"/>
      <c r="D116" s="8"/>
      <c r="E116" s="8"/>
      <c r="F116" s="8"/>
      <c r="G116" s="8"/>
      <c r="J116" s="8"/>
      <c r="K116" s="8"/>
      <c r="L116" s="8"/>
      <c r="M116" s="8"/>
      <c r="N116" s="8"/>
      <c r="Q116" s="8"/>
      <c r="R116" s="8"/>
      <c r="S116" s="8"/>
      <c r="T116" s="8"/>
      <c r="U116" s="8"/>
      <c r="X116" s="8"/>
      <c r="Y116" s="8"/>
      <c r="Z116" s="8"/>
      <c r="AA116" s="8"/>
      <c r="AB116" s="8"/>
      <c r="AC116" s="8"/>
      <c r="AD116" s="61"/>
    </row>
    <row r="117" spans="1:30" x14ac:dyDescent="0.2">
      <c r="A117" s="8"/>
      <c r="B117" s="188"/>
      <c r="C117" s="188"/>
      <c r="D117" s="8"/>
      <c r="E117" s="8"/>
      <c r="F117" s="8"/>
      <c r="G117" s="8"/>
      <c r="J117" s="8"/>
      <c r="K117" s="8"/>
      <c r="L117" s="8"/>
      <c r="M117" s="8"/>
      <c r="N117" s="8"/>
      <c r="Q117" s="8"/>
      <c r="R117" s="8"/>
      <c r="S117" s="8"/>
      <c r="T117" s="8"/>
      <c r="U117" s="8"/>
      <c r="X117" s="8"/>
      <c r="Y117" s="8"/>
      <c r="Z117" s="8"/>
      <c r="AA117" s="8"/>
      <c r="AB117" s="8"/>
      <c r="AC117" s="8"/>
      <c r="AD117" s="61"/>
    </row>
    <row r="118" spans="1:30" x14ac:dyDescent="0.2">
      <c r="A118" s="8"/>
      <c r="B118" s="188"/>
      <c r="C118" s="188"/>
      <c r="D118" s="8"/>
      <c r="E118" s="8"/>
      <c r="F118" s="8"/>
      <c r="G118" s="8"/>
      <c r="J118" s="8"/>
      <c r="K118" s="8"/>
      <c r="L118" s="8"/>
      <c r="M118" s="8"/>
      <c r="N118" s="8"/>
      <c r="Q118" s="8"/>
      <c r="R118" s="8"/>
      <c r="S118" s="8"/>
      <c r="T118" s="8"/>
      <c r="U118" s="8"/>
      <c r="X118" s="8"/>
      <c r="Y118" s="8"/>
      <c r="Z118" s="8"/>
      <c r="AA118" s="8"/>
      <c r="AB118" s="8"/>
      <c r="AC118" s="8"/>
      <c r="AD118" s="61"/>
    </row>
    <row r="119" spans="1:30" x14ac:dyDescent="0.2">
      <c r="A119" s="8"/>
      <c r="B119" s="188"/>
      <c r="C119" s="188"/>
      <c r="D119" s="8"/>
      <c r="E119" s="8"/>
      <c r="F119" s="8"/>
      <c r="G119" s="8"/>
      <c r="J119" s="8"/>
      <c r="K119" s="8"/>
      <c r="L119" s="8"/>
      <c r="M119" s="8"/>
      <c r="N119" s="8"/>
      <c r="Q119" s="8"/>
      <c r="R119" s="8"/>
      <c r="S119" s="8"/>
      <c r="T119" s="8"/>
      <c r="U119" s="8"/>
      <c r="X119" s="8"/>
      <c r="Y119" s="8"/>
      <c r="Z119" s="8"/>
      <c r="AA119" s="8"/>
      <c r="AB119" s="8"/>
      <c r="AC119" s="8"/>
      <c r="AD119" s="61"/>
    </row>
    <row r="120" spans="1:30" x14ac:dyDescent="0.2">
      <c r="A120" s="8"/>
      <c r="B120" s="188"/>
      <c r="C120" s="188"/>
      <c r="D120" s="8"/>
      <c r="E120" s="8"/>
      <c r="F120" s="8"/>
      <c r="G120" s="8"/>
      <c r="J120" s="8"/>
      <c r="K120" s="8"/>
      <c r="L120" s="8"/>
      <c r="M120" s="8"/>
      <c r="N120" s="8"/>
      <c r="Q120" s="8"/>
      <c r="R120" s="8"/>
      <c r="S120" s="8"/>
      <c r="T120" s="8"/>
      <c r="U120" s="8"/>
      <c r="X120" s="8"/>
      <c r="Y120" s="8"/>
      <c r="Z120" s="8"/>
      <c r="AA120" s="8"/>
      <c r="AB120" s="8"/>
      <c r="AC120" s="8"/>
      <c r="AD120" s="61"/>
    </row>
    <row r="121" spans="1:30" x14ac:dyDescent="0.2">
      <c r="A121" s="8"/>
      <c r="B121" s="188"/>
      <c r="C121" s="188"/>
      <c r="D121" s="8"/>
      <c r="E121" s="8"/>
      <c r="F121" s="8"/>
      <c r="G121" s="8"/>
      <c r="J121" s="8"/>
      <c r="K121" s="8"/>
      <c r="L121" s="8"/>
      <c r="M121" s="8"/>
      <c r="N121" s="8"/>
      <c r="Q121" s="8"/>
      <c r="R121" s="8"/>
      <c r="S121" s="8"/>
      <c r="T121" s="8"/>
      <c r="U121" s="8"/>
      <c r="X121" s="8"/>
      <c r="Y121" s="8"/>
      <c r="Z121" s="8"/>
      <c r="AA121" s="8"/>
      <c r="AB121" s="8"/>
      <c r="AC121" s="8"/>
      <c r="AD121" s="61"/>
    </row>
    <row r="122" spans="1:30" x14ac:dyDescent="0.2">
      <c r="A122" s="8"/>
      <c r="B122" s="188"/>
      <c r="C122" s="188"/>
      <c r="D122" s="8"/>
      <c r="E122" s="8"/>
      <c r="F122" s="8"/>
      <c r="G122" s="8"/>
      <c r="J122" s="8"/>
      <c r="K122" s="8"/>
      <c r="L122" s="8"/>
      <c r="M122" s="8"/>
      <c r="N122" s="8"/>
      <c r="Q122" s="8"/>
      <c r="R122" s="8"/>
      <c r="S122" s="8"/>
      <c r="T122" s="8"/>
      <c r="U122" s="8"/>
      <c r="X122" s="8"/>
      <c r="Y122" s="8"/>
      <c r="Z122" s="8"/>
      <c r="AA122" s="8"/>
      <c r="AB122" s="8"/>
      <c r="AC122" s="8"/>
      <c r="AD122" s="61"/>
    </row>
    <row r="123" spans="1:30" x14ac:dyDescent="0.2">
      <c r="A123" s="8"/>
      <c r="B123" s="188"/>
      <c r="C123" s="188"/>
      <c r="D123" s="8"/>
      <c r="E123" s="8"/>
      <c r="F123" s="8"/>
      <c r="G123" s="8"/>
      <c r="J123" s="8"/>
      <c r="K123" s="8"/>
      <c r="L123" s="8"/>
      <c r="M123" s="8"/>
      <c r="N123" s="8"/>
      <c r="Q123" s="8"/>
      <c r="R123" s="8"/>
      <c r="S123" s="8"/>
      <c r="T123" s="8"/>
      <c r="U123" s="8"/>
      <c r="X123" s="8"/>
      <c r="Y123" s="8"/>
      <c r="Z123" s="8"/>
      <c r="AA123" s="8"/>
      <c r="AB123" s="8"/>
      <c r="AC123" s="8"/>
      <c r="AD123" s="61"/>
    </row>
    <row r="124" spans="1:30" x14ac:dyDescent="0.2">
      <c r="A124" s="8"/>
      <c r="B124" s="188"/>
      <c r="C124" s="188"/>
      <c r="D124" s="8"/>
      <c r="E124" s="8"/>
      <c r="F124" s="8"/>
      <c r="G124" s="8"/>
      <c r="J124" s="8"/>
      <c r="K124" s="8"/>
      <c r="L124" s="8"/>
      <c r="M124" s="8"/>
      <c r="N124" s="8"/>
      <c r="Q124" s="8"/>
      <c r="R124" s="8"/>
      <c r="S124" s="8"/>
      <c r="T124" s="8"/>
      <c r="U124" s="8"/>
      <c r="X124" s="8"/>
      <c r="Y124" s="8"/>
      <c r="Z124" s="8"/>
      <c r="AA124" s="8"/>
      <c r="AB124" s="8"/>
      <c r="AC124" s="8"/>
      <c r="AD124" s="61"/>
    </row>
    <row r="125" spans="1:30" x14ac:dyDescent="0.2">
      <c r="A125" s="8"/>
      <c r="B125" s="188"/>
      <c r="C125" s="188"/>
      <c r="D125" s="8"/>
      <c r="E125" s="8"/>
      <c r="F125" s="8"/>
      <c r="G125" s="8"/>
      <c r="J125" s="8"/>
      <c r="K125" s="8"/>
      <c r="L125" s="8"/>
      <c r="M125" s="8"/>
      <c r="N125" s="8"/>
      <c r="Q125" s="8"/>
      <c r="R125" s="8"/>
      <c r="S125" s="8"/>
      <c r="T125" s="8"/>
      <c r="U125" s="8"/>
      <c r="X125" s="8"/>
      <c r="Y125" s="8"/>
      <c r="Z125" s="8"/>
      <c r="AA125" s="8"/>
      <c r="AB125" s="8"/>
      <c r="AC125" s="8"/>
      <c r="AD125" s="61"/>
    </row>
    <row r="126" spans="1:30" x14ac:dyDescent="0.2">
      <c r="A126" s="8"/>
      <c r="B126" s="188"/>
      <c r="C126" s="188"/>
      <c r="D126" s="8"/>
      <c r="E126" s="8"/>
      <c r="F126" s="8"/>
      <c r="G126" s="8"/>
      <c r="J126" s="8"/>
      <c r="K126" s="8"/>
      <c r="L126" s="8"/>
      <c r="M126" s="8"/>
      <c r="N126" s="8"/>
      <c r="Q126" s="8"/>
      <c r="R126" s="8"/>
      <c r="S126" s="8"/>
      <c r="T126" s="8"/>
      <c r="U126" s="8"/>
      <c r="X126" s="8"/>
      <c r="Y126" s="8"/>
      <c r="Z126" s="8"/>
      <c r="AA126" s="8"/>
      <c r="AB126" s="8"/>
      <c r="AC126" s="8"/>
      <c r="AD126" s="61"/>
    </row>
    <row r="127" spans="1:30" x14ac:dyDescent="0.2">
      <c r="A127" s="8"/>
      <c r="B127" s="188"/>
      <c r="C127" s="188"/>
      <c r="D127" s="8"/>
      <c r="E127" s="8"/>
      <c r="F127" s="8"/>
      <c r="G127" s="8"/>
      <c r="J127" s="8"/>
      <c r="K127" s="8"/>
      <c r="L127" s="8"/>
      <c r="M127" s="8"/>
      <c r="N127" s="8"/>
      <c r="Q127" s="8"/>
      <c r="R127" s="8"/>
      <c r="S127" s="8"/>
      <c r="T127" s="8"/>
      <c r="U127" s="8"/>
      <c r="X127" s="8"/>
      <c r="Y127" s="8"/>
      <c r="Z127" s="8"/>
      <c r="AA127" s="8"/>
      <c r="AB127" s="8"/>
      <c r="AC127" s="8"/>
      <c r="AD127" s="61"/>
    </row>
    <row r="128" spans="1:30" x14ac:dyDescent="0.2">
      <c r="A128" s="8"/>
      <c r="B128" s="188"/>
      <c r="C128" s="188"/>
      <c r="D128" s="8"/>
      <c r="E128" s="8"/>
      <c r="F128" s="8"/>
      <c r="G128" s="8"/>
      <c r="J128" s="8"/>
      <c r="K128" s="8"/>
      <c r="L128" s="8"/>
      <c r="M128" s="8"/>
      <c r="N128" s="8"/>
      <c r="Q128" s="8"/>
      <c r="R128" s="8"/>
      <c r="S128" s="8"/>
      <c r="T128" s="8"/>
      <c r="U128" s="8"/>
      <c r="X128" s="8"/>
      <c r="Y128" s="8"/>
      <c r="Z128" s="8"/>
      <c r="AA128" s="8"/>
      <c r="AB128" s="8"/>
      <c r="AC128" s="8"/>
      <c r="AD128" s="61"/>
    </row>
    <row r="129" spans="1:30" x14ac:dyDescent="0.2">
      <c r="A129" s="8"/>
      <c r="B129" s="188"/>
      <c r="C129" s="188"/>
      <c r="D129" s="8"/>
      <c r="E129" s="8"/>
      <c r="F129" s="8"/>
      <c r="G129" s="8"/>
      <c r="J129" s="8"/>
      <c r="K129" s="8"/>
      <c r="L129" s="8"/>
      <c r="M129" s="8"/>
      <c r="N129" s="8"/>
      <c r="Q129" s="8"/>
      <c r="R129" s="8"/>
      <c r="S129" s="8"/>
      <c r="T129" s="8"/>
      <c r="U129" s="8"/>
      <c r="X129" s="8"/>
      <c r="Y129" s="8"/>
      <c r="Z129" s="8"/>
      <c r="AA129" s="8"/>
      <c r="AB129" s="8"/>
      <c r="AC129" s="8"/>
      <c r="AD129" s="61"/>
    </row>
    <row r="130" spans="1:30" x14ac:dyDescent="0.2">
      <c r="A130" s="8"/>
      <c r="B130" s="188"/>
      <c r="C130" s="188"/>
      <c r="D130" s="8"/>
      <c r="E130" s="8"/>
      <c r="F130" s="8"/>
      <c r="G130" s="8"/>
      <c r="J130" s="8"/>
      <c r="K130" s="8"/>
      <c r="L130" s="8"/>
      <c r="M130" s="8"/>
      <c r="N130" s="8"/>
      <c r="Q130" s="8"/>
      <c r="R130" s="8"/>
      <c r="S130" s="8"/>
      <c r="T130" s="8"/>
      <c r="U130" s="8"/>
      <c r="X130" s="8"/>
      <c r="Y130" s="8"/>
      <c r="Z130" s="8"/>
      <c r="AA130" s="8"/>
      <c r="AB130" s="8"/>
      <c r="AC130" s="8"/>
      <c r="AD130" s="61"/>
    </row>
    <row r="131" spans="1:30" x14ac:dyDescent="0.2">
      <c r="A131" s="8"/>
      <c r="B131" s="188"/>
      <c r="C131" s="188"/>
      <c r="D131" s="8"/>
      <c r="E131" s="8"/>
      <c r="F131" s="8"/>
      <c r="G131" s="8"/>
      <c r="J131" s="8"/>
      <c r="K131" s="8"/>
      <c r="L131" s="8"/>
      <c r="M131" s="8"/>
      <c r="N131" s="8"/>
      <c r="Q131" s="8"/>
      <c r="R131" s="8"/>
      <c r="S131" s="8"/>
      <c r="T131" s="8"/>
      <c r="U131" s="8"/>
      <c r="X131" s="8"/>
      <c r="Y131" s="8"/>
      <c r="Z131" s="8"/>
      <c r="AA131" s="8"/>
      <c r="AB131" s="8"/>
      <c r="AC131" s="8"/>
      <c r="AD131" s="61"/>
    </row>
    <row r="132" spans="1:30" x14ac:dyDescent="0.2">
      <c r="A132" s="8"/>
      <c r="B132" s="188"/>
      <c r="C132" s="188"/>
      <c r="D132" s="8"/>
      <c r="E132" s="8"/>
      <c r="F132" s="8"/>
      <c r="G132" s="8"/>
      <c r="J132" s="8"/>
      <c r="K132" s="8"/>
      <c r="L132" s="8"/>
      <c r="M132" s="8"/>
      <c r="N132" s="8"/>
      <c r="Q132" s="8"/>
      <c r="R132" s="8"/>
      <c r="S132" s="8"/>
      <c r="T132" s="8"/>
      <c r="U132" s="8"/>
      <c r="X132" s="8"/>
      <c r="Y132" s="8"/>
      <c r="Z132" s="8"/>
      <c r="AA132" s="8"/>
      <c r="AB132" s="8"/>
      <c r="AC132" s="8"/>
      <c r="AD132" s="61"/>
    </row>
    <row r="133" spans="1:30" x14ac:dyDescent="0.2">
      <c r="A133" s="8"/>
      <c r="B133" s="188"/>
      <c r="C133" s="188"/>
      <c r="D133" s="8"/>
      <c r="E133" s="8"/>
      <c r="F133" s="8"/>
      <c r="G133" s="8"/>
      <c r="J133" s="8"/>
      <c r="K133" s="8"/>
      <c r="L133" s="8"/>
      <c r="M133" s="8"/>
      <c r="N133" s="8"/>
      <c r="Q133" s="8"/>
      <c r="R133" s="8"/>
      <c r="S133" s="8"/>
      <c r="T133" s="8"/>
      <c r="U133" s="8"/>
      <c r="X133" s="8"/>
      <c r="Y133" s="8"/>
      <c r="Z133" s="8"/>
      <c r="AA133" s="8"/>
      <c r="AB133" s="8"/>
      <c r="AC133" s="8"/>
      <c r="AD133" s="61"/>
    </row>
    <row r="134" spans="1:30" x14ac:dyDescent="0.2">
      <c r="A134" s="8"/>
      <c r="B134" s="188"/>
      <c r="C134" s="188"/>
      <c r="D134" s="8"/>
      <c r="E134" s="8"/>
      <c r="F134" s="8"/>
      <c r="G134" s="8"/>
      <c r="J134" s="8"/>
      <c r="K134" s="8"/>
      <c r="L134" s="8"/>
      <c r="M134" s="8"/>
      <c r="N134" s="8"/>
      <c r="Q134" s="8"/>
      <c r="R134" s="8"/>
      <c r="S134" s="8"/>
      <c r="T134" s="8"/>
      <c r="U134" s="8"/>
      <c r="X134" s="8"/>
      <c r="Y134" s="8"/>
      <c r="Z134" s="8"/>
      <c r="AA134" s="8"/>
      <c r="AB134" s="8"/>
      <c r="AC134" s="8"/>
      <c r="AD134" s="61"/>
    </row>
    <row r="135" spans="1:30" x14ac:dyDescent="0.2">
      <c r="A135" s="8"/>
      <c r="B135" s="188"/>
      <c r="C135" s="188"/>
      <c r="D135" s="8"/>
      <c r="E135" s="8"/>
      <c r="F135" s="8"/>
      <c r="G135" s="8"/>
      <c r="J135" s="8"/>
      <c r="K135" s="8"/>
      <c r="L135" s="8"/>
      <c r="M135" s="8"/>
      <c r="N135" s="8"/>
      <c r="Q135" s="8"/>
      <c r="R135" s="8"/>
      <c r="S135" s="8"/>
      <c r="T135" s="8"/>
      <c r="U135" s="8"/>
      <c r="X135" s="8"/>
      <c r="Y135" s="8"/>
      <c r="Z135" s="8"/>
      <c r="AA135" s="8"/>
      <c r="AB135" s="8"/>
      <c r="AC135" s="8"/>
      <c r="AD135" s="61"/>
    </row>
    <row r="136" spans="1:30" x14ac:dyDescent="0.2">
      <c r="A136" s="8"/>
      <c r="B136" s="188"/>
      <c r="C136" s="188"/>
      <c r="D136" s="8"/>
      <c r="E136" s="8"/>
      <c r="F136" s="8"/>
      <c r="G136" s="8"/>
      <c r="J136" s="8"/>
      <c r="K136" s="8"/>
      <c r="L136" s="8"/>
      <c r="M136" s="8"/>
      <c r="N136" s="8"/>
      <c r="Q136" s="8"/>
      <c r="R136" s="8"/>
      <c r="S136" s="8"/>
      <c r="T136" s="8"/>
      <c r="U136" s="8"/>
      <c r="X136" s="8"/>
      <c r="Y136" s="8"/>
      <c r="Z136" s="8"/>
      <c r="AA136" s="8"/>
      <c r="AB136" s="8"/>
      <c r="AC136" s="8"/>
      <c r="AD136" s="61"/>
    </row>
    <row r="137" spans="1:30" x14ac:dyDescent="0.2">
      <c r="A137" s="8"/>
      <c r="B137" s="188"/>
      <c r="C137" s="188"/>
      <c r="D137" s="8"/>
      <c r="E137" s="8"/>
      <c r="F137" s="8"/>
      <c r="G137" s="8"/>
      <c r="J137" s="8"/>
      <c r="K137" s="8"/>
      <c r="L137" s="8"/>
      <c r="M137" s="8"/>
      <c r="N137" s="8"/>
      <c r="Q137" s="8"/>
      <c r="R137" s="8"/>
      <c r="S137" s="8"/>
      <c r="T137" s="8"/>
      <c r="U137" s="8"/>
      <c r="X137" s="8"/>
      <c r="Y137" s="8"/>
      <c r="Z137" s="8"/>
      <c r="AA137" s="8"/>
      <c r="AB137" s="8"/>
      <c r="AC137" s="8"/>
      <c r="AD137" s="61"/>
    </row>
    <row r="138" spans="1:30" x14ac:dyDescent="0.2">
      <c r="A138" s="8"/>
      <c r="B138" s="188"/>
      <c r="C138" s="188"/>
      <c r="D138" s="8"/>
      <c r="E138" s="8"/>
      <c r="F138" s="8"/>
      <c r="G138" s="8"/>
      <c r="J138" s="8"/>
      <c r="K138" s="8"/>
      <c r="L138" s="8"/>
      <c r="M138" s="8"/>
      <c r="N138" s="8"/>
      <c r="Q138" s="8"/>
      <c r="R138" s="8"/>
      <c r="S138" s="8"/>
      <c r="T138" s="8"/>
      <c r="U138" s="8"/>
      <c r="X138" s="8"/>
      <c r="Y138" s="8"/>
      <c r="Z138" s="8"/>
      <c r="AA138" s="8"/>
      <c r="AB138" s="8"/>
      <c r="AC138" s="8"/>
      <c r="AD138" s="61"/>
    </row>
    <row r="139" spans="1:30" x14ac:dyDescent="0.2">
      <c r="A139" s="8"/>
      <c r="B139" s="188"/>
      <c r="C139" s="188"/>
      <c r="D139" s="8"/>
      <c r="E139" s="8"/>
      <c r="F139" s="8"/>
      <c r="G139" s="8"/>
      <c r="J139" s="8"/>
      <c r="K139" s="8"/>
      <c r="L139" s="8"/>
      <c r="M139" s="8"/>
      <c r="N139" s="8"/>
      <c r="Q139" s="8"/>
      <c r="R139" s="8"/>
      <c r="S139" s="8"/>
      <c r="T139" s="8"/>
      <c r="U139" s="8"/>
      <c r="X139" s="8"/>
      <c r="Y139" s="8"/>
      <c r="Z139" s="8"/>
      <c r="AA139" s="8"/>
      <c r="AB139" s="8"/>
      <c r="AC139" s="8"/>
      <c r="AD139" s="61"/>
    </row>
    <row r="140" spans="1:30" x14ac:dyDescent="0.2">
      <c r="A140" s="8"/>
      <c r="B140" s="188"/>
      <c r="C140" s="188"/>
      <c r="D140" s="8"/>
      <c r="E140" s="8"/>
      <c r="F140" s="8"/>
      <c r="G140" s="8"/>
      <c r="J140" s="8"/>
      <c r="K140" s="8"/>
      <c r="L140" s="8"/>
      <c r="M140" s="8"/>
      <c r="N140" s="8"/>
      <c r="Q140" s="8"/>
      <c r="R140" s="8"/>
      <c r="S140" s="8"/>
      <c r="T140" s="8"/>
      <c r="U140" s="8"/>
      <c r="X140" s="8"/>
      <c r="Y140" s="8"/>
      <c r="Z140" s="8"/>
      <c r="AA140" s="8"/>
      <c r="AB140" s="8"/>
      <c r="AC140" s="8"/>
      <c r="AD140" s="61"/>
    </row>
    <row r="141" spans="1:30" x14ac:dyDescent="0.2">
      <c r="A141" s="8"/>
      <c r="B141" s="188"/>
      <c r="C141" s="188"/>
      <c r="D141" s="8"/>
      <c r="E141" s="8"/>
      <c r="F141" s="8"/>
      <c r="G141" s="8"/>
      <c r="J141" s="8"/>
      <c r="K141" s="8"/>
      <c r="L141" s="8"/>
      <c r="M141" s="8"/>
      <c r="N141" s="8"/>
      <c r="Q141" s="8"/>
      <c r="R141" s="8"/>
      <c r="S141" s="8"/>
      <c r="T141" s="8"/>
      <c r="U141" s="8"/>
      <c r="X141" s="8"/>
      <c r="Y141" s="8"/>
      <c r="Z141" s="8"/>
      <c r="AA141" s="8"/>
      <c r="AB141" s="8"/>
      <c r="AC141" s="8"/>
      <c r="AD141" s="61"/>
    </row>
    <row r="142" spans="1:30" x14ac:dyDescent="0.2">
      <c r="A142" s="8"/>
      <c r="B142" s="188"/>
      <c r="C142" s="188"/>
      <c r="D142" s="8"/>
      <c r="E142" s="8"/>
      <c r="F142" s="8"/>
      <c r="G142" s="8"/>
      <c r="J142" s="8"/>
      <c r="K142" s="8"/>
      <c r="L142" s="8"/>
      <c r="M142" s="8"/>
      <c r="N142" s="8"/>
      <c r="Q142" s="8"/>
      <c r="R142" s="8"/>
      <c r="S142" s="8"/>
      <c r="T142" s="8"/>
      <c r="U142" s="8"/>
      <c r="X142" s="8"/>
      <c r="Y142" s="8"/>
      <c r="Z142" s="8"/>
      <c r="AA142" s="8"/>
      <c r="AB142" s="8"/>
      <c r="AC142" s="8"/>
      <c r="AD142" s="61"/>
    </row>
    <row r="143" spans="1:30" x14ac:dyDescent="0.2">
      <c r="A143" s="8"/>
      <c r="B143" s="188"/>
      <c r="C143" s="188"/>
      <c r="D143" s="8"/>
      <c r="E143" s="8"/>
      <c r="F143" s="8"/>
      <c r="G143" s="8"/>
      <c r="J143" s="8"/>
      <c r="K143" s="8"/>
      <c r="L143" s="8"/>
      <c r="M143" s="8"/>
      <c r="N143" s="8"/>
      <c r="Q143" s="8"/>
      <c r="R143" s="8"/>
      <c r="S143" s="8"/>
      <c r="T143" s="8"/>
      <c r="U143" s="8"/>
      <c r="X143" s="8"/>
      <c r="Y143" s="8"/>
      <c r="Z143" s="8"/>
      <c r="AA143" s="8"/>
      <c r="AB143" s="8"/>
      <c r="AC143" s="8"/>
      <c r="AD143" s="61"/>
    </row>
    <row r="144" spans="1:30" x14ac:dyDescent="0.2">
      <c r="A144" s="8"/>
      <c r="B144" s="188"/>
      <c r="C144" s="188"/>
      <c r="D144" s="8"/>
      <c r="E144" s="8"/>
      <c r="F144" s="8"/>
      <c r="G144" s="8"/>
      <c r="J144" s="8"/>
      <c r="K144" s="8"/>
      <c r="L144" s="8"/>
      <c r="M144" s="8"/>
      <c r="N144" s="8"/>
      <c r="Q144" s="8"/>
      <c r="R144" s="8"/>
      <c r="S144" s="8"/>
      <c r="T144" s="8"/>
      <c r="U144" s="8"/>
      <c r="X144" s="8"/>
      <c r="Y144" s="8"/>
      <c r="Z144" s="8"/>
      <c r="AA144" s="8"/>
      <c r="AB144" s="8"/>
      <c r="AC144" s="8"/>
      <c r="AD144" s="61"/>
    </row>
    <row r="145" spans="1:30" x14ac:dyDescent="0.2">
      <c r="A145" s="8"/>
      <c r="B145" s="188"/>
      <c r="C145" s="188"/>
      <c r="D145" s="8"/>
      <c r="E145" s="8"/>
      <c r="F145" s="8"/>
      <c r="G145" s="8"/>
      <c r="J145" s="8"/>
      <c r="K145" s="8"/>
      <c r="L145" s="8"/>
      <c r="M145" s="8"/>
      <c r="N145" s="8"/>
      <c r="Q145" s="8"/>
      <c r="R145" s="8"/>
      <c r="S145" s="8"/>
      <c r="T145" s="8"/>
      <c r="U145" s="8"/>
      <c r="X145" s="8"/>
      <c r="Y145" s="8"/>
      <c r="Z145" s="8"/>
      <c r="AA145" s="8"/>
      <c r="AB145" s="8"/>
      <c r="AC145" s="8"/>
      <c r="AD145" s="61"/>
    </row>
    <row r="146" spans="1:30" x14ac:dyDescent="0.2">
      <c r="A146" s="8"/>
      <c r="B146" s="188"/>
      <c r="C146" s="188"/>
      <c r="D146" s="8"/>
      <c r="E146" s="8"/>
      <c r="F146" s="8"/>
      <c r="G146" s="8"/>
      <c r="J146" s="8"/>
      <c r="K146" s="8"/>
      <c r="L146" s="8"/>
      <c r="M146" s="8"/>
      <c r="N146" s="8"/>
      <c r="Q146" s="8"/>
      <c r="R146" s="8"/>
      <c r="S146" s="8"/>
      <c r="T146" s="8"/>
      <c r="U146" s="8"/>
      <c r="X146" s="8"/>
      <c r="Y146" s="8"/>
      <c r="Z146" s="8"/>
      <c r="AA146" s="8"/>
      <c r="AB146" s="8"/>
      <c r="AC146" s="8"/>
      <c r="AD146" s="61"/>
    </row>
    <row r="147" spans="1:30" x14ac:dyDescent="0.2">
      <c r="A147" s="8"/>
      <c r="B147" s="188"/>
      <c r="C147" s="188"/>
      <c r="D147" s="8"/>
      <c r="E147" s="8"/>
      <c r="F147" s="8"/>
      <c r="G147" s="8"/>
      <c r="J147" s="8"/>
      <c r="K147" s="8"/>
      <c r="L147" s="8"/>
      <c r="M147" s="8"/>
      <c r="N147" s="8"/>
      <c r="Q147" s="8"/>
      <c r="R147" s="8"/>
      <c r="S147" s="8"/>
      <c r="T147" s="8"/>
      <c r="U147" s="8"/>
      <c r="X147" s="8"/>
      <c r="Y147" s="8"/>
      <c r="Z147" s="8"/>
      <c r="AA147" s="8"/>
      <c r="AB147" s="8"/>
      <c r="AC147" s="8"/>
      <c r="AD147" s="61"/>
    </row>
    <row r="148" spans="1:30" x14ac:dyDescent="0.2">
      <c r="A148" s="8"/>
      <c r="B148" s="188"/>
      <c r="C148" s="188"/>
      <c r="D148" s="8"/>
      <c r="E148" s="8"/>
      <c r="F148" s="8"/>
      <c r="G148" s="8"/>
      <c r="J148" s="8"/>
      <c r="K148" s="8"/>
      <c r="L148" s="8"/>
      <c r="M148" s="8"/>
      <c r="N148" s="8"/>
      <c r="Q148" s="8"/>
      <c r="R148" s="8"/>
      <c r="S148" s="8"/>
      <c r="T148" s="8"/>
      <c r="U148" s="8"/>
      <c r="X148" s="8"/>
      <c r="Y148" s="8"/>
      <c r="Z148" s="8"/>
      <c r="AA148" s="8"/>
      <c r="AB148" s="8"/>
      <c r="AC148" s="8"/>
      <c r="AD148" s="61"/>
    </row>
    <row r="149" spans="1:30" x14ac:dyDescent="0.2">
      <c r="A149" s="8"/>
      <c r="B149" s="188"/>
      <c r="C149" s="188"/>
      <c r="D149" s="8"/>
      <c r="E149" s="8"/>
      <c r="F149" s="8"/>
      <c r="G149" s="8"/>
      <c r="J149" s="8"/>
      <c r="K149" s="8"/>
      <c r="L149" s="8"/>
      <c r="M149" s="8"/>
      <c r="N149" s="8"/>
      <c r="Q149" s="8"/>
      <c r="R149" s="8"/>
      <c r="S149" s="8"/>
      <c r="T149" s="8"/>
      <c r="U149" s="8"/>
      <c r="X149" s="8"/>
      <c r="Y149" s="8"/>
      <c r="Z149" s="8"/>
      <c r="AA149" s="8"/>
      <c r="AB149" s="8"/>
      <c r="AC149" s="8"/>
      <c r="AD149" s="61"/>
    </row>
    <row r="150" spans="1:30" x14ac:dyDescent="0.2">
      <c r="A150" s="8"/>
      <c r="B150" s="188"/>
      <c r="C150" s="188"/>
      <c r="D150" s="8"/>
      <c r="E150" s="8"/>
      <c r="F150" s="8"/>
      <c r="G150" s="8"/>
      <c r="J150" s="8"/>
      <c r="K150" s="8"/>
      <c r="L150" s="8"/>
      <c r="M150" s="8"/>
      <c r="N150" s="8"/>
      <c r="Q150" s="8"/>
      <c r="R150" s="8"/>
      <c r="S150" s="8"/>
      <c r="T150" s="8"/>
      <c r="U150" s="8"/>
      <c r="X150" s="8"/>
      <c r="Y150" s="8"/>
      <c r="Z150" s="8"/>
      <c r="AA150" s="8"/>
      <c r="AB150" s="8"/>
      <c r="AC150" s="8"/>
      <c r="AD150" s="61"/>
    </row>
    <row r="151" spans="1:30" x14ac:dyDescent="0.2">
      <c r="A151" s="8"/>
      <c r="B151" s="188"/>
      <c r="C151" s="188"/>
      <c r="D151" s="8"/>
      <c r="E151" s="8"/>
      <c r="F151" s="8"/>
      <c r="G151" s="8"/>
      <c r="J151" s="8"/>
      <c r="K151" s="8"/>
      <c r="L151" s="8"/>
      <c r="M151" s="8"/>
      <c r="N151" s="8"/>
      <c r="Q151" s="8"/>
      <c r="R151" s="8"/>
      <c r="S151" s="8"/>
      <c r="T151" s="8"/>
      <c r="U151" s="8"/>
      <c r="X151" s="8"/>
      <c r="Y151" s="8"/>
      <c r="Z151" s="8"/>
      <c r="AA151" s="8"/>
      <c r="AB151" s="8"/>
      <c r="AC151" s="8"/>
      <c r="AD151" s="61"/>
    </row>
    <row r="152" spans="1:30" x14ac:dyDescent="0.2">
      <c r="A152" s="8"/>
      <c r="B152" s="188"/>
      <c r="C152" s="188"/>
      <c r="D152" s="8"/>
      <c r="E152" s="8"/>
      <c r="F152" s="8"/>
      <c r="G152" s="8"/>
      <c r="J152" s="8"/>
      <c r="K152" s="8"/>
      <c r="L152" s="8"/>
      <c r="M152" s="8"/>
      <c r="N152" s="8"/>
      <c r="Q152" s="8"/>
      <c r="R152" s="8"/>
      <c r="S152" s="8"/>
      <c r="T152" s="8"/>
      <c r="U152" s="8"/>
      <c r="X152" s="8"/>
      <c r="Y152" s="8"/>
      <c r="Z152" s="8"/>
      <c r="AA152" s="8"/>
      <c r="AB152" s="8"/>
      <c r="AC152" s="8"/>
      <c r="AD152" s="61"/>
    </row>
    <row r="153" spans="1:30" x14ac:dyDescent="0.2">
      <c r="A153" s="8"/>
      <c r="B153" s="188"/>
      <c r="C153" s="188"/>
      <c r="D153" s="8"/>
      <c r="E153" s="8"/>
      <c r="F153" s="8"/>
      <c r="G153" s="8"/>
      <c r="J153" s="8"/>
      <c r="K153" s="8"/>
      <c r="L153" s="8"/>
      <c r="M153" s="8"/>
      <c r="N153" s="8"/>
      <c r="Q153" s="8"/>
      <c r="R153" s="8"/>
      <c r="S153" s="8"/>
      <c r="T153" s="8"/>
      <c r="U153" s="8"/>
      <c r="X153" s="8"/>
      <c r="Y153" s="8"/>
      <c r="Z153" s="8"/>
      <c r="AA153" s="8"/>
      <c r="AB153" s="8"/>
      <c r="AC153" s="8"/>
      <c r="AD153" s="61"/>
    </row>
    <row r="154" spans="1:30" x14ac:dyDescent="0.2">
      <c r="A154" s="8"/>
      <c r="B154" s="188"/>
      <c r="C154" s="188"/>
      <c r="D154" s="8"/>
      <c r="E154" s="8"/>
      <c r="F154" s="8"/>
      <c r="G154" s="8"/>
      <c r="J154" s="8"/>
      <c r="K154" s="8"/>
      <c r="L154" s="8"/>
      <c r="M154" s="8"/>
      <c r="N154" s="8"/>
      <c r="Q154" s="8"/>
      <c r="R154" s="8"/>
      <c r="S154" s="8"/>
      <c r="T154" s="8"/>
      <c r="U154" s="8"/>
      <c r="X154" s="8"/>
      <c r="Y154" s="8"/>
      <c r="Z154" s="8"/>
      <c r="AA154" s="8"/>
      <c r="AB154" s="8"/>
      <c r="AC154" s="8"/>
      <c r="AD154" s="61"/>
    </row>
    <row r="155" spans="1:30" x14ac:dyDescent="0.2">
      <c r="A155" s="8"/>
      <c r="B155" s="188"/>
      <c r="C155" s="188"/>
      <c r="D155" s="8"/>
      <c r="E155" s="8"/>
      <c r="F155" s="8"/>
      <c r="G155" s="8"/>
      <c r="J155" s="8"/>
      <c r="K155" s="8"/>
      <c r="L155" s="8"/>
      <c r="M155" s="8"/>
      <c r="N155" s="8"/>
      <c r="Q155" s="8"/>
      <c r="R155" s="8"/>
      <c r="S155" s="8"/>
      <c r="T155" s="8"/>
      <c r="U155" s="8"/>
      <c r="X155" s="8"/>
      <c r="Y155" s="8"/>
      <c r="Z155" s="8"/>
      <c r="AA155" s="8"/>
      <c r="AB155" s="8"/>
      <c r="AC155" s="8"/>
      <c r="AD155" s="61"/>
    </row>
    <row r="156" spans="1:30" x14ac:dyDescent="0.2">
      <c r="A156" s="8"/>
      <c r="B156" s="188"/>
      <c r="C156" s="188"/>
      <c r="D156" s="8"/>
      <c r="E156" s="8"/>
      <c r="F156" s="8"/>
      <c r="G156" s="8"/>
      <c r="J156" s="8"/>
      <c r="K156" s="8"/>
      <c r="L156" s="8"/>
      <c r="M156" s="8"/>
      <c r="N156" s="8"/>
      <c r="Q156" s="8"/>
      <c r="R156" s="8"/>
      <c r="S156" s="8"/>
      <c r="T156" s="8"/>
      <c r="U156" s="8"/>
      <c r="X156" s="8"/>
      <c r="Y156" s="8"/>
      <c r="Z156" s="8"/>
      <c r="AA156" s="8"/>
      <c r="AB156" s="8"/>
      <c r="AC156" s="8"/>
      <c r="AD156" s="61"/>
    </row>
    <row r="157" spans="1:30" x14ac:dyDescent="0.2">
      <c r="A157" s="8"/>
      <c r="B157" s="188"/>
      <c r="C157" s="188"/>
      <c r="D157" s="8"/>
      <c r="E157" s="8"/>
      <c r="F157" s="8"/>
      <c r="G157" s="8"/>
      <c r="J157" s="8"/>
      <c r="K157" s="8"/>
      <c r="L157" s="8"/>
      <c r="M157" s="8"/>
      <c r="N157" s="8"/>
      <c r="Q157" s="8"/>
      <c r="R157" s="8"/>
      <c r="S157" s="8"/>
      <c r="T157" s="8"/>
      <c r="U157" s="8"/>
      <c r="X157" s="8"/>
      <c r="Y157" s="8"/>
      <c r="Z157" s="8"/>
      <c r="AA157" s="8"/>
      <c r="AB157" s="8"/>
      <c r="AC157" s="8"/>
      <c r="AD157" s="61"/>
    </row>
    <row r="158" spans="1:30" x14ac:dyDescent="0.2">
      <c r="A158" s="8"/>
      <c r="B158" s="188"/>
      <c r="C158" s="188"/>
      <c r="D158" s="8"/>
      <c r="E158" s="8"/>
      <c r="F158" s="8"/>
      <c r="G158" s="8"/>
      <c r="J158" s="8"/>
      <c r="K158" s="8"/>
      <c r="L158" s="8"/>
      <c r="M158" s="8"/>
      <c r="N158" s="8"/>
      <c r="Q158" s="8"/>
      <c r="R158" s="8"/>
      <c r="S158" s="8"/>
      <c r="T158" s="8"/>
      <c r="U158" s="8"/>
      <c r="X158" s="8"/>
      <c r="Y158" s="8"/>
      <c r="Z158" s="8"/>
      <c r="AA158" s="8"/>
      <c r="AB158" s="8"/>
      <c r="AC158" s="8"/>
      <c r="AD158" s="61"/>
    </row>
    <row r="159" spans="1:30" x14ac:dyDescent="0.2">
      <c r="A159" s="8"/>
      <c r="B159" s="188"/>
      <c r="C159" s="188"/>
      <c r="D159" s="8"/>
      <c r="E159" s="8"/>
      <c r="F159" s="8"/>
      <c r="G159" s="8"/>
      <c r="J159" s="8"/>
      <c r="K159" s="8"/>
      <c r="L159" s="8"/>
      <c r="M159" s="8"/>
      <c r="N159" s="8"/>
      <c r="Q159" s="8"/>
      <c r="R159" s="8"/>
      <c r="S159" s="8"/>
      <c r="T159" s="8"/>
      <c r="U159" s="8"/>
      <c r="X159" s="8"/>
      <c r="Y159" s="8"/>
      <c r="Z159" s="8"/>
      <c r="AA159" s="8"/>
      <c r="AB159" s="8"/>
      <c r="AC159" s="8"/>
      <c r="AD159" s="61"/>
    </row>
    <row r="160" spans="1:30" x14ac:dyDescent="0.2">
      <c r="A160" s="8"/>
      <c r="B160" s="188"/>
      <c r="C160" s="188"/>
      <c r="D160" s="8"/>
      <c r="E160" s="8"/>
      <c r="F160" s="8"/>
      <c r="G160" s="8"/>
      <c r="J160" s="8"/>
      <c r="K160" s="8"/>
      <c r="L160" s="8"/>
      <c r="M160" s="8"/>
      <c r="N160" s="8"/>
      <c r="Q160" s="8"/>
      <c r="R160" s="8"/>
      <c r="S160" s="8"/>
      <c r="T160" s="8"/>
      <c r="U160" s="8"/>
      <c r="X160" s="8"/>
      <c r="Y160" s="8"/>
      <c r="Z160" s="8"/>
      <c r="AA160" s="8"/>
      <c r="AB160" s="8"/>
      <c r="AC160" s="8"/>
      <c r="AD160" s="61"/>
    </row>
    <row r="161" spans="1:30" x14ac:dyDescent="0.2">
      <c r="A161" s="8"/>
      <c r="B161" s="188"/>
      <c r="C161" s="188"/>
      <c r="D161" s="8"/>
      <c r="E161" s="8"/>
      <c r="F161" s="8"/>
      <c r="G161" s="8"/>
      <c r="J161" s="8"/>
      <c r="K161" s="8"/>
      <c r="L161" s="8"/>
      <c r="M161" s="8"/>
      <c r="N161" s="8"/>
      <c r="Q161" s="8"/>
      <c r="R161" s="8"/>
      <c r="S161" s="8"/>
      <c r="T161" s="8"/>
      <c r="U161" s="8"/>
      <c r="X161" s="8"/>
      <c r="Y161" s="8"/>
      <c r="Z161" s="8"/>
      <c r="AA161" s="8"/>
      <c r="AB161" s="8"/>
      <c r="AC161" s="8"/>
      <c r="AD161" s="61"/>
    </row>
    <row r="162" spans="1:30" x14ac:dyDescent="0.2">
      <c r="A162" s="8"/>
      <c r="B162" s="188"/>
      <c r="C162" s="188"/>
      <c r="D162" s="8"/>
      <c r="E162" s="8"/>
      <c r="F162" s="8"/>
      <c r="G162" s="8"/>
      <c r="J162" s="8"/>
      <c r="K162" s="8"/>
      <c r="L162" s="8"/>
      <c r="M162" s="8"/>
      <c r="N162" s="8"/>
      <c r="Q162" s="8"/>
      <c r="R162" s="8"/>
      <c r="S162" s="8"/>
      <c r="T162" s="8"/>
      <c r="U162" s="8"/>
      <c r="X162" s="8"/>
      <c r="Y162" s="8"/>
      <c r="Z162" s="8"/>
      <c r="AA162" s="8"/>
      <c r="AB162" s="8"/>
      <c r="AC162" s="8"/>
      <c r="AD162" s="61"/>
    </row>
    <row r="163" spans="1:30" x14ac:dyDescent="0.2">
      <c r="A163" s="8"/>
      <c r="B163" s="188"/>
      <c r="C163" s="188"/>
      <c r="D163" s="8"/>
      <c r="E163" s="8"/>
      <c r="F163" s="8"/>
      <c r="G163" s="8"/>
      <c r="J163" s="8"/>
      <c r="K163" s="8"/>
      <c r="L163" s="8"/>
      <c r="M163" s="8"/>
      <c r="N163" s="8"/>
      <c r="Q163" s="8"/>
      <c r="R163" s="8"/>
      <c r="S163" s="8"/>
      <c r="T163" s="8"/>
      <c r="U163" s="8"/>
      <c r="X163" s="8"/>
      <c r="Y163" s="8"/>
      <c r="Z163" s="8"/>
      <c r="AA163" s="8"/>
      <c r="AB163" s="8"/>
      <c r="AC163" s="8"/>
      <c r="AD163" s="61"/>
    </row>
    <row r="164" spans="1:30" x14ac:dyDescent="0.2">
      <c r="A164" s="8"/>
      <c r="B164" s="188"/>
      <c r="C164" s="188"/>
      <c r="D164" s="8"/>
      <c r="E164" s="8"/>
      <c r="F164" s="8"/>
      <c r="G164" s="8"/>
      <c r="J164" s="8"/>
      <c r="K164" s="8"/>
      <c r="L164" s="8"/>
      <c r="M164" s="8"/>
      <c r="N164" s="8"/>
      <c r="Q164" s="8"/>
      <c r="R164" s="8"/>
      <c r="S164" s="8"/>
      <c r="T164" s="8"/>
      <c r="U164" s="8"/>
      <c r="X164" s="8"/>
      <c r="Y164" s="8"/>
      <c r="Z164" s="8"/>
      <c r="AA164" s="8"/>
      <c r="AB164" s="8"/>
      <c r="AC164" s="8"/>
      <c r="AD164" s="61"/>
    </row>
    <row r="165" spans="1:30" x14ac:dyDescent="0.2">
      <c r="A165" s="8"/>
      <c r="B165" s="188"/>
      <c r="C165" s="188"/>
      <c r="D165" s="8"/>
      <c r="E165" s="8"/>
      <c r="F165" s="8"/>
      <c r="G165" s="8"/>
      <c r="J165" s="8"/>
      <c r="K165" s="8"/>
      <c r="L165" s="8"/>
      <c r="M165" s="8"/>
      <c r="N165" s="8"/>
      <c r="Q165" s="8"/>
      <c r="R165" s="8"/>
      <c r="S165" s="8"/>
      <c r="T165" s="8"/>
      <c r="U165" s="8"/>
      <c r="X165" s="8"/>
      <c r="Y165" s="8"/>
      <c r="Z165" s="8"/>
      <c r="AA165" s="8"/>
      <c r="AB165" s="8"/>
      <c r="AC165" s="8"/>
      <c r="AD165" s="61"/>
    </row>
    <row r="166" spans="1:30" x14ac:dyDescent="0.2">
      <c r="A166" s="8"/>
      <c r="B166" s="188"/>
      <c r="C166" s="188"/>
      <c r="D166" s="8"/>
      <c r="E166" s="8"/>
      <c r="F166" s="8"/>
      <c r="G166" s="8"/>
      <c r="J166" s="8"/>
      <c r="K166" s="8"/>
      <c r="L166" s="8"/>
      <c r="M166" s="8"/>
      <c r="N166" s="8"/>
      <c r="Q166" s="8"/>
      <c r="R166" s="8"/>
      <c r="S166" s="8"/>
      <c r="T166" s="8"/>
      <c r="U166" s="8"/>
      <c r="X166" s="8"/>
      <c r="Y166" s="8"/>
      <c r="Z166" s="8"/>
      <c r="AA166" s="8"/>
      <c r="AB166" s="8"/>
      <c r="AC166" s="8"/>
      <c r="AD166" s="61"/>
    </row>
    <row r="167" spans="1:30" x14ac:dyDescent="0.2">
      <c r="A167" s="8"/>
      <c r="B167" s="188"/>
      <c r="C167" s="188"/>
      <c r="D167" s="8"/>
      <c r="E167" s="8"/>
      <c r="F167" s="8"/>
      <c r="G167" s="8"/>
      <c r="J167" s="8"/>
      <c r="K167" s="8"/>
      <c r="L167" s="8"/>
      <c r="M167" s="8"/>
      <c r="N167" s="8"/>
      <c r="Q167" s="8"/>
      <c r="R167" s="8"/>
      <c r="S167" s="8"/>
      <c r="T167" s="8"/>
      <c r="U167" s="8"/>
      <c r="X167" s="8"/>
      <c r="Y167" s="8"/>
      <c r="Z167" s="8"/>
      <c r="AA167" s="8"/>
      <c r="AB167" s="8"/>
      <c r="AC167" s="8"/>
      <c r="AD167" s="61"/>
    </row>
    <row r="168" spans="1:30" x14ac:dyDescent="0.2">
      <c r="A168" s="8"/>
      <c r="B168" s="188"/>
      <c r="C168" s="188"/>
      <c r="D168" s="8"/>
      <c r="E168" s="8"/>
      <c r="F168" s="8"/>
      <c r="G168" s="8"/>
      <c r="J168" s="8"/>
      <c r="K168" s="8"/>
      <c r="L168" s="8"/>
      <c r="M168" s="8"/>
      <c r="N168" s="8"/>
      <c r="Q168" s="8"/>
      <c r="R168" s="8"/>
      <c r="S168" s="8"/>
      <c r="T168" s="8"/>
      <c r="U168" s="8"/>
      <c r="X168" s="8"/>
      <c r="Y168" s="8"/>
      <c r="Z168" s="8"/>
      <c r="AA168" s="8"/>
      <c r="AB168" s="8"/>
      <c r="AC168" s="8"/>
      <c r="AD168" s="61"/>
    </row>
    <row r="169" spans="1:30" x14ac:dyDescent="0.2">
      <c r="A169" s="8"/>
      <c r="B169" s="188"/>
      <c r="C169" s="188"/>
      <c r="D169" s="8"/>
      <c r="E169" s="8"/>
      <c r="F169" s="8"/>
      <c r="G169" s="8"/>
      <c r="J169" s="8"/>
      <c r="K169" s="8"/>
      <c r="L169" s="8"/>
      <c r="M169" s="8"/>
      <c r="N169" s="8"/>
      <c r="Q169" s="8"/>
      <c r="R169" s="8"/>
      <c r="S169" s="8"/>
      <c r="T169" s="8"/>
      <c r="U169" s="8"/>
      <c r="X169" s="8"/>
      <c r="Y169" s="8"/>
      <c r="Z169" s="8"/>
      <c r="AA169" s="8"/>
      <c r="AB169" s="8"/>
      <c r="AC169" s="8"/>
      <c r="AD169" s="61"/>
    </row>
    <row r="170" spans="1:30" x14ac:dyDescent="0.2">
      <c r="A170" s="8"/>
      <c r="B170" s="188"/>
      <c r="C170" s="188"/>
      <c r="D170" s="8"/>
      <c r="E170" s="8"/>
      <c r="F170" s="8"/>
      <c r="G170" s="8"/>
      <c r="J170" s="8"/>
      <c r="K170" s="8"/>
      <c r="L170" s="8"/>
      <c r="M170" s="8"/>
      <c r="N170" s="8"/>
      <c r="Q170" s="8"/>
      <c r="R170" s="8"/>
      <c r="S170" s="8"/>
      <c r="T170" s="8"/>
      <c r="U170" s="8"/>
      <c r="X170" s="8"/>
      <c r="Y170" s="8"/>
      <c r="Z170" s="8"/>
      <c r="AA170" s="8"/>
      <c r="AB170" s="8"/>
      <c r="AC170" s="8"/>
      <c r="AD170" s="61"/>
    </row>
    <row r="171" spans="1:30" x14ac:dyDescent="0.2">
      <c r="A171" s="8"/>
      <c r="B171" s="188"/>
      <c r="C171" s="188"/>
      <c r="D171" s="8"/>
      <c r="E171" s="8"/>
      <c r="F171" s="8"/>
      <c r="G171" s="8"/>
      <c r="J171" s="8"/>
      <c r="K171" s="8"/>
      <c r="L171" s="8"/>
      <c r="M171" s="8"/>
      <c r="N171" s="8"/>
      <c r="Q171" s="8"/>
      <c r="R171" s="8"/>
      <c r="S171" s="8"/>
      <c r="T171" s="8"/>
      <c r="U171" s="8"/>
      <c r="X171" s="8"/>
      <c r="Y171" s="8"/>
      <c r="Z171" s="8"/>
      <c r="AA171" s="8"/>
      <c r="AB171" s="8"/>
      <c r="AC171" s="8"/>
      <c r="AD171" s="61"/>
    </row>
    <row r="172" spans="1:30" x14ac:dyDescent="0.2">
      <c r="A172" s="8"/>
      <c r="B172" s="188"/>
      <c r="C172" s="188"/>
      <c r="D172" s="8"/>
      <c r="E172" s="8"/>
      <c r="F172" s="8"/>
      <c r="G172" s="8"/>
      <c r="J172" s="8"/>
      <c r="K172" s="8"/>
      <c r="L172" s="8"/>
      <c r="M172" s="8"/>
      <c r="N172" s="8"/>
      <c r="Q172" s="8"/>
      <c r="R172" s="8"/>
      <c r="S172" s="8"/>
      <c r="T172" s="8"/>
      <c r="U172" s="8"/>
      <c r="X172" s="8"/>
      <c r="Y172" s="8"/>
      <c r="Z172" s="8"/>
      <c r="AA172" s="8"/>
      <c r="AB172" s="8"/>
      <c r="AC172" s="8"/>
      <c r="AD172" s="61"/>
    </row>
    <row r="173" spans="1:30" x14ac:dyDescent="0.2">
      <c r="A173" s="8"/>
      <c r="B173" s="188"/>
      <c r="C173" s="188"/>
      <c r="D173" s="8"/>
      <c r="E173" s="8"/>
      <c r="F173" s="8"/>
      <c r="G173" s="8"/>
      <c r="J173" s="8"/>
      <c r="K173" s="8"/>
      <c r="L173" s="8"/>
      <c r="M173" s="8"/>
      <c r="N173" s="8"/>
      <c r="Q173" s="8"/>
      <c r="R173" s="8"/>
      <c r="S173" s="8"/>
      <c r="T173" s="8"/>
      <c r="U173" s="8"/>
      <c r="X173" s="8"/>
      <c r="Y173" s="8"/>
      <c r="Z173" s="8"/>
      <c r="AA173" s="8"/>
      <c r="AB173" s="8"/>
      <c r="AC173" s="8"/>
      <c r="AD173" s="61"/>
    </row>
    <row r="174" spans="1:30" x14ac:dyDescent="0.2">
      <c r="A174" s="8"/>
      <c r="B174" s="188"/>
      <c r="C174" s="188"/>
      <c r="D174" s="8"/>
      <c r="E174" s="8"/>
      <c r="F174" s="8"/>
      <c r="G174" s="8"/>
      <c r="J174" s="8"/>
      <c r="K174" s="8"/>
      <c r="L174" s="8"/>
      <c r="M174" s="8"/>
      <c r="N174" s="8"/>
      <c r="Q174" s="8"/>
      <c r="R174" s="8"/>
      <c r="S174" s="8"/>
      <c r="T174" s="8"/>
      <c r="U174" s="8"/>
      <c r="X174" s="8"/>
      <c r="Y174" s="8"/>
      <c r="Z174" s="8"/>
      <c r="AA174" s="8"/>
      <c r="AB174" s="8"/>
      <c r="AC174" s="8"/>
      <c r="AD174" s="61"/>
    </row>
    <row r="175" spans="1:30" x14ac:dyDescent="0.2">
      <c r="A175" s="8"/>
      <c r="B175" s="188"/>
      <c r="C175" s="188"/>
      <c r="D175" s="8"/>
      <c r="E175" s="8"/>
      <c r="F175" s="8"/>
      <c r="G175" s="8"/>
      <c r="J175" s="8"/>
      <c r="K175" s="8"/>
      <c r="L175" s="8"/>
      <c r="M175" s="8"/>
      <c r="N175" s="8"/>
      <c r="Q175" s="8"/>
      <c r="R175" s="8"/>
      <c r="S175" s="8"/>
      <c r="T175" s="8"/>
      <c r="U175" s="8"/>
      <c r="X175" s="8"/>
      <c r="Y175" s="8"/>
      <c r="Z175" s="8"/>
      <c r="AA175" s="8"/>
      <c r="AB175" s="8"/>
      <c r="AC175" s="8"/>
      <c r="AD175" s="61"/>
    </row>
    <row r="176" spans="1:30" x14ac:dyDescent="0.2">
      <c r="A176" s="8"/>
      <c r="B176" s="188"/>
      <c r="C176" s="188"/>
      <c r="D176" s="8"/>
      <c r="E176" s="8"/>
      <c r="F176" s="8"/>
      <c r="G176" s="8"/>
      <c r="J176" s="8"/>
      <c r="K176" s="8"/>
      <c r="L176" s="8"/>
      <c r="M176" s="8"/>
      <c r="N176" s="8"/>
      <c r="Q176" s="8"/>
      <c r="R176" s="8"/>
      <c r="S176" s="8"/>
      <c r="T176" s="8"/>
      <c r="U176" s="8"/>
      <c r="X176" s="8"/>
      <c r="Y176" s="8"/>
      <c r="Z176" s="8"/>
      <c r="AA176" s="8"/>
      <c r="AB176" s="8"/>
      <c r="AC176" s="8"/>
      <c r="AD176" s="61"/>
    </row>
    <row r="177" spans="1:30" x14ac:dyDescent="0.2">
      <c r="A177" s="8"/>
      <c r="B177" s="188"/>
      <c r="C177" s="188"/>
      <c r="D177" s="8"/>
      <c r="E177" s="8"/>
      <c r="F177" s="8"/>
      <c r="G177" s="8"/>
      <c r="J177" s="8"/>
      <c r="K177" s="8"/>
      <c r="L177" s="8"/>
      <c r="M177" s="8"/>
      <c r="N177" s="8"/>
      <c r="Q177" s="8"/>
      <c r="R177" s="8"/>
      <c r="S177" s="8"/>
      <c r="T177" s="8"/>
      <c r="U177" s="8"/>
      <c r="X177" s="8"/>
      <c r="Y177" s="8"/>
      <c r="Z177" s="8"/>
      <c r="AA177" s="8"/>
      <c r="AB177" s="8"/>
      <c r="AC177" s="8"/>
      <c r="AD177" s="61"/>
    </row>
    <row r="178" spans="1:30" x14ac:dyDescent="0.2">
      <c r="A178" s="8"/>
      <c r="B178" s="188"/>
      <c r="C178" s="188"/>
      <c r="D178" s="8"/>
      <c r="E178" s="8"/>
      <c r="F178" s="8"/>
      <c r="G178" s="8"/>
      <c r="J178" s="8"/>
      <c r="K178" s="8"/>
      <c r="L178" s="8"/>
      <c r="M178" s="8"/>
      <c r="N178" s="8"/>
      <c r="Q178" s="8"/>
      <c r="R178" s="8"/>
      <c r="S178" s="8"/>
      <c r="T178" s="8"/>
      <c r="U178" s="8"/>
      <c r="X178" s="8"/>
      <c r="Y178" s="8"/>
      <c r="Z178" s="8"/>
      <c r="AA178" s="8"/>
      <c r="AB178" s="8"/>
      <c r="AC178" s="8"/>
      <c r="AD178" s="61"/>
    </row>
    <row r="179" spans="1:30" x14ac:dyDescent="0.2">
      <c r="A179" s="8"/>
      <c r="B179" s="188"/>
      <c r="C179" s="188"/>
      <c r="D179" s="8"/>
      <c r="E179" s="8"/>
      <c r="F179" s="8"/>
      <c r="G179" s="8"/>
      <c r="J179" s="8"/>
      <c r="K179" s="8"/>
      <c r="L179" s="8"/>
      <c r="M179" s="8"/>
      <c r="N179" s="8"/>
      <c r="Q179" s="8"/>
      <c r="R179" s="8"/>
      <c r="S179" s="8"/>
      <c r="T179" s="8"/>
      <c r="U179" s="8"/>
      <c r="X179" s="8"/>
      <c r="Y179" s="8"/>
      <c r="Z179" s="8"/>
      <c r="AA179" s="8"/>
      <c r="AB179" s="8"/>
      <c r="AC179" s="8"/>
      <c r="AD179" s="61"/>
    </row>
    <row r="180" spans="1:30" x14ac:dyDescent="0.2">
      <c r="A180" s="8"/>
      <c r="B180" s="188"/>
      <c r="C180" s="188"/>
      <c r="D180" s="8"/>
      <c r="E180" s="8"/>
      <c r="F180" s="8"/>
      <c r="G180" s="8"/>
      <c r="J180" s="8"/>
      <c r="K180" s="8"/>
      <c r="L180" s="8"/>
      <c r="M180" s="8"/>
      <c r="N180" s="8"/>
      <c r="Q180" s="8"/>
      <c r="R180" s="8"/>
      <c r="S180" s="8"/>
      <c r="T180" s="8"/>
      <c r="U180" s="8"/>
      <c r="X180" s="8"/>
      <c r="Y180" s="8"/>
      <c r="Z180" s="8"/>
      <c r="AA180" s="8"/>
      <c r="AB180" s="8"/>
      <c r="AC180" s="8"/>
      <c r="AD180" s="61"/>
    </row>
    <row r="181" spans="1:30" x14ac:dyDescent="0.2">
      <c r="A181" s="8"/>
      <c r="B181" s="188"/>
      <c r="C181" s="188"/>
      <c r="D181" s="8"/>
      <c r="E181" s="8"/>
      <c r="F181" s="8"/>
      <c r="G181" s="8"/>
      <c r="J181" s="8"/>
      <c r="K181" s="8"/>
      <c r="L181" s="8"/>
      <c r="M181" s="8"/>
      <c r="N181" s="8"/>
      <c r="Q181" s="8"/>
      <c r="R181" s="8"/>
      <c r="S181" s="8"/>
      <c r="T181" s="8"/>
      <c r="U181" s="8"/>
      <c r="X181" s="8"/>
      <c r="Y181" s="8"/>
      <c r="Z181" s="8"/>
      <c r="AA181" s="8"/>
      <c r="AB181" s="8"/>
      <c r="AC181" s="8"/>
      <c r="AD181" s="61"/>
    </row>
    <row r="182" spans="1:30" x14ac:dyDescent="0.2">
      <c r="A182" s="8"/>
      <c r="B182" s="188"/>
      <c r="C182" s="188"/>
      <c r="D182" s="8"/>
      <c r="E182" s="8"/>
      <c r="F182" s="8"/>
      <c r="G182" s="8"/>
      <c r="J182" s="8"/>
      <c r="K182" s="8"/>
      <c r="L182" s="8"/>
      <c r="M182" s="8"/>
      <c r="N182" s="8"/>
      <c r="Q182" s="8"/>
      <c r="R182" s="8"/>
      <c r="S182" s="8"/>
      <c r="T182" s="8"/>
      <c r="U182" s="8"/>
      <c r="X182" s="8"/>
      <c r="Y182" s="8"/>
      <c r="Z182" s="8"/>
      <c r="AA182" s="8"/>
      <c r="AB182" s="8"/>
      <c r="AC182" s="8"/>
      <c r="AD182" s="61"/>
    </row>
    <row r="183" spans="1:30" x14ac:dyDescent="0.2">
      <c r="A183" s="8"/>
      <c r="B183" s="188"/>
      <c r="C183" s="188"/>
      <c r="D183" s="8"/>
      <c r="E183" s="8"/>
      <c r="F183" s="8"/>
      <c r="G183" s="8"/>
      <c r="J183" s="8"/>
      <c r="K183" s="8"/>
      <c r="L183" s="8"/>
      <c r="M183" s="8"/>
      <c r="N183" s="8"/>
      <c r="Q183" s="8"/>
      <c r="R183" s="8"/>
      <c r="S183" s="8"/>
      <c r="T183" s="8"/>
      <c r="U183" s="8"/>
      <c r="X183" s="8"/>
      <c r="Y183" s="8"/>
      <c r="Z183" s="8"/>
      <c r="AA183" s="8"/>
      <c r="AB183" s="8"/>
      <c r="AC183" s="8"/>
      <c r="AD183" s="61"/>
    </row>
    <row r="184" spans="1:30" x14ac:dyDescent="0.2">
      <c r="A184" s="8"/>
      <c r="B184" s="188"/>
      <c r="C184" s="188"/>
      <c r="D184" s="8"/>
      <c r="E184" s="8"/>
      <c r="F184" s="8"/>
      <c r="G184" s="8"/>
      <c r="J184" s="8"/>
      <c r="K184" s="8"/>
      <c r="L184" s="8"/>
      <c r="M184" s="8"/>
      <c r="N184" s="8"/>
      <c r="Q184" s="8"/>
      <c r="R184" s="8"/>
      <c r="S184" s="8"/>
      <c r="T184" s="8"/>
      <c r="U184" s="8"/>
      <c r="X184" s="8"/>
      <c r="Y184" s="8"/>
      <c r="Z184" s="8"/>
      <c r="AA184" s="8"/>
      <c r="AB184" s="8"/>
      <c r="AC184" s="8"/>
      <c r="AD184" s="61"/>
    </row>
    <row r="185" spans="1:30" x14ac:dyDescent="0.2">
      <c r="A185" s="8"/>
      <c r="B185" s="188"/>
      <c r="C185" s="188"/>
      <c r="D185" s="8"/>
      <c r="E185" s="8"/>
      <c r="F185" s="8"/>
      <c r="G185" s="8"/>
      <c r="J185" s="8"/>
      <c r="K185" s="8"/>
      <c r="L185" s="8"/>
      <c r="M185" s="8"/>
      <c r="N185" s="8"/>
      <c r="Q185" s="8"/>
      <c r="R185" s="8"/>
      <c r="S185" s="8"/>
      <c r="T185" s="8"/>
      <c r="U185" s="8"/>
      <c r="X185" s="8"/>
      <c r="Y185" s="8"/>
      <c r="Z185" s="8"/>
      <c r="AA185" s="8"/>
      <c r="AB185" s="8"/>
      <c r="AC185" s="8"/>
      <c r="AD185" s="61"/>
    </row>
    <row r="186" spans="1:30" x14ac:dyDescent="0.2">
      <c r="A186" s="8"/>
      <c r="B186" s="188"/>
      <c r="C186" s="188"/>
      <c r="D186" s="8"/>
      <c r="E186" s="8"/>
      <c r="F186" s="8"/>
      <c r="G186" s="8"/>
      <c r="J186" s="8"/>
      <c r="K186" s="8"/>
      <c r="L186" s="8"/>
      <c r="M186" s="8"/>
      <c r="N186" s="8"/>
      <c r="Q186" s="8"/>
      <c r="R186" s="8"/>
      <c r="S186" s="8"/>
      <c r="T186" s="8"/>
      <c r="U186" s="8"/>
      <c r="X186" s="8"/>
      <c r="Y186" s="8"/>
      <c r="Z186" s="8"/>
      <c r="AA186" s="8"/>
      <c r="AB186" s="8"/>
      <c r="AC186" s="8"/>
      <c r="AD186" s="61"/>
    </row>
    <row r="187" spans="1:30" x14ac:dyDescent="0.2">
      <c r="A187" s="8"/>
      <c r="B187" s="188"/>
      <c r="C187" s="188"/>
      <c r="D187" s="8"/>
      <c r="E187" s="8"/>
      <c r="F187" s="8"/>
      <c r="G187" s="8"/>
      <c r="J187" s="8"/>
      <c r="K187" s="8"/>
      <c r="L187" s="8"/>
      <c r="M187" s="8"/>
      <c r="N187" s="8"/>
      <c r="Q187" s="8"/>
      <c r="R187" s="8"/>
      <c r="S187" s="8"/>
      <c r="T187" s="8"/>
      <c r="U187" s="8"/>
      <c r="X187" s="8"/>
      <c r="Y187" s="8"/>
      <c r="Z187" s="8"/>
      <c r="AA187" s="8"/>
      <c r="AB187" s="8"/>
      <c r="AC187" s="8"/>
      <c r="AD187" s="61"/>
    </row>
    <row r="188" spans="1:30" x14ac:dyDescent="0.2">
      <c r="A188" s="8"/>
      <c r="B188" s="188"/>
      <c r="C188" s="188"/>
      <c r="D188" s="8"/>
      <c r="E188" s="8"/>
      <c r="F188" s="8"/>
      <c r="G188" s="8"/>
      <c r="J188" s="8"/>
      <c r="K188" s="8"/>
      <c r="L188" s="8"/>
      <c r="M188" s="8"/>
      <c r="N188" s="8"/>
      <c r="Q188" s="8"/>
      <c r="R188" s="8"/>
      <c r="S188" s="8"/>
      <c r="T188" s="8"/>
      <c r="U188" s="8"/>
      <c r="X188" s="8"/>
      <c r="Y188" s="8"/>
      <c r="Z188" s="8"/>
      <c r="AA188" s="8"/>
      <c r="AB188" s="8"/>
      <c r="AC188" s="8"/>
      <c r="AD188" s="61"/>
    </row>
    <row r="189" spans="1:30" x14ac:dyDescent="0.2">
      <c r="A189" s="8"/>
      <c r="B189" s="188"/>
      <c r="C189" s="188"/>
      <c r="D189" s="8"/>
      <c r="E189" s="8"/>
      <c r="F189" s="8"/>
      <c r="G189" s="8"/>
      <c r="J189" s="8"/>
      <c r="K189" s="8"/>
      <c r="L189" s="8"/>
      <c r="M189" s="8"/>
      <c r="N189" s="8"/>
      <c r="Q189" s="8"/>
      <c r="R189" s="8"/>
      <c r="S189" s="8"/>
      <c r="T189" s="8"/>
      <c r="U189" s="8"/>
      <c r="X189" s="8"/>
      <c r="Y189" s="8"/>
      <c r="Z189" s="8"/>
      <c r="AA189" s="8"/>
      <c r="AB189" s="8"/>
      <c r="AC189" s="8"/>
      <c r="AD189" s="61"/>
    </row>
    <row r="190" spans="1:30" x14ac:dyDescent="0.2">
      <c r="A190" s="8"/>
      <c r="B190" s="188"/>
      <c r="C190" s="188"/>
      <c r="D190" s="8"/>
      <c r="E190" s="8"/>
      <c r="F190" s="8"/>
      <c r="G190" s="8"/>
      <c r="J190" s="8"/>
      <c r="K190" s="8"/>
      <c r="L190" s="8"/>
      <c r="M190" s="8"/>
      <c r="N190" s="8"/>
      <c r="Q190" s="8"/>
      <c r="R190" s="8"/>
      <c r="S190" s="8"/>
      <c r="T190" s="8"/>
      <c r="U190" s="8"/>
      <c r="X190" s="8"/>
      <c r="Y190" s="8"/>
      <c r="Z190" s="8"/>
      <c r="AA190" s="8"/>
      <c r="AB190" s="8"/>
      <c r="AC190" s="8"/>
      <c r="AD190" s="61"/>
    </row>
    <row r="191" spans="1:30" x14ac:dyDescent="0.2">
      <c r="A191" s="8"/>
      <c r="B191" s="188"/>
      <c r="C191" s="188"/>
      <c r="D191" s="8"/>
      <c r="E191" s="8"/>
      <c r="F191" s="8"/>
      <c r="G191" s="8"/>
      <c r="J191" s="8"/>
      <c r="K191" s="8"/>
      <c r="L191" s="8"/>
      <c r="M191" s="8"/>
      <c r="N191" s="8"/>
      <c r="Q191" s="8"/>
      <c r="R191" s="8"/>
      <c r="S191" s="8"/>
      <c r="T191" s="8"/>
      <c r="U191" s="8"/>
      <c r="X191" s="8"/>
      <c r="Y191" s="8"/>
      <c r="Z191" s="8"/>
      <c r="AA191" s="8"/>
      <c r="AB191" s="8"/>
      <c r="AC191" s="8"/>
      <c r="AD191" s="61"/>
    </row>
    <row r="192" spans="1:30" x14ac:dyDescent="0.2">
      <c r="A192" s="8"/>
      <c r="B192" s="188"/>
      <c r="C192" s="188"/>
      <c r="D192" s="8"/>
      <c r="E192" s="8"/>
      <c r="F192" s="8"/>
      <c r="G192" s="8"/>
      <c r="J192" s="8"/>
      <c r="K192" s="8"/>
      <c r="L192" s="8"/>
      <c r="M192" s="8"/>
      <c r="N192" s="8"/>
      <c r="Q192" s="8"/>
      <c r="R192" s="8"/>
      <c r="S192" s="8"/>
      <c r="T192" s="8"/>
      <c r="U192" s="8"/>
      <c r="X192" s="8"/>
      <c r="Y192" s="8"/>
      <c r="Z192" s="8"/>
      <c r="AA192" s="8"/>
      <c r="AB192" s="8"/>
      <c r="AC192" s="8"/>
      <c r="AD192" s="61"/>
    </row>
    <row r="193" spans="1:30" x14ac:dyDescent="0.2">
      <c r="A193" s="8"/>
      <c r="B193" s="188"/>
      <c r="C193" s="188"/>
      <c r="D193" s="8"/>
      <c r="E193" s="8"/>
      <c r="F193" s="8"/>
      <c r="G193" s="8"/>
      <c r="J193" s="8"/>
      <c r="K193" s="8"/>
      <c r="L193" s="8"/>
      <c r="M193" s="8"/>
      <c r="N193" s="8"/>
      <c r="Q193" s="8"/>
      <c r="R193" s="8"/>
      <c r="S193" s="8"/>
      <c r="T193" s="8"/>
      <c r="U193" s="8"/>
      <c r="X193" s="8"/>
      <c r="Y193" s="8"/>
      <c r="Z193" s="8"/>
      <c r="AA193" s="8"/>
      <c r="AB193" s="8"/>
      <c r="AC193" s="8"/>
      <c r="AD193" s="61"/>
    </row>
    <row r="194" spans="1:30" x14ac:dyDescent="0.2">
      <c r="A194" s="8"/>
      <c r="B194" s="188"/>
      <c r="C194" s="188"/>
      <c r="D194" s="8"/>
      <c r="E194" s="8"/>
      <c r="F194" s="8"/>
      <c r="G194" s="8"/>
      <c r="J194" s="8"/>
      <c r="K194" s="8"/>
      <c r="L194" s="8"/>
      <c r="M194" s="8"/>
      <c r="N194" s="8"/>
      <c r="Q194" s="8"/>
      <c r="R194" s="8"/>
      <c r="S194" s="8"/>
      <c r="T194" s="8"/>
      <c r="U194" s="8"/>
      <c r="X194" s="8"/>
      <c r="Y194" s="8"/>
      <c r="Z194" s="8"/>
      <c r="AA194" s="8"/>
      <c r="AB194" s="8"/>
      <c r="AC194" s="8"/>
      <c r="AD194" s="61"/>
    </row>
    <row r="195" spans="1:30" x14ac:dyDescent="0.2">
      <c r="A195" s="8"/>
      <c r="B195" s="188"/>
      <c r="C195" s="188"/>
      <c r="D195" s="8"/>
      <c r="E195" s="8"/>
      <c r="F195" s="8"/>
      <c r="G195" s="8"/>
      <c r="J195" s="8"/>
      <c r="K195" s="8"/>
      <c r="L195" s="8"/>
      <c r="M195" s="8"/>
      <c r="N195" s="8"/>
      <c r="Q195" s="8"/>
      <c r="R195" s="8"/>
      <c r="S195" s="8"/>
      <c r="T195" s="8"/>
      <c r="U195" s="8"/>
      <c r="X195" s="8"/>
      <c r="Y195" s="8"/>
      <c r="Z195" s="8"/>
      <c r="AA195" s="8"/>
      <c r="AB195" s="8"/>
      <c r="AC195" s="8"/>
      <c r="AD195" s="61"/>
    </row>
    <row r="196" spans="1:30" x14ac:dyDescent="0.2">
      <c r="A196" s="8"/>
      <c r="B196" s="188"/>
      <c r="C196" s="188"/>
      <c r="D196" s="8"/>
      <c r="E196" s="8"/>
      <c r="F196" s="8"/>
      <c r="G196" s="8"/>
      <c r="J196" s="8"/>
      <c r="K196" s="8"/>
      <c r="L196" s="8"/>
      <c r="M196" s="8"/>
      <c r="N196" s="8"/>
      <c r="Q196" s="8"/>
      <c r="R196" s="8"/>
      <c r="S196" s="8"/>
      <c r="T196" s="8"/>
      <c r="U196" s="8"/>
      <c r="X196" s="8"/>
      <c r="Y196" s="8"/>
      <c r="Z196" s="8"/>
      <c r="AA196" s="8"/>
      <c r="AB196" s="8"/>
      <c r="AC196" s="8"/>
      <c r="AD196" s="61"/>
    </row>
    <row r="197" spans="1:30" x14ac:dyDescent="0.2">
      <c r="A197" s="8"/>
      <c r="B197" s="188"/>
      <c r="C197" s="188"/>
      <c r="D197" s="8"/>
      <c r="E197" s="8"/>
      <c r="F197" s="8"/>
      <c r="G197" s="8"/>
      <c r="J197" s="8"/>
      <c r="K197" s="8"/>
      <c r="L197" s="8"/>
      <c r="M197" s="8"/>
      <c r="N197" s="8"/>
      <c r="Q197" s="8"/>
      <c r="R197" s="8"/>
      <c r="S197" s="8"/>
      <c r="T197" s="8"/>
      <c r="U197" s="8"/>
      <c r="X197" s="8"/>
      <c r="Y197" s="8"/>
      <c r="Z197" s="8"/>
      <c r="AA197" s="8"/>
      <c r="AB197" s="8"/>
      <c r="AC197" s="8"/>
      <c r="AD197" s="61"/>
    </row>
    <row r="198" spans="1:30" x14ac:dyDescent="0.2">
      <c r="A198" s="8"/>
      <c r="B198" s="188"/>
      <c r="C198" s="188"/>
      <c r="D198" s="8"/>
      <c r="E198" s="8"/>
      <c r="F198" s="8"/>
      <c r="G198" s="8"/>
      <c r="J198" s="8"/>
      <c r="K198" s="8"/>
      <c r="L198" s="8"/>
      <c r="M198" s="8"/>
      <c r="N198" s="8"/>
      <c r="Q198" s="8"/>
      <c r="R198" s="8"/>
      <c r="S198" s="8"/>
      <c r="T198" s="8"/>
      <c r="U198" s="8"/>
      <c r="X198" s="8"/>
      <c r="Y198" s="8"/>
      <c r="Z198" s="8"/>
      <c r="AA198" s="8"/>
      <c r="AB198" s="8"/>
      <c r="AC198" s="8"/>
      <c r="AD198" s="61"/>
    </row>
    <row r="199" spans="1:30" x14ac:dyDescent="0.2">
      <c r="A199" s="8"/>
      <c r="B199" s="188"/>
      <c r="C199" s="188"/>
      <c r="D199" s="8"/>
      <c r="E199" s="8"/>
      <c r="F199" s="8"/>
      <c r="G199" s="8"/>
      <c r="J199" s="8"/>
      <c r="K199" s="8"/>
      <c r="L199" s="8"/>
      <c r="M199" s="8"/>
      <c r="N199" s="8"/>
      <c r="Q199" s="8"/>
      <c r="R199" s="8"/>
      <c r="S199" s="8"/>
      <c r="T199" s="8"/>
      <c r="U199" s="8"/>
      <c r="X199" s="8"/>
      <c r="Y199" s="8"/>
      <c r="Z199" s="8"/>
      <c r="AA199" s="8"/>
      <c r="AB199" s="8"/>
      <c r="AC199" s="8"/>
      <c r="AD199" s="61"/>
    </row>
    <row r="200" spans="1:30" x14ac:dyDescent="0.2">
      <c r="A200" s="8"/>
      <c r="B200" s="188"/>
      <c r="C200" s="188"/>
      <c r="D200" s="8"/>
      <c r="E200" s="8"/>
      <c r="F200" s="8"/>
      <c r="G200" s="8"/>
      <c r="J200" s="8"/>
      <c r="K200" s="8"/>
      <c r="L200" s="8"/>
      <c r="M200" s="8"/>
      <c r="N200" s="8"/>
      <c r="Q200" s="8"/>
      <c r="R200" s="8"/>
      <c r="S200" s="8"/>
      <c r="T200" s="8"/>
      <c r="U200" s="8"/>
      <c r="X200" s="8"/>
      <c r="Y200" s="8"/>
      <c r="Z200" s="8"/>
      <c r="AA200" s="8"/>
      <c r="AB200" s="8"/>
      <c r="AC200" s="8"/>
      <c r="AD200" s="61"/>
    </row>
    <row r="201" spans="1:30" x14ac:dyDescent="0.2">
      <c r="A201" s="8"/>
      <c r="B201" s="188"/>
      <c r="C201" s="188"/>
      <c r="D201" s="8"/>
      <c r="E201" s="8"/>
      <c r="F201" s="8"/>
      <c r="G201" s="8"/>
      <c r="J201" s="8"/>
      <c r="K201" s="8"/>
      <c r="L201" s="8"/>
      <c r="M201" s="8"/>
      <c r="N201" s="8"/>
      <c r="Q201" s="8"/>
      <c r="R201" s="8"/>
      <c r="S201" s="8"/>
      <c r="T201" s="8"/>
      <c r="U201" s="8"/>
      <c r="X201" s="8"/>
      <c r="Y201" s="8"/>
      <c r="Z201" s="8"/>
      <c r="AA201" s="8"/>
      <c r="AB201" s="8"/>
      <c r="AC201" s="8"/>
      <c r="AD201" s="61"/>
    </row>
    <row r="202" spans="1:30" x14ac:dyDescent="0.2">
      <c r="A202" s="8"/>
      <c r="B202" s="188"/>
      <c r="C202" s="188"/>
      <c r="D202" s="8"/>
      <c r="E202" s="8"/>
      <c r="F202" s="8"/>
      <c r="G202" s="8"/>
      <c r="J202" s="8"/>
      <c r="K202" s="8"/>
      <c r="L202" s="8"/>
      <c r="M202" s="8"/>
      <c r="N202" s="8"/>
      <c r="Q202" s="8"/>
      <c r="R202" s="8"/>
      <c r="S202" s="8"/>
      <c r="T202" s="8"/>
      <c r="U202" s="8"/>
      <c r="X202" s="8"/>
      <c r="Y202" s="8"/>
      <c r="Z202" s="8"/>
      <c r="AA202" s="8"/>
      <c r="AB202" s="8"/>
      <c r="AC202" s="8"/>
      <c r="AD202" s="61"/>
    </row>
    <row r="203" spans="1:30" x14ac:dyDescent="0.2">
      <c r="A203" s="8"/>
      <c r="B203" s="188"/>
      <c r="C203" s="188"/>
      <c r="D203" s="8"/>
      <c r="E203" s="8"/>
      <c r="F203" s="8"/>
      <c r="G203" s="8"/>
      <c r="J203" s="8"/>
      <c r="K203" s="8"/>
      <c r="L203" s="8"/>
      <c r="M203" s="8"/>
      <c r="N203" s="8"/>
      <c r="Q203" s="8"/>
      <c r="R203" s="8"/>
      <c r="S203" s="8"/>
      <c r="T203" s="8"/>
      <c r="U203" s="8"/>
      <c r="X203" s="8"/>
      <c r="Y203" s="8"/>
      <c r="Z203" s="8"/>
      <c r="AA203" s="8"/>
      <c r="AB203" s="8"/>
      <c r="AC203" s="8"/>
      <c r="AD203" s="61"/>
    </row>
    <row r="204" spans="1:30" x14ac:dyDescent="0.2">
      <c r="A204" s="8"/>
      <c r="B204" s="188"/>
      <c r="C204" s="188"/>
      <c r="D204" s="8"/>
      <c r="E204" s="8"/>
      <c r="F204" s="8"/>
      <c r="G204" s="8"/>
      <c r="J204" s="8"/>
      <c r="K204" s="8"/>
      <c r="L204" s="8"/>
      <c r="M204" s="8"/>
      <c r="N204" s="8"/>
      <c r="Q204" s="8"/>
      <c r="R204" s="8"/>
      <c r="S204" s="8"/>
      <c r="T204" s="8"/>
      <c r="U204" s="8"/>
      <c r="X204" s="8"/>
      <c r="Y204" s="8"/>
      <c r="Z204" s="8"/>
      <c r="AA204" s="8"/>
      <c r="AB204" s="8"/>
      <c r="AC204" s="8"/>
      <c r="AD204" s="61"/>
    </row>
    <row r="205" spans="1:30" x14ac:dyDescent="0.2">
      <c r="A205" s="8"/>
      <c r="B205" s="188"/>
      <c r="C205" s="188"/>
      <c r="D205" s="8"/>
      <c r="E205" s="8"/>
      <c r="F205" s="8"/>
      <c r="G205" s="8"/>
      <c r="J205" s="8"/>
      <c r="K205" s="8"/>
      <c r="L205" s="8"/>
      <c r="M205" s="8"/>
      <c r="N205" s="8"/>
      <c r="Q205" s="8"/>
      <c r="R205" s="8"/>
      <c r="S205" s="8"/>
      <c r="T205" s="8"/>
      <c r="U205" s="8"/>
      <c r="X205" s="8"/>
      <c r="Y205" s="8"/>
      <c r="Z205" s="8"/>
      <c r="AA205" s="8"/>
      <c r="AB205" s="8"/>
      <c r="AC205" s="8"/>
      <c r="AD205" s="61"/>
    </row>
    <row r="206" spans="1:30" x14ac:dyDescent="0.2">
      <c r="A206" s="8"/>
      <c r="B206" s="188"/>
      <c r="C206" s="188"/>
      <c r="D206" s="8"/>
      <c r="E206" s="8"/>
      <c r="F206" s="8"/>
      <c r="G206" s="8"/>
      <c r="J206" s="8"/>
      <c r="K206" s="8"/>
      <c r="L206" s="8"/>
      <c r="M206" s="8"/>
      <c r="N206" s="8"/>
      <c r="Q206" s="8"/>
      <c r="R206" s="8"/>
      <c r="S206" s="8"/>
      <c r="T206" s="8"/>
      <c r="U206" s="8"/>
      <c r="X206" s="8"/>
      <c r="Y206" s="8"/>
      <c r="Z206" s="8"/>
      <c r="AA206" s="8"/>
      <c r="AB206" s="8"/>
      <c r="AC206" s="8"/>
      <c r="AD206" s="61"/>
    </row>
    <row r="207" spans="1:30" x14ac:dyDescent="0.2">
      <c r="A207" s="8"/>
      <c r="B207" s="188"/>
      <c r="C207" s="188"/>
      <c r="D207" s="8"/>
      <c r="E207" s="8"/>
      <c r="F207" s="8"/>
      <c r="G207" s="8"/>
      <c r="J207" s="8"/>
      <c r="K207" s="8"/>
      <c r="L207" s="8"/>
      <c r="M207" s="8"/>
      <c r="N207" s="8"/>
      <c r="Q207" s="8"/>
      <c r="R207" s="8"/>
      <c r="S207" s="8"/>
      <c r="T207" s="8"/>
      <c r="U207" s="8"/>
      <c r="X207" s="8"/>
      <c r="Y207" s="8"/>
      <c r="Z207" s="8"/>
      <c r="AA207" s="8"/>
      <c r="AB207" s="8"/>
      <c r="AC207" s="8"/>
      <c r="AD207" s="61"/>
    </row>
    <row r="208" spans="1:30" x14ac:dyDescent="0.2">
      <c r="A208" s="8"/>
      <c r="B208" s="188"/>
      <c r="C208" s="188"/>
      <c r="D208" s="8"/>
      <c r="E208" s="8"/>
      <c r="F208" s="8"/>
      <c r="G208" s="8"/>
      <c r="J208" s="8"/>
      <c r="K208" s="8"/>
      <c r="L208" s="8"/>
      <c r="M208" s="8"/>
      <c r="N208" s="8"/>
      <c r="Q208" s="8"/>
      <c r="R208" s="8"/>
      <c r="S208" s="8"/>
      <c r="T208" s="8"/>
      <c r="U208" s="8"/>
      <c r="X208" s="8"/>
      <c r="Y208" s="8"/>
      <c r="Z208" s="8"/>
      <c r="AA208" s="8"/>
      <c r="AB208" s="8"/>
      <c r="AC208" s="8"/>
      <c r="AD208" s="61"/>
    </row>
    <row r="209" spans="1:30" x14ac:dyDescent="0.2">
      <c r="A209" s="8"/>
      <c r="B209" s="188"/>
      <c r="C209" s="188"/>
      <c r="D209" s="8"/>
      <c r="E209" s="8"/>
      <c r="F209" s="8"/>
      <c r="G209" s="8"/>
      <c r="J209" s="8"/>
      <c r="K209" s="8"/>
      <c r="L209" s="8"/>
      <c r="M209" s="8"/>
      <c r="N209" s="8"/>
      <c r="Q209" s="8"/>
      <c r="R209" s="8"/>
      <c r="S209" s="8"/>
      <c r="T209" s="8"/>
      <c r="U209" s="8"/>
      <c r="X209" s="8"/>
      <c r="Y209" s="8"/>
      <c r="Z209" s="8"/>
      <c r="AA209" s="8"/>
      <c r="AB209" s="8"/>
      <c r="AC209" s="8"/>
      <c r="AD209" s="61"/>
    </row>
    <row r="210" spans="1:30" x14ac:dyDescent="0.2">
      <c r="A210" s="8"/>
      <c r="B210" s="188"/>
      <c r="C210" s="188"/>
      <c r="D210" s="8"/>
      <c r="E210" s="8"/>
      <c r="F210" s="8"/>
      <c r="G210" s="8"/>
      <c r="J210" s="8"/>
      <c r="K210" s="8"/>
      <c r="L210" s="8"/>
      <c r="M210" s="8"/>
      <c r="N210" s="8"/>
      <c r="Q210" s="8"/>
      <c r="R210" s="8"/>
      <c r="S210" s="8"/>
      <c r="T210" s="8"/>
      <c r="U210" s="8"/>
      <c r="X210" s="8"/>
      <c r="Y210" s="8"/>
      <c r="Z210" s="8"/>
      <c r="AA210" s="8"/>
      <c r="AB210" s="8"/>
      <c r="AC210" s="8"/>
      <c r="AD210" s="61"/>
    </row>
    <row r="211" spans="1:30" x14ac:dyDescent="0.2">
      <c r="A211" s="8"/>
      <c r="B211" s="188"/>
      <c r="C211" s="188"/>
      <c r="D211" s="8"/>
      <c r="E211" s="8"/>
      <c r="F211" s="8"/>
      <c r="G211" s="8"/>
      <c r="J211" s="8"/>
      <c r="K211" s="8"/>
      <c r="L211" s="8"/>
      <c r="M211" s="8"/>
      <c r="N211" s="8"/>
      <c r="Q211" s="8"/>
      <c r="R211" s="8"/>
      <c r="S211" s="8"/>
      <c r="T211" s="8"/>
      <c r="U211" s="8"/>
      <c r="X211" s="8"/>
      <c r="Y211" s="8"/>
      <c r="Z211" s="8"/>
      <c r="AA211" s="8"/>
      <c r="AB211" s="8"/>
      <c r="AC211" s="8"/>
      <c r="AD211" s="61"/>
    </row>
    <row r="212" spans="1:30" x14ac:dyDescent="0.2">
      <c r="A212" s="8"/>
      <c r="B212" s="188"/>
      <c r="C212" s="188"/>
      <c r="D212" s="8"/>
      <c r="E212" s="8"/>
      <c r="F212" s="8"/>
      <c r="G212" s="8"/>
      <c r="J212" s="8"/>
      <c r="K212" s="8"/>
      <c r="L212" s="8"/>
      <c r="M212" s="8"/>
      <c r="N212" s="8"/>
      <c r="Q212" s="8"/>
      <c r="R212" s="8"/>
      <c r="S212" s="8"/>
      <c r="T212" s="8"/>
      <c r="U212" s="8"/>
      <c r="X212" s="8"/>
      <c r="Y212" s="8"/>
      <c r="Z212" s="8"/>
      <c r="AA212" s="8"/>
      <c r="AB212" s="8"/>
      <c r="AC212" s="8"/>
      <c r="AD212" s="61"/>
    </row>
    <row r="213" spans="1:30" x14ac:dyDescent="0.2">
      <c r="A213" s="8"/>
      <c r="B213" s="188"/>
      <c r="C213" s="188"/>
      <c r="D213" s="8"/>
      <c r="E213" s="8"/>
      <c r="F213" s="8"/>
      <c r="G213" s="8"/>
      <c r="J213" s="8"/>
      <c r="K213" s="8"/>
      <c r="L213" s="8"/>
      <c r="M213" s="8"/>
      <c r="N213" s="8"/>
      <c r="Q213" s="8"/>
      <c r="R213" s="8"/>
      <c r="S213" s="8"/>
      <c r="T213" s="8"/>
      <c r="U213" s="8"/>
      <c r="X213" s="8"/>
      <c r="Y213" s="8"/>
      <c r="Z213" s="8"/>
      <c r="AA213" s="8"/>
      <c r="AB213" s="8"/>
      <c r="AC213" s="8"/>
      <c r="AD213" s="61"/>
    </row>
    <row r="214" spans="1:30" x14ac:dyDescent="0.2">
      <c r="A214" s="8"/>
      <c r="B214" s="188"/>
      <c r="C214" s="188"/>
      <c r="D214" s="8"/>
      <c r="E214" s="8"/>
      <c r="F214" s="8"/>
      <c r="G214" s="8"/>
      <c r="J214" s="8"/>
      <c r="K214" s="8"/>
      <c r="L214" s="8"/>
      <c r="M214" s="8"/>
      <c r="N214" s="8"/>
      <c r="Q214" s="8"/>
      <c r="R214" s="8"/>
      <c r="S214" s="8"/>
      <c r="T214" s="8"/>
      <c r="U214" s="8"/>
      <c r="X214" s="8"/>
      <c r="Y214" s="8"/>
      <c r="Z214" s="8"/>
      <c r="AA214" s="8"/>
      <c r="AB214" s="8"/>
      <c r="AC214" s="8"/>
      <c r="AD214" s="61"/>
    </row>
    <row r="215" spans="1:30" x14ac:dyDescent="0.2">
      <c r="A215" s="8"/>
      <c r="B215" s="188"/>
      <c r="C215" s="188"/>
      <c r="D215" s="8"/>
      <c r="E215" s="8"/>
      <c r="F215" s="8"/>
      <c r="G215" s="8"/>
      <c r="J215" s="8"/>
      <c r="K215" s="8"/>
      <c r="L215" s="8"/>
      <c r="M215" s="8"/>
      <c r="N215" s="8"/>
      <c r="Q215" s="8"/>
      <c r="R215" s="8"/>
      <c r="S215" s="8"/>
      <c r="T215" s="8"/>
      <c r="U215" s="8"/>
      <c r="X215" s="8"/>
      <c r="Y215" s="8"/>
      <c r="Z215" s="8"/>
      <c r="AA215" s="8"/>
      <c r="AB215" s="8"/>
      <c r="AC215" s="8"/>
      <c r="AD215" s="61"/>
    </row>
    <row r="216" spans="1:30" x14ac:dyDescent="0.2">
      <c r="A216" s="8"/>
      <c r="B216" s="188"/>
      <c r="C216" s="188"/>
      <c r="D216" s="8"/>
      <c r="E216" s="8"/>
      <c r="F216" s="8"/>
      <c r="G216" s="8"/>
      <c r="J216" s="8"/>
      <c r="K216" s="8"/>
      <c r="L216" s="8"/>
      <c r="M216" s="8"/>
      <c r="N216" s="8"/>
      <c r="Q216" s="8"/>
      <c r="R216" s="8"/>
      <c r="S216" s="8"/>
      <c r="T216" s="8"/>
      <c r="U216" s="8"/>
      <c r="X216" s="8"/>
      <c r="Y216" s="8"/>
      <c r="Z216" s="8"/>
      <c r="AA216" s="8"/>
      <c r="AB216" s="8"/>
      <c r="AC216" s="8"/>
      <c r="AD216" s="61"/>
    </row>
    <row r="217" spans="1:30" x14ac:dyDescent="0.2">
      <c r="A217" s="8"/>
      <c r="B217" s="188"/>
      <c r="C217" s="188"/>
      <c r="D217" s="8"/>
      <c r="E217" s="8"/>
      <c r="F217" s="8"/>
      <c r="G217" s="8"/>
      <c r="J217" s="8"/>
      <c r="K217" s="8"/>
      <c r="L217" s="8"/>
      <c r="M217" s="8"/>
      <c r="N217" s="8"/>
      <c r="Q217" s="8"/>
      <c r="R217" s="8"/>
      <c r="S217" s="8"/>
      <c r="T217" s="8"/>
      <c r="U217" s="8"/>
      <c r="X217" s="8"/>
      <c r="Y217" s="8"/>
      <c r="Z217" s="8"/>
      <c r="AA217" s="8"/>
      <c r="AB217" s="8"/>
      <c r="AC217" s="8"/>
      <c r="AD217" s="61"/>
    </row>
    <row r="218" spans="1:30" x14ac:dyDescent="0.2">
      <c r="A218" s="8"/>
      <c r="B218" s="188"/>
      <c r="C218" s="188"/>
      <c r="D218" s="8"/>
      <c r="E218" s="8"/>
      <c r="F218" s="8"/>
      <c r="G218" s="8"/>
      <c r="J218" s="8"/>
      <c r="K218" s="8"/>
      <c r="L218" s="8"/>
      <c r="M218" s="8"/>
      <c r="N218" s="8"/>
      <c r="Q218" s="8"/>
      <c r="R218" s="8"/>
      <c r="S218" s="8"/>
      <c r="T218" s="8"/>
      <c r="U218" s="8"/>
      <c r="X218" s="8"/>
      <c r="Y218" s="8"/>
      <c r="Z218" s="8"/>
      <c r="AA218" s="8"/>
      <c r="AB218" s="8"/>
      <c r="AC218" s="8"/>
      <c r="AD218" s="61"/>
    </row>
    <row r="219" spans="1:30" x14ac:dyDescent="0.2">
      <c r="A219" s="8"/>
      <c r="B219" s="188"/>
      <c r="C219" s="188"/>
      <c r="D219" s="8"/>
      <c r="E219" s="8"/>
      <c r="F219" s="8"/>
      <c r="G219" s="8"/>
      <c r="J219" s="8"/>
      <c r="K219" s="8"/>
      <c r="L219" s="8"/>
      <c r="M219" s="8"/>
      <c r="N219" s="8"/>
      <c r="Q219" s="8"/>
      <c r="R219" s="8"/>
      <c r="S219" s="8"/>
      <c r="T219" s="8"/>
      <c r="U219" s="8"/>
      <c r="X219" s="8"/>
      <c r="Y219" s="8"/>
      <c r="Z219" s="8"/>
      <c r="AA219" s="8"/>
      <c r="AB219" s="8"/>
      <c r="AC219" s="8"/>
      <c r="AD219" s="61"/>
    </row>
    <row r="220" spans="1:30" x14ac:dyDescent="0.2">
      <c r="A220" s="8"/>
      <c r="B220" s="188"/>
      <c r="C220" s="188"/>
      <c r="D220" s="8"/>
      <c r="E220" s="8"/>
      <c r="F220" s="8"/>
      <c r="G220" s="8"/>
      <c r="J220" s="8"/>
      <c r="K220" s="8"/>
      <c r="L220" s="8"/>
      <c r="M220" s="8"/>
      <c r="N220" s="8"/>
      <c r="Q220" s="8"/>
      <c r="R220" s="8"/>
      <c r="S220" s="8"/>
      <c r="T220" s="8"/>
      <c r="U220" s="8"/>
      <c r="X220" s="8"/>
      <c r="Y220" s="8"/>
      <c r="Z220" s="8"/>
      <c r="AA220" s="8"/>
      <c r="AB220" s="8"/>
      <c r="AC220" s="8"/>
      <c r="AD220" s="61"/>
    </row>
    <row r="221" spans="1:30" x14ac:dyDescent="0.2">
      <c r="A221" s="8"/>
      <c r="B221" s="188"/>
      <c r="C221" s="188"/>
      <c r="D221" s="8"/>
      <c r="E221" s="8"/>
      <c r="F221" s="8"/>
      <c r="G221" s="8"/>
      <c r="J221" s="8"/>
      <c r="K221" s="8"/>
      <c r="L221" s="8"/>
      <c r="M221" s="8"/>
      <c r="N221" s="8"/>
      <c r="Q221" s="8"/>
      <c r="R221" s="8"/>
      <c r="S221" s="8"/>
      <c r="T221" s="8"/>
      <c r="U221" s="8"/>
      <c r="X221" s="8"/>
      <c r="Y221" s="8"/>
      <c r="Z221" s="8"/>
      <c r="AA221" s="8"/>
      <c r="AB221" s="8"/>
      <c r="AC221" s="8"/>
      <c r="AD221" s="61"/>
    </row>
    <row r="222" spans="1:30" x14ac:dyDescent="0.2">
      <c r="A222" s="8"/>
      <c r="B222" s="188"/>
      <c r="C222" s="188"/>
      <c r="D222" s="8"/>
      <c r="E222" s="8"/>
      <c r="F222" s="8"/>
      <c r="G222" s="8"/>
      <c r="J222" s="8"/>
      <c r="K222" s="8"/>
      <c r="L222" s="8"/>
      <c r="M222" s="8"/>
      <c r="N222" s="8"/>
      <c r="Q222" s="8"/>
      <c r="R222" s="8"/>
      <c r="S222" s="8"/>
      <c r="T222" s="8"/>
      <c r="U222" s="8"/>
      <c r="X222" s="8"/>
      <c r="Y222" s="8"/>
      <c r="Z222" s="8"/>
      <c r="AA222" s="8"/>
      <c r="AB222" s="8"/>
      <c r="AC222" s="8"/>
      <c r="AD222" s="61"/>
    </row>
    <row r="223" spans="1:30" x14ac:dyDescent="0.2">
      <c r="A223" s="8"/>
      <c r="B223" s="188"/>
      <c r="C223" s="188"/>
      <c r="D223" s="8"/>
      <c r="E223" s="8"/>
      <c r="F223" s="8"/>
      <c r="G223" s="8"/>
      <c r="J223" s="8"/>
      <c r="K223" s="8"/>
      <c r="L223" s="8"/>
      <c r="M223" s="8"/>
      <c r="N223" s="8"/>
      <c r="Q223" s="8"/>
      <c r="R223" s="8"/>
      <c r="S223" s="8"/>
      <c r="T223" s="8"/>
      <c r="U223" s="8"/>
      <c r="X223" s="8"/>
      <c r="Y223" s="8"/>
      <c r="Z223" s="8"/>
      <c r="AA223" s="8"/>
      <c r="AB223" s="8"/>
      <c r="AC223" s="8"/>
      <c r="AD223" s="61"/>
    </row>
    <row r="224" spans="1:30" x14ac:dyDescent="0.2">
      <c r="A224" s="8"/>
      <c r="B224" s="188"/>
      <c r="C224" s="188"/>
      <c r="D224" s="8"/>
      <c r="E224" s="8"/>
      <c r="F224" s="8"/>
      <c r="G224" s="8"/>
      <c r="J224" s="8"/>
      <c r="K224" s="8"/>
      <c r="L224" s="8"/>
      <c r="M224" s="8"/>
      <c r="N224" s="8"/>
      <c r="Q224" s="8"/>
      <c r="R224" s="8"/>
      <c r="S224" s="8"/>
      <c r="T224" s="8"/>
      <c r="U224" s="8"/>
      <c r="X224" s="8"/>
      <c r="Y224" s="8"/>
      <c r="Z224" s="8"/>
      <c r="AA224" s="8"/>
      <c r="AB224" s="8"/>
      <c r="AC224" s="8"/>
      <c r="AD224" s="61"/>
    </row>
    <row r="225" spans="1:30" x14ac:dyDescent="0.2">
      <c r="A225" s="8"/>
      <c r="B225" s="188"/>
      <c r="C225" s="188"/>
      <c r="D225" s="8"/>
      <c r="E225" s="8"/>
      <c r="F225" s="8"/>
      <c r="G225" s="8"/>
      <c r="J225" s="8"/>
      <c r="K225" s="8"/>
      <c r="L225" s="8"/>
      <c r="M225" s="8"/>
      <c r="N225" s="8"/>
      <c r="Q225" s="8"/>
      <c r="R225" s="8"/>
      <c r="S225" s="8"/>
      <c r="T225" s="8"/>
      <c r="U225" s="8"/>
      <c r="X225" s="8"/>
      <c r="Y225" s="8"/>
      <c r="Z225" s="8"/>
      <c r="AA225" s="8"/>
      <c r="AB225" s="8"/>
      <c r="AC225" s="8"/>
      <c r="AD225" s="61"/>
    </row>
    <row r="226" spans="1:30" x14ac:dyDescent="0.2">
      <c r="A226" s="8"/>
      <c r="B226" s="188"/>
      <c r="C226" s="188"/>
      <c r="D226" s="8"/>
      <c r="E226" s="8"/>
      <c r="F226" s="8"/>
      <c r="G226" s="8"/>
      <c r="J226" s="8"/>
      <c r="K226" s="8"/>
      <c r="L226" s="8"/>
      <c r="M226" s="8"/>
      <c r="N226" s="8"/>
      <c r="Q226" s="8"/>
      <c r="R226" s="8"/>
      <c r="S226" s="8"/>
      <c r="T226" s="8"/>
      <c r="U226" s="8"/>
      <c r="X226" s="8"/>
      <c r="Y226" s="8"/>
      <c r="Z226" s="8"/>
      <c r="AA226" s="8"/>
      <c r="AB226" s="8"/>
      <c r="AC226" s="8"/>
      <c r="AD226" s="61"/>
    </row>
    <row r="227" spans="1:30" x14ac:dyDescent="0.2">
      <c r="A227" s="8"/>
      <c r="B227" s="188"/>
      <c r="C227" s="188"/>
      <c r="D227" s="8"/>
      <c r="E227" s="8"/>
      <c r="F227" s="8"/>
      <c r="G227" s="8"/>
      <c r="J227" s="8"/>
      <c r="K227" s="8"/>
      <c r="L227" s="8"/>
      <c r="M227" s="8"/>
      <c r="N227" s="8"/>
      <c r="Q227" s="8"/>
      <c r="R227" s="8"/>
      <c r="S227" s="8"/>
      <c r="T227" s="8"/>
      <c r="U227" s="8"/>
      <c r="X227" s="8"/>
      <c r="Y227" s="8"/>
      <c r="Z227" s="8"/>
      <c r="AA227" s="8"/>
      <c r="AB227" s="8"/>
      <c r="AC227" s="8"/>
      <c r="AD227" s="61"/>
    </row>
    <row r="228" spans="1:30" x14ac:dyDescent="0.2">
      <c r="A228" s="8"/>
      <c r="B228" s="188"/>
      <c r="C228" s="188"/>
      <c r="D228" s="8"/>
      <c r="E228" s="8"/>
      <c r="F228" s="8"/>
      <c r="G228" s="8"/>
      <c r="J228" s="8"/>
      <c r="K228" s="8"/>
      <c r="L228" s="8"/>
      <c r="M228" s="8"/>
      <c r="N228" s="8"/>
      <c r="Q228" s="8"/>
      <c r="R228" s="8"/>
      <c r="S228" s="8"/>
      <c r="T228" s="8"/>
      <c r="U228" s="8"/>
      <c r="X228" s="8"/>
      <c r="Y228" s="8"/>
      <c r="Z228" s="8"/>
      <c r="AA228" s="8"/>
      <c r="AB228" s="8"/>
      <c r="AC228" s="8"/>
      <c r="AD228" s="61"/>
    </row>
    <row r="229" spans="1:30" x14ac:dyDescent="0.2">
      <c r="A229" s="8"/>
      <c r="B229" s="188"/>
      <c r="C229" s="188"/>
      <c r="D229" s="8"/>
      <c r="E229" s="8"/>
      <c r="F229" s="8"/>
      <c r="G229" s="8"/>
      <c r="J229" s="8"/>
      <c r="K229" s="8"/>
      <c r="L229" s="8"/>
      <c r="M229" s="8"/>
      <c r="N229" s="8"/>
      <c r="Q229" s="8"/>
      <c r="R229" s="8"/>
      <c r="S229" s="8"/>
      <c r="T229" s="8"/>
      <c r="U229" s="8"/>
      <c r="X229" s="8"/>
      <c r="Y229" s="8"/>
      <c r="Z229" s="8"/>
      <c r="AA229" s="8"/>
      <c r="AB229" s="8"/>
      <c r="AC229" s="8"/>
      <c r="AD229" s="61"/>
    </row>
    <row r="230" spans="1:30" x14ac:dyDescent="0.2">
      <c r="A230" s="8"/>
      <c r="B230" s="188"/>
      <c r="C230" s="188"/>
      <c r="D230" s="8"/>
      <c r="E230" s="8"/>
      <c r="F230" s="8"/>
      <c r="G230" s="8"/>
      <c r="J230" s="8"/>
      <c r="K230" s="8"/>
      <c r="L230" s="8"/>
      <c r="M230" s="8"/>
      <c r="N230" s="8"/>
      <c r="Q230" s="8"/>
      <c r="R230" s="8"/>
      <c r="S230" s="8"/>
      <c r="T230" s="8"/>
      <c r="U230" s="8"/>
      <c r="X230" s="8"/>
      <c r="Y230" s="8"/>
      <c r="Z230" s="8"/>
      <c r="AA230" s="8"/>
      <c r="AB230" s="8"/>
      <c r="AC230" s="8"/>
      <c r="AD230" s="61"/>
    </row>
    <row r="231" spans="1:30" x14ac:dyDescent="0.2">
      <c r="A231" s="8"/>
      <c r="B231" s="188"/>
      <c r="C231" s="188"/>
      <c r="D231" s="8"/>
      <c r="E231" s="8"/>
      <c r="F231" s="8"/>
      <c r="G231" s="8"/>
      <c r="J231" s="8"/>
      <c r="K231" s="8"/>
      <c r="L231" s="8"/>
      <c r="M231" s="8"/>
      <c r="N231" s="8"/>
      <c r="Q231" s="8"/>
      <c r="R231" s="8"/>
      <c r="S231" s="8"/>
      <c r="T231" s="8"/>
      <c r="U231" s="8"/>
      <c r="X231" s="8"/>
      <c r="Y231" s="8"/>
      <c r="Z231" s="8"/>
      <c r="AA231" s="8"/>
      <c r="AB231" s="8"/>
      <c r="AC231" s="8"/>
      <c r="AD231" s="61"/>
    </row>
    <row r="232" spans="1:30" x14ac:dyDescent="0.2">
      <c r="A232" s="8"/>
      <c r="B232" s="188"/>
      <c r="C232" s="188"/>
      <c r="D232" s="8"/>
      <c r="E232" s="8"/>
      <c r="F232" s="8"/>
      <c r="G232" s="8"/>
      <c r="J232" s="8"/>
      <c r="K232" s="8"/>
      <c r="L232" s="8"/>
      <c r="M232" s="8"/>
      <c r="N232" s="8"/>
      <c r="Q232" s="8"/>
      <c r="R232" s="8"/>
      <c r="S232" s="8"/>
      <c r="T232" s="8"/>
      <c r="U232" s="8"/>
      <c r="X232" s="8"/>
      <c r="Y232" s="8"/>
      <c r="Z232" s="8"/>
      <c r="AA232" s="8"/>
      <c r="AB232" s="8"/>
      <c r="AC232" s="8"/>
      <c r="AD232" s="61"/>
    </row>
    <row r="233" spans="1:30" x14ac:dyDescent="0.2">
      <c r="A233" s="8"/>
      <c r="B233" s="188"/>
      <c r="C233" s="188"/>
      <c r="D233" s="8"/>
      <c r="E233" s="8"/>
      <c r="F233" s="8"/>
      <c r="G233" s="8"/>
      <c r="J233" s="8"/>
      <c r="K233" s="8"/>
      <c r="L233" s="8"/>
      <c r="M233" s="8"/>
      <c r="N233" s="8"/>
      <c r="Q233" s="8"/>
      <c r="R233" s="8"/>
      <c r="S233" s="8"/>
      <c r="T233" s="8"/>
      <c r="U233" s="8"/>
      <c r="X233" s="8"/>
      <c r="Y233" s="8"/>
      <c r="Z233" s="8"/>
      <c r="AA233" s="8"/>
      <c r="AB233" s="8"/>
      <c r="AC233" s="8"/>
      <c r="AD233" s="61"/>
    </row>
    <row r="234" spans="1:30" x14ac:dyDescent="0.2">
      <c r="A234" s="8"/>
      <c r="B234" s="188"/>
      <c r="C234" s="188"/>
      <c r="D234" s="8"/>
      <c r="E234" s="8"/>
      <c r="F234" s="8"/>
      <c r="G234" s="8"/>
      <c r="J234" s="8"/>
      <c r="K234" s="8"/>
      <c r="L234" s="8"/>
      <c r="M234" s="8"/>
      <c r="N234" s="8"/>
      <c r="Q234" s="8"/>
      <c r="R234" s="8"/>
      <c r="S234" s="8"/>
      <c r="T234" s="8"/>
      <c r="U234" s="8"/>
      <c r="X234" s="8"/>
      <c r="Y234" s="8"/>
      <c r="Z234" s="8"/>
      <c r="AA234" s="8"/>
      <c r="AB234" s="8"/>
      <c r="AC234" s="8"/>
      <c r="AD234" s="61"/>
    </row>
    <row r="235" spans="1:30" x14ac:dyDescent="0.2">
      <c r="A235" s="8"/>
      <c r="B235" s="188"/>
      <c r="C235" s="188"/>
      <c r="D235" s="8"/>
      <c r="E235" s="8"/>
      <c r="F235" s="8"/>
      <c r="G235" s="8"/>
      <c r="J235" s="8"/>
      <c r="K235" s="8"/>
      <c r="L235" s="8"/>
      <c r="M235" s="8"/>
      <c r="N235" s="8"/>
      <c r="Q235" s="8"/>
      <c r="R235" s="8"/>
      <c r="S235" s="8"/>
      <c r="T235" s="8"/>
      <c r="U235" s="8"/>
      <c r="X235" s="8"/>
      <c r="Y235" s="8"/>
      <c r="Z235" s="8"/>
      <c r="AA235" s="8"/>
      <c r="AB235" s="8"/>
      <c r="AC235" s="8"/>
      <c r="AD235" s="61"/>
    </row>
    <row r="236" spans="1:30" x14ac:dyDescent="0.2">
      <c r="A236" s="8"/>
      <c r="B236" s="188"/>
      <c r="C236" s="188"/>
      <c r="D236" s="8"/>
      <c r="E236" s="8"/>
      <c r="F236" s="8"/>
      <c r="G236" s="8"/>
      <c r="J236" s="8"/>
      <c r="K236" s="8"/>
      <c r="L236" s="8"/>
      <c r="M236" s="8"/>
      <c r="N236" s="8"/>
      <c r="Q236" s="8"/>
      <c r="R236" s="8"/>
      <c r="S236" s="8"/>
      <c r="T236" s="8"/>
      <c r="U236" s="8"/>
      <c r="X236" s="8"/>
      <c r="Y236" s="8"/>
      <c r="Z236" s="8"/>
      <c r="AA236" s="8"/>
      <c r="AB236" s="8"/>
      <c r="AC236" s="8"/>
      <c r="AD236" s="61"/>
    </row>
    <row r="237" spans="1:30" x14ac:dyDescent="0.2">
      <c r="A237" s="8"/>
      <c r="B237" s="188"/>
      <c r="C237" s="188"/>
      <c r="D237" s="8"/>
      <c r="E237" s="8"/>
      <c r="F237" s="8"/>
      <c r="G237" s="8"/>
      <c r="J237" s="8"/>
      <c r="K237" s="8"/>
      <c r="L237" s="8"/>
      <c r="M237" s="8"/>
      <c r="N237" s="8"/>
      <c r="Q237" s="8"/>
      <c r="R237" s="8"/>
      <c r="S237" s="8"/>
      <c r="T237" s="8"/>
      <c r="U237" s="8"/>
      <c r="X237" s="8"/>
      <c r="Y237" s="8"/>
      <c r="Z237" s="8"/>
      <c r="AA237" s="8"/>
      <c r="AB237" s="8"/>
      <c r="AC237" s="8"/>
      <c r="AD237" s="61"/>
    </row>
    <row r="238" spans="1:30" x14ac:dyDescent="0.2">
      <c r="A238" s="8"/>
      <c r="B238" s="188"/>
      <c r="C238" s="188"/>
      <c r="D238" s="8"/>
      <c r="E238" s="8"/>
      <c r="F238" s="8"/>
      <c r="G238" s="8"/>
      <c r="J238" s="8"/>
      <c r="K238" s="8"/>
      <c r="L238" s="8"/>
      <c r="M238" s="8"/>
      <c r="N238" s="8"/>
      <c r="Q238" s="8"/>
      <c r="R238" s="8"/>
      <c r="S238" s="8"/>
      <c r="T238" s="8"/>
      <c r="U238" s="8"/>
      <c r="X238" s="8"/>
      <c r="Y238" s="8"/>
      <c r="Z238" s="8"/>
      <c r="AA238" s="8"/>
      <c r="AB238" s="8"/>
      <c r="AC238" s="8"/>
      <c r="AD238" s="61"/>
    </row>
    <row r="239" spans="1:30" x14ac:dyDescent="0.2">
      <c r="A239" s="8"/>
      <c r="B239" s="188"/>
      <c r="C239" s="188"/>
      <c r="D239" s="8"/>
      <c r="E239" s="8"/>
      <c r="F239" s="8"/>
      <c r="G239" s="8"/>
      <c r="J239" s="8"/>
      <c r="K239" s="8"/>
      <c r="L239" s="8"/>
      <c r="M239" s="8"/>
      <c r="N239" s="8"/>
      <c r="Q239" s="8"/>
      <c r="R239" s="8"/>
      <c r="S239" s="8"/>
      <c r="T239" s="8"/>
      <c r="U239" s="8"/>
      <c r="X239" s="8"/>
      <c r="Y239" s="8"/>
      <c r="Z239" s="8"/>
      <c r="AA239" s="8"/>
      <c r="AB239" s="8"/>
      <c r="AC239" s="8"/>
      <c r="AD239" s="61"/>
    </row>
    <row r="240" spans="1:30" x14ac:dyDescent="0.2">
      <c r="A240" s="8"/>
      <c r="B240" s="188"/>
      <c r="C240" s="188"/>
      <c r="D240" s="8"/>
      <c r="E240" s="8"/>
      <c r="F240" s="8"/>
      <c r="G240" s="8"/>
      <c r="J240" s="8"/>
      <c r="K240" s="8"/>
      <c r="L240" s="8"/>
      <c r="M240" s="8"/>
      <c r="N240" s="8"/>
      <c r="Q240" s="8"/>
      <c r="R240" s="8"/>
      <c r="S240" s="8"/>
      <c r="T240" s="8"/>
      <c r="U240" s="8"/>
      <c r="X240" s="8"/>
      <c r="Y240" s="8"/>
      <c r="Z240" s="8"/>
      <c r="AA240" s="8"/>
      <c r="AB240" s="8"/>
      <c r="AC240" s="8"/>
      <c r="AD240" s="61"/>
    </row>
    <row r="241" spans="1:30" x14ac:dyDescent="0.2">
      <c r="A241" s="8"/>
      <c r="B241" s="188"/>
      <c r="C241" s="188"/>
      <c r="D241" s="8"/>
      <c r="E241" s="8"/>
      <c r="F241" s="8"/>
      <c r="G241" s="8"/>
      <c r="J241" s="8"/>
      <c r="K241" s="8"/>
      <c r="L241" s="8"/>
      <c r="M241" s="8"/>
      <c r="N241" s="8"/>
      <c r="Q241" s="8"/>
      <c r="R241" s="8"/>
      <c r="S241" s="8"/>
      <c r="T241" s="8"/>
      <c r="U241" s="8"/>
      <c r="X241" s="8"/>
      <c r="Y241" s="8"/>
      <c r="Z241" s="8"/>
      <c r="AA241" s="8"/>
      <c r="AB241" s="8"/>
      <c r="AC241" s="8"/>
      <c r="AD241" s="61"/>
    </row>
    <row r="242" spans="1:30" x14ac:dyDescent="0.2">
      <c r="A242" s="8"/>
      <c r="B242" s="188"/>
      <c r="C242" s="188"/>
      <c r="D242" s="8"/>
      <c r="E242" s="8"/>
      <c r="F242" s="8"/>
      <c r="G242" s="8"/>
      <c r="J242" s="8"/>
      <c r="K242" s="8"/>
      <c r="L242" s="8"/>
      <c r="M242" s="8"/>
      <c r="N242" s="8"/>
      <c r="Q242" s="8"/>
      <c r="R242" s="8"/>
      <c r="S242" s="8"/>
      <c r="T242" s="8"/>
      <c r="U242" s="8"/>
      <c r="X242" s="8"/>
      <c r="Y242" s="8"/>
      <c r="Z242" s="8"/>
      <c r="AA242" s="8"/>
      <c r="AB242" s="8"/>
      <c r="AC242" s="8"/>
      <c r="AD242" s="61"/>
    </row>
    <row r="243" spans="1:30" x14ac:dyDescent="0.2">
      <c r="A243" s="8"/>
      <c r="B243" s="188"/>
      <c r="C243" s="188"/>
      <c r="D243" s="8"/>
      <c r="E243" s="8"/>
      <c r="F243" s="8"/>
      <c r="G243" s="8"/>
      <c r="J243" s="8"/>
      <c r="K243" s="8"/>
      <c r="L243" s="8"/>
      <c r="M243" s="8"/>
      <c r="N243" s="8"/>
      <c r="Q243" s="8"/>
      <c r="R243" s="8"/>
      <c r="S243" s="8"/>
      <c r="T243" s="8"/>
      <c r="U243" s="8"/>
      <c r="X243" s="8"/>
      <c r="Y243" s="8"/>
      <c r="Z243" s="8"/>
      <c r="AA243" s="8"/>
      <c r="AB243" s="8"/>
      <c r="AC243" s="8"/>
      <c r="AD243" s="61"/>
    </row>
    <row r="244" spans="1:30" x14ac:dyDescent="0.2">
      <c r="A244" s="8"/>
      <c r="B244" s="188"/>
      <c r="C244" s="188"/>
      <c r="D244" s="8"/>
      <c r="E244" s="8"/>
      <c r="F244" s="8"/>
      <c r="G244" s="8"/>
      <c r="J244" s="8"/>
      <c r="K244" s="8"/>
      <c r="L244" s="8"/>
      <c r="M244" s="8"/>
      <c r="N244" s="8"/>
      <c r="Q244" s="8"/>
      <c r="R244" s="8"/>
      <c r="S244" s="8"/>
      <c r="T244" s="8"/>
      <c r="U244" s="8"/>
      <c r="X244" s="8"/>
      <c r="Y244" s="8"/>
      <c r="Z244" s="8"/>
      <c r="AA244" s="8"/>
      <c r="AB244" s="8"/>
      <c r="AC244" s="8"/>
      <c r="AD244" s="61"/>
    </row>
    <row r="245" spans="1:30" x14ac:dyDescent="0.2">
      <c r="A245" s="8"/>
      <c r="B245" s="188"/>
      <c r="C245" s="188"/>
      <c r="D245" s="8"/>
      <c r="E245" s="8"/>
      <c r="F245" s="8"/>
      <c r="G245" s="8"/>
      <c r="J245" s="8"/>
      <c r="K245" s="8"/>
      <c r="L245" s="8"/>
      <c r="M245" s="8"/>
      <c r="N245" s="8"/>
      <c r="Q245" s="8"/>
      <c r="R245" s="8"/>
      <c r="S245" s="8"/>
      <c r="T245" s="8"/>
      <c r="U245" s="8"/>
      <c r="X245" s="8"/>
      <c r="Y245" s="8"/>
      <c r="Z245" s="8"/>
      <c r="AA245" s="8"/>
      <c r="AB245" s="8"/>
      <c r="AC245" s="8"/>
      <c r="AD245" s="61"/>
    </row>
    <row r="246" spans="1:30" x14ac:dyDescent="0.2">
      <c r="A246" s="8"/>
      <c r="B246" s="188"/>
      <c r="C246" s="188"/>
      <c r="D246" s="8"/>
      <c r="E246" s="8"/>
      <c r="F246" s="8"/>
      <c r="G246" s="8"/>
      <c r="J246" s="8"/>
      <c r="K246" s="8"/>
      <c r="L246" s="8"/>
      <c r="M246" s="8"/>
      <c r="N246" s="8"/>
      <c r="Q246" s="8"/>
      <c r="R246" s="8"/>
      <c r="S246" s="8"/>
      <c r="T246" s="8"/>
      <c r="U246" s="8"/>
      <c r="X246" s="8"/>
      <c r="Y246" s="8"/>
      <c r="Z246" s="8"/>
      <c r="AA246" s="8"/>
      <c r="AB246" s="8"/>
      <c r="AC246" s="8"/>
      <c r="AD246" s="61"/>
    </row>
    <row r="247" spans="1:30" x14ac:dyDescent="0.2">
      <c r="A247" s="8"/>
      <c r="B247" s="188"/>
      <c r="C247" s="188"/>
      <c r="D247" s="8"/>
      <c r="E247" s="8"/>
      <c r="F247" s="8"/>
      <c r="G247" s="8"/>
      <c r="J247" s="8"/>
      <c r="K247" s="8"/>
      <c r="L247" s="8"/>
      <c r="M247" s="8"/>
      <c r="N247" s="8"/>
      <c r="Q247" s="8"/>
      <c r="R247" s="8"/>
      <c r="S247" s="8"/>
      <c r="T247" s="8"/>
      <c r="U247" s="8"/>
      <c r="X247" s="8"/>
      <c r="Y247" s="8"/>
      <c r="Z247" s="8"/>
      <c r="AA247" s="8"/>
      <c r="AB247" s="8"/>
      <c r="AC247" s="8"/>
      <c r="AD247" s="61"/>
    </row>
    <row r="248" spans="1:30" x14ac:dyDescent="0.2">
      <c r="A248" s="8"/>
      <c r="B248" s="188"/>
      <c r="C248" s="188"/>
      <c r="D248" s="8"/>
      <c r="E248" s="8"/>
      <c r="F248" s="8"/>
      <c r="G248" s="8"/>
      <c r="J248" s="8"/>
      <c r="K248" s="8"/>
      <c r="L248" s="8"/>
      <c r="M248" s="8"/>
      <c r="N248" s="8"/>
      <c r="Q248" s="8"/>
      <c r="R248" s="8"/>
      <c r="S248" s="8"/>
      <c r="T248" s="8"/>
      <c r="U248" s="8"/>
      <c r="X248" s="8"/>
      <c r="Y248" s="8"/>
      <c r="Z248" s="8"/>
      <c r="AA248" s="8"/>
      <c r="AB248" s="8"/>
      <c r="AC248" s="8"/>
      <c r="AD248" s="61"/>
    </row>
    <row r="249" spans="1:30" x14ac:dyDescent="0.2">
      <c r="A249" s="8"/>
      <c r="B249" s="188"/>
      <c r="C249" s="188"/>
      <c r="D249" s="8"/>
      <c r="E249" s="8"/>
      <c r="F249" s="8"/>
      <c r="G249" s="8"/>
      <c r="J249" s="8"/>
      <c r="K249" s="8"/>
      <c r="L249" s="8"/>
      <c r="M249" s="8"/>
      <c r="N249" s="8"/>
      <c r="Q249" s="8"/>
      <c r="R249" s="8"/>
      <c r="S249" s="8"/>
      <c r="T249" s="8"/>
      <c r="U249" s="8"/>
      <c r="X249" s="8"/>
      <c r="Y249" s="8"/>
      <c r="Z249" s="8"/>
      <c r="AA249" s="8"/>
      <c r="AB249" s="8"/>
      <c r="AC249" s="8"/>
      <c r="AD249" s="61"/>
    </row>
    <row r="250" spans="1:30" x14ac:dyDescent="0.2">
      <c r="A250" s="8"/>
      <c r="B250" s="188"/>
      <c r="C250" s="188"/>
      <c r="D250" s="8"/>
      <c r="E250" s="8"/>
      <c r="F250" s="8"/>
      <c r="G250" s="8"/>
      <c r="J250" s="8"/>
      <c r="K250" s="8"/>
      <c r="L250" s="8"/>
      <c r="M250" s="8"/>
      <c r="N250" s="8"/>
      <c r="Q250" s="8"/>
      <c r="R250" s="8"/>
      <c r="S250" s="8"/>
      <c r="T250" s="8"/>
      <c r="U250" s="8"/>
      <c r="X250" s="8"/>
      <c r="Y250" s="8"/>
      <c r="Z250" s="8"/>
      <c r="AA250" s="8"/>
      <c r="AB250" s="8"/>
      <c r="AC250" s="8"/>
      <c r="AD250" s="61"/>
    </row>
    <row r="251" spans="1:30" x14ac:dyDescent="0.2">
      <c r="A251" s="8"/>
      <c r="B251" s="188"/>
      <c r="C251" s="188"/>
      <c r="D251" s="8"/>
      <c r="E251" s="8"/>
      <c r="F251" s="8"/>
      <c r="G251" s="8"/>
      <c r="J251" s="8"/>
      <c r="K251" s="8"/>
      <c r="L251" s="8"/>
      <c r="M251" s="8"/>
      <c r="N251" s="8"/>
      <c r="Q251" s="8"/>
      <c r="R251" s="8"/>
      <c r="S251" s="8"/>
      <c r="T251" s="8"/>
      <c r="U251" s="8"/>
      <c r="X251" s="8"/>
      <c r="Y251" s="8"/>
      <c r="Z251" s="8"/>
      <c r="AA251" s="8"/>
      <c r="AB251" s="8"/>
      <c r="AC251" s="8"/>
      <c r="AD251" s="61"/>
    </row>
    <row r="252" spans="1:30" x14ac:dyDescent="0.2">
      <c r="A252" s="8"/>
      <c r="B252" s="188"/>
      <c r="C252" s="188"/>
      <c r="D252" s="8"/>
      <c r="E252" s="8"/>
      <c r="F252" s="8"/>
      <c r="G252" s="8"/>
      <c r="J252" s="8"/>
      <c r="K252" s="8"/>
      <c r="L252" s="8"/>
      <c r="M252" s="8"/>
      <c r="N252" s="8"/>
      <c r="Q252" s="8"/>
      <c r="R252" s="8"/>
      <c r="S252" s="8"/>
      <c r="T252" s="8"/>
      <c r="U252" s="8"/>
      <c r="X252" s="8"/>
      <c r="Y252" s="8"/>
      <c r="Z252" s="8"/>
      <c r="AA252" s="8"/>
      <c r="AB252" s="8"/>
      <c r="AC252" s="8"/>
      <c r="AD252" s="61"/>
    </row>
    <row r="253" spans="1:30" x14ac:dyDescent="0.2">
      <c r="A253" s="8"/>
      <c r="B253" s="188"/>
      <c r="C253" s="188"/>
      <c r="D253" s="8"/>
      <c r="E253" s="8"/>
      <c r="F253" s="8"/>
      <c r="G253" s="8"/>
      <c r="J253" s="8"/>
      <c r="K253" s="8"/>
      <c r="L253" s="8"/>
      <c r="M253" s="8"/>
      <c r="N253" s="8"/>
      <c r="Q253" s="8"/>
      <c r="R253" s="8"/>
      <c r="S253" s="8"/>
      <c r="T253" s="8"/>
      <c r="U253" s="8"/>
      <c r="X253" s="8"/>
      <c r="Y253" s="8"/>
      <c r="Z253" s="8"/>
      <c r="AA253" s="8"/>
      <c r="AB253" s="8"/>
      <c r="AC253" s="8"/>
      <c r="AD253" s="61"/>
    </row>
    <row r="254" spans="1:30" x14ac:dyDescent="0.2">
      <c r="A254" s="8"/>
      <c r="B254" s="188"/>
      <c r="C254" s="188"/>
      <c r="D254" s="8"/>
      <c r="E254" s="8"/>
      <c r="F254" s="8"/>
      <c r="G254" s="8"/>
      <c r="J254" s="8"/>
      <c r="K254" s="8"/>
      <c r="L254" s="8"/>
      <c r="M254" s="8"/>
      <c r="N254" s="8"/>
      <c r="Q254" s="8"/>
      <c r="R254" s="8"/>
      <c r="S254" s="8"/>
      <c r="T254" s="8"/>
      <c r="U254" s="8"/>
      <c r="X254" s="8"/>
      <c r="Y254" s="8"/>
      <c r="Z254" s="8"/>
      <c r="AA254" s="8"/>
      <c r="AB254" s="8"/>
      <c r="AC254" s="8"/>
      <c r="AD254" s="61"/>
    </row>
    <row r="255" spans="1:30" x14ac:dyDescent="0.2">
      <c r="A255" s="8"/>
      <c r="B255" s="188"/>
      <c r="C255" s="188"/>
      <c r="D255" s="8"/>
      <c r="E255" s="8"/>
      <c r="F255" s="8"/>
      <c r="G255" s="8"/>
      <c r="J255" s="8"/>
      <c r="K255" s="8"/>
      <c r="L255" s="8"/>
      <c r="M255" s="8"/>
      <c r="N255" s="8"/>
      <c r="Q255" s="8"/>
      <c r="R255" s="8"/>
      <c r="S255" s="8"/>
      <c r="T255" s="8"/>
      <c r="U255" s="8"/>
      <c r="X255" s="8"/>
      <c r="Y255" s="8"/>
      <c r="Z255" s="8"/>
      <c r="AA255" s="8"/>
      <c r="AB255" s="8"/>
      <c r="AC255" s="8"/>
      <c r="AD255" s="61"/>
    </row>
    <row r="256" spans="1:30" x14ac:dyDescent="0.2">
      <c r="A256" s="8"/>
      <c r="B256" s="188"/>
      <c r="C256" s="188"/>
      <c r="D256" s="8"/>
      <c r="E256" s="8"/>
      <c r="F256" s="8"/>
      <c r="G256" s="8"/>
      <c r="J256" s="8"/>
      <c r="K256" s="8"/>
      <c r="L256" s="8"/>
      <c r="M256" s="8"/>
      <c r="N256" s="8"/>
      <c r="Q256" s="8"/>
      <c r="R256" s="8"/>
      <c r="S256" s="8"/>
      <c r="T256" s="8"/>
      <c r="U256" s="8"/>
      <c r="X256" s="8"/>
      <c r="Y256" s="8"/>
      <c r="Z256" s="8"/>
      <c r="AA256" s="8"/>
      <c r="AB256" s="8"/>
      <c r="AC256" s="8"/>
      <c r="AD256" s="61"/>
    </row>
    <row r="257" spans="1:30" x14ac:dyDescent="0.2">
      <c r="A257" s="8"/>
      <c r="B257" s="188"/>
      <c r="C257" s="188"/>
      <c r="D257" s="8"/>
      <c r="E257" s="8"/>
      <c r="F257" s="8"/>
      <c r="G257" s="8"/>
      <c r="J257" s="8"/>
      <c r="K257" s="8"/>
      <c r="L257" s="8"/>
      <c r="M257" s="8"/>
      <c r="N257" s="8"/>
      <c r="Q257" s="8"/>
      <c r="R257" s="8"/>
      <c r="S257" s="8"/>
      <c r="T257" s="8"/>
      <c r="U257" s="8"/>
      <c r="X257" s="8"/>
      <c r="Y257" s="8"/>
      <c r="Z257" s="8"/>
      <c r="AA257" s="8"/>
      <c r="AB257" s="8"/>
      <c r="AC257" s="8"/>
      <c r="AD257" s="61"/>
    </row>
    <row r="258" spans="1:30" x14ac:dyDescent="0.2">
      <c r="A258" s="8"/>
      <c r="B258" s="188"/>
      <c r="C258" s="188"/>
      <c r="D258" s="8"/>
      <c r="E258" s="8"/>
      <c r="F258" s="8"/>
      <c r="G258" s="8"/>
      <c r="J258" s="8"/>
      <c r="K258" s="8"/>
      <c r="L258" s="8"/>
      <c r="M258" s="8"/>
      <c r="N258" s="8"/>
      <c r="Q258" s="8"/>
      <c r="R258" s="8"/>
      <c r="S258" s="8"/>
      <c r="T258" s="8"/>
      <c r="U258" s="8"/>
      <c r="X258" s="8"/>
      <c r="Y258" s="8"/>
      <c r="Z258" s="8"/>
      <c r="AA258" s="8"/>
      <c r="AB258" s="8"/>
      <c r="AC258" s="8"/>
      <c r="AD258" s="61"/>
    </row>
    <row r="259" spans="1:30" x14ac:dyDescent="0.2">
      <c r="A259" s="8"/>
      <c r="B259" s="188"/>
      <c r="C259" s="188"/>
      <c r="D259" s="8"/>
      <c r="E259" s="8"/>
      <c r="F259" s="8"/>
      <c r="G259" s="8"/>
      <c r="J259" s="8"/>
      <c r="K259" s="8"/>
      <c r="L259" s="8"/>
      <c r="M259" s="8"/>
      <c r="N259" s="8"/>
      <c r="Q259" s="8"/>
      <c r="R259" s="8"/>
      <c r="S259" s="8"/>
      <c r="T259" s="8"/>
      <c r="U259" s="8"/>
      <c r="X259" s="8"/>
      <c r="Y259" s="8"/>
      <c r="Z259" s="8"/>
      <c r="AA259" s="8"/>
      <c r="AB259" s="8"/>
      <c r="AC259" s="8"/>
      <c r="AD259" s="61"/>
    </row>
    <row r="260" spans="1:30" x14ac:dyDescent="0.2">
      <c r="A260" s="8"/>
      <c r="B260" s="188"/>
      <c r="C260" s="188"/>
      <c r="D260" s="8"/>
      <c r="E260" s="8"/>
      <c r="F260" s="8"/>
      <c r="G260" s="8"/>
      <c r="J260" s="8"/>
      <c r="K260" s="8"/>
      <c r="L260" s="8"/>
      <c r="M260" s="8"/>
      <c r="N260" s="8"/>
      <c r="Q260" s="8"/>
      <c r="R260" s="8"/>
      <c r="S260" s="8"/>
      <c r="T260" s="8"/>
      <c r="U260" s="8"/>
      <c r="X260" s="8"/>
      <c r="Y260" s="8"/>
      <c r="Z260" s="8"/>
      <c r="AA260" s="8"/>
      <c r="AB260" s="8"/>
      <c r="AC260" s="8"/>
      <c r="AD260" s="61"/>
    </row>
    <row r="261" spans="1:30" x14ac:dyDescent="0.2">
      <c r="A261" s="8"/>
      <c r="B261" s="188"/>
      <c r="C261" s="188"/>
      <c r="D261" s="8"/>
      <c r="E261" s="8"/>
      <c r="F261" s="8"/>
      <c r="G261" s="8"/>
      <c r="J261" s="8"/>
      <c r="K261" s="8"/>
      <c r="L261" s="8"/>
      <c r="M261" s="8"/>
      <c r="N261" s="8"/>
      <c r="Q261" s="8"/>
      <c r="R261" s="8"/>
      <c r="S261" s="8"/>
      <c r="T261" s="8"/>
      <c r="U261" s="8"/>
      <c r="X261" s="8"/>
      <c r="Y261" s="8"/>
      <c r="Z261" s="8"/>
      <c r="AA261" s="8"/>
      <c r="AB261" s="8"/>
      <c r="AC261" s="8"/>
      <c r="AD261" s="61"/>
    </row>
    <row r="262" spans="1:30" x14ac:dyDescent="0.2">
      <c r="A262" s="8"/>
      <c r="B262" s="188"/>
      <c r="C262" s="188"/>
      <c r="D262" s="8"/>
      <c r="E262" s="8"/>
      <c r="F262" s="8"/>
      <c r="G262" s="8"/>
      <c r="J262" s="8"/>
      <c r="K262" s="8"/>
      <c r="L262" s="8"/>
      <c r="M262" s="8"/>
      <c r="N262" s="8"/>
      <c r="Q262" s="8"/>
      <c r="R262" s="8"/>
      <c r="S262" s="8"/>
      <c r="T262" s="8"/>
      <c r="U262" s="8"/>
      <c r="X262" s="8"/>
      <c r="Y262" s="8"/>
      <c r="Z262" s="8"/>
      <c r="AA262" s="8"/>
      <c r="AB262" s="8"/>
      <c r="AC262" s="8"/>
      <c r="AD262" s="61"/>
    </row>
    <row r="263" spans="1:30" x14ac:dyDescent="0.2">
      <c r="A263" s="8"/>
      <c r="B263" s="188"/>
      <c r="C263" s="188"/>
      <c r="D263" s="8"/>
      <c r="E263" s="8"/>
      <c r="F263" s="8"/>
      <c r="G263" s="8"/>
      <c r="J263" s="8"/>
      <c r="K263" s="8"/>
      <c r="L263" s="8"/>
      <c r="M263" s="8"/>
      <c r="N263" s="8"/>
      <c r="Q263" s="8"/>
      <c r="R263" s="8"/>
      <c r="S263" s="8"/>
      <c r="T263" s="8"/>
      <c r="U263" s="8"/>
      <c r="X263" s="8"/>
      <c r="Y263" s="8"/>
      <c r="Z263" s="8"/>
      <c r="AA263" s="8"/>
      <c r="AB263" s="8"/>
      <c r="AC263" s="8"/>
      <c r="AD263" s="61"/>
    </row>
    <row r="264" spans="1:30" x14ac:dyDescent="0.2">
      <c r="A264" s="8"/>
      <c r="B264" s="188"/>
      <c r="C264" s="188"/>
      <c r="D264" s="8"/>
      <c r="E264" s="8"/>
      <c r="F264" s="8"/>
      <c r="G264" s="8"/>
      <c r="J264" s="8"/>
      <c r="K264" s="8"/>
      <c r="L264" s="8"/>
      <c r="M264" s="8"/>
      <c r="N264" s="8"/>
      <c r="Q264" s="8"/>
      <c r="R264" s="8"/>
      <c r="S264" s="8"/>
      <c r="T264" s="8"/>
      <c r="U264" s="8"/>
      <c r="X264" s="8"/>
      <c r="Y264" s="8"/>
      <c r="Z264" s="8"/>
      <c r="AA264" s="8"/>
      <c r="AB264" s="8"/>
      <c r="AC264" s="8"/>
      <c r="AD264" s="61"/>
    </row>
    <row r="265" spans="1:30" x14ac:dyDescent="0.2">
      <c r="A265" s="8"/>
      <c r="B265" s="188"/>
      <c r="C265" s="188"/>
      <c r="D265" s="8"/>
      <c r="E265" s="8"/>
      <c r="F265" s="8"/>
      <c r="G265" s="8"/>
      <c r="J265" s="8"/>
      <c r="K265" s="8"/>
      <c r="L265" s="8"/>
      <c r="M265" s="8"/>
      <c r="N265" s="8"/>
      <c r="Q265" s="8"/>
      <c r="R265" s="8"/>
      <c r="S265" s="8"/>
      <c r="T265" s="8"/>
      <c r="U265" s="8"/>
      <c r="X265" s="8"/>
      <c r="Y265" s="8"/>
      <c r="Z265" s="8"/>
      <c r="AA265" s="8"/>
      <c r="AB265" s="8"/>
      <c r="AC265" s="8"/>
      <c r="AD265" s="61"/>
    </row>
    <row r="266" spans="1:30" x14ac:dyDescent="0.2">
      <c r="A266" s="8"/>
      <c r="B266" s="188"/>
      <c r="C266" s="188"/>
      <c r="D266" s="8"/>
      <c r="E266" s="8"/>
      <c r="F266" s="8"/>
      <c r="G266" s="8"/>
      <c r="J266" s="8"/>
      <c r="K266" s="8"/>
      <c r="L266" s="8"/>
      <c r="M266" s="8"/>
      <c r="N266" s="8"/>
      <c r="Q266" s="8"/>
      <c r="R266" s="8"/>
      <c r="S266" s="8"/>
      <c r="T266" s="8"/>
      <c r="U266" s="8"/>
      <c r="X266" s="8"/>
      <c r="Y266" s="8"/>
      <c r="Z266" s="8"/>
      <c r="AA266" s="8"/>
      <c r="AB266" s="8"/>
      <c r="AC266" s="8"/>
      <c r="AD266" s="61"/>
    </row>
    <row r="267" spans="1:30" x14ac:dyDescent="0.2">
      <c r="A267" s="8"/>
      <c r="B267" s="188"/>
      <c r="C267" s="188"/>
      <c r="D267" s="8"/>
      <c r="E267" s="8"/>
      <c r="F267" s="8"/>
      <c r="G267" s="8"/>
      <c r="J267" s="8"/>
      <c r="K267" s="8"/>
      <c r="L267" s="8"/>
      <c r="M267" s="8"/>
      <c r="N267" s="8"/>
      <c r="Q267" s="8"/>
      <c r="R267" s="8"/>
      <c r="S267" s="8"/>
      <c r="T267" s="8"/>
      <c r="U267" s="8"/>
      <c r="X267" s="8"/>
      <c r="Y267" s="8"/>
      <c r="Z267" s="8"/>
      <c r="AA267" s="8"/>
      <c r="AB267" s="8"/>
      <c r="AC267" s="8"/>
      <c r="AD267" s="61"/>
    </row>
    <row r="268" spans="1:30" x14ac:dyDescent="0.2">
      <c r="A268" s="8"/>
      <c r="B268" s="188"/>
      <c r="C268" s="188"/>
      <c r="D268" s="8"/>
      <c r="E268" s="8"/>
      <c r="F268" s="8"/>
      <c r="G268" s="8"/>
      <c r="J268" s="8"/>
      <c r="K268" s="8"/>
      <c r="L268" s="8"/>
      <c r="M268" s="8"/>
      <c r="N268" s="8"/>
      <c r="Q268" s="8"/>
      <c r="R268" s="8"/>
      <c r="S268" s="8"/>
      <c r="T268" s="8"/>
      <c r="U268" s="8"/>
      <c r="X268" s="8"/>
      <c r="Y268" s="8"/>
      <c r="Z268" s="8"/>
      <c r="AA268" s="8"/>
      <c r="AB268" s="8"/>
      <c r="AC268" s="8"/>
      <c r="AD268" s="61"/>
    </row>
    <row r="269" spans="1:30" x14ac:dyDescent="0.2">
      <c r="A269" s="8"/>
      <c r="B269" s="188"/>
      <c r="C269" s="188"/>
      <c r="D269" s="8"/>
      <c r="E269" s="8"/>
      <c r="F269" s="8"/>
      <c r="G269" s="8"/>
      <c r="J269" s="8"/>
      <c r="K269" s="8"/>
      <c r="L269" s="8"/>
      <c r="M269" s="8"/>
      <c r="N269" s="8"/>
      <c r="Q269" s="8"/>
      <c r="R269" s="8"/>
      <c r="S269" s="8"/>
      <c r="T269" s="8"/>
      <c r="U269" s="8"/>
      <c r="X269" s="8"/>
      <c r="Y269" s="8"/>
      <c r="Z269" s="8"/>
      <c r="AA269" s="8"/>
      <c r="AB269" s="8"/>
      <c r="AC269" s="8"/>
      <c r="AD269" s="61"/>
    </row>
    <row r="270" spans="1:30" x14ac:dyDescent="0.2">
      <c r="A270" s="8"/>
      <c r="B270" s="188"/>
      <c r="C270" s="188"/>
      <c r="D270" s="8"/>
      <c r="E270" s="8"/>
      <c r="F270" s="8"/>
      <c r="G270" s="8"/>
      <c r="J270" s="8"/>
      <c r="K270" s="8"/>
      <c r="L270" s="8"/>
      <c r="M270" s="8"/>
      <c r="N270" s="8"/>
      <c r="Q270" s="8"/>
      <c r="R270" s="8"/>
      <c r="S270" s="8"/>
      <c r="T270" s="8"/>
      <c r="U270" s="8"/>
      <c r="X270" s="8"/>
      <c r="Y270" s="8"/>
      <c r="Z270" s="8"/>
      <c r="AA270" s="8"/>
      <c r="AB270" s="8"/>
      <c r="AC270" s="8"/>
      <c r="AD270" s="61"/>
    </row>
    <row r="271" spans="1:30" x14ac:dyDescent="0.2">
      <c r="A271" s="8"/>
      <c r="B271" s="188"/>
      <c r="C271" s="188"/>
      <c r="D271" s="8"/>
      <c r="E271" s="8"/>
      <c r="F271" s="8"/>
      <c r="G271" s="8"/>
      <c r="J271" s="8"/>
      <c r="K271" s="8"/>
      <c r="L271" s="8"/>
      <c r="M271" s="8"/>
      <c r="N271" s="8"/>
      <c r="Q271" s="8"/>
      <c r="R271" s="8"/>
      <c r="S271" s="8"/>
      <c r="T271" s="8"/>
      <c r="U271" s="8"/>
      <c r="X271" s="8"/>
      <c r="Y271" s="8"/>
      <c r="Z271" s="8"/>
      <c r="AA271" s="8"/>
      <c r="AB271" s="8"/>
      <c r="AC271" s="8"/>
      <c r="AD271" s="61"/>
    </row>
    <row r="272" spans="1:30" x14ac:dyDescent="0.2">
      <c r="A272" s="8"/>
      <c r="B272" s="188"/>
      <c r="C272" s="188"/>
      <c r="D272" s="8"/>
      <c r="E272" s="8"/>
      <c r="F272" s="8"/>
      <c r="G272" s="8"/>
      <c r="J272" s="8"/>
      <c r="K272" s="8"/>
      <c r="L272" s="8"/>
      <c r="M272" s="8"/>
      <c r="N272" s="8"/>
      <c r="Q272" s="8"/>
      <c r="R272" s="8"/>
      <c r="S272" s="8"/>
      <c r="T272" s="8"/>
      <c r="U272" s="8"/>
      <c r="X272" s="8"/>
      <c r="Y272" s="8"/>
      <c r="Z272" s="8"/>
      <c r="AA272" s="8"/>
      <c r="AB272" s="8"/>
      <c r="AC272" s="8"/>
      <c r="AD272" s="61"/>
    </row>
    <row r="273" spans="1:30" x14ac:dyDescent="0.2">
      <c r="A273" s="8"/>
      <c r="B273" s="188"/>
      <c r="C273" s="188"/>
      <c r="D273" s="8"/>
      <c r="E273" s="8"/>
      <c r="F273" s="8"/>
      <c r="G273" s="8"/>
      <c r="J273" s="8"/>
      <c r="K273" s="8"/>
      <c r="L273" s="8"/>
      <c r="M273" s="8"/>
      <c r="N273" s="8"/>
      <c r="Q273" s="8"/>
      <c r="R273" s="8"/>
      <c r="S273" s="8"/>
      <c r="T273" s="8"/>
      <c r="U273" s="8"/>
      <c r="X273" s="8"/>
      <c r="Y273" s="8"/>
      <c r="Z273" s="8"/>
      <c r="AA273" s="8"/>
      <c r="AB273" s="8"/>
      <c r="AC273" s="8"/>
      <c r="AD273" s="61"/>
    </row>
    <row r="274" spans="1:30" x14ac:dyDescent="0.2">
      <c r="A274" s="8"/>
      <c r="B274" s="188"/>
      <c r="C274" s="188"/>
      <c r="D274" s="8"/>
      <c r="E274" s="8"/>
      <c r="F274" s="8"/>
      <c r="G274" s="8"/>
      <c r="J274" s="8"/>
      <c r="K274" s="8"/>
      <c r="L274" s="8"/>
      <c r="M274" s="8"/>
      <c r="N274" s="8"/>
      <c r="Q274" s="8"/>
      <c r="R274" s="8"/>
      <c r="S274" s="8"/>
      <c r="T274" s="8"/>
      <c r="U274" s="8"/>
      <c r="X274" s="8"/>
      <c r="Y274" s="8"/>
      <c r="Z274" s="8"/>
      <c r="AA274" s="8"/>
      <c r="AB274" s="8"/>
      <c r="AC274" s="8"/>
      <c r="AD274" s="61"/>
    </row>
    <row r="275" spans="1:30" x14ac:dyDescent="0.2">
      <c r="A275" s="8"/>
      <c r="B275" s="188"/>
      <c r="C275" s="188"/>
      <c r="D275" s="8"/>
      <c r="E275" s="8"/>
      <c r="F275" s="8"/>
      <c r="G275" s="8"/>
      <c r="J275" s="8"/>
      <c r="K275" s="8"/>
      <c r="L275" s="8"/>
      <c r="M275" s="8"/>
      <c r="N275" s="8"/>
      <c r="Q275" s="8"/>
      <c r="R275" s="8"/>
      <c r="S275" s="8"/>
      <c r="T275" s="8"/>
      <c r="U275" s="8"/>
      <c r="X275" s="8"/>
      <c r="Y275" s="8"/>
      <c r="Z275" s="8"/>
      <c r="AA275" s="8"/>
      <c r="AB275" s="8"/>
      <c r="AC275" s="8"/>
      <c r="AD275" s="61"/>
    </row>
    <row r="276" spans="1:30" x14ac:dyDescent="0.2">
      <c r="A276" s="8"/>
      <c r="B276" s="188"/>
      <c r="C276" s="188"/>
      <c r="D276" s="8"/>
      <c r="E276" s="8"/>
      <c r="F276" s="8"/>
      <c r="G276" s="8"/>
      <c r="J276" s="8"/>
      <c r="K276" s="8"/>
      <c r="L276" s="8"/>
      <c r="M276" s="8"/>
      <c r="N276" s="8"/>
      <c r="Q276" s="8"/>
      <c r="R276" s="8"/>
      <c r="S276" s="8"/>
      <c r="T276" s="8"/>
      <c r="U276" s="8"/>
      <c r="X276" s="8"/>
      <c r="Y276" s="8"/>
      <c r="Z276" s="8"/>
      <c r="AA276" s="8"/>
      <c r="AB276" s="8"/>
      <c r="AC276" s="8"/>
      <c r="AD276" s="61"/>
    </row>
    <row r="277" spans="1:30" x14ac:dyDescent="0.2">
      <c r="A277" s="8"/>
      <c r="B277" s="188"/>
      <c r="C277" s="188"/>
      <c r="D277" s="8"/>
      <c r="E277" s="8"/>
      <c r="F277" s="8"/>
      <c r="G277" s="8"/>
      <c r="J277" s="8"/>
      <c r="K277" s="8"/>
      <c r="L277" s="8"/>
      <c r="M277" s="8"/>
      <c r="N277" s="8"/>
      <c r="Q277" s="8"/>
      <c r="R277" s="8"/>
      <c r="S277" s="8"/>
      <c r="T277" s="8"/>
      <c r="U277" s="8"/>
      <c r="X277" s="8"/>
      <c r="Y277" s="8"/>
      <c r="Z277" s="8"/>
      <c r="AA277" s="8"/>
      <c r="AB277" s="8"/>
      <c r="AC277" s="8"/>
      <c r="AD277" s="61"/>
    </row>
    <row r="278" spans="1:30" x14ac:dyDescent="0.2">
      <c r="A278" s="8"/>
      <c r="B278" s="188"/>
      <c r="C278" s="188"/>
      <c r="D278" s="8"/>
      <c r="E278" s="8"/>
      <c r="F278" s="8"/>
      <c r="G278" s="8"/>
      <c r="J278" s="8"/>
      <c r="K278" s="8"/>
      <c r="L278" s="8"/>
      <c r="M278" s="8"/>
      <c r="N278" s="8"/>
      <c r="Q278" s="8"/>
      <c r="R278" s="8"/>
      <c r="S278" s="8"/>
      <c r="T278" s="8"/>
      <c r="U278" s="8"/>
      <c r="X278" s="8"/>
      <c r="Y278" s="8"/>
      <c r="Z278" s="8"/>
      <c r="AA278" s="8"/>
      <c r="AB278" s="8"/>
      <c r="AC278" s="8"/>
      <c r="AD278" s="61"/>
    </row>
    <row r="279" spans="1:30" x14ac:dyDescent="0.2">
      <c r="A279" s="8"/>
      <c r="B279" s="188"/>
      <c r="C279" s="188"/>
      <c r="D279" s="8"/>
      <c r="E279" s="8"/>
      <c r="F279" s="8"/>
      <c r="G279" s="8"/>
      <c r="J279" s="8"/>
      <c r="K279" s="8"/>
      <c r="L279" s="8"/>
      <c r="M279" s="8"/>
      <c r="N279" s="8"/>
      <c r="Q279" s="8"/>
      <c r="R279" s="8"/>
      <c r="S279" s="8"/>
      <c r="T279" s="8"/>
      <c r="U279" s="8"/>
      <c r="X279" s="8"/>
      <c r="Y279" s="8"/>
      <c r="Z279" s="8"/>
      <c r="AA279" s="8"/>
      <c r="AB279" s="8"/>
      <c r="AC279" s="8"/>
      <c r="AD279" s="61"/>
    </row>
    <row r="280" spans="1:30" x14ac:dyDescent="0.2">
      <c r="A280" s="8"/>
      <c r="B280" s="188"/>
      <c r="C280" s="188"/>
      <c r="D280" s="8"/>
      <c r="E280" s="8"/>
      <c r="F280" s="8"/>
      <c r="G280" s="8"/>
      <c r="J280" s="8"/>
      <c r="K280" s="8"/>
      <c r="L280" s="8"/>
      <c r="M280" s="8"/>
      <c r="N280" s="8"/>
      <c r="Q280" s="8"/>
      <c r="R280" s="8"/>
      <c r="S280" s="8"/>
      <c r="T280" s="8"/>
      <c r="U280" s="8"/>
      <c r="X280" s="8"/>
      <c r="Y280" s="8"/>
      <c r="Z280" s="8"/>
      <c r="AA280" s="8"/>
      <c r="AB280" s="8"/>
      <c r="AC280" s="8"/>
      <c r="AD280" s="61"/>
    </row>
    <row r="281" spans="1:30" x14ac:dyDescent="0.2">
      <c r="A281" s="8"/>
      <c r="B281" s="188"/>
      <c r="C281" s="188"/>
      <c r="D281" s="8"/>
      <c r="E281" s="8"/>
      <c r="F281" s="8"/>
      <c r="G281" s="8"/>
      <c r="J281" s="8"/>
      <c r="K281" s="8"/>
      <c r="L281" s="8"/>
      <c r="M281" s="8"/>
      <c r="N281" s="8"/>
      <c r="Q281" s="8"/>
      <c r="R281" s="8"/>
      <c r="S281" s="8"/>
      <c r="T281" s="8"/>
      <c r="U281" s="8"/>
      <c r="X281" s="8"/>
      <c r="Y281" s="8"/>
      <c r="Z281" s="8"/>
      <c r="AA281" s="8"/>
      <c r="AB281" s="8"/>
      <c r="AC281" s="8"/>
      <c r="AD281" s="61"/>
    </row>
    <row r="282" spans="1:30" x14ac:dyDescent="0.2">
      <c r="A282" s="8"/>
      <c r="B282" s="188"/>
      <c r="C282" s="188"/>
      <c r="D282" s="8"/>
      <c r="E282" s="8"/>
      <c r="F282" s="8"/>
      <c r="G282" s="8"/>
      <c r="J282" s="8"/>
      <c r="K282" s="8"/>
      <c r="L282" s="8"/>
      <c r="M282" s="8"/>
      <c r="N282" s="8"/>
      <c r="Q282" s="8"/>
      <c r="R282" s="8"/>
      <c r="S282" s="8"/>
      <c r="T282" s="8"/>
      <c r="U282" s="8"/>
      <c r="X282" s="8"/>
      <c r="Y282" s="8"/>
      <c r="Z282" s="8"/>
      <c r="AA282" s="8"/>
      <c r="AB282" s="8"/>
      <c r="AC282" s="8"/>
      <c r="AD282" s="61"/>
    </row>
    <row r="283" spans="1:30" x14ac:dyDescent="0.2">
      <c r="A283" s="8"/>
      <c r="B283" s="188"/>
      <c r="C283" s="188"/>
      <c r="D283" s="8"/>
      <c r="E283" s="8"/>
      <c r="F283" s="8"/>
      <c r="G283" s="8"/>
      <c r="J283" s="8"/>
      <c r="K283" s="8"/>
      <c r="L283" s="8"/>
      <c r="M283" s="8"/>
      <c r="N283" s="8"/>
      <c r="Q283" s="8"/>
      <c r="R283" s="8"/>
      <c r="S283" s="8"/>
      <c r="T283" s="8"/>
      <c r="U283" s="8"/>
      <c r="X283" s="8"/>
      <c r="Y283" s="8"/>
      <c r="Z283" s="8"/>
      <c r="AA283" s="8"/>
      <c r="AB283" s="8"/>
      <c r="AC283" s="8"/>
      <c r="AD283" s="61"/>
    </row>
    <row r="284" spans="1:30" x14ac:dyDescent="0.2">
      <c r="A284" s="8"/>
      <c r="B284" s="188"/>
      <c r="C284" s="188"/>
      <c r="D284" s="8"/>
      <c r="E284" s="8"/>
      <c r="F284" s="8"/>
      <c r="G284" s="8"/>
      <c r="J284" s="8"/>
      <c r="K284" s="8"/>
      <c r="L284" s="8"/>
      <c r="M284" s="8"/>
      <c r="N284" s="8"/>
      <c r="Q284" s="8"/>
      <c r="R284" s="8"/>
      <c r="S284" s="8"/>
      <c r="T284" s="8"/>
      <c r="U284" s="8"/>
      <c r="X284" s="8"/>
      <c r="Y284" s="8"/>
      <c r="Z284" s="8"/>
      <c r="AA284" s="8"/>
      <c r="AB284" s="8"/>
      <c r="AC284" s="8"/>
      <c r="AD284" s="61"/>
    </row>
    <row r="285" spans="1:30" x14ac:dyDescent="0.2">
      <c r="A285" s="8"/>
      <c r="B285" s="188"/>
      <c r="C285" s="188"/>
      <c r="D285" s="8"/>
      <c r="E285" s="8"/>
      <c r="F285" s="8"/>
      <c r="G285" s="8"/>
      <c r="J285" s="8"/>
      <c r="K285" s="8"/>
      <c r="L285" s="8"/>
      <c r="M285" s="8"/>
      <c r="N285" s="8"/>
      <c r="Q285" s="8"/>
      <c r="R285" s="8"/>
      <c r="S285" s="8"/>
      <c r="T285" s="8"/>
      <c r="U285" s="8"/>
      <c r="X285" s="8"/>
      <c r="Y285" s="8"/>
      <c r="Z285" s="8"/>
      <c r="AA285" s="8"/>
      <c r="AB285" s="8"/>
      <c r="AC285" s="8"/>
      <c r="AD285" s="61"/>
    </row>
    <row r="286" spans="1:30" x14ac:dyDescent="0.2">
      <c r="A286" s="8"/>
      <c r="B286" s="188"/>
      <c r="C286" s="188"/>
      <c r="D286" s="8"/>
      <c r="E286" s="8"/>
      <c r="F286" s="8"/>
      <c r="G286" s="8"/>
      <c r="J286" s="8"/>
      <c r="K286" s="8"/>
      <c r="L286" s="8"/>
      <c r="M286" s="8"/>
      <c r="N286" s="8"/>
      <c r="Q286" s="8"/>
      <c r="R286" s="8"/>
      <c r="S286" s="8"/>
      <c r="T286" s="8"/>
      <c r="U286" s="8"/>
      <c r="X286" s="8"/>
      <c r="Y286" s="8"/>
      <c r="Z286" s="8"/>
      <c r="AA286" s="8"/>
      <c r="AB286" s="8"/>
      <c r="AC286" s="8"/>
      <c r="AD286" s="61"/>
    </row>
    <row r="287" spans="1:30" x14ac:dyDescent="0.2">
      <c r="A287" s="8"/>
      <c r="B287" s="188"/>
      <c r="C287" s="188"/>
      <c r="D287" s="8"/>
      <c r="E287" s="8"/>
      <c r="F287" s="8"/>
      <c r="G287" s="8"/>
      <c r="J287" s="8"/>
      <c r="K287" s="8"/>
      <c r="L287" s="8"/>
      <c r="M287" s="8"/>
      <c r="N287" s="8"/>
      <c r="Q287" s="8"/>
      <c r="R287" s="8"/>
      <c r="S287" s="8"/>
      <c r="T287" s="8"/>
      <c r="U287" s="8"/>
      <c r="X287" s="8"/>
      <c r="Y287" s="8"/>
      <c r="Z287" s="8"/>
      <c r="AA287" s="8"/>
      <c r="AB287" s="8"/>
      <c r="AC287" s="8"/>
      <c r="AD287" s="61"/>
    </row>
    <row r="288" spans="1:30" x14ac:dyDescent="0.2">
      <c r="A288" s="8"/>
      <c r="B288" s="188"/>
      <c r="C288" s="188"/>
      <c r="D288" s="8"/>
      <c r="E288" s="8"/>
      <c r="F288" s="8"/>
      <c r="G288" s="8"/>
      <c r="J288" s="8"/>
      <c r="K288" s="8"/>
      <c r="L288" s="8"/>
      <c r="M288" s="8"/>
      <c r="N288" s="8"/>
      <c r="Q288" s="8"/>
      <c r="R288" s="8"/>
      <c r="S288" s="8"/>
      <c r="T288" s="8"/>
      <c r="U288" s="8"/>
      <c r="X288" s="8"/>
      <c r="Y288" s="8"/>
      <c r="Z288" s="8"/>
      <c r="AA288" s="8"/>
      <c r="AB288" s="8"/>
      <c r="AC288" s="8"/>
      <c r="AD288" s="61"/>
    </row>
    <row r="289" spans="1:30" x14ac:dyDescent="0.2">
      <c r="A289" s="8"/>
      <c r="B289" s="188"/>
      <c r="C289" s="188"/>
      <c r="D289" s="8"/>
      <c r="E289" s="8"/>
      <c r="F289" s="8"/>
      <c r="G289" s="8"/>
      <c r="J289" s="8"/>
      <c r="K289" s="8"/>
      <c r="L289" s="8"/>
      <c r="M289" s="8"/>
      <c r="N289" s="8"/>
      <c r="Q289" s="8"/>
      <c r="R289" s="8"/>
      <c r="S289" s="8"/>
      <c r="T289" s="8"/>
      <c r="U289" s="8"/>
      <c r="X289" s="8"/>
      <c r="Y289" s="8"/>
      <c r="Z289" s="8"/>
      <c r="AA289" s="8"/>
      <c r="AB289" s="8"/>
      <c r="AC289" s="8"/>
      <c r="AD289" s="61"/>
    </row>
    <row r="290" spans="1:30" x14ac:dyDescent="0.2">
      <c r="A290" s="8"/>
      <c r="B290" s="188"/>
      <c r="C290" s="188"/>
      <c r="D290" s="8"/>
      <c r="E290" s="8"/>
      <c r="F290" s="8"/>
      <c r="G290" s="8"/>
      <c r="J290" s="8"/>
      <c r="K290" s="8"/>
      <c r="L290" s="8"/>
      <c r="M290" s="8"/>
      <c r="N290" s="8"/>
      <c r="Q290" s="8"/>
      <c r="R290" s="8"/>
      <c r="S290" s="8"/>
      <c r="T290" s="8"/>
      <c r="U290" s="8"/>
      <c r="X290" s="8"/>
      <c r="Y290" s="8"/>
      <c r="Z290" s="8"/>
      <c r="AA290" s="8"/>
      <c r="AB290" s="8"/>
      <c r="AC290" s="8"/>
      <c r="AD290" s="61"/>
    </row>
    <row r="291" spans="1:30" x14ac:dyDescent="0.2">
      <c r="A291" s="8"/>
      <c r="B291" s="188"/>
      <c r="C291" s="188"/>
      <c r="D291" s="8"/>
      <c r="E291" s="8"/>
      <c r="F291" s="8"/>
      <c r="G291" s="8"/>
      <c r="J291" s="8"/>
      <c r="K291" s="8"/>
      <c r="L291" s="8"/>
      <c r="M291" s="8"/>
      <c r="N291" s="8"/>
      <c r="Q291" s="8"/>
      <c r="R291" s="8"/>
      <c r="S291" s="8"/>
      <c r="T291" s="8"/>
      <c r="U291" s="8"/>
      <c r="X291" s="8"/>
      <c r="Y291" s="8"/>
      <c r="Z291" s="8"/>
      <c r="AA291" s="8"/>
      <c r="AB291" s="8"/>
      <c r="AC291" s="8"/>
      <c r="AD291" s="61"/>
    </row>
    <row r="292" spans="1:30" x14ac:dyDescent="0.2">
      <c r="A292" s="8"/>
      <c r="B292" s="188"/>
      <c r="C292" s="188"/>
      <c r="D292" s="8"/>
      <c r="E292" s="8"/>
      <c r="F292" s="8"/>
      <c r="G292" s="8"/>
      <c r="J292" s="8"/>
      <c r="K292" s="8"/>
      <c r="L292" s="8"/>
      <c r="M292" s="8"/>
      <c r="N292" s="8"/>
      <c r="Q292" s="8"/>
      <c r="R292" s="8"/>
      <c r="S292" s="8"/>
      <c r="T292" s="8"/>
      <c r="U292" s="8"/>
      <c r="X292" s="8"/>
      <c r="Y292" s="8"/>
      <c r="Z292" s="8"/>
      <c r="AA292" s="8"/>
      <c r="AB292" s="8"/>
      <c r="AC292" s="8"/>
      <c r="AD292" s="61"/>
    </row>
    <row r="293" spans="1:30" x14ac:dyDescent="0.2">
      <c r="A293" s="8"/>
      <c r="B293" s="188"/>
      <c r="C293" s="188"/>
      <c r="D293" s="8"/>
      <c r="E293" s="8"/>
      <c r="F293" s="8"/>
      <c r="G293" s="8"/>
      <c r="J293" s="8"/>
      <c r="K293" s="8"/>
      <c r="L293" s="8"/>
      <c r="M293" s="8"/>
      <c r="N293" s="8"/>
      <c r="Q293" s="8"/>
      <c r="R293" s="8"/>
      <c r="S293" s="8"/>
      <c r="T293" s="8"/>
      <c r="U293" s="8"/>
      <c r="X293" s="8"/>
      <c r="Y293" s="8"/>
      <c r="Z293" s="8"/>
      <c r="AA293" s="8"/>
      <c r="AB293" s="8"/>
      <c r="AC293" s="8"/>
      <c r="AD293" s="61"/>
    </row>
    <row r="294" spans="1:30" x14ac:dyDescent="0.2">
      <c r="A294" s="8"/>
      <c r="B294" s="188"/>
      <c r="C294" s="188"/>
      <c r="D294" s="8"/>
      <c r="E294" s="8"/>
      <c r="F294" s="8"/>
      <c r="G294" s="8"/>
      <c r="J294" s="8"/>
      <c r="K294" s="8"/>
      <c r="L294" s="8"/>
      <c r="M294" s="8"/>
      <c r="N294" s="8"/>
      <c r="Q294" s="8"/>
      <c r="R294" s="8"/>
      <c r="S294" s="8"/>
      <c r="T294" s="8"/>
      <c r="U294" s="8"/>
      <c r="X294" s="8"/>
      <c r="Y294" s="8"/>
      <c r="Z294" s="8"/>
      <c r="AA294" s="8"/>
      <c r="AB294" s="8"/>
      <c r="AC294" s="8"/>
      <c r="AD294" s="61"/>
    </row>
    <row r="295" spans="1:30" x14ac:dyDescent="0.2">
      <c r="A295" s="8"/>
      <c r="B295" s="188"/>
      <c r="C295" s="188"/>
      <c r="D295" s="8"/>
      <c r="E295" s="8"/>
      <c r="F295" s="8"/>
      <c r="G295" s="8"/>
      <c r="J295" s="8"/>
      <c r="K295" s="8"/>
      <c r="L295" s="8"/>
      <c r="M295" s="8"/>
      <c r="N295" s="8"/>
      <c r="Q295" s="8"/>
      <c r="R295" s="8"/>
      <c r="S295" s="8"/>
      <c r="T295" s="8"/>
      <c r="U295" s="8"/>
      <c r="X295" s="8"/>
      <c r="Y295" s="8"/>
      <c r="Z295" s="8"/>
      <c r="AA295" s="8"/>
      <c r="AB295" s="8"/>
      <c r="AC295" s="8"/>
      <c r="AD295" s="61"/>
    </row>
    <row r="296" spans="1:30" x14ac:dyDescent="0.2">
      <c r="A296" s="8"/>
      <c r="B296" s="188"/>
      <c r="C296" s="188"/>
      <c r="D296" s="8"/>
      <c r="E296" s="8"/>
      <c r="F296" s="8"/>
      <c r="G296" s="8"/>
      <c r="J296" s="8"/>
      <c r="K296" s="8"/>
      <c r="L296" s="8"/>
      <c r="M296" s="8"/>
      <c r="N296" s="8"/>
      <c r="Q296" s="8"/>
      <c r="R296" s="8"/>
      <c r="S296" s="8"/>
      <c r="T296" s="8"/>
      <c r="U296" s="8"/>
      <c r="X296" s="8"/>
      <c r="Y296" s="8"/>
      <c r="Z296" s="8"/>
      <c r="AA296" s="8"/>
      <c r="AB296" s="8"/>
      <c r="AC296" s="8"/>
      <c r="AD296" s="61"/>
    </row>
    <row r="297" spans="1:30" x14ac:dyDescent="0.2">
      <c r="A297" s="8"/>
      <c r="B297" s="188"/>
      <c r="C297" s="188"/>
      <c r="D297" s="8"/>
      <c r="E297" s="8"/>
      <c r="F297" s="8"/>
      <c r="G297" s="8"/>
      <c r="J297" s="8"/>
      <c r="K297" s="8"/>
      <c r="L297" s="8"/>
      <c r="M297" s="8"/>
      <c r="N297" s="8"/>
      <c r="Q297" s="8"/>
      <c r="R297" s="8"/>
      <c r="S297" s="8"/>
      <c r="T297" s="8"/>
      <c r="U297" s="8"/>
      <c r="X297" s="8"/>
      <c r="Y297" s="8"/>
      <c r="Z297" s="8"/>
      <c r="AA297" s="8"/>
      <c r="AB297" s="8"/>
      <c r="AC297" s="8"/>
      <c r="AD297" s="61"/>
    </row>
    <row r="298" spans="1:30" x14ac:dyDescent="0.2">
      <c r="A298" s="8"/>
      <c r="B298" s="188"/>
      <c r="C298" s="188"/>
      <c r="D298" s="8"/>
      <c r="E298" s="8"/>
      <c r="F298" s="8"/>
      <c r="G298" s="8"/>
      <c r="J298" s="8"/>
      <c r="K298" s="8"/>
      <c r="L298" s="8"/>
      <c r="M298" s="8"/>
      <c r="N298" s="8"/>
      <c r="Q298" s="8"/>
      <c r="R298" s="8"/>
      <c r="S298" s="8"/>
      <c r="T298" s="8"/>
      <c r="U298" s="8"/>
      <c r="X298" s="8"/>
      <c r="Y298" s="8"/>
      <c r="Z298" s="8"/>
      <c r="AA298" s="8"/>
      <c r="AB298" s="8"/>
      <c r="AC298" s="8"/>
      <c r="AD298" s="61"/>
    </row>
    <row r="299" spans="1:30" x14ac:dyDescent="0.2">
      <c r="A299" s="8"/>
      <c r="B299" s="188"/>
      <c r="C299" s="188"/>
      <c r="D299" s="8"/>
      <c r="E299" s="8"/>
      <c r="F299" s="8"/>
      <c r="G299" s="8"/>
      <c r="J299" s="8"/>
      <c r="K299" s="8"/>
      <c r="L299" s="8"/>
      <c r="M299" s="8"/>
      <c r="N299" s="8"/>
      <c r="Q299" s="8"/>
      <c r="R299" s="8"/>
      <c r="S299" s="8"/>
      <c r="T299" s="8"/>
      <c r="U299" s="8"/>
      <c r="X299" s="8"/>
      <c r="Y299" s="8"/>
      <c r="Z299" s="8"/>
      <c r="AA299" s="8"/>
      <c r="AB299" s="8"/>
      <c r="AC299" s="8"/>
      <c r="AD299" s="61"/>
    </row>
    <row r="300" spans="1:30" x14ac:dyDescent="0.2">
      <c r="A300" s="8"/>
      <c r="B300" s="188"/>
      <c r="C300" s="188"/>
      <c r="D300" s="8"/>
      <c r="E300" s="8"/>
      <c r="F300" s="8"/>
      <c r="G300" s="8"/>
      <c r="J300" s="8"/>
      <c r="K300" s="8"/>
      <c r="L300" s="8"/>
      <c r="M300" s="8"/>
      <c r="N300" s="8"/>
      <c r="Q300" s="8"/>
      <c r="R300" s="8"/>
      <c r="S300" s="8"/>
      <c r="T300" s="8"/>
      <c r="U300" s="8"/>
      <c r="X300" s="8"/>
      <c r="Y300" s="8"/>
      <c r="Z300" s="8"/>
      <c r="AA300" s="8"/>
      <c r="AB300" s="8"/>
      <c r="AC300" s="8"/>
      <c r="AD300" s="61"/>
    </row>
    <row r="301" spans="1:30" x14ac:dyDescent="0.2">
      <c r="A301" s="8"/>
      <c r="B301" s="188"/>
      <c r="C301" s="188"/>
      <c r="D301" s="8"/>
      <c r="E301" s="8"/>
      <c r="F301" s="8"/>
      <c r="G301" s="8"/>
      <c r="J301" s="8"/>
      <c r="K301" s="8"/>
      <c r="L301" s="8"/>
      <c r="M301" s="8"/>
      <c r="N301" s="8"/>
      <c r="Q301" s="8"/>
      <c r="R301" s="8"/>
      <c r="S301" s="8"/>
      <c r="T301" s="8"/>
      <c r="U301" s="8"/>
      <c r="X301" s="8"/>
      <c r="Y301" s="8"/>
      <c r="Z301" s="8"/>
      <c r="AA301" s="8"/>
      <c r="AB301" s="8"/>
      <c r="AC301" s="8"/>
      <c r="AD301" s="61"/>
    </row>
    <row r="302" spans="1:30" x14ac:dyDescent="0.2">
      <c r="A302" s="8"/>
      <c r="B302" s="188"/>
      <c r="C302" s="188"/>
      <c r="D302" s="8"/>
      <c r="E302" s="8"/>
      <c r="F302" s="8"/>
      <c r="G302" s="8"/>
      <c r="J302" s="8"/>
      <c r="K302" s="8"/>
      <c r="L302" s="8"/>
      <c r="M302" s="8"/>
      <c r="N302" s="8"/>
      <c r="Q302" s="8"/>
      <c r="R302" s="8"/>
      <c r="S302" s="8"/>
      <c r="T302" s="8"/>
      <c r="U302" s="8"/>
      <c r="X302" s="8"/>
      <c r="Y302" s="8"/>
      <c r="Z302" s="8"/>
      <c r="AA302" s="8"/>
      <c r="AB302" s="8"/>
      <c r="AC302" s="8"/>
      <c r="AD302" s="61"/>
    </row>
    <row r="303" spans="1:30" x14ac:dyDescent="0.2">
      <c r="A303" s="8"/>
      <c r="B303" s="188"/>
      <c r="C303" s="188"/>
      <c r="D303" s="8"/>
      <c r="E303" s="8"/>
      <c r="F303" s="8"/>
      <c r="G303" s="8"/>
      <c r="J303" s="8"/>
      <c r="K303" s="8"/>
      <c r="L303" s="8"/>
      <c r="M303" s="8"/>
      <c r="N303" s="8"/>
      <c r="Q303" s="8"/>
      <c r="R303" s="8"/>
      <c r="S303" s="8"/>
      <c r="T303" s="8"/>
      <c r="U303" s="8"/>
      <c r="X303" s="8"/>
      <c r="Y303" s="8"/>
      <c r="Z303" s="8"/>
      <c r="AA303" s="8"/>
      <c r="AB303" s="8"/>
      <c r="AC303" s="8"/>
      <c r="AD303" s="61"/>
    </row>
    <row r="304" spans="1:30" x14ac:dyDescent="0.2">
      <c r="A304" s="8"/>
      <c r="B304" s="188"/>
      <c r="C304" s="188"/>
      <c r="D304" s="8"/>
      <c r="E304" s="8"/>
      <c r="F304" s="8"/>
      <c r="G304" s="8"/>
      <c r="J304" s="8"/>
      <c r="K304" s="8"/>
      <c r="L304" s="8"/>
      <c r="M304" s="8"/>
      <c r="N304" s="8"/>
      <c r="Q304" s="8"/>
      <c r="R304" s="8"/>
      <c r="S304" s="8"/>
      <c r="T304" s="8"/>
      <c r="U304" s="8"/>
      <c r="X304" s="8"/>
      <c r="Y304" s="8"/>
      <c r="Z304" s="8"/>
      <c r="AA304" s="8"/>
      <c r="AB304" s="8"/>
      <c r="AC304" s="8"/>
      <c r="AD304" s="61"/>
    </row>
    <row r="305" spans="1:30" x14ac:dyDescent="0.2">
      <c r="A305" s="8"/>
      <c r="B305" s="188"/>
      <c r="C305" s="188"/>
      <c r="D305" s="8"/>
      <c r="E305" s="8"/>
      <c r="F305" s="8"/>
      <c r="G305" s="8"/>
      <c r="J305" s="8"/>
      <c r="K305" s="8"/>
      <c r="L305" s="8"/>
      <c r="M305" s="8"/>
      <c r="N305" s="8"/>
      <c r="Q305" s="8"/>
      <c r="R305" s="8"/>
      <c r="S305" s="8"/>
      <c r="T305" s="8"/>
      <c r="U305" s="8"/>
      <c r="X305" s="8"/>
      <c r="Y305" s="8"/>
      <c r="Z305" s="8"/>
      <c r="AA305" s="8"/>
      <c r="AB305" s="8"/>
      <c r="AC305" s="8"/>
      <c r="AD305" s="61"/>
    </row>
    <row r="306" spans="1:30" x14ac:dyDescent="0.2">
      <c r="A306" s="8"/>
      <c r="B306" s="188"/>
      <c r="C306" s="188"/>
      <c r="D306" s="8"/>
      <c r="E306" s="8"/>
      <c r="F306" s="8"/>
      <c r="G306" s="8"/>
      <c r="J306" s="8"/>
      <c r="K306" s="8"/>
      <c r="L306" s="8"/>
      <c r="M306" s="8"/>
      <c r="N306" s="8"/>
      <c r="Q306" s="8"/>
      <c r="R306" s="8"/>
      <c r="S306" s="8"/>
      <c r="T306" s="8"/>
      <c r="U306" s="8"/>
      <c r="X306" s="8"/>
      <c r="Y306" s="8"/>
      <c r="Z306" s="8"/>
      <c r="AA306" s="8"/>
      <c r="AB306" s="8"/>
      <c r="AC306" s="8"/>
      <c r="AD306" s="61"/>
    </row>
    <row r="307" spans="1:30" x14ac:dyDescent="0.2">
      <c r="A307" s="8"/>
      <c r="B307" s="188"/>
      <c r="C307" s="188"/>
      <c r="D307" s="8"/>
      <c r="E307" s="8"/>
      <c r="F307" s="8"/>
      <c r="G307" s="8"/>
      <c r="J307" s="8"/>
      <c r="K307" s="8"/>
      <c r="L307" s="8"/>
      <c r="M307" s="8"/>
      <c r="N307" s="8"/>
      <c r="Q307" s="8"/>
      <c r="R307" s="8"/>
      <c r="S307" s="8"/>
      <c r="T307" s="8"/>
      <c r="U307" s="8"/>
      <c r="X307" s="8"/>
      <c r="Y307" s="8"/>
      <c r="Z307" s="8"/>
      <c r="AA307" s="8"/>
      <c r="AB307" s="8"/>
      <c r="AC307" s="8"/>
      <c r="AD307" s="61"/>
    </row>
    <row r="308" spans="1:30" x14ac:dyDescent="0.2">
      <c r="A308" s="8"/>
      <c r="B308" s="188"/>
      <c r="C308" s="188"/>
      <c r="D308" s="8"/>
      <c r="E308" s="8"/>
      <c r="F308" s="8"/>
      <c r="G308" s="8"/>
      <c r="J308" s="8"/>
      <c r="K308" s="8"/>
      <c r="L308" s="8"/>
      <c r="M308" s="8"/>
      <c r="N308" s="8"/>
      <c r="Q308" s="8"/>
      <c r="R308" s="8"/>
      <c r="S308" s="8"/>
      <c r="T308" s="8"/>
      <c r="U308" s="8"/>
      <c r="X308" s="8"/>
      <c r="Y308" s="8"/>
      <c r="Z308" s="8"/>
      <c r="AA308" s="8"/>
      <c r="AB308" s="8"/>
      <c r="AC308" s="8"/>
      <c r="AD308" s="61"/>
    </row>
    <row r="309" spans="1:30" x14ac:dyDescent="0.2">
      <c r="A309" s="8"/>
      <c r="B309" s="188"/>
      <c r="C309" s="188"/>
      <c r="D309" s="8"/>
      <c r="E309" s="8"/>
      <c r="F309" s="8"/>
      <c r="G309" s="8"/>
      <c r="J309" s="8"/>
      <c r="K309" s="8"/>
      <c r="L309" s="8"/>
      <c r="M309" s="8"/>
      <c r="N309" s="8"/>
      <c r="Q309" s="8"/>
      <c r="R309" s="8"/>
      <c r="S309" s="8"/>
      <c r="T309" s="8"/>
      <c r="U309" s="8"/>
      <c r="X309" s="8"/>
      <c r="Y309" s="8"/>
      <c r="Z309" s="8"/>
      <c r="AA309" s="8"/>
      <c r="AB309" s="8"/>
      <c r="AC309" s="8"/>
      <c r="AD309" s="61"/>
    </row>
    <row r="310" spans="1:30" x14ac:dyDescent="0.2">
      <c r="A310" s="8"/>
      <c r="B310" s="188"/>
      <c r="C310" s="188"/>
      <c r="D310" s="8"/>
      <c r="E310" s="8"/>
      <c r="F310" s="8"/>
      <c r="G310" s="8"/>
      <c r="J310" s="8"/>
      <c r="K310" s="8"/>
      <c r="L310" s="8"/>
      <c r="M310" s="8"/>
      <c r="N310" s="8"/>
      <c r="Q310" s="8"/>
      <c r="R310" s="8"/>
      <c r="S310" s="8"/>
      <c r="T310" s="8"/>
      <c r="U310" s="8"/>
      <c r="X310" s="8"/>
      <c r="Y310" s="8"/>
      <c r="Z310" s="8"/>
      <c r="AA310" s="8"/>
      <c r="AB310" s="8"/>
      <c r="AC310" s="8"/>
      <c r="AD310" s="61"/>
    </row>
    <row r="311" spans="1:30" x14ac:dyDescent="0.2">
      <c r="A311" s="8"/>
      <c r="B311" s="188"/>
      <c r="C311" s="188"/>
      <c r="D311" s="8"/>
      <c r="E311" s="8"/>
      <c r="F311" s="8"/>
      <c r="G311" s="8"/>
      <c r="J311" s="8"/>
      <c r="K311" s="8"/>
      <c r="L311" s="8"/>
      <c r="M311" s="8"/>
      <c r="N311" s="8"/>
      <c r="Q311" s="8"/>
      <c r="R311" s="8"/>
      <c r="S311" s="8"/>
      <c r="T311" s="8"/>
      <c r="U311" s="8"/>
      <c r="X311" s="8"/>
      <c r="Y311" s="8"/>
      <c r="Z311" s="8"/>
      <c r="AA311" s="8"/>
      <c r="AB311" s="8"/>
      <c r="AC311" s="8"/>
      <c r="AD311" s="61"/>
    </row>
    <row r="312" spans="1:30" x14ac:dyDescent="0.2">
      <c r="A312" s="8"/>
      <c r="B312" s="188"/>
      <c r="C312" s="188"/>
      <c r="D312" s="8"/>
      <c r="E312" s="8"/>
      <c r="F312" s="8"/>
      <c r="G312" s="8"/>
      <c r="J312" s="8"/>
      <c r="K312" s="8"/>
      <c r="L312" s="8"/>
      <c r="M312" s="8"/>
      <c r="N312" s="8"/>
      <c r="Q312" s="8"/>
      <c r="R312" s="8"/>
      <c r="S312" s="8"/>
      <c r="T312" s="8"/>
      <c r="U312" s="8"/>
      <c r="X312" s="8"/>
      <c r="Y312" s="8"/>
      <c r="Z312" s="8"/>
      <c r="AA312" s="8"/>
      <c r="AB312" s="8"/>
      <c r="AC312" s="8"/>
      <c r="AD312" s="61"/>
    </row>
    <row r="313" spans="1:30" x14ac:dyDescent="0.2">
      <c r="A313" s="8"/>
      <c r="B313" s="188"/>
      <c r="C313" s="188"/>
      <c r="D313" s="8"/>
      <c r="E313" s="8"/>
      <c r="F313" s="8"/>
      <c r="G313" s="8"/>
      <c r="J313" s="8"/>
      <c r="K313" s="8"/>
      <c r="L313" s="8"/>
      <c r="M313" s="8"/>
      <c r="N313" s="8"/>
      <c r="Q313" s="8"/>
      <c r="R313" s="8"/>
      <c r="S313" s="8"/>
      <c r="T313" s="8"/>
      <c r="U313" s="8"/>
      <c r="X313" s="8"/>
      <c r="Y313" s="8"/>
      <c r="Z313" s="8"/>
      <c r="AA313" s="8"/>
      <c r="AB313" s="8"/>
      <c r="AC313" s="8"/>
      <c r="AD313" s="61"/>
    </row>
    <row r="314" spans="1:30" x14ac:dyDescent="0.2">
      <c r="A314" s="8"/>
      <c r="B314" s="188"/>
      <c r="C314" s="188"/>
      <c r="D314" s="8"/>
      <c r="E314" s="8"/>
      <c r="F314" s="8"/>
      <c r="G314" s="8"/>
      <c r="J314" s="8"/>
      <c r="K314" s="8"/>
      <c r="L314" s="8"/>
      <c r="M314" s="8"/>
      <c r="N314" s="8"/>
      <c r="Q314" s="8"/>
      <c r="R314" s="8"/>
      <c r="S314" s="8"/>
      <c r="T314" s="8"/>
      <c r="U314" s="8"/>
      <c r="X314" s="8"/>
      <c r="Y314" s="8"/>
      <c r="Z314" s="8"/>
      <c r="AA314" s="8"/>
      <c r="AB314" s="8"/>
      <c r="AC314" s="8"/>
      <c r="AD314" s="61"/>
    </row>
    <row r="315" spans="1:30" x14ac:dyDescent="0.2">
      <c r="A315" s="8"/>
      <c r="B315" s="188"/>
      <c r="C315" s="188"/>
      <c r="D315" s="8"/>
      <c r="E315" s="8"/>
      <c r="F315" s="8"/>
      <c r="G315" s="8"/>
      <c r="J315" s="8"/>
      <c r="K315" s="8"/>
      <c r="L315" s="8"/>
      <c r="M315" s="8"/>
      <c r="N315" s="8"/>
      <c r="Q315" s="8"/>
      <c r="R315" s="8"/>
      <c r="S315" s="8"/>
      <c r="T315" s="8"/>
      <c r="U315" s="8"/>
      <c r="X315" s="8"/>
      <c r="Y315" s="8"/>
      <c r="Z315" s="8"/>
      <c r="AA315" s="8"/>
      <c r="AB315" s="8"/>
      <c r="AC315" s="8"/>
      <c r="AD315" s="61"/>
    </row>
    <row r="316" spans="1:30" x14ac:dyDescent="0.2">
      <c r="A316" s="8"/>
      <c r="B316" s="188"/>
      <c r="C316" s="188"/>
      <c r="D316" s="8"/>
      <c r="E316" s="8"/>
      <c r="F316" s="8"/>
      <c r="G316" s="8"/>
      <c r="J316" s="8"/>
      <c r="K316" s="8"/>
      <c r="L316" s="8"/>
      <c r="M316" s="8"/>
      <c r="N316" s="8"/>
      <c r="Q316" s="8"/>
      <c r="R316" s="8"/>
      <c r="S316" s="8"/>
      <c r="T316" s="8"/>
      <c r="U316" s="8"/>
      <c r="X316" s="8"/>
      <c r="Y316" s="8"/>
      <c r="Z316" s="8"/>
      <c r="AA316" s="8"/>
      <c r="AB316" s="8"/>
      <c r="AC316" s="8"/>
      <c r="AD316" s="61"/>
    </row>
    <row r="317" spans="1:30" x14ac:dyDescent="0.2">
      <c r="A317" s="8"/>
      <c r="B317" s="188"/>
      <c r="C317" s="188"/>
      <c r="D317" s="8"/>
      <c r="E317" s="8"/>
      <c r="F317" s="8"/>
      <c r="G317" s="8"/>
      <c r="J317" s="8"/>
      <c r="K317" s="8"/>
      <c r="L317" s="8"/>
      <c r="M317" s="8"/>
      <c r="N317" s="8"/>
      <c r="Q317" s="8"/>
      <c r="R317" s="8"/>
      <c r="S317" s="8"/>
      <c r="T317" s="8"/>
      <c r="U317" s="8"/>
      <c r="X317" s="8"/>
      <c r="Y317" s="8"/>
      <c r="Z317" s="8"/>
      <c r="AA317" s="8"/>
      <c r="AB317" s="8"/>
      <c r="AC317" s="8"/>
      <c r="AD317" s="61"/>
    </row>
    <row r="318" spans="1:30" x14ac:dyDescent="0.2">
      <c r="A318" s="8"/>
      <c r="B318" s="188"/>
      <c r="C318" s="188"/>
      <c r="D318" s="8"/>
      <c r="E318" s="8"/>
      <c r="F318" s="8"/>
      <c r="G318" s="8"/>
      <c r="J318" s="8"/>
      <c r="K318" s="8"/>
      <c r="L318" s="8"/>
      <c r="M318" s="8"/>
      <c r="N318" s="8"/>
      <c r="Q318" s="8"/>
      <c r="R318" s="8"/>
      <c r="S318" s="8"/>
      <c r="T318" s="8"/>
      <c r="U318" s="8"/>
      <c r="X318" s="8"/>
      <c r="Y318" s="8"/>
      <c r="Z318" s="8"/>
      <c r="AA318" s="8"/>
      <c r="AB318" s="8"/>
      <c r="AC318" s="8"/>
      <c r="AD318" s="61"/>
    </row>
    <row r="319" spans="1:30" x14ac:dyDescent="0.2">
      <c r="A319" s="8"/>
      <c r="B319" s="188"/>
      <c r="C319" s="188"/>
      <c r="D319" s="8"/>
      <c r="E319" s="8"/>
      <c r="F319" s="8"/>
      <c r="G319" s="8"/>
      <c r="J319" s="8"/>
      <c r="K319" s="8"/>
      <c r="L319" s="8"/>
      <c r="M319" s="8"/>
      <c r="N319" s="8"/>
      <c r="Q319" s="8"/>
      <c r="R319" s="8"/>
      <c r="S319" s="8"/>
      <c r="T319" s="8"/>
      <c r="U319" s="8"/>
      <c r="X319" s="8"/>
      <c r="Y319" s="8"/>
      <c r="Z319" s="8"/>
      <c r="AA319" s="8"/>
      <c r="AB319" s="8"/>
      <c r="AC319" s="8"/>
      <c r="AD319" s="61"/>
    </row>
    <row r="320" spans="1:30" x14ac:dyDescent="0.2">
      <c r="A320" s="8"/>
      <c r="B320" s="188"/>
      <c r="C320" s="188"/>
      <c r="D320" s="8"/>
      <c r="E320" s="8"/>
      <c r="F320" s="8"/>
      <c r="G320" s="8"/>
      <c r="J320" s="8"/>
      <c r="K320" s="8"/>
      <c r="L320" s="8"/>
      <c r="M320" s="8"/>
      <c r="N320" s="8"/>
      <c r="Q320" s="8"/>
      <c r="R320" s="8"/>
      <c r="S320" s="8"/>
      <c r="T320" s="8"/>
      <c r="U320" s="8"/>
      <c r="X320" s="8"/>
      <c r="Y320" s="8"/>
      <c r="Z320" s="8"/>
      <c r="AA320" s="8"/>
      <c r="AB320" s="8"/>
      <c r="AC320" s="8"/>
      <c r="AD320" s="61"/>
    </row>
    <row r="321" spans="1:30" x14ac:dyDescent="0.2">
      <c r="A321" s="8"/>
      <c r="B321" s="188"/>
      <c r="C321" s="188"/>
      <c r="D321" s="8"/>
      <c r="E321" s="8"/>
      <c r="F321" s="8"/>
      <c r="G321" s="8"/>
      <c r="J321" s="8"/>
      <c r="K321" s="8"/>
      <c r="L321" s="8"/>
      <c r="M321" s="8"/>
      <c r="N321" s="8"/>
      <c r="Q321" s="8"/>
      <c r="R321" s="8"/>
      <c r="S321" s="8"/>
      <c r="T321" s="8"/>
      <c r="U321" s="8"/>
      <c r="X321" s="8"/>
      <c r="Y321" s="8"/>
      <c r="Z321" s="8"/>
      <c r="AA321" s="8"/>
      <c r="AB321" s="8"/>
      <c r="AC321" s="8"/>
      <c r="AD321" s="61"/>
    </row>
    <row r="322" spans="1:30" x14ac:dyDescent="0.2">
      <c r="A322" s="8"/>
      <c r="B322" s="188"/>
      <c r="C322" s="188"/>
      <c r="D322" s="8"/>
      <c r="E322" s="8"/>
      <c r="F322" s="8"/>
      <c r="G322" s="8"/>
      <c r="J322" s="8"/>
      <c r="K322" s="8"/>
      <c r="L322" s="8"/>
      <c r="M322" s="8"/>
      <c r="N322" s="8"/>
      <c r="Q322" s="8"/>
      <c r="R322" s="8"/>
      <c r="S322" s="8"/>
      <c r="T322" s="8"/>
      <c r="U322" s="8"/>
      <c r="X322" s="8"/>
      <c r="Y322" s="8"/>
      <c r="Z322" s="8"/>
      <c r="AA322" s="8"/>
      <c r="AB322" s="8"/>
      <c r="AC322" s="8"/>
      <c r="AD322" s="61"/>
    </row>
    <row r="323" spans="1:30" x14ac:dyDescent="0.2">
      <c r="A323" s="8"/>
      <c r="B323" s="188"/>
      <c r="C323" s="188"/>
      <c r="D323" s="8"/>
      <c r="E323" s="8"/>
      <c r="F323" s="8"/>
      <c r="G323" s="8"/>
      <c r="J323" s="8"/>
      <c r="K323" s="8"/>
      <c r="L323" s="8"/>
      <c r="M323" s="8"/>
      <c r="N323" s="8"/>
      <c r="Q323" s="8"/>
      <c r="R323" s="8"/>
      <c r="S323" s="8"/>
      <c r="T323" s="8"/>
      <c r="U323" s="8"/>
      <c r="X323" s="8"/>
      <c r="Y323" s="8"/>
      <c r="Z323" s="8"/>
      <c r="AA323" s="8"/>
      <c r="AB323" s="8"/>
      <c r="AC323" s="8"/>
      <c r="AD323" s="61"/>
    </row>
    <row r="324" spans="1:30" x14ac:dyDescent="0.2">
      <c r="A324" s="8"/>
      <c r="B324" s="188"/>
      <c r="C324" s="188"/>
      <c r="D324" s="8"/>
      <c r="E324" s="8"/>
      <c r="F324" s="8"/>
      <c r="G324" s="8"/>
      <c r="J324" s="8"/>
      <c r="K324" s="8"/>
      <c r="L324" s="8"/>
      <c r="M324" s="8"/>
      <c r="N324" s="8"/>
      <c r="Q324" s="8"/>
      <c r="R324" s="8"/>
      <c r="S324" s="8"/>
      <c r="T324" s="8"/>
      <c r="U324" s="8"/>
      <c r="X324" s="8"/>
      <c r="Y324" s="8"/>
      <c r="Z324" s="8"/>
      <c r="AA324" s="8"/>
      <c r="AB324" s="8"/>
      <c r="AC324" s="8"/>
      <c r="AD324" s="61"/>
    </row>
    <row r="325" spans="1:30" x14ac:dyDescent="0.2">
      <c r="A325" s="8"/>
      <c r="B325" s="188"/>
      <c r="C325" s="188"/>
      <c r="D325" s="8"/>
      <c r="E325" s="8"/>
      <c r="F325" s="8"/>
      <c r="G325" s="8"/>
      <c r="J325" s="8"/>
      <c r="K325" s="8"/>
      <c r="L325" s="8"/>
      <c r="M325" s="8"/>
      <c r="N325" s="8"/>
      <c r="Q325" s="8"/>
      <c r="R325" s="8"/>
      <c r="S325" s="8"/>
      <c r="T325" s="8"/>
      <c r="U325" s="8"/>
      <c r="X325" s="8"/>
      <c r="Y325" s="8"/>
      <c r="Z325" s="8"/>
      <c r="AA325" s="8"/>
      <c r="AB325" s="8"/>
      <c r="AC325" s="8"/>
      <c r="AD325" s="61"/>
    </row>
    <row r="326" spans="1:30" x14ac:dyDescent="0.2">
      <c r="A326" s="8"/>
      <c r="B326" s="188"/>
      <c r="C326" s="188"/>
      <c r="D326" s="8"/>
      <c r="E326" s="8"/>
      <c r="F326" s="8"/>
      <c r="G326" s="8"/>
      <c r="J326" s="8"/>
      <c r="K326" s="8"/>
      <c r="L326" s="8"/>
      <c r="M326" s="8"/>
      <c r="N326" s="8"/>
      <c r="Q326" s="8"/>
      <c r="R326" s="8"/>
      <c r="S326" s="8"/>
      <c r="T326" s="8"/>
      <c r="U326" s="8"/>
      <c r="X326" s="8"/>
      <c r="Y326" s="8"/>
      <c r="Z326" s="8"/>
      <c r="AA326" s="8"/>
      <c r="AB326" s="8"/>
      <c r="AC326" s="8"/>
      <c r="AD326" s="61"/>
    </row>
    <row r="327" spans="1:30" x14ac:dyDescent="0.2">
      <c r="A327" s="8"/>
      <c r="B327" s="188"/>
      <c r="C327" s="188"/>
      <c r="D327" s="8"/>
      <c r="E327" s="8"/>
      <c r="F327" s="8"/>
      <c r="G327" s="8"/>
      <c r="J327" s="8"/>
      <c r="K327" s="8"/>
      <c r="L327" s="8"/>
      <c r="M327" s="8"/>
      <c r="N327" s="8"/>
      <c r="Q327" s="8"/>
      <c r="R327" s="8"/>
      <c r="S327" s="8"/>
      <c r="T327" s="8"/>
      <c r="U327" s="8"/>
      <c r="X327" s="8"/>
      <c r="Y327" s="8"/>
      <c r="Z327" s="8"/>
      <c r="AA327" s="8"/>
      <c r="AB327" s="8"/>
      <c r="AC327" s="8"/>
      <c r="AD327" s="61"/>
    </row>
    <row r="328" spans="1:30" x14ac:dyDescent="0.2">
      <c r="A328" s="8"/>
      <c r="B328" s="188"/>
      <c r="C328" s="188"/>
      <c r="D328" s="8"/>
      <c r="E328" s="8"/>
      <c r="F328" s="8"/>
      <c r="G328" s="8"/>
      <c r="J328" s="8"/>
      <c r="K328" s="8"/>
      <c r="L328" s="8"/>
      <c r="M328" s="8"/>
      <c r="N328" s="8"/>
      <c r="Q328" s="8"/>
      <c r="R328" s="8"/>
      <c r="S328" s="8"/>
      <c r="T328" s="8"/>
      <c r="U328" s="8"/>
      <c r="X328" s="8"/>
      <c r="Y328" s="8"/>
      <c r="Z328" s="8"/>
      <c r="AA328" s="8"/>
      <c r="AB328" s="8"/>
      <c r="AC328" s="8"/>
      <c r="AD328" s="61"/>
    </row>
    <row r="329" spans="1:30" x14ac:dyDescent="0.2">
      <c r="A329" s="8"/>
      <c r="B329" s="188"/>
      <c r="C329" s="188"/>
      <c r="D329" s="8"/>
      <c r="E329" s="8"/>
      <c r="F329" s="8"/>
      <c r="G329" s="8"/>
      <c r="J329" s="8"/>
      <c r="K329" s="8"/>
      <c r="L329" s="8"/>
      <c r="M329" s="8"/>
      <c r="N329" s="8"/>
      <c r="Q329" s="8"/>
      <c r="R329" s="8"/>
      <c r="S329" s="8"/>
      <c r="T329" s="8"/>
      <c r="U329" s="8"/>
      <c r="X329" s="8"/>
      <c r="Y329" s="8"/>
      <c r="Z329" s="8"/>
      <c r="AA329" s="8"/>
      <c r="AB329" s="8"/>
      <c r="AC329" s="8"/>
      <c r="AD329" s="61"/>
    </row>
    <row r="330" spans="1:30" x14ac:dyDescent="0.2">
      <c r="A330" s="8"/>
      <c r="B330" s="188"/>
      <c r="C330" s="188"/>
      <c r="D330" s="8"/>
      <c r="E330" s="8"/>
      <c r="F330" s="8"/>
      <c r="G330" s="8"/>
      <c r="J330" s="8"/>
      <c r="K330" s="8"/>
      <c r="L330" s="8"/>
      <c r="M330" s="8"/>
      <c r="N330" s="8"/>
      <c r="Q330" s="8"/>
      <c r="R330" s="8"/>
      <c r="S330" s="8"/>
      <c r="T330" s="8"/>
      <c r="U330" s="8"/>
      <c r="X330" s="8"/>
      <c r="Y330" s="8"/>
      <c r="Z330" s="8"/>
      <c r="AA330" s="8"/>
      <c r="AB330" s="8"/>
      <c r="AC330" s="8"/>
      <c r="AD330" s="61"/>
    </row>
    <row r="331" spans="1:30" x14ac:dyDescent="0.2">
      <c r="A331" s="8"/>
      <c r="B331" s="188"/>
      <c r="C331" s="188"/>
      <c r="D331" s="8"/>
      <c r="E331" s="8"/>
      <c r="F331" s="8"/>
      <c r="G331" s="8"/>
      <c r="J331" s="8"/>
      <c r="K331" s="8"/>
      <c r="L331" s="8"/>
      <c r="M331" s="8"/>
      <c r="N331" s="8"/>
      <c r="Q331" s="8"/>
      <c r="R331" s="8"/>
      <c r="S331" s="8"/>
      <c r="T331" s="8"/>
      <c r="U331" s="8"/>
      <c r="X331" s="8"/>
      <c r="Y331" s="8"/>
      <c r="Z331" s="8"/>
      <c r="AA331" s="8"/>
      <c r="AB331" s="8"/>
      <c r="AC331" s="8"/>
      <c r="AD331" s="61"/>
    </row>
    <row r="332" spans="1:30" x14ac:dyDescent="0.2">
      <c r="A332" s="8"/>
      <c r="B332" s="188"/>
      <c r="C332" s="188"/>
      <c r="D332" s="8"/>
      <c r="E332" s="8"/>
      <c r="F332" s="8"/>
      <c r="G332" s="8"/>
      <c r="J332" s="8"/>
      <c r="K332" s="8"/>
      <c r="L332" s="8"/>
      <c r="M332" s="8"/>
      <c r="N332" s="8"/>
      <c r="Q332" s="8"/>
      <c r="R332" s="8"/>
      <c r="S332" s="8"/>
      <c r="T332" s="8"/>
      <c r="U332" s="8"/>
      <c r="X332" s="8"/>
      <c r="Y332" s="8"/>
      <c r="Z332" s="8"/>
      <c r="AA332" s="8"/>
      <c r="AB332" s="8"/>
      <c r="AC332" s="8"/>
      <c r="AD332" s="61"/>
    </row>
    <row r="333" spans="1:30" x14ac:dyDescent="0.2">
      <c r="A333" s="8"/>
      <c r="B333" s="188"/>
      <c r="C333" s="188"/>
      <c r="D333" s="8"/>
      <c r="E333" s="8"/>
      <c r="F333" s="8"/>
      <c r="G333" s="8"/>
      <c r="J333" s="8"/>
      <c r="K333" s="8"/>
      <c r="L333" s="8"/>
      <c r="M333" s="8"/>
      <c r="N333" s="8"/>
      <c r="Q333" s="8"/>
      <c r="R333" s="8"/>
      <c r="S333" s="8"/>
      <c r="T333" s="8"/>
      <c r="U333" s="8"/>
      <c r="X333" s="8"/>
      <c r="Y333" s="8"/>
      <c r="Z333" s="8"/>
      <c r="AA333" s="8"/>
      <c r="AB333" s="8"/>
      <c r="AC333" s="8"/>
      <c r="AD333" s="61"/>
    </row>
    <row r="334" spans="1:30" x14ac:dyDescent="0.2">
      <c r="A334" s="8"/>
      <c r="B334" s="188"/>
      <c r="C334" s="188"/>
      <c r="D334" s="8"/>
      <c r="E334" s="8"/>
      <c r="F334" s="8"/>
      <c r="G334" s="8"/>
      <c r="J334" s="8"/>
      <c r="K334" s="8"/>
      <c r="L334" s="8"/>
      <c r="M334" s="8"/>
      <c r="N334" s="8"/>
      <c r="Q334" s="8"/>
      <c r="R334" s="8"/>
      <c r="S334" s="8"/>
      <c r="T334" s="8"/>
      <c r="U334" s="8"/>
      <c r="X334" s="8"/>
      <c r="Y334" s="8"/>
      <c r="Z334" s="8"/>
      <c r="AA334" s="8"/>
      <c r="AB334" s="8"/>
      <c r="AC334" s="8"/>
      <c r="AD334" s="61"/>
    </row>
    <row r="335" spans="1:30" x14ac:dyDescent="0.2">
      <c r="A335" s="8"/>
      <c r="B335" s="188"/>
      <c r="C335" s="188"/>
      <c r="D335" s="8"/>
      <c r="E335" s="8"/>
      <c r="F335" s="8"/>
      <c r="G335" s="8"/>
      <c r="J335" s="8"/>
      <c r="K335" s="8"/>
      <c r="L335" s="8"/>
      <c r="M335" s="8"/>
      <c r="N335" s="8"/>
      <c r="Q335" s="8"/>
      <c r="R335" s="8"/>
      <c r="S335" s="8"/>
      <c r="T335" s="8"/>
      <c r="U335" s="8"/>
      <c r="X335" s="8"/>
      <c r="Y335" s="8"/>
      <c r="Z335" s="8"/>
      <c r="AA335" s="8"/>
      <c r="AB335" s="8"/>
      <c r="AC335" s="8"/>
      <c r="AD335" s="61"/>
    </row>
    <row r="336" spans="1:30" x14ac:dyDescent="0.2">
      <c r="A336" s="8"/>
      <c r="B336" s="188"/>
      <c r="C336" s="188"/>
      <c r="D336" s="8"/>
      <c r="E336" s="8"/>
      <c r="F336" s="8"/>
      <c r="G336" s="8"/>
      <c r="J336" s="8"/>
      <c r="K336" s="8"/>
      <c r="L336" s="8"/>
      <c r="M336" s="8"/>
      <c r="N336" s="8"/>
      <c r="Q336" s="8"/>
      <c r="R336" s="8"/>
      <c r="S336" s="8"/>
      <c r="T336" s="8"/>
      <c r="U336" s="8"/>
      <c r="X336" s="8"/>
      <c r="Y336" s="8"/>
      <c r="Z336" s="8"/>
      <c r="AA336" s="8"/>
      <c r="AB336" s="8"/>
      <c r="AC336" s="8"/>
      <c r="AD336" s="61"/>
    </row>
    <row r="337" spans="1:30" x14ac:dyDescent="0.2">
      <c r="A337" s="8"/>
      <c r="B337" s="188"/>
      <c r="C337" s="188"/>
      <c r="D337" s="8"/>
      <c r="E337" s="8"/>
      <c r="F337" s="8"/>
      <c r="G337" s="8"/>
      <c r="J337" s="8"/>
      <c r="K337" s="8"/>
      <c r="L337" s="8"/>
      <c r="M337" s="8"/>
      <c r="N337" s="8"/>
      <c r="Q337" s="8"/>
      <c r="R337" s="8"/>
      <c r="S337" s="8"/>
      <c r="T337" s="8"/>
      <c r="U337" s="8"/>
      <c r="X337" s="8"/>
      <c r="Y337" s="8"/>
      <c r="Z337" s="8"/>
      <c r="AA337" s="8"/>
      <c r="AB337" s="8"/>
      <c r="AC337" s="8"/>
      <c r="AD337" s="61"/>
    </row>
    <row r="338" spans="1:30" x14ac:dyDescent="0.2">
      <c r="A338" s="8"/>
      <c r="B338" s="188"/>
      <c r="C338" s="188"/>
      <c r="D338" s="8"/>
      <c r="E338" s="8"/>
      <c r="F338" s="8"/>
      <c r="G338" s="8"/>
      <c r="J338" s="8"/>
      <c r="K338" s="8"/>
      <c r="L338" s="8"/>
      <c r="M338" s="8"/>
      <c r="N338" s="8"/>
      <c r="Q338" s="8"/>
      <c r="R338" s="8"/>
      <c r="S338" s="8"/>
      <c r="T338" s="8"/>
      <c r="U338" s="8"/>
      <c r="X338" s="8"/>
      <c r="Y338" s="8"/>
      <c r="Z338" s="8"/>
      <c r="AA338" s="8"/>
      <c r="AB338" s="8"/>
      <c r="AC338" s="8"/>
      <c r="AD338" s="61"/>
    </row>
    <row r="339" spans="1:30" x14ac:dyDescent="0.2">
      <c r="A339" s="8"/>
      <c r="B339" s="188"/>
      <c r="C339" s="188"/>
      <c r="D339" s="8"/>
      <c r="E339" s="8"/>
      <c r="F339" s="8"/>
      <c r="G339" s="8"/>
      <c r="J339" s="8"/>
      <c r="K339" s="8"/>
      <c r="L339" s="8"/>
      <c r="M339" s="8"/>
      <c r="N339" s="8"/>
      <c r="Q339" s="8"/>
      <c r="R339" s="8"/>
      <c r="S339" s="8"/>
      <c r="T339" s="8"/>
      <c r="U339" s="8"/>
      <c r="X339" s="8"/>
      <c r="Y339" s="8"/>
      <c r="Z339" s="8"/>
      <c r="AA339" s="8"/>
      <c r="AB339" s="8"/>
      <c r="AC339" s="8"/>
      <c r="AD339" s="61"/>
    </row>
    <row r="340" spans="1:30" x14ac:dyDescent="0.2">
      <c r="A340" s="8"/>
      <c r="B340" s="188"/>
      <c r="C340" s="188"/>
      <c r="D340" s="8"/>
      <c r="E340" s="8"/>
      <c r="F340" s="8"/>
      <c r="G340" s="8"/>
      <c r="J340" s="8"/>
      <c r="K340" s="8"/>
      <c r="L340" s="8"/>
      <c r="M340" s="8"/>
      <c r="N340" s="8"/>
      <c r="Q340" s="8"/>
      <c r="R340" s="8"/>
      <c r="S340" s="8"/>
      <c r="T340" s="8"/>
      <c r="U340" s="8"/>
      <c r="X340" s="8"/>
      <c r="Y340" s="8"/>
      <c r="Z340" s="8"/>
      <c r="AA340" s="8"/>
      <c r="AB340" s="8"/>
      <c r="AC340" s="8"/>
      <c r="AD340" s="61"/>
    </row>
    <row r="341" spans="1:30" x14ac:dyDescent="0.2">
      <c r="A341" s="8"/>
      <c r="B341" s="188"/>
      <c r="C341" s="188"/>
      <c r="D341" s="8"/>
      <c r="E341" s="8"/>
      <c r="F341" s="8"/>
      <c r="G341" s="8"/>
      <c r="J341" s="8"/>
      <c r="K341" s="8"/>
      <c r="L341" s="8"/>
      <c r="M341" s="8"/>
      <c r="N341" s="8"/>
      <c r="Q341" s="8"/>
      <c r="R341" s="8"/>
      <c r="S341" s="8"/>
      <c r="T341" s="8"/>
      <c r="U341" s="8"/>
      <c r="X341" s="8"/>
      <c r="Y341" s="8"/>
      <c r="Z341" s="8"/>
      <c r="AA341" s="8"/>
      <c r="AB341" s="8"/>
      <c r="AC341" s="8"/>
      <c r="AD341" s="61"/>
    </row>
    <row r="342" spans="1:30" x14ac:dyDescent="0.2">
      <c r="A342" s="8"/>
      <c r="B342" s="188"/>
      <c r="C342" s="188"/>
      <c r="D342" s="8"/>
      <c r="E342" s="8"/>
      <c r="F342" s="8"/>
      <c r="G342" s="8"/>
      <c r="J342" s="8"/>
      <c r="K342" s="8"/>
      <c r="L342" s="8"/>
      <c r="M342" s="8"/>
      <c r="N342" s="8"/>
      <c r="Q342" s="8"/>
      <c r="R342" s="8"/>
      <c r="S342" s="8"/>
      <c r="T342" s="8"/>
      <c r="U342" s="8"/>
      <c r="X342" s="8"/>
      <c r="Y342" s="8"/>
      <c r="Z342" s="8"/>
      <c r="AA342" s="8"/>
      <c r="AB342" s="8"/>
      <c r="AC342" s="8"/>
      <c r="AD342" s="61"/>
    </row>
    <row r="343" spans="1:30" x14ac:dyDescent="0.2">
      <c r="A343" s="8"/>
      <c r="B343" s="188"/>
      <c r="C343" s="188"/>
      <c r="D343" s="8"/>
      <c r="E343" s="8"/>
      <c r="F343" s="8"/>
      <c r="G343" s="8"/>
      <c r="J343" s="8"/>
      <c r="K343" s="8"/>
      <c r="L343" s="8"/>
      <c r="M343" s="8"/>
      <c r="N343" s="8"/>
      <c r="Q343" s="8"/>
      <c r="R343" s="8"/>
      <c r="S343" s="8"/>
      <c r="T343" s="8"/>
      <c r="U343" s="8"/>
      <c r="X343" s="8"/>
      <c r="Y343" s="8"/>
      <c r="Z343" s="8"/>
      <c r="AA343" s="8"/>
      <c r="AB343" s="8"/>
      <c r="AC343" s="8"/>
      <c r="AD343" s="61"/>
    </row>
    <row r="344" spans="1:30" x14ac:dyDescent="0.2">
      <c r="A344" s="8"/>
      <c r="B344" s="188"/>
      <c r="C344" s="188"/>
      <c r="D344" s="8"/>
      <c r="E344" s="8"/>
      <c r="F344" s="8"/>
      <c r="G344" s="8"/>
      <c r="J344" s="8"/>
      <c r="K344" s="8"/>
      <c r="L344" s="8"/>
      <c r="M344" s="8"/>
      <c r="N344" s="8"/>
      <c r="Q344" s="8"/>
      <c r="R344" s="8"/>
      <c r="S344" s="8"/>
      <c r="T344" s="8"/>
      <c r="U344" s="8"/>
      <c r="X344" s="8"/>
      <c r="Y344" s="8"/>
      <c r="Z344" s="8"/>
      <c r="AA344" s="8"/>
      <c r="AB344" s="8"/>
      <c r="AC344" s="8"/>
      <c r="AD344" s="61"/>
    </row>
    <row r="345" spans="1:30" x14ac:dyDescent="0.2">
      <c r="A345" s="8"/>
      <c r="B345" s="188"/>
      <c r="C345" s="188"/>
      <c r="D345" s="8"/>
      <c r="E345" s="8"/>
      <c r="F345" s="8"/>
      <c r="G345" s="8"/>
      <c r="J345" s="8"/>
      <c r="K345" s="8"/>
      <c r="L345" s="8"/>
      <c r="M345" s="8"/>
      <c r="N345" s="8"/>
      <c r="Q345" s="8"/>
      <c r="R345" s="8"/>
      <c r="S345" s="8"/>
      <c r="T345" s="8"/>
      <c r="U345" s="8"/>
      <c r="X345" s="8"/>
      <c r="Y345" s="8"/>
      <c r="Z345" s="8"/>
      <c r="AA345" s="8"/>
      <c r="AB345" s="8"/>
      <c r="AC345" s="8"/>
      <c r="AD345" s="61"/>
    </row>
    <row r="346" spans="1:30" x14ac:dyDescent="0.2">
      <c r="A346" s="8"/>
      <c r="B346" s="188"/>
      <c r="C346" s="188"/>
      <c r="D346" s="8"/>
      <c r="E346" s="8"/>
      <c r="F346" s="8"/>
      <c r="G346" s="8"/>
      <c r="J346" s="8"/>
      <c r="K346" s="8"/>
      <c r="L346" s="8"/>
      <c r="M346" s="8"/>
      <c r="N346" s="8"/>
      <c r="Q346" s="8"/>
      <c r="R346" s="8"/>
      <c r="S346" s="8"/>
      <c r="T346" s="8"/>
      <c r="U346" s="8"/>
      <c r="X346" s="8"/>
      <c r="Y346" s="8"/>
      <c r="Z346" s="8"/>
      <c r="AA346" s="8"/>
      <c r="AB346" s="8"/>
      <c r="AC346" s="8"/>
      <c r="AD346" s="61"/>
    </row>
    <row r="347" spans="1:30" x14ac:dyDescent="0.2">
      <c r="A347" s="8"/>
      <c r="B347" s="188"/>
      <c r="C347" s="188"/>
      <c r="D347" s="8"/>
      <c r="E347" s="8"/>
      <c r="F347" s="8"/>
      <c r="G347" s="8"/>
      <c r="J347" s="8"/>
      <c r="K347" s="8"/>
      <c r="L347" s="8"/>
      <c r="M347" s="8"/>
      <c r="N347" s="8"/>
      <c r="Q347" s="8"/>
      <c r="R347" s="8"/>
      <c r="S347" s="8"/>
      <c r="T347" s="8"/>
      <c r="U347" s="8"/>
      <c r="X347" s="8"/>
      <c r="Y347" s="8"/>
      <c r="Z347" s="8"/>
      <c r="AA347" s="8"/>
      <c r="AB347" s="8"/>
      <c r="AC347" s="8"/>
      <c r="AD347" s="61"/>
    </row>
    <row r="348" spans="1:30" x14ac:dyDescent="0.2">
      <c r="A348" s="8"/>
      <c r="B348" s="188"/>
      <c r="C348" s="188"/>
      <c r="D348" s="8"/>
      <c r="E348" s="8"/>
      <c r="F348" s="8"/>
      <c r="G348" s="8"/>
      <c r="J348" s="8"/>
      <c r="K348" s="8"/>
      <c r="L348" s="8"/>
      <c r="M348" s="8"/>
      <c r="N348" s="8"/>
      <c r="Q348" s="8"/>
      <c r="R348" s="8"/>
      <c r="S348" s="8"/>
      <c r="T348" s="8"/>
      <c r="U348" s="8"/>
      <c r="X348" s="8"/>
      <c r="Y348" s="8"/>
      <c r="Z348" s="8"/>
      <c r="AA348" s="8"/>
      <c r="AB348" s="8"/>
      <c r="AC348" s="8"/>
      <c r="AD348" s="61"/>
    </row>
    <row r="349" spans="1:30" x14ac:dyDescent="0.2">
      <c r="A349" s="8"/>
      <c r="B349" s="188"/>
      <c r="C349" s="188"/>
      <c r="D349" s="8"/>
      <c r="E349" s="8"/>
      <c r="F349" s="8"/>
      <c r="G349" s="8"/>
      <c r="J349" s="8"/>
      <c r="K349" s="8"/>
      <c r="L349" s="8"/>
      <c r="M349" s="8"/>
      <c r="N349" s="8"/>
      <c r="Q349" s="8"/>
      <c r="R349" s="8"/>
      <c r="S349" s="8"/>
      <c r="T349" s="8"/>
      <c r="U349" s="8"/>
      <c r="X349" s="8"/>
      <c r="Y349" s="8"/>
      <c r="Z349" s="8"/>
      <c r="AA349" s="8"/>
      <c r="AB349" s="8"/>
      <c r="AC349" s="8"/>
      <c r="AD349" s="61"/>
    </row>
    <row r="350" spans="1:30" x14ac:dyDescent="0.2">
      <c r="A350" s="8"/>
      <c r="B350" s="188"/>
      <c r="C350" s="188"/>
      <c r="D350" s="8"/>
      <c r="E350" s="8"/>
      <c r="F350" s="8"/>
      <c r="G350" s="8"/>
      <c r="J350" s="8"/>
      <c r="K350" s="8"/>
      <c r="L350" s="8"/>
      <c r="M350" s="8"/>
      <c r="N350" s="8"/>
      <c r="Q350" s="8"/>
      <c r="R350" s="8"/>
      <c r="S350" s="8"/>
      <c r="T350" s="8"/>
      <c r="U350" s="8"/>
      <c r="X350" s="8"/>
      <c r="Y350" s="8"/>
      <c r="Z350" s="8"/>
      <c r="AA350" s="8"/>
      <c r="AB350" s="8"/>
      <c r="AC350" s="8"/>
      <c r="AD350" s="61"/>
    </row>
    <row r="351" spans="1:30" x14ac:dyDescent="0.2">
      <c r="A351" s="8"/>
      <c r="B351" s="188"/>
      <c r="C351" s="188"/>
      <c r="D351" s="8"/>
      <c r="E351" s="8"/>
      <c r="F351" s="8"/>
      <c r="G351" s="8"/>
      <c r="J351" s="8"/>
      <c r="K351" s="8"/>
      <c r="L351" s="8"/>
      <c r="M351" s="8"/>
      <c r="N351" s="8"/>
      <c r="Q351" s="8"/>
      <c r="R351" s="8"/>
      <c r="S351" s="8"/>
      <c r="T351" s="8"/>
      <c r="U351" s="8"/>
      <c r="X351" s="8"/>
      <c r="Y351" s="8"/>
      <c r="Z351" s="8"/>
      <c r="AA351" s="8"/>
      <c r="AB351" s="8"/>
      <c r="AC351" s="8"/>
      <c r="AD351" s="61"/>
    </row>
    <row r="352" spans="1:30" x14ac:dyDescent="0.2">
      <c r="A352" s="8"/>
      <c r="B352" s="188"/>
      <c r="C352" s="188"/>
      <c r="D352" s="8"/>
      <c r="E352" s="8"/>
      <c r="F352" s="8"/>
      <c r="G352" s="8"/>
      <c r="J352" s="8"/>
      <c r="K352" s="8"/>
      <c r="L352" s="8"/>
      <c r="M352" s="8"/>
      <c r="N352" s="8"/>
      <c r="Q352" s="8"/>
      <c r="R352" s="8"/>
      <c r="S352" s="8"/>
      <c r="T352" s="8"/>
      <c r="U352" s="8"/>
      <c r="X352" s="8"/>
      <c r="Y352" s="8"/>
      <c r="Z352" s="8"/>
      <c r="AA352" s="8"/>
      <c r="AB352" s="8"/>
      <c r="AC352" s="8"/>
      <c r="AD352" s="61"/>
    </row>
    <row r="353" spans="1:30" x14ac:dyDescent="0.2">
      <c r="A353" s="8"/>
      <c r="B353" s="188"/>
      <c r="C353" s="188"/>
      <c r="D353" s="8"/>
      <c r="E353" s="8"/>
      <c r="F353" s="8"/>
      <c r="G353" s="8"/>
      <c r="J353" s="8"/>
      <c r="K353" s="8"/>
      <c r="L353" s="8"/>
      <c r="M353" s="8"/>
      <c r="N353" s="8"/>
      <c r="Q353" s="8"/>
      <c r="R353" s="8"/>
      <c r="S353" s="8"/>
      <c r="T353" s="8"/>
      <c r="U353" s="8"/>
      <c r="X353" s="8"/>
      <c r="Y353" s="8"/>
      <c r="Z353" s="8"/>
      <c r="AA353" s="8"/>
      <c r="AB353" s="8"/>
      <c r="AC353" s="8"/>
      <c r="AD353" s="61"/>
    </row>
    <row r="354" spans="1:30" x14ac:dyDescent="0.2">
      <c r="A354" s="8"/>
      <c r="B354" s="188"/>
      <c r="C354" s="188"/>
      <c r="D354" s="8"/>
      <c r="E354" s="8"/>
      <c r="F354" s="8"/>
      <c r="G354" s="8"/>
      <c r="J354" s="8"/>
      <c r="K354" s="8"/>
      <c r="L354" s="8"/>
      <c r="M354" s="8"/>
      <c r="N354" s="8"/>
      <c r="Q354" s="8"/>
      <c r="R354" s="8"/>
      <c r="S354" s="8"/>
      <c r="T354" s="8"/>
      <c r="U354" s="8"/>
      <c r="X354" s="8"/>
      <c r="Y354" s="8"/>
      <c r="Z354" s="8"/>
      <c r="AA354" s="8"/>
      <c r="AB354" s="8"/>
      <c r="AC354" s="8"/>
      <c r="AD354" s="61"/>
    </row>
    <row r="355" spans="1:30" x14ac:dyDescent="0.2">
      <c r="A355" s="8"/>
      <c r="B355" s="188"/>
      <c r="C355" s="188"/>
      <c r="D355" s="8"/>
      <c r="E355" s="8"/>
      <c r="F355" s="8"/>
      <c r="G355" s="8"/>
      <c r="J355" s="8"/>
      <c r="K355" s="8"/>
      <c r="L355" s="8"/>
      <c r="M355" s="8"/>
      <c r="N355" s="8"/>
      <c r="Q355" s="8"/>
      <c r="R355" s="8"/>
      <c r="S355" s="8"/>
      <c r="T355" s="8"/>
      <c r="U355" s="8"/>
      <c r="X355" s="8"/>
      <c r="Y355" s="8"/>
      <c r="Z355" s="8"/>
      <c r="AA355" s="8"/>
      <c r="AB355" s="8"/>
      <c r="AC355" s="8"/>
      <c r="AD355" s="61"/>
    </row>
    <row r="356" spans="1:30" x14ac:dyDescent="0.2">
      <c r="A356" s="8"/>
      <c r="B356" s="188"/>
      <c r="C356" s="188"/>
      <c r="D356" s="8"/>
      <c r="E356" s="8"/>
      <c r="F356" s="8"/>
      <c r="G356" s="8"/>
      <c r="J356" s="8"/>
      <c r="K356" s="8"/>
      <c r="L356" s="8"/>
      <c r="M356" s="8"/>
      <c r="N356" s="8"/>
      <c r="Q356" s="8"/>
      <c r="R356" s="8"/>
      <c r="S356" s="8"/>
      <c r="T356" s="8"/>
      <c r="U356" s="8"/>
      <c r="X356" s="8"/>
      <c r="Y356" s="8"/>
      <c r="Z356" s="8"/>
      <c r="AA356" s="8"/>
      <c r="AB356" s="8"/>
      <c r="AC356" s="8"/>
      <c r="AD356" s="61"/>
    </row>
    <row r="357" spans="1:30" x14ac:dyDescent="0.2">
      <c r="A357" s="8"/>
      <c r="B357" s="188"/>
      <c r="C357" s="188"/>
      <c r="D357" s="8"/>
      <c r="E357" s="8"/>
      <c r="F357" s="8"/>
      <c r="G357" s="8"/>
      <c r="J357" s="8"/>
      <c r="K357" s="8"/>
      <c r="L357" s="8"/>
      <c r="M357" s="8"/>
      <c r="N357" s="8"/>
      <c r="Q357" s="8"/>
      <c r="R357" s="8"/>
      <c r="S357" s="8"/>
      <c r="T357" s="8"/>
      <c r="U357" s="8"/>
      <c r="X357" s="8"/>
      <c r="Y357" s="8"/>
      <c r="Z357" s="8"/>
      <c r="AA357" s="8"/>
      <c r="AB357" s="8"/>
      <c r="AC357" s="8"/>
      <c r="AD357" s="61"/>
    </row>
    <row r="358" spans="1:30" x14ac:dyDescent="0.2">
      <c r="A358" s="8"/>
      <c r="B358" s="188"/>
      <c r="C358" s="188"/>
      <c r="D358" s="8"/>
      <c r="E358" s="8"/>
      <c r="F358" s="8"/>
      <c r="G358" s="8"/>
      <c r="J358" s="8"/>
      <c r="K358" s="8"/>
      <c r="L358" s="8"/>
      <c r="M358" s="8"/>
      <c r="N358" s="8"/>
      <c r="Q358" s="8"/>
      <c r="R358" s="8"/>
      <c r="S358" s="8"/>
      <c r="T358" s="8"/>
      <c r="U358" s="8"/>
      <c r="X358" s="8"/>
      <c r="Y358" s="8"/>
      <c r="Z358" s="8"/>
      <c r="AA358" s="8"/>
      <c r="AB358" s="8"/>
      <c r="AC358" s="8"/>
      <c r="AD358" s="61"/>
    </row>
    <row r="359" spans="1:30" x14ac:dyDescent="0.2">
      <c r="A359" s="8"/>
      <c r="B359" s="188"/>
      <c r="C359" s="188"/>
      <c r="D359" s="8"/>
      <c r="E359" s="8"/>
      <c r="F359" s="8"/>
      <c r="G359" s="8"/>
      <c r="J359" s="8"/>
      <c r="K359" s="8"/>
      <c r="L359" s="8"/>
      <c r="M359" s="8"/>
      <c r="N359" s="8"/>
      <c r="Q359" s="8"/>
      <c r="R359" s="8"/>
      <c r="S359" s="8"/>
      <c r="T359" s="8"/>
      <c r="U359" s="8"/>
      <c r="X359" s="8"/>
      <c r="Y359" s="8"/>
      <c r="Z359" s="8"/>
      <c r="AA359" s="8"/>
      <c r="AB359" s="8"/>
      <c r="AC359" s="8"/>
      <c r="AD359" s="61"/>
    </row>
    <row r="360" spans="1:30" x14ac:dyDescent="0.2">
      <c r="A360" s="8"/>
      <c r="B360" s="188"/>
      <c r="C360" s="188"/>
      <c r="D360" s="8"/>
      <c r="E360" s="8"/>
      <c r="F360" s="8"/>
      <c r="G360" s="8"/>
      <c r="J360" s="8"/>
      <c r="K360" s="8"/>
      <c r="L360" s="8"/>
      <c r="M360" s="8"/>
      <c r="N360" s="8"/>
      <c r="Q360" s="8"/>
      <c r="R360" s="8"/>
      <c r="S360" s="8"/>
      <c r="T360" s="8"/>
      <c r="U360" s="8"/>
      <c r="X360" s="8"/>
      <c r="Y360" s="8"/>
      <c r="Z360" s="8"/>
      <c r="AA360" s="8"/>
      <c r="AB360" s="8"/>
      <c r="AC360" s="8"/>
      <c r="AD360" s="61"/>
    </row>
    <row r="361" spans="1:30" x14ac:dyDescent="0.2">
      <c r="A361" s="8"/>
      <c r="B361" s="188"/>
      <c r="C361" s="188"/>
      <c r="D361" s="8"/>
      <c r="E361" s="8"/>
      <c r="F361" s="8"/>
      <c r="G361" s="8"/>
      <c r="J361" s="8"/>
      <c r="K361" s="8"/>
      <c r="L361" s="8"/>
      <c r="M361" s="8"/>
      <c r="N361" s="8"/>
      <c r="Q361" s="8"/>
      <c r="R361" s="8"/>
      <c r="S361" s="8"/>
      <c r="T361" s="8"/>
      <c r="U361" s="8"/>
      <c r="X361" s="8"/>
      <c r="Y361" s="8"/>
      <c r="Z361" s="8"/>
      <c r="AA361" s="8"/>
      <c r="AB361" s="8"/>
      <c r="AC361" s="8"/>
      <c r="AD361" s="61"/>
    </row>
    <row r="362" spans="1:30" x14ac:dyDescent="0.2">
      <c r="A362" s="8"/>
      <c r="B362" s="188"/>
      <c r="C362" s="188"/>
      <c r="D362" s="8"/>
      <c r="E362" s="8"/>
      <c r="F362" s="8"/>
      <c r="G362" s="8"/>
      <c r="J362" s="8"/>
      <c r="K362" s="8"/>
      <c r="L362" s="8"/>
      <c r="M362" s="8"/>
      <c r="N362" s="8"/>
      <c r="Q362" s="8"/>
      <c r="R362" s="8"/>
      <c r="S362" s="8"/>
      <c r="T362" s="8"/>
      <c r="U362" s="8"/>
      <c r="X362" s="8"/>
      <c r="Y362" s="8"/>
      <c r="Z362" s="8"/>
      <c r="AA362" s="8"/>
      <c r="AB362" s="8"/>
      <c r="AC362" s="8"/>
      <c r="AD362" s="61"/>
    </row>
    <row r="363" spans="1:30" x14ac:dyDescent="0.2">
      <c r="A363" s="8"/>
      <c r="B363" s="188"/>
      <c r="C363" s="188"/>
      <c r="D363" s="8"/>
      <c r="E363" s="8"/>
      <c r="F363" s="8"/>
      <c r="G363" s="8"/>
      <c r="J363" s="8"/>
      <c r="K363" s="8"/>
      <c r="L363" s="8"/>
      <c r="M363" s="8"/>
      <c r="N363" s="8"/>
      <c r="Q363" s="8"/>
      <c r="R363" s="8"/>
      <c r="S363" s="8"/>
      <c r="T363" s="8"/>
      <c r="U363" s="8"/>
      <c r="X363" s="8"/>
      <c r="Y363" s="8"/>
      <c r="Z363" s="8"/>
      <c r="AA363" s="8"/>
      <c r="AB363" s="8"/>
      <c r="AC363" s="8"/>
      <c r="AD363" s="61"/>
    </row>
    <row r="364" spans="1:30" x14ac:dyDescent="0.2">
      <c r="A364" s="8"/>
      <c r="B364" s="188"/>
      <c r="C364" s="188"/>
      <c r="D364" s="8"/>
      <c r="E364" s="8"/>
      <c r="F364" s="8"/>
      <c r="G364" s="8"/>
      <c r="J364" s="8"/>
      <c r="K364" s="8"/>
      <c r="L364" s="8"/>
      <c r="M364" s="8"/>
      <c r="N364" s="8"/>
      <c r="Q364" s="8"/>
      <c r="R364" s="8"/>
      <c r="S364" s="8"/>
      <c r="T364" s="8"/>
      <c r="U364" s="8"/>
      <c r="X364" s="8"/>
      <c r="Y364" s="8"/>
      <c r="Z364" s="8"/>
      <c r="AA364" s="8"/>
      <c r="AB364" s="8"/>
      <c r="AC364" s="8"/>
      <c r="AD364" s="61"/>
    </row>
    <row r="365" spans="1:30" x14ac:dyDescent="0.2">
      <c r="A365" s="8"/>
      <c r="B365" s="188"/>
      <c r="C365" s="188"/>
      <c r="D365" s="8"/>
      <c r="E365" s="8"/>
      <c r="F365" s="8"/>
      <c r="G365" s="8"/>
      <c r="J365" s="8"/>
      <c r="K365" s="8"/>
      <c r="L365" s="8"/>
      <c r="M365" s="8"/>
      <c r="N365" s="8"/>
      <c r="Q365" s="8"/>
      <c r="R365" s="8"/>
      <c r="S365" s="8"/>
      <c r="T365" s="8"/>
      <c r="U365" s="8"/>
      <c r="X365" s="8"/>
      <c r="Y365" s="8"/>
      <c r="Z365" s="8"/>
      <c r="AA365" s="8"/>
      <c r="AB365" s="8"/>
      <c r="AC365" s="8"/>
      <c r="AD365" s="61"/>
    </row>
    <row r="366" spans="1:30" x14ac:dyDescent="0.2">
      <c r="A366" s="8"/>
      <c r="B366" s="188"/>
      <c r="C366" s="188"/>
      <c r="D366" s="8"/>
      <c r="E366" s="8"/>
      <c r="F366" s="8"/>
      <c r="G366" s="8"/>
      <c r="J366" s="8"/>
      <c r="K366" s="8"/>
      <c r="L366" s="8"/>
      <c r="M366" s="8"/>
      <c r="N366" s="8"/>
      <c r="Q366" s="8"/>
      <c r="R366" s="8"/>
      <c r="S366" s="8"/>
      <c r="T366" s="8"/>
      <c r="U366" s="8"/>
      <c r="X366" s="8"/>
      <c r="Y366" s="8"/>
      <c r="Z366" s="8"/>
      <c r="AA366" s="8"/>
      <c r="AB366" s="8"/>
      <c r="AC366" s="8"/>
      <c r="AD366" s="61"/>
    </row>
    <row r="367" spans="1:30" x14ac:dyDescent="0.2">
      <c r="A367" s="8"/>
      <c r="B367" s="188"/>
      <c r="C367" s="188"/>
      <c r="D367" s="8"/>
      <c r="E367" s="8"/>
      <c r="F367" s="8"/>
      <c r="G367" s="8"/>
      <c r="J367" s="8"/>
      <c r="K367" s="8"/>
      <c r="L367" s="8"/>
      <c r="M367" s="8"/>
      <c r="N367" s="8"/>
      <c r="Q367" s="8"/>
      <c r="R367" s="8"/>
      <c r="S367" s="8"/>
      <c r="T367" s="8"/>
      <c r="U367" s="8"/>
      <c r="X367" s="8"/>
      <c r="Y367" s="8"/>
      <c r="Z367" s="8"/>
      <c r="AA367" s="8"/>
      <c r="AB367" s="8"/>
      <c r="AC367" s="8"/>
      <c r="AD367" s="61"/>
    </row>
    <row r="368" spans="1:30" x14ac:dyDescent="0.2">
      <c r="A368" s="8"/>
      <c r="B368" s="188"/>
      <c r="C368" s="188"/>
      <c r="D368" s="8"/>
      <c r="E368" s="8"/>
      <c r="F368" s="8"/>
      <c r="G368" s="8"/>
      <c r="J368" s="8"/>
      <c r="K368" s="8"/>
      <c r="L368" s="8"/>
      <c r="M368" s="8"/>
      <c r="N368" s="8"/>
      <c r="Q368" s="8"/>
      <c r="R368" s="8"/>
      <c r="S368" s="8"/>
      <c r="T368" s="8"/>
      <c r="U368" s="8"/>
      <c r="X368" s="8"/>
      <c r="Y368" s="8"/>
      <c r="Z368" s="8"/>
      <c r="AA368" s="8"/>
      <c r="AB368" s="8"/>
      <c r="AC368" s="8"/>
      <c r="AD368" s="61"/>
    </row>
    <row r="369" spans="1:30" x14ac:dyDescent="0.2">
      <c r="A369" s="8"/>
      <c r="B369" s="188"/>
      <c r="C369" s="188"/>
      <c r="D369" s="8"/>
      <c r="E369" s="8"/>
      <c r="F369" s="8"/>
      <c r="G369" s="8"/>
      <c r="J369" s="8"/>
      <c r="K369" s="8"/>
      <c r="L369" s="8"/>
      <c r="M369" s="8"/>
      <c r="N369" s="8"/>
      <c r="Q369" s="8"/>
      <c r="R369" s="8"/>
      <c r="S369" s="8"/>
      <c r="T369" s="8"/>
      <c r="U369" s="8"/>
      <c r="X369" s="8"/>
      <c r="Y369" s="8"/>
      <c r="Z369" s="8"/>
      <c r="AA369" s="8"/>
      <c r="AB369" s="8"/>
      <c r="AC369" s="8"/>
      <c r="AD369" s="61"/>
    </row>
    <row r="370" spans="1:30" x14ac:dyDescent="0.2">
      <c r="A370" s="8"/>
      <c r="B370" s="188"/>
      <c r="C370" s="188"/>
      <c r="D370" s="8"/>
      <c r="E370" s="8"/>
      <c r="F370" s="8"/>
      <c r="G370" s="8"/>
      <c r="J370" s="8"/>
      <c r="K370" s="8"/>
      <c r="L370" s="8"/>
      <c r="M370" s="8"/>
      <c r="N370" s="8"/>
      <c r="Q370" s="8"/>
      <c r="R370" s="8"/>
      <c r="S370" s="8"/>
      <c r="T370" s="8"/>
      <c r="U370" s="8"/>
      <c r="X370" s="8"/>
      <c r="Y370" s="8"/>
      <c r="Z370" s="8"/>
      <c r="AA370" s="8"/>
      <c r="AB370" s="8"/>
      <c r="AC370" s="8"/>
      <c r="AD370" s="61"/>
    </row>
    <row r="371" spans="1:30" x14ac:dyDescent="0.2">
      <c r="A371" s="8"/>
      <c r="B371" s="188"/>
      <c r="C371" s="188"/>
      <c r="D371" s="8"/>
      <c r="E371" s="8"/>
      <c r="F371" s="8"/>
      <c r="G371" s="8"/>
      <c r="J371" s="8"/>
      <c r="K371" s="8"/>
      <c r="L371" s="8"/>
      <c r="M371" s="8"/>
      <c r="N371" s="8"/>
      <c r="Q371" s="8"/>
      <c r="R371" s="8"/>
      <c r="S371" s="8"/>
      <c r="T371" s="8"/>
      <c r="U371" s="8"/>
      <c r="X371" s="8"/>
      <c r="Y371" s="8"/>
      <c r="Z371" s="8"/>
      <c r="AA371" s="8"/>
      <c r="AB371" s="8"/>
      <c r="AC371" s="8"/>
      <c r="AD371" s="61"/>
    </row>
    <row r="372" spans="1:30" x14ac:dyDescent="0.2">
      <c r="A372" s="8"/>
      <c r="B372" s="188"/>
      <c r="C372" s="188"/>
      <c r="D372" s="8"/>
      <c r="E372" s="8"/>
      <c r="F372" s="8"/>
      <c r="G372" s="8"/>
      <c r="J372" s="8"/>
      <c r="K372" s="8"/>
      <c r="L372" s="8"/>
      <c r="M372" s="8"/>
      <c r="N372" s="8"/>
      <c r="Q372" s="8"/>
      <c r="R372" s="8"/>
      <c r="S372" s="8"/>
      <c r="T372" s="8"/>
      <c r="U372" s="8"/>
      <c r="X372" s="8"/>
      <c r="Y372" s="8"/>
      <c r="Z372" s="8"/>
      <c r="AA372" s="8"/>
      <c r="AB372" s="8"/>
      <c r="AC372" s="8"/>
      <c r="AD372" s="61"/>
    </row>
    <row r="373" spans="1:30" x14ac:dyDescent="0.2">
      <c r="A373" s="8"/>
      <c r="B373" s="188"/>
      <c r="C373" s="188"/>
      <c r="D373" s="8"/>
      <c r="E373" s="8"/>
      <c r="F373" s="8"/>
      <c r="G373" s="8"/>
      <c r="J373" s="8"/>
      <c r="K373" s="8"/>
      <c r="L373" s="8"/>
      <c r="M373" s="8"/>
      <c r="N373" s="8"/>
      <c r="Q373" s="8"/>
      <c r="R373" s="8"/>
      <c r="S373" s="8"/>
      <c r="T373" s="8"/>
      <c r="U373" s="8"/>
      <c r="X373" s="8"/>
      <c r="Y373" s="8"/>
      <c r="Z373" s="8"/>
      <c r="AA373" s="8"/>
      <c r="AB373" s="8"/>
      <c r="AC373" s="8"/>
      <c r="AD373" s="61"/>
    </row>
    <row r="374" spans="1:30" x14ac:dyDescent="0.2">
      <c r="A374" s="8"/>
      <c r="B374" s="188"/>
      <c r="C374" s="188"/>
      <c r="D374" s="8"/>
      <c r="E374" s="8"/>
      <c r="F374" s="8"/>
      <c r="G374" s="8"/>
      <c r="J374" s="8"/>
      <c r="K374" s="8"/>
      <c r="L374" s="8"/>
      <c r="M374" s="8"/>
      <c r="N374" s="8"/>
      <c r="Q374" s="8"/>
      <c r="R374" s="8"/>
      <c r="S374" s="8"/>
      <c r="T374" s="8"/>
      <c r="U374" s="8"/>
      <c r="X374" s="8"/>
      <c r="Y374" s="8"/>
      <c r="Z374" s="8"/>
      <c r="AA374" s="8"/>
      <c r="AB374" s="8"/>
      <c r="AC374" s="8"/>
      <c r="AD374" s="61"/>
    </row>
    <row r="375" spans="1:30" x14ac:dyDescent="0.2">
      <c r="B375" s="188"/>
      <c r="C375" s="188"/>
      <c r="D375" s="8"/>
      <c r="E375" s="8"/>
      <c r="F375" s="8"/>
      <c r="G375" s="8"/>
      <c r="J375" s="8"/>
      <c r="K375" s="8"/>
      <c r="L375" s="8"/>
      <c r="M375" s="8"/>
      <c r="N375" s="8"/>
      <c r="Q375" s="8"/>
      <c r="R375" s="8"/>
      <c r="S375" s="8"/>
      <c r="T375" s="8"/>
      <c r="U375" s="8"/>
      <c r="X375" s="8"/>
      <c r="Y375" s="8"/>
      <c r="Z375" s="8"/>
      <c r="AA375" s="8"/>
      <c r="AB375" s="8"/>
      <c r="AC375" s="8"/>
      <c r="AD375" s="61"/>
    </row>
    <row r="376" spans="1:30" x14ac:dyDescent="0.2">
      <c r="B376" s="188"/>
      <c r="C376" s="188"/>
      <c r="D376" s="8"/>
      <c r="E376" s="8"/>
      <c r="F376" s="8"/>
      <c r="G376" s="8"/>
      <c r="J376" s="8"/>
      <c r="K376" s="8"/>
      <c r="L376" s="8"/>
      <c r="M376" s="8"/>
      <c r="N376" s="8"/>
      <c r="Q376" s="8"/>
      <c r="R376" s="8"/>
      <c r="S376" s="8"/>
      <c r="T376" s="8"/>
      <c r="U376" s="8"/>
      <c r="X376" s="8"/>
      <c r="Y376" s="8"/>
      <c r="Z376" s="8"/>
      <c r="AA376" s="8"/>
      <c r="AB376" s="8"/>
      <c r="AC376" s="8"/>
      <c r="AD376" s="61"/>
    </row>
    <row r="377" spans="1:30" x14ac:dyDescent="0.2">
      <c r="B377" s="188"/>
      <c r="C377" s="188"/>
      <c r="D377" s="8"/>
      <c r="E377" s="8"/>
      <c r="F377" s="8"/>
      <c r="G377" s="8"/>
      <c r="J377" s="8"/>
      <c r="K377" s="8"/>
      <c r="L377" s="8"/>
      <c r="M377" s="8"/>
      <c r="N377" s="8"/>
      <c r="Q377" s="8"/>
      <c r="R377" s="8"/>
      <c r="S377" s="8"/>
      <c r="T377" s="8"/>
      <c r="U377" s="8"/>
      <c r="X377" s="8"/>
      <c r="Y377" s="8"/>
      <c r="Z377" s="8"/>
      <c r="AA377" s="8"/>
      <c r="AB377" s="8"/>
      <c r="AC377" s="8"/>
      <c r="AD377" s="61"/>
    </row>
    <row r="378" spans="1:30" x14ac:dyDescent="0.2">
      <c r="B378" s="188"/>
      <c r="C378" s="188"/>
      <c r="D378" s="8"/>
      <c r="E378" s="8"/>
      <c r="F378" s="8"/>
      <c r="G378" s="8"/>
      <c r="J378" s="8"/>
      <c r="K378" s="8"/>
      <c r="L378" s="8"/>
      <c r="M378" s="8"/>
      <c r="N378" s="8"/>
      <c r="Q378" s="8"/>
      <c r="R378" s="8"/>
      <c r="S378" s="8"/>
      <c r="T378" s="8"/>
      <c r="U378" s="8"/>
      <c r="X378" s="8"/>
      <c r="Y378" s="8"/>
      <c r="Z378" s="8"/>
      <c r="AA378" s="8"/>
      <c r="AB378" s="8"/>
      <c r="AC378" s="8"/>
      <c r="AD378" s="61"/>
    </row>
    <row r="379" spans="1:30" x14ac:dyDescent="0.2">
      <c r="B379" s="188"/>
      <c r="C379" s="188"/>
      <c r="D379" s="8"/>
      <c r="E379" s="8"/>
      <c r="F379" s="8"/>
      <c r="G379" s="8"/>
      <c r="J379" s="8"/>
      <c r="K379" s="8"/>
      <c r="L379" s="8"/>
      <c r="M379" s="8"/>
      <c r="N379" s="8"/>
      <c r="Q379" s="8"/>
      <c r="R379" s="8"/>
      <c r="S379" s="8"/>
      <c r="T379" s="8"/>
      <c r="U379" s="8"/>
      <c r="X379" s="8"/>
      <c r="Y379" s="8"/>
      <c r="Z379" s="8"/>
      <c r="AA379" s="8"/>
      <c r="AB379" s="8"/>
      <c r="AC379" s="8"/>
      <c r="AD379" s="61"/>
    </row>
    <row r="380" spans="1:30" x14ac:dyDescent="0.2">
      <c r="B380" s="188"/>
      <c r="C380" s="188"/>
      <c r="D380" s="8"/>
      <c r="E380" s="8"/>
      <c r="F380" s="8"/>
      <c r="G380" s="8"/>
      <c r="J380" s="8"/>
      <c r="K380" s="8"/>
      <c r="L380" s="8"/>
      <c r="M380" s="8"/>
      <c r="N380" s="8"/>
      <c r="Q380" s="8"/>
      <c r="R380" s="8"/>
      <c r="S380" s="8"/>
      <c r="T380" s="8"/>
      <c r="U380" s="8"/>
      <c r="X380" s="8"/>
      <c r="Y380" s="8"/>
      <c r="Z380" s="8"/>
      <c r="AA380" s="8"/>
      <c r="AB380" s="8"/>
      <c r="AC380" s="8"/>
      <c r="AD380" s="61"/>
    </row>
    <row r="381" spans="1:30" x14ac:dyDescent="0.2">
      <c r="B381" s="188"/>
      <c r="C381" s="188"/>
      <c r="D381" s="8"/>
      <c r="E381" s="8"/>
      <c r="F381" s="8"/>
      <c r="G381" s="8"/>
      <c r="J381" s="8"/>
      <c r="K381" s="8"/>
      <c r="L381" s="8"/>
      <c r="M381" s="8"/>
      <c r="N381" s="8"/>
      <c r="Q381" s="8"/>
      <c r="R381" s="8"/>
      <c r="S381" s="8"/>
      <c r="T381" s="8"/>
      <c r="U381" s="8"/>
      <c r="X381" s="8"/>
      <c r="Y381" s="8"/>
      <c r="Z381" s="8"/>
      <c r="AA381" s="8"/>
      <c r="AB381" s="8"/>
      <c r="AC381" s="8"/>
      <c r="AD381" s="61"/>
    </row>
    <row r="382" spans="1:30" x14ac:dyDescent="0.2">
      <c r="B382" s="188"/>
      <c r="C382" s="188"/>
      <c r="D382" s="8"/>
      <c r="E382" s="8"/>
      <c r="F382" s="8"/>
      <c r="G382" s="8"/>
      <c r="J382" s="8"/>
      <c r="K382" s="8"/>
      <c r="L382" s="8"/>
      <c r="M382" s="8"/>
      <c r="N382" s="8"/>
      <c r="Q382" s="8"/>
      <c r="R382" s="8"/>
      <c r="S382" s="8"/>
      <c r="T382" s="8"/>
      <c r="U382" s="8"/>
      <c r="X382" s="8"/>
      <c r="Y382" s="8"/>
      <c r="Z382" s="8"/>
      <c r="AA382" s="8"/>
      <c r="AB382" s="8"/>
      <c r="AC382" s="8"/>
      <c r="AD382" s="61"/>
    </row>
    <row r="383" spans="1:30" x14ac:dyDescent="0.2">
      <c r="B383" s="188"/>
      <c r="C383" s="188"/>
      <c r="D383" s="8"/>
      <c r="E383" s="8"/>
      <c r="F383" s="8"/>
      <c r="G383" s="8"/>
      <c r="J383" s="8"/>
      <c r="K383" s="8"/>
      <c r="L383" s="8"/>
      <c r="M383" s="8"/>
      <c r="N383" s="8"/>
      <c r="Q383" s="8"/>
      <c r="R383" s="8"/>
      <c r="S383" s="8"/>
      <c r="T383" s="8"/>
      <c r="U383" s="8"/>
      <c r="X383" s="8"/>
      <c r="Y383" s="8"/>
      <c r="Z383" s="8"/>
      <c r="AA383" s="8"/>
      <c r="AB383" s="8"/>
      <c r="AC383" s="8"/>
      <c r="AD383" s="61"/>
    </row>
    <row r="384" spans="1:30" x14ac:dyDescent="0.2">
      <c r="B384" s="188"/>
      <c r="C384" s="188"/>
      <c r="D384" s="8"/>
      <c r="E384" s="8"/>
      <c r="F384" s="8"/>
      <c r="G384" s="8"/>
      <c r="J384" s="8"/>
      <c r="K384" s="8"/>
      <c r="L384" s="8"/>
      <c r="M384" s="8"/>
      <c r="N384" s="8"/>
      <c r="Q384" s="8"/>
      <c r="R384" s="8"/>
      <c r="S384" s="8"/>
      <c r="T384" s="8"/>
      <c r="U384" s="8"/>
      <c r="X384" s="8"/>
      <c r="Y384" s="8"/>
      <c r="Z384" s="8"/>
      <c r="AA384" s="8"/>
      <c r="AB384" s="8"/>
      <c r="AC384" s="8"/>
      <c r="AD384" s="61"/>
    </row>
    <row r="385" spans="2:30" x14ac:dyDescent="0.2">
      <c r="B385" s="188"/>
      <c r="C385" s="188"/>
      <c r="D385" s="8"/>
      <c r="E385" s="8"/>
      <c r="F385" s="8"/>
      <c r="G385" s="8"/>
      <c r="J385" s="8"/>
      <c r="K385" s="8"/>
      <c r="L385" s="8"/>
      <c r="M385" s="8"/>
      <c r="N385" s="8"/>
      <c r="Q385" s="8"/>
      <c r="R385" s="8"/>
      <c r="S385" s="8"/>
      <c r="T385" s="8"/>
      <c r="U385" s="8"/>
      <c r="X385" s="8"/>
      <c r="Y385" s="8"/>
      <c r="Z385" s="8"/>
      <c r="AA385" s="8"/>
      <c r="AB385" s="8"/>
      <c r="AC385" s="8"/>
      <c r="AD385" s="61"/>
    </row>
    <row r="386" spans="2:30" x14ac:dyDescent="0.2">
      <c r="B386" s="188"/>
      <c r="C386" s="188"/>
      <c r="D386" s="8"/>
      <c r="E386" s="8"/>
      <c r="F386" s="8"/>
      <c r="G386" s="8"/>
      <c r="J386" s="8"/>
      <c r="K386" s="8"/>
      <c r="L386" s="8"/>
      <c r="M386" s="8"/>
      <c r="N386" s="8"/>
      <c r="Q386" s="8"/>
      <c r="R386" s="8"/>
      <c r="S386" s="8"/>
      <c r="T386" s="8"/>
      <c r="U386" s="8"/>
      <c r="X386" s="8"/>
      <c r="Y386" s="8"/>
      <c r="Z386" s="8"/>
      <c r="AA386" s="8"/>
      <c r="AB386" s="8"/>
      <c r="AC386" s="8"/>
      <c r="AD386" s="61"/>
    </row>
    <row r="387" spans="2:30" x14ac:dyDescent="0.2">
      <c r="B387" s="188"/>
      <c r="C387" s="188"/>
      <c r="D387" s="8"/>
      <c r="E387" s="8"/>
      <c r="F387" s="8"/>
      <c r="G387" s="8"/>
      <c r="J387" s="8"/>
      <c r="K387" s="8"/>
      <c r="L387" s="8"/>
      <c r="M387" s="8"/>
      <c r="N387" s="8"/>
      <c r="Q387" s="8"/>
      <c r="R387" s="8"/>
      <c r="S387" s="8"/>
      <c r="T387" s="8"/>
      <c r="U387" s="8"/>
      <c r="X387" s="8"/>
      <c r="Y387" s="8"/>
      <c r="Z387" s="8"/>
      <c r="AA387" s="8"/>
      <c r="AB387" s="8"/>
      <c r="AC387" s="8"/>
      <c r="AD387" s="61"/>
    </row>
    <row r="388" spans="2:30" x14ac:dyDescent="0.2">
      <c r="B388" s="188"/>
      <c r="C388" s="188"/>
      <c r="D388" s="8"/>
      <c r="E388" s="8"/>
      <c r="F388" s="8"/>
      <c r="G388" s="8"/>
      <c r="J388" s="8"/>
      <c r="K388" s="8"/>
      <c r="L388" s="8"/>
      <c r="M388" s="8"/>
      <c r="N388" s="8"/>
      <c r="Q388" s="8"/>
      <c r="R388" s="8"/>
      <c r="S388" s="8"/>
      <c r="T388" s="8"/>
      <c r="U388" s="8"/>
      <c r="X388" s="8"/>
      <c r="Y388" s="8"/>
      <c r="Z388" s="8"/>
      <c r="AA388" s="8"/>
      <c r="AB388" s="8"/>
      <c r="AC388" s="8"/>
      <c r="AD388" s="61"/>
    </row>
    <row r="389" spans="2:30" x14ac:dyDescent="0.2">
      <c r="B389" s="188"/>
      <c r="C389" s="188"/>
      <c r="D389" s="8"/>
      <c r="E389" s="8"/>
      <c r="F389" s="8"/>
      <c r="G389" s="8"/>
      <c r="J389" s="8"/>
      <c r="K389" s="8"/>
      <c r="L389" s="8"/>
      <c r="M389" s="8"/>
      <c r="N389" s="8"/>
      <c r="Q389" s="8"/>
      <c r="R389" s="8"/>
      <c r="S389" s="8"/>
      <c r="T389" s="8"/>
      <c r="U389" s="8"/>
      <c r="X389" s="8"/>
      <c r="Y389" s="8"/>
      <c r="Z389" s="8"/>
      <c r="AA389" s="8"/>
      <c r="AB389" s="8"/>
      <c r="AC389" s="8"/>
      <c r="AD389" s="61"/>
    </row>
    <row r="390" spans="2:30" x14ac:dyDescent="0.2">
      <c r="B390" s="188"/>
      <c r="C390" s="188"/>
      <c r="D390" s="8"/>
      <c r="E390" s="8"/>
      <c r="F390" s="8"/>
      <c r="G390" s="8"/>
      <c r="J390" s="8"/>
      <c r="K390" s="8"/>
      <c r="L390" s="8"/>
      <c r="M390" s="8"/>
      <c r="N390" s="8"/>
      <c r="Q390" s="8"/>
      <c r="R390" s="8"/>
      <c r="S390" s="8"/>
      <c r="T390" s="8"/>
      <c r="U390" s="8"/>
      <c r="X390" s="8"/>
      <c r="Y390" s="8"/>
      <c r="Z390" s="8"/>
      <c r="AA390" s="8"/>
      <c r="AB390" s="8"/>
      <c r="AC390" s="8"/>
      <c r="AD390" s="61"/>
    </row>
    <row r="391" spans="2:30" x14ac:dyDescent="0.2">
      <c r="B391" s="188"/>
      <c r="C391" s="188"/>
      <c r="D391" s="8"/>
      <c r="E391" s="8"/>
      <c r="F391" s="8"/>
      <c r="G391" s="8"/>
      <c r="J391" s="8"/>
      <c r="K391" s="8"/>
      <c r="L391" s="8"/>
      <c r="M391" s="8"/>
      <c r="N391" s="8"/>
      <c r="Q391" s="8"/>
      <c r="R391" s="8"/>
      <c r="S391" s="8"/>
      <c r="T391" s="8"/>
      <c r="U391" s="8"/>
      <c r="X391" s="8"/>
      <c r="Y391" s="8"/>
      <c r="Z391" s="8"/>
      <c r="AA391" s="8"/>
      <c r="AB391" s="8"/>
      <c r="AC391" s="8"/>
      <c r="AD391" s="61"/>
    </row>
    <row r="392" spans="2:30" x14ac:dyDescent="0.2">
      <c r="B392" s="188"/>
      <c r="C392" s="188"/>
      <c r="D392" s="8"/>
      <c r="E392" s="8"/>
      <c r="F392" s="8"/>
      <c r="G392" s="8"/>
      <c r="J392" s="8"/>
      <c r="K392" s="8"/>
      <c r="L392" s="8"/>
      <c r="M392" s="8"/>
      <c r="N392" s="8"/>
      <c r="Q392" s="8"/>
      <c r="R392" s="8"/>
      <c r="S392" s="8"/>
      <c r="T392" s="8"/>
      <c r="U392" s="8"/>
      <c r="X392" s="8"/>
      <c r="Y392" s="8"/>
      <c r="Z392" s="8"/>
      <c r="AA392" s="8"/>
      <c r="AB392" s="8"/>
      <c r="AC392" s="8"/>
      <c r="AD392" s="61"/>
    </row>
    <row r="393" spans="2:30" x14ac:dyDescent="0.2">
      <c r="B393" s="188"/>
      <c r="C393" s="188"/>
      <c r="D393" s="8"/>
      <c r="E393" s="8"/>
      <c r="F393" s="8"/>
      <c r="G393" s="8"/>
      <c r="J393" s="8"/>
      <c r="K393" s="8"/>
      <c r="L393" s="8"/>
      <c r="M393" s="8"/>
      <c r="N393" s="8"/>
      <c r="Q393" s="8"/>
      <c r="R393" s="8"/>
      <c r="S393" s="8"/>
      <c r="T393" s="8"/>
      <c r="U393" s="8"/>
      <c r="X393" s="8"/>
      <c r="Y393" s="8"/>
      <c r="Z393" s="8"/>
      <c r="AA393" s="8"/>
      <c r="AB393" s="8"/>
      <c r="AC393" s="8"/>
      <c r="AD393" s="61"/>
    </row>
    <row r="394" spans="2:30" x14ac:dyDescent="0.2">
      <c r="B394" s="188"/>
      <c r="C394" s="188"/>
      <c r="D394" s="8"/>
      <c r="E394" s="8"/>
      <c r="F394" s="8"/>
      <c r="G394" s="8"/>
      <c r="J394" s="8"/>
      <c r="K394" s="8"/>
      <c r="L394" s="8"/>
      <c r="M394" s="8"/>
      <c r="N394" s="8"/>
      <c r="Q394" s="8"/>
      <c r="R394" s="8"/>
      <c r="S394" s="8"/>
      <c r="T394" s="8"/>
      <c r="U394" s="8"/>
      <c r="X394" s="8"/>
      <c r="Y394" s="8"/>
      <c r="Z394" s="8"/>
      <c r="AA394" s="8"/>
      <c r="AB394" s="8"/>
      <c r="AC394" s="8"/>
      <c r="AD394" s="61"/>
    </row>
    <row r="395" spans="2:30" x14ac:dyDescent="0.2">
      <c r="B395" s="188"/>
      <c r="C395" s="188"/>
      <c r="D395" s="8"/>
      <c r="E395" s="8"/>
      <c r="F395" s="8"/>
      <c r="G395" s="8"/>
      <c r="J395" s="8"/>
      <c r="K395" s="8"/>
      <c r="L395" s="8"/>
      <c r="M395" s="8"/>
      <c r="N395" s="8"/>
      <c r="Q395" s="8"/>
      <c r="R395" s="8"/>
      <c r="S395" s="8"/>
      <c r="T395" s="8"/>
      <c r="U395" s="8"/>
      <c r="X395" s="8"/>
      <c r="Y395" s="8"/>
      <c r="Z395" s="8"/>
      <c r="AA395" s="8"/>
      <c r="AB395" s="8"/>
      <c r="AC395" s="8"/>
      <c r="AD395" s="61"/>
    </row>
    <row r="396" spans="2:30" x14ac:dyDescent="0.2">
      <c r="B396" s="188"/>
      <c r="C396" s="188"/>
      <c r="D396" s="8"/>
      <c r="E396" s="8"/>
      <c r="F396" s="8"/>
      <c r="G396" s="8"/>
      <c r="J396" s="8"/>
      <c r="K396" s="8"/>
      <c r="L396" s="8"/>
      <c r="M396" s="8"/>
      <c r="N396" s="8"/>
      <c r="Q396" s="8"/>
      <c r="R396" s="8"/>
      <c r="S396" s="8"/>
      <c r="T396" s="8"/>
      <c r="U396" s="8"/>
      <c r="X396" s="8"/>
      <c r="Y396" s="8"/>
      <c r="Z396" s="8"/>
      <c r="AA396" s="8"/>
      <c r="AB396" s="8"/>
      <c r="AC396" s="8"/>
      <c r="AD396" s="61"/>
    </row>
    <row r="397" spans="2:30" x14ac:dyDescent="0.2">
      <c r="B397" s="188"/>
      <c r="C397" s="188"/>
      <c r="D397" s="8"/>
      <c r="E397" s="8"/>
      <c r="F397" s="8"/>
      <c r="G397" s="8"/>
      <c r="J397" s="8"/>
      <c r="K397" s="8"/>
      <c r="L397" s="8"/>
      <c r="M397" s="8"/>
      <c r="N397" s="8"/>
      <c r="Q397" s="8"/>
      <c r="R397" s="8"/>
      <c r="S397" s="8"/>
      <c r="T397" s="8"/>
      <c r="U397" s="8"/>
      <c r="X397" s="8"/>
      <c r="Y397" s="8"/>
      <c r="Z397" s="8"/>
      <c r="AA397" s="8"/>
      <c r="AB397" s="8"/>
      <c r="AC397" s="8"/>
      <c r="AD397" s="61"/>
    </row>
    <row r="398" spans="2:30" x14ac:dyDescent="0.2">
      <c r="B398" s="188"/>
      <c r="C398" s="188"/>
      <c r="D398" s="8"/>
      <c r="E398" s="8"/>
      <c r="F398" s="8"/>
      <c r="G398" s="8"/>
      <c r="J398" s="8"/>
      <c r="K398" s="8"/>
      <c r="L398" s="8"/>
      <c r="M398" s="8"/>
      <c r="N398" s="8"/>
      <c r="Q398" s="8"/>
      <c r="R398" s="8"/>
      <c r="S398" s="8"/>
      <c r="T398" s="8"/>
      <c r="U398" s="8"/>
      <c r="X398" s="8"/>
      <c r="Y398" s="8"/>
      <c r="Z398" s="8"/>
      <c r="AA398" s="8"/>
      <c r="AB398" s="8"/>
      <c r="AC398" s="8"/>
      <c r="AD398" s="61"/>
    </row>
    <row r="399" spans="2:30" x14ac:dyDescent="0.2">
      <c r="B399" s="188"/>
      <c r="C399" s="188"/>
      <c r="D399" s="8"/>
      <c r="E399" s="8"/>
      <c r="F399" s="8"/>
      <c r="G399" s="8"/>
      <c r="J399" s="8"/>
      <c r="K399" s="8"/>
      <c r="L399" s="8"/>
      <c r="M399" s="8"/>
      <c r="N399" s="8"/>
      <c r="Q399" s="8"/>
      <c r="R399" s="8"/>
      <c r="S399" s="8"/>
      <c r="T399" s="8"/>
      <c r="U399" s="8"/>
      <c r="X399" s="8"/>
      <c r="Y399" s="8"/>
      <c r="Z399" s="8"/>
      <c r="AA399" s="8"/>
      <c r="AB399" s="8"/>
      <c r="AC399" s="8"/>
      <c r="AD399" s="61"/>
    </row>
    <row r="400" spans="2:30" x14ac:dyDescent="0.2">
      <c r="B400" s="188"/>
      <c r="C400" s="188"/>
      <c r="D400" s="8"/>
      <c r="E400" s="8"/>
      <c r="F400" s="8"/>
      <c r="G400" s="8"/>
      <c r="J400" s="8"/>
      <c r="K400" s="8"/>
      <c r="L400" s="8"/>
      <c r="M400" s="8"/>
      <c r="N400" s="8"/>
      <c r="Q400" s="8"/>
      <c r="R400" s="8"/>
      <c r="S400" s="8"/>
      <c r="T400" s="8"/>
      <c r="U400" s="8"/>
      <c r="X400" s="8"/>
      <c r="Y400" s="8"/>
      <c r="Z400" s="8"/>
      <c r="AA400" s="8"/>
      <c r="AB400" s="8"/>
      <c r="AC400" s="8"/>
      <c r="AD400" s="61"/>
    </row>
    <row r="401" spans="2:30" x14ac:dyDescent="0.2">
      <c r="B401" s="188"/>
      <c r="C401" s="188"/>
      <c r="D401" s="8"/>
      <c r="E401" s="8"/>
      <c r="F401" s="8"/>
      <c r="G401" s="8"/>
      <c r="J401" s="8"/>
      <c r="K401" s="8"/>
      <c r="L401" s="8"/>
      <c r="M401" s="8"/>
      <c r="N401" s="8"/>
      <c r="Q401" s="8"/>
      <c r="R401" s="8"/>
      <c r="S401" s="8"/>
      <c r="T401" s="8"/>
      <c r="U401" s="8"/>
      <c r="X401" s="8"/>
      <c r="Y401" s="8"/>
      <c r="Z401" s="8"/>
      <c r="AA401" s="8"/>
      <c r="AB401" s="8"/>
      <c r="AC401" s="8"/>
      <c r="AD401" s="61"/>
    </row>
    <row r="402" spans="2:30" x14ac:dyDescent="0.2">
      <c r="B402" s="188"/>
      <c r="C402" s="188"/>
      <c r="D402" s="8"/>
      <c r="E402" s="8"/>
      <c r="F402" s="8"/>
      <c r="G402" s="8"/>
      <c r="J402" s="8"/>
      <c r="K402" s="8"/>
      <c r="L402" s="8"/>
      <c r="M402" s="8"/>
      <c r="N402" s="8"/>
      <c r="Q402" s="8"/>
      <c r="R402" s="8"/>
      <c r="S402" s="8"/>
      <c r="T402" s="8"/>
      <c r="U402" s="8"/>
      <c r="X402" s="8"/>
      <c r="Y402" s="8"/>
      <c r="Z402" s="8"/>
      <c r="AA402" s="8"/>
      <c r="AB402" s="8"/>
      <c r="AC402" s="8"/>
      <c r="AD402" s="61"/>
    </row>
    <row r="403" spans="2:30" x14ac:dyDescent="0.2">
      <c r="B403" s="188"/>
      <c r="C403" s="188"/>
      <c r="D403" s="8"/>
      <c r="E403" s="8"/>
      <c r="F403" s="8"/>
      <c r="G403" s="8"/>
      <c r="J403" s="8"/>
      <c r="K403" s="8"/>
      <c r="L403" s="8"/>
      <c r="M403" s="8"/>
      <c r="N403" s="8"/>
      <c r="Q403" s="8"/>
      <c r="R403" s="8"/>
      <c r="S403" s="8"/>
      <c r="T403" s="8"/>
      <c r="U403" s="8"/>
      <c r="X403" s="8"/>
      <c r="Y403" s="8"/>
      <c r="Z403" s="8"/>
      <c r="AA403" s="8"/>
      <c r="AB403" s="8"/>
      <c r="AC403" s="8"/>
      <c r="AD403" s="61"/>
    </row>
    <row r="404" spans="2:30" x14ac:dyDescent="0.2">
      <c r="B404" s="188"/>
      <c r="C404" s="188"/>
      <c r="D404" s="8"/>
      <c r="E404" s="8"/>
      <c r="F404" s="8"/>
      <c r="G404" s="8"/>
      <c r="J404" s="8"/>
      <c r="K404" s="8"/>
      <c r="L404" s="8"/>
      <c r="M404" s="8"/>
      <c r="N404" s="8"/>
      <c r="Q404" s="8"/>
      <c r="R404" s="8"/>
      <c r="S404" s="8"/>
      <c r="T404" s="8"/>
      <c r="U404" s="8"/>
      <c r="X404" s="8"/>
      <c r="Y404" s="8"/>
      <c r="Z404" s="8"/>
      <c r="AA404" s="8"/>
      <c r="AB404" s="8"/>
      <c r="AC404" s="8"/>
      <c r="AD404" s="61"/>
    </row>
    <row r="405" spans="2:30" x14ac:dyDescent="0.2">
      <c r="B405" s="188"/>
      <c r="C405" s="188"/>
      <c r="D405" s="8"/>
      <c r="E405" s="8"/>
      <c r="F405" s="8"/>
      <c r="G405" s="8"/>
      <c r="J405" s="8"/>
      <c r="K405" s="8"/>
      <c r="L405" s="8"/>
      <c r="M405" s="8"/>
      <c r="N405" s="8"/>
      <c r="Q405" s="8"/>
      <c r="R405" s="8"/>
      <c r="S405" s="8"/>
      <c r="T405" s="8"/>
      <c r="U405" s="8"/>
      <c r="X405" s="8"/>
      <c r="Y405" s="8"/>
      <c r="Z405" s="8"/>
      <c r="AA405" s="8"/>
      <c r="AB405" s="8"/>
      <c r="AC405" s="8"/>
      <c r="AD405" s="61"/>
    </row>
    <row r="406" spans="2:30" x14ac:dyDescent="0.2">
      <c r="B406" s="188"/>
      <c r="C406" s="188"/>
      <c r="D406" s="8"/>
      <c r="E406" s="8"/>
      <c r="F406" s="8"/>
      <c r="G406" s="8"/>
      <c r="J406" s="8"/>
      <c r="K406" s="8"/>
      <c r="L406" s="8"/>
      <c r="M406" s="8"/>
      <c r="N406" s="8"/>
      <c r="Q406" s="8"/>
      <c r="R406" s="8"/>
      <c r="S406" s="8"/>
      <c r="T406" s="8"/>
      <c r="U406" s="8"/>
      <c r="X406" s="8"/>
      <c r="Y406" s="8"/>
      <c r="Z406" s="8"/>
      <c r="AA406" s="8"/>
      <c r="AB406" s="8"/>
      <c r="AC406" s="8"/>
      <c r="AD406" s="61"/>
    </row>
    <row r="407" spans="2:30" x14ac:dyDescent="0.2">
      <c r="B407" s="188"/>
      <c r="C407" s="188"/>
      <c r="D407" s="8"/>
      <c r="E407" s="8"/>
      <c r="F407" s="8"/>
      <c r="G407" s="8"/>
      <c r="J407" s="8"/>
      <c r="K407" s="8"/>
      <c r="L407" s="8"/>
      <c r="M407" s="8"/>
      <c r="N407" s="8"/>
      <c r="Q407" s="8"/>
      <c r="R407" s="8"/>
      <c r="S407" s="8"/>
      <c r="T407" s="8"/>
      <c r="U407" s="8"/>
      <c r="X407" s="8"/>
      <c r="Y407" s="8"/>
      <c r="Z407" s="8"/>
      <c r="AA407" s="8"/>
      <c r="AB407" s="8"/>
      <c r="AC407" s="8"/>
      <c r="AD407" s="61"/>
    </row>
    <row r="408" spans="2:30" x14ac:dyDescent="0.2">
      <c r="B408" s="188"/>
      <c r="C408" s="188"/>
      <c r="D408" s="8"/>
      <c r="E408" s="8"/>
      <c r="F408" s="8"/>
      <c r="G408" s="8"/>
      <c r="J408" s="8"/>
      <c r="K408" s="8"/>
      <c r="L408" s="8"/>
      <c r="M408" s="8"/>
      <c r="N408" s="8"/>
      <c r="Q408" s="8"/>
      <c r="R408" s="8"/>
      <c r="S408" s="8"/>
      <c r="T408" s="8"/>
      <c r="U408" s="8"/>
      <c r="X408" s="8"/>
      <c r="Y408" s="8"/>
      <c r="Z408" s="8"/>
      <c r="AA408" s="8"/>
      <c r="AB408" s="8"/>
      <c r="AC408" s="8"/>
      <c r="AD408" s="61"/>
    </row>
  </sheetData>
  <sheetProtection formatCells="0" formatColumns="0" formatRows="0" insertColumns="0" insertRows="0" insertHyperlinks="0" deleteColumns="0" deleteRows="0"/>
  <protectedRanges>
    <protectedRange sqref="C5:C6 J5:J6 Q5:Q6" name="Диапазон1"/>
  </protectedRanges>
  <customSheetViews>
    <customSheetView guid="{788B8383-784A-4263-9D04-45657AC129FF}" hiddenRows="1" hiddenColumns="1" topLeftCell="A11">
      <selection sqref="A1:Z2"/>
      <pageMargins left="0.75" right="0.75" top="1" bottom="1" header="0.5" footer="0.5"/>
      <pageSetup paperSize="9" orientation="portrait" r:id="rId1"/>
      <headerFooter alignWithMargins="0"/>
    </customSheetView>
  </customSheetViews>
  <mergeCells count="17">
    <mergeCell ref="A1:Z2"/>
    <mergeCell ref="C5:E5"/>
    <mergeCell ref="Q5:S5"/>
    <mergeCell ref="Q6:S6"/>
    <mergeCell ref="Q4:S4"/>
    <mergeCell ref="X5:Z5"/>
    <mergeCell ref="X6:Z6"/>
    <mergeCell ref="AH6:AI6"/>
    <mergeCell ref="A42:H42"/>
    <mergeCell ref="A8:S8"/>
    <mergeCell ref="X4:Z4"/>
    <mergeCell ref="J4:L4"/>
    <mergeCell ref="J6:L6"/>
    <mergeCell ref="J5:L5"/>
    <mergeCell ref="C4:E4"/>
    <mergeCell ref="C6:E6"/>
    <mergeCell ref="L42:P42"/>
  </mergeCells>
  <phoneticPr fontId="2" type="noConversion"/>
  <dataValidations count="5">
    <dataValidation type="list" allowBlank="1" showInputMessage="1" showErrorMessage="1" sqref="X5:AB5" xr:uid="{00000000-0002-0000-1700-000000000000}">
      <formula1>$AF$32:$AF$37</formula1>
    </dataValidation>
    <dataValidation type="list" allowBlank="1" showInputMessage="1" showErrorMessage="1" sqref="R7:U7 B5 O5:P5 K7:P7" xr:uid="{00000000-0002-0000-1700-000001000000}">
      <formula1>#REF!</formula1>
    </dataValidation>
    <dataValidation type="list" allowBlank="1" showInputMessage="1" showErrorMessage="1" sqref="Q5:W5" xr:uid="{00000000-0002-0000-1700-000002000000}">
      <formula1>$AF$26:$AF$30</formula1>
    </dataValidation>
    <dataValidation type="list" allowBlank="1" showInputMessage="1" showErrorMessage="1" sqref="J5:N5" xr:uid="{00000000-0002-0000-1700-000003000000}">
      <formula1>$AF$16:$AF$24</formula1>
    </dataValidation>
    <dataValidation type="list" allowBlank="1" showInputMessage="1" showErrorMessage="1" sqref="C5:G5" xr:uid="{00000000-0002-0000-1700-000004000000}">
      <formula1>$AF$12:$AF$14</formula1>
    </dataValidation>
  </dataValidations>
  <hyperlinks>
    <hyperlink ref="AI7" location="'8'!A1" display="Информация" xr:uid="{00000000-0004-0000-1700-000000000000}"/>
    <hyperlink ref="AI5" location="'5.1'!A1" display="AVENTOS" xr:uid="{00000000-0004-0000-1700-000001000000}"/>
    <hyperlink ref="AH7" location="'8'!A1" display="→" xr:uid="{00000000-0004-0000-1700-000002000000}"/>
    <hyperlink ref="AH5" location="'5.1'!A1" display="→" xr:uid="{00000000-0004-0000-1700-000003000000}"/>
    <hyperlink ref="AH6" location="'5.2'!A1" display="AVS Servo-Drive" xr:uid="{00000000-0004-0000-1700-000004000000}"/>
    <hyperlink ref="AH9:AJ9" location="СОДЕРЖАНИЕ!A1" display="←" xr:uid="{00000000-0004-0000-1700-000005000000}"/>
  </hyperlinks>
  <pageMargins left="0.75" right="0.75" top="1" bottom="1" header="0.5" footer="0.5"/>
  <pageSetup paperSize="9" orientation="portrait" r:id="rId2"/>
  <headerFooter alignWithMargins="0"/>
  <ignoredErrors>
    <ignoredError sqref="AJ7" numberStoredAsText="1"/>
  </ignoredErrors>
  <drawing r:id="rId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 codeName="Лист19"/>
  <dimension ref="A1:AD174"/>
  <sheetViews>
    <sheetView workbookViewId="0"/>
  </sheetViews>
  <sheetFormatPr defaultColWidth="9.140625" defaultRowHeight="12.75" x14ac:dyDescent="0.2"/>
  <cols>
    <col min="1" max="1" width="4.140625" customWidth="1"/>
    <col min="2" max="2" width="25.5703125" customWidth="1"/>
    <col min="3" max="3" width="8.5703125" bestFit="1" customWidth="1"/>
    <col min="4" max="4" width="39.7109375" bestFit="1" customWidth="1"/>
    <col min="5" max="5" width="2" bestFit="1" customWidth="1"/>
    <col min="6" max="6" width="0" hidden="1" customWidth="1"/>
  </cols>
  <sheetData>
    <row r="1" spans="1:29" s="8" customFormat="1" ht="7.5" customHeight="1" thickBot="1" x14ac:dyDescent="0.25"/>
    <row r="2" spans="1:29" ht="20.25" x14ac:dyDescent="0.2">
      <c r="A2" s="8"/>
      <c r="B2" s="2015" t="s">
        <v>1678</v>
      </c>
      <c r="C2" s="2016"/>
      <c r="D2" s="2016"/>
      <c r="E2" s="2016"/>
      <c r="F2" s="371"/>
      <c r="G2" s="372"/>
      <c r="H2" s="8"/>
      <c r="I2" s="8"/>
      <c r="J2" s="8"/>
      <c r="K2" s="8"/>
      <c r="L2" s="8"/>
      <c r="M2" s="53"/>
      <c r="N2" s="8"/>
      <c r="O2" s="340"/>
      <c r="P2" s="8"/>
      <c r="Q2" s="8"/>
      <c r="R2" s="8"/>
      <c r="S2" s="8"/>
      <c r="T2" s="8"/>
      <c r="U2" s="8"/>
      <c r="V2" s="8"/>
      <c r="W2" s="8"/>
      <c r="X2" s="8"/>
      <c r="Y2" s="8"/>
      <c r="Z2" s="8"/>
      <c r="AA2" s="8"/>
      <c r="AB2" s="8"/>
      <c r="AC2" s="8"/>
    </row>
    <row r="3" spans="1:29" ht="20.25" x14ac:dyDescent="0.2">
      <c r="A3" s="17"/>
      <c r="B3" s="2018"/>
      <c r="C3" s="2019"/>
      <c r="D3" s="2019"/>
      <c r="E3" s="2019"/>
      <c r="F3" s="373"/>
      <c r="G3" s="374"/>
      <c r="H3" s="8"/>
      <c r="I3" s="8"/>
      <c r="J3" s="8"/>
      <c r="K3" s="8"/>
      <c r="L3" s="8"/>
      <c r="M3" s="53"/>
      <c r="N3" s="8"/>
      <c r="O3" s="340"/>
      <c r="P3" s="8"/>
      <c r="Q3" s="8"/>
      <c r="R3" s="8"/>
      <c r="S3" s="8"/>
      <c r="T3" s="8"/>
      <c r="U3" s="8"/>
      <c r="V3" s="8"/>
      <c r="W3" s="8"/>
      <c r="X3" s="8"/>
      <c r="Y3" s="8"/>
      <c r="Z3" s="8"/>
      <c r="AA3" s="8"/>
      <c r="AB3" s="8"/>
      <c r="AC3" s="8"/>
    </row>
    <row r="4" spans="1:29" x14ac:dyDescent="0.2">
      <c r="A4" s="17"/>
      <c r="B4" s="2041"/>
      <c r="C4" s="2042"/>
      <c r="D4" s="2042"/>
      <c r="E4" s="2042"/>
      <c r="F4" s="81"/>
      <c r="G4" s="375"/>
      <c r="H4" s="8"/>
      <c r="I4" s="8"/>
      <c r="J4" s="8"/>
      <c r="K4" s="8"/>
      <c r="L4" s="8"/>
      <c r="M4" s="53"/>
      <c r="N4" s="8"/>
      <c r="O4" s="340"/>
      <c r="P4" s="8"/>
      <c r="Q4" s="8"/>
      <c r="R4" s="8"/>
      <c r="S4" s="8"/>
      <c r="T4" s="8"/>
      <c r="U4" s="8"/>
      <c r="V4" s="8"/>
      <c r="W4" s="8"/>
      <c r="X4" s="8"/>
      <c r="Y4" s="8"/>
      <c r="Z4" s="8"/>
      <c r="AA4" s="8"/>
      <c r="AB4" s="8"/>
      <c r="AC4" s="8"/>
    </row>
    <row r="5" spans="1:29" ht="15" x14ac:dyDescent="0.2">
      <c r="A5" s="17"/>
      <c r="B5" s="2043"/>
      <c r="C5" s="2044"/>
      <c r="D5" s="2044"/>
      <c r="E5" s="2044"/>
      <c r="F5" s="82"/>
      <c r="G5" s="376" t="str">
        <f>IF(СОДЕРЖАНИЕ!P2=1,"EUR","RUB")</f>
        <v>RUB</v>
      </c>
      <c r="H5" s="8"/>
      <c r="I5" s="8"/>
      <c r="J5" s="8"/>
      <c r="K5" s="8"/>
      <c r="L5" s="8"/>
      <c r="M5" s="53"/>
      <c r="N5" s="8"/>
      <c r="O5" s="340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  <c r="AC5" s="8"/>
    </row>
    <row r="6" spans="1:29" x14ac:dyDescent="0.2">
      <c r="A6" s="17"/>
      <c r="B6" s="2028"/>
      <c r="C6" s="2" t="s">
        <v>111</v>
      </c>
      <c r="D6" s="2" t="str">
        <f>VLOOKUP(C6,всецены,2,FALSE)</f>
        <v xml:space="preserve">Pocket door 500 мм,пр,270E5000.02(снят) </v>
      </c>
      <c r="E6" s="3">
        <v>1</v>
      </c>
      <c r="F6" s="65">
        <f>VLOOKUP(C6,всецены,4,FALSE)</f>
        <v>1939.5115740000001</v>
      </c>
      <c r="G6" s="377">
        <f>F6*E6</f>
        <v>1939.5115740000001</v>
      </c>
      <c r="H6" s="8"/>
      <c r="I6" s="8"/>
      <c r="J6" s="8"/>
      <c r="K6" s="8"/>
      <c r="L6" s="8"/>
      <c r="M6" s="53"/>
      <c r="N6" s="8"/>
      <c r="O6" s="340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  <c r="AC6" s="8"/>
    </row>
    <row r="7" spans="1:29" ht="13.5" thickBot="1" x14ac:dyDescent="0.25">
      <c r="A7" s="17"/>
      <c r="B7" s="2025"/>
      <c r="C7" s="353" t="s">
        <v>112</v>
      </c>
      <c r="D7" s="353" t="str">
        <f>VLOOKUP(C7,всецены,2,FALSE)</f>
        <v>Pocket door 500 мм,лев,270E5000.03(снят)</v>
      </c>
      <c r="E7" s="355">
        <v>1</v>
      </c>
      <c r="F7" s="382">
        <f>VLOOKUP(C7,всецены,4,FALSE)</f>
        <v>1939.5115740000001</v>
      </c>
      <c r="G7" s="383">
        <f>F7*E7</f>
        <v>1939.5115740000001</v>
      </c>
      <c r="H7" s="8"/>
      <c r="I7" s="8"/>
      <c r="J7" s="8"/>
      <c r="K7" s="8"/>
      <c r="L7" s="8"/>
      <c r="M7" s="53"/>
      <c r="N7" s="8"/>
      <c r="O7" s="340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  <c r="AC7" s="8"/>
    </row>
    <row r="8" spans="1:29" ht="17.25" customHeight="1" x14ac:dyDescent="0.2">
      <c r="A8" s="17"/>
      <c r="B8" s="17"/>
      <c r="C8" s="17"/>
      <c r="D8" s="17"/>
      <c r="E8" s="344"/>
      <c r="F8" s="8"/>
      <c r="G8" s="91"/>
      <c r="H8" s="8"/>
      <c r="I8" s="8"/>
      <c r="J8" s="8"/>
      <c r="K8" s="8"/>
      <c r="L8" s="8"/>
      <c r="M8" s="53"/>
      <c r="N8" s="8"/>
      <c r="O8" s="340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  <c r="AC8" s="8"/>
    </row>
    <row r="9" spans="1:29" ht="10.5" customHeight="1" thickBot="1" x14ac:dyDescent="0.25">
      <c r="A9" s="8"/>
      <c r="B9" s="8"/>
      <c r="C9" s="8"/>
      <c r="D9" s="8"/>
      <c r="E9" s="53"/>
      <c r="F9" s="8"/>
      <c r="G9" s="91"/>
      <c r="H9" s="8"/>
      <c r="I9" s="8"/>
      <c r="J9" s="8"/>
      <c r="K9" s="8"/>
      <c r="L9" s="8"/>
      <c r="M9" s="53"/>
      <c r="N9" s="8"/>
      <c r="O9" s="340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  <c r="AC9" s="8"/>
    </row>
    <row r="10" spans="1:29" ht="20.25" x14ac:dyDescent="0.2">
      <c r="A10" s="8"/>
      <c r="B10" s="2015" t="s">
        <v>1679</v>
      </c>
      <c r="C10" s="2016"/>
      <c r="D10" s="2016"/>
      <c r="E10" s="2016"/>
      <c r="F10" s="371"/>
      <c r="G10" s="372"/>
      <c r="H10" s="8"/>
      <c r="I10" s="8"/>
      <c r="J10" s="8"/>
      <c r="K10" s="8"/>
      <c r="L10" s="8"/>
      <c r="M10" s="53"/>
      <c r="N10" s="8"/>
      <c r="O10" s="340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  <c r="AC10" s="8"/>
    </row>
    <row r="11" spans="1:29" ht="20.25" x14ac:dyDescent="0.2">
      <c r="A11" s="17"/>
      <c r="B11" s="2018"/>
      <c r="C11" s="2019"/>
      <c r="D11" s="2019"/>
      <c r="E11" s="2019"/>
      <c r="F11" s="373"/>
      <c r="G11" s="374"/>
      <c r="H11" s="8"/>
      <c r="I11" s="8"/>
      <c r="J11" s="8"/>
      <c r="K11" s="8"/>
      <c r="L11" s="8"/>
      <c r="M11" s="53"/>
      <c r="N11" s="8"/>
      <c r="O11" s="340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  <c r="AC11" s="8"/>
    </row>
    <row r="12" spans="1:29" x14ac:dyDescent="0.2">
      <c r="A12" s="17"/>
      <c r="B12" s="2041"/>
      <c r="C12" s="2042"/>
      <c r="D12" s="2042"/>
      <c r="E12" s="2042"/>
      <c r="F12" s="81"/>
      <c r="G12" s="375"/>
      <c r="H12" s="8"/>
      <c r="I12" s="8"/>
      <c r="J12" s="8"/>
      <c r="K12" s="8"/>
      <c r="L12" s="8"/>
      <c r="M12" s="53"/>
      <c r="N12" s="8"/>
      <c r="O12" s="340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  <c r="AC12" s="8"/>
    </row>
    <row r="13" spans="1:29" ht="15" x14ac:dyDescent="0.2">
      <c r="A13" s="17"/>
      <c r="B13" s="2318" t="s">
        <v>1680</v>
      </c>
      <c r="C13" s="2319"/>
      <c r="D13" s="2319"/>
      <c r="E13" s="2319"/>
      <c r="F13" s="82"/>
      <c r="G13" s="1437" t="str">
        <f>IF(СОДЕРЖАНИЕ!P2=1,"EUR","RUB")</f>
        <v>RUB</v>
      </c>
      <c r="H13" s="8"/>
      <c r="I13" s="8"/>
      <c r="J13" s="8"/>
      <c r="K13" s="8"/>
      <c r="L13" s="8"/>
      <c r="M13" s="53"/>
      <c r="N13" s="8"/>
      <c r="O13" s="340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  <c r="AC13" s="8"/>
    </row>
    <row r="14" spans="1:29" x14ac:dyDescent="0.2">
      <c r="A14" s="17"/>
      <c r="B14" s="2028"/>
      <c r="C14" s="22" t="s">
        <v>636</v>
      </c>
      <c r="D14" s="2" t="str">
        <f t="shared" ref="D14:D21" si="0">VLOOKUP(C14,всецены,2,FALSE)</f>
        <v xml:space="preserve">Навес д/шк п/шуруп, бел, L, 48N0510.03S </v>
      </c>
      <c r="E14" s="3">
        <v>1</v>
      </c>
      <c r="F14" s="65">
        <f t="shared" ref="F14:F21" si="1">VLOOKUP(C14,всецены,4,FALSE)</f>
        <v>76.441965600000003</v>
      </c>
      <c r="G14" s="377">
        <f t="shared" ref="G14:G21" si="2">F14*E14</f>
        <v>76.441965600000003</v>
      </c>
      <c r="H14" s="8"/>
      <c r="I14" s="8"/>
      <c r="J14" s="8"/>
      <c r="K14" s="8"/>
      <c r="L14" s="8"/>
      <c r="M14" s="53"/>
      <c r="N14" s="8"/>
      <c r="O14" s="340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  <c r="AC14" s="8"/>
    </row>
    <row r="15" spans="1:29" x14ac:dyDescent="0.2">
      <c r="A15" s="17"/>
      <c r="B15" s="2024"/>
      <c r="C15" s="22" t="s">
        <v>126</v>
      </c>
      <c r="D15" s="2" t="str">
        <f t="shared" si="0"/>
        <v xml:space="preserve">Навес д/шк п/шуруп, бел, R, 48N0510.02S </v>
      </c>
      <c r="E15" s="3">
        <v>1</v>
      </c>
      <c r="F15" s="65">
        <f t="shared" si="1"/>
        <v>76.441965600000003</v>
      </c>
      <c r="G15" s="377">
        <f t="shared" si="2"/>
        <v>76.441965600000003</v>
      </c>
      <c r="H15" s="8"/>
      <c r="I15" s="8"/>
      <c r="J15" s="8"/>
      <c r="K15" s="8"/>
      <c r="L15" s="8"/>
      <c r="M15" s="53"/>
      <c r="N15" s="8"/>
      <c r="O15" s="340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  <c r="AC15" s="8"/>
    </row>
    <row r="16" spans="1:29" x14ac:dyDescent="0.2">
      <c r="A16" s="17"/>
      <c r="B16" s="2024"/>
      <c r="C16" s="22" t="s">
        <v>637</v>
      </c>
      <c r="D16" s="2" t="str">
        <f t="shared" si="0"/>
        <v xml:space="preserve">Навес д/шк п/шуруп, кор, L, 48N0510.03S </v>
      </c>
      <c r="E16" s="3">
        <v>1</v>
      </c>
      <c r="F16" s="65">
        <f t="shared" si="1"/>
        <v>84.574089600000008</v>
      </c>
      <c r="G16" s="377">
        <f t="shared" si="2"/>
        <v>84.574089600000008</v>
      </c>
      <c r="H16" s="8"/>
      <c r="I16" s="8"/>
      <c r="J16" s="8"/>
      <c r="K16" s="8"/>
      <c r="L16" s="8"/>
      <c r="M16" s="53"/>
      <c r="N16" s="8"/>
      <c r="O16" s="340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  <c r="AC16" s="8"/>
    </row>
    <row r="17" spans="1:30" x14ac:dyDescent="0.2">
      <c r="A17" s="17"/>
      <c r="B17" s="2024"/>
      <c r="C17" s="22" t="s">
        <v>379</v>
      </c>
      <c r="D17" s="2" t="str">
        <f t="shared" si="0"/>
        <v xml:space="preserve">Навес д/шк п/шуруп, кор, R, 48N0510.02S </v>
      </c>
      <c r="E17" s="3">
        <v>1</v>
      </c>
      <c r="F17" s="65">
        <f t="shared" si="1"/>
        <v>84.574089600000008</v>
      </c>
      <c r="G17" s="377">
        <f t="shared" si="2"/>
        <v>84.574089600000008</v>
      </c>
      <c r="H17" s="8"/>
      <c r="I17" s="8"/>
      <c r="J17" s="8"/>
      <c r="K17" s="8"/>
      <c r="L17" s="8"/>
      <c r="M17" s="53"/>
      <c r="N17" s="8"/>
      <c r="O17" s="340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  <c r="AC17" s="8"/>
    </row>
    <row r="18" spans="1:30" x14ac:dyDescent="0.2">
      <c r="A18" s="17"/>
      <c r="B18" s="2024"/>
      <c r="C18" s="22" t="s">
        <v>380</v>
      </c>
      <c r="D18" s="2" t="str">
        <f t="shared" si="0"/>
        <v>Навес д/шк п/шуруп, крем, L, 48N0510.03S</v>
      </c>
      <c r="E18" s="3">
        <v>1</v>
      </c>
      <c r="F18" s="65">
        <f t="shared" si="1"/>
        <v>84.574089600000008</v>
      </c>
      <c r="G18" s="377">
        <f t="shared" si="2"/>
        <v>84.574089600000008</v>
      </c>
      <c r="H18" s="8"/>
      <c r="I18" s="8"/>
      <c r="J18" s="8"/>
      <c r="K18" s="8"/>
      <c r="L18" s="8"/>
      <c r="M18" s="53"/>
      <c r="N18" s="8"/>
      <c r="O18" s="340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  <c r="AC18" s="8"/>
    </row>
    <row r="19" spans="1:30" x14ac:dyDescent="0.2">
      <c r="A19" s="17"/>
      <c r="B19" s="2024"/>
      <c r="C19" s="22" t="s">
        <v>125</v>
      </c>
      <c r="D19" s="2" t="str">
        <f t="shared" si="0"/>
        <v>Навес д/шк п/шуруп, крем, R, 48N0510.02S</v>
      </c>
      <c r="E19" s="3">
        <v>1</v>
      </c>
      <c r="F19" s="65">
        <f t="shared" si="1"/>
        <v>84.574089600000008</v>
      </c>
      <c r="G19" s="377">
        <f t="shared" si="2"/>
        <v>84.574089600000008</v>
      </c>
      <c r="H19" s="8"/>
      <c r="I19" s="8"/>
      <c r="J19" s="8"/>
      <c r="K19" s="8"/>
      <c r="L19" s="8"/>
      <c r="M19" s="53"/>
      <c r="N19" s="8"/>
      <c r="O19" s="340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  <c r="AC19" s="8"/>
    </row>
    <row r="20" spans="1:30" x14ac:dyDescent="0.2">
      <c r="A20" s="17"/>
      <c r="B20" s="2024"/>
      <c r="C20" s="2" t="s">
        <v>1397</v>
      </c>
      <c r="D20" s="2" t="str">
        <f t="shared" si="0"/>
        <v xml:space="preserve">Навес д/шк п/шуруп, сер, L, 48N0510.03S </v>
      </c>
      <c r="E20" s="3">
        <v>1</v>
      </c>
      <c r="F20" s="65">
        <f t="shared" si="1"/>
        <v>84.574089600000008</v>
      </c>
      <c r="G20" s="377">
        <f t="shared" si="2"/>
        <v>84.574089600000008</v>
      </c>
      <c r="H20" s="8"/>
      <c r="I20" s="8"/>
      <c r="J20" s="8"/>
      <c r="K20" s="8"/>
      <c r="L20" s="8"/>
      <c r="M20" s="53"/>
      <c r="N20" s="8"/>
      <c r="O20" s="340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  <c r="AC20" s="8"/>
    </row>
    <row r="21" spans="1:30" x14ac:dyDescent="0.2">
      <c r="A21" s="17"/>
      <c r="B21" s="2197"/>
      <c r="C21" s="2" t="s">
        <v>1396</v>
      </c>
      <c r="D21" s="2" t="str">
        <f t="shared" si="0"/>
        <v xml:space="preserve">Навес д/шк п/шуруп, сер, R, 48N0510.02S </v>
      </c>
      <c r="E21" s="3">
        <v>1</v>
      </c>
      <c r="F21" s="65">
        <f t="shared" si="1"/>
        <v>84.574089600000008</v>
      </c>
      <c r="G21" s="377">
        <f t="shared" si="2"/>
        <v>84.574089600000008</v>
      </c>
      <c r="H21" s="8"/>
      <c r="I21" s="8"/>
      <c r="J21" s="8"/>
      <c r="K21" s="8"/>
      <c r="L21" s="8"/>
      <c r="M21" s="53"/>
      <c r="N21" s="8"/>
      <c r="O21" s="340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  <c r="AC21" s="8"/>
    </row>
    <row r="22" spans="1:30" x14ac:dyDescent="0.2">
      <c r="A22" s="17"/>
      <c r="B22" s="433"/>
      <c r="C22" s="28"/>
      <c r="D22" s="28"/>
      <c r="E22" s="32"/>
      <c r="F22" s="28"/>
      <c r="G22" s="764"/>
      <c r="H22" s="8"/>
      <c r="I22" s="8"/>
      <c r="J22" s="8"/>
      <c r="K22" s="8"/>
      <c r="L22" s="8"/>
      <c r="M22" s="53"/>
      <c r="N22" s="8"/>
      <c r="O22" s="340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  <c r="AC22" s="8"/>
    </row>
    <row r="23" spans="1:30" ht="15" x14ac:dyDescent="0.2">
      <c r="A23" s="17"/>
      <c r="B23" s="2318" t="s">
        <v>1681</v>
      </c>
      <c r="C23" s="2319"/>
      <c r="D23" s="2319"/>
      <c r="E23" s="2319"/>
      <c r="F23" s="763"/>
      <c r="G23" s="1437" t="str">
        <f>IF(СОДЕРЖАНИЕ!P2=1,"EUR","RUB")</f>
        <v>RUB</v>
      </c>
      <c r="H23" s="8"/>
      <c r="I23" s="8"/>
      <c r="J23" s="8"/>
      <c r="K23" s="8"/>
      <c r="L23" s="8"/>
      <c r="M23" s="53"/>
      <c r="N23" s="8"/>
      <c r="O23" s="340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  <c r="AC23" s="8"/>
    </row>
    <row r="24" spans="1:30" x14ac:dyDescent="0.2">
      <c r="A24" s="17"/>
      <c r="B24" s="2028"/>
      <c r="C24" s="2" t="s">
        <v>638</v>
      </c>
      <c r="D24" s="2" t="str">
        <f>VLOOKUP(C24,всецены,2,FALSE)</f>
        <v xml:space="preserve">Навес д/шк п/пресс, бел, R, 48N0610.02S </v>
      </c>
      <c r="E24" s="3">
        <v>1</v>
      </c>
      <c r="F24" s="65">
        <f>VLOOKUP(C24,всецены,4,FALSE)</f>
        <v>87.013726800000015</v>
      </c>
      <c r="G24" s="377">
        <f>F24*E24</f>
        <v>87.013726800000015</v>
      </c>
      <c r="H24" s="8"/>
      <c r="I24" s="8"/>
      <c r="J24" s="8"/>
      <c r="K24" s="8"/>
      <c r="L24" s="8"/>
      <c r="M24" s="53"/>
      <c r="N24" s="8"/>
      <c r="O24" s="340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  <c r="AC24" s="8"/>
    </row>
    <row r="25" spans="1:30" x14ac:dyDescent="0.2">
      <c r="A25" s="17"/>
      <c r="B25" s="2024"/>
      <c r="C25" s="2" t="s">
        <v>640</v>
      </c>
      <c r="D25" s="2" t="str">
        <f>VLOOKUP(C25,всецены,2,FALSE)</f>
        <v xml:space="preserve">Навес д/шк п/пресс, бел, L, 48N0610.03S </v>
      </c>
      <c r="E25" s="3">
        <v>1</v>
      </c>
      <c r="F25" s="65">
        <f>VLOOKUP(C25,всецены,4,FALSE)</f>
        <v>87.013726800000015</v>
      </c>
      <c r="G25" s="377">
        <f>F25*E25</f>
        <v>87.013726800000015</v>
      </c>
      <c r="H25" s="8"/>
      <c r="I25" s="8"/>
      <c r="J25" s="8"/>
      <c r="K25" s="8"/>
      <c r="L25" s="8"/>
      <c r="M25" s="53"/>
      <c r="N25" s="8"/>
      <c r="O25" s="340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  <c r="AC25" s="8"/>
    </row>
    <row r="26" spans="1:30" x14ac:dyDescent="0.2">
      <c r="A26" s="17"/>
      <c r="B26" s="2024"/>
      <c r="C26" s="2" t="s">
        <v>639</v>
      </c>
      <c r="D26" s="2" t="str">
        <f>VLOOKUP(C26,всецены,2,FALSE)</f>
        <v xml:space="preserve">Навес д/шк п/пресс, кор, R, 48N0610.02S </v>
      </c>
      <c r="E26" s="3">
        <v>1</v>
      </c>
      <c r="F26" s="65">
        <f>VLOOKUP(C26,всецены,4,FALSE)</f>
        <v>87.013726800000015</v>
      </c>
      <c r="G26" s="377">
        <f>F26*E26</f>
        <v>87.013726800000015</v>
      </c>
      <c r="H26" s="8"/>
      <c r="I26" s="8"/>
      <c r="J26" s="8"/>
      <c r="K26" s="8"/>
      <c r="L26" s="8"/>
      <c r="M26" s="53"/>
      <c r="N26" s="8"/>
      <c r="O26" s="340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  <c r="AC26" s="8"/>
    </row>
    <row r="27" spans="1:30" x14ac:dyDescent="0.2">
      <c r="A27" s="17"/>
      <c r="B27" s="2024"/>
      <c r="C27" s="2" t="s">
        <v>1755</v>
      </c>
      <c r="D27" s="2" t="str">
        <f>VLOOKUP(C27,всецены,2,FALSE)</f>
        <v xml:space="preserve">Навес д/шк п/пресс, кор, L, 48N0610.03S </v>
      </c>
      <c r="E27" s="3">
        <v>1</v>
      </c>
      <c r="F27" s="65">
        <f>VLOOKUP(C27,всецены,4,FALSE)</f>
        <v>87.013726800000015</v>
      </c>
      <c r="G27" s="377">
        <f>F27*E27</f>
        <v>87.013726800000015</v>
      </c>
      <c r="H27" s="8"/>
      <c r="I27" s="8"/>
      <c r="J27" s="8"/>
      <c r="K27" s="8"/>
      <c r="L27" s="8"/>
      <c r="M27" s="53"/>
      <c r="N27" s="8"/>
      <c r="O27" s="340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  <c r="AC27" s="8"/>
    </row>
    <row r="28" spans="1:30" x14ac:dyDescent="0.2">
      <c r="A28" s="17"/>
      <c r="B28" s="2024"/>
      <c r="C28" s="2"/>
      <c r="D28" s="2"/>
      <c r="E28" s="3"/>
      <c r="F28" s="65"/>
      <c r="G28" s="377"/>
      <c r="H28" s="8"/>
      <c r="I28" s="8"/>
      <c r="J28" s="8"/>
      <c r="K28" s="8"/>
      <c r="L28" s="8"/>
      <c r="M28" s="53"/>
      <c r="N28" s="8"/>
      <c r="O28" s="340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  <c r="AC28" s="8"/>
    </row>
    <row r="29" spans="1:30" ht="13.5" thickBot="1" x14ac:dyDescent="0.25">
      <c r="A29" s="17"/>
      <c r="B29" s="2025"/>
      <c r="C29" s="380"/>
      <c r="D29" s="353"/>
      <c r="E29" s="355"/>
      <c r="F29" s="382"/>
      <c r="G29" s="383"/>
      <c r="H29" s="8"/>
      <c r="I29" s="8"/>
      <c r="J29" s="8"/>
      <c r="K29" s="8"/>
      <c r="L29" s="8"/>
      <c r="M29" s="53"/>
      <c r="N29" s="8"/>
      <c r="O29" s="340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  <c r="AC29" s="8"/>
    </row>
    <row r="30" spans="1:30" x14ac:dyDescent="0.2">
      <c r="A30" s="17"/>
      <c r="B30" s="17"/>
      <c r="C30" s="17"/>
      <c r="D30" s="17"/>
      <c r="E30" s="344"/>
      <c r="F30" s="8"/>
      <c r="G30" s="91"/>
      <c r="H30" s="8"/>
      <c r="I30" s="8"/>
      <c r="J30" s="8"/>
      <c r="K30" s="8"/>
      <c r="L30" s="8"/>
      <c r="M30" s="53"/>
      <c r="N30" s="8"/>
      <c r="O30" s="340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  <c r="AC30" s="8"/>
    </row>
    <row r="31" spans="1:30" ht="13.5" thickBot="1" x14ac:dyDescent="0.25">
      <c r="A31" s="8"/>
      <c r="B31" s="8"/>
      <c r="C31" s="8"/>
      <c r="D31" s="8"/>
      <c r="E31" s="8"/>
      <c r="F31" s="8"/>
      <c r="G31" s="8"/>
      <c r="H31" s="8"/>
      <c r="I31" s="8"/>
      <c r="J31" s="8"/>
      <c r="K31" s="8"/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  <c r="AC31" s="8"/>
      <c r="AD31" s="8"/>
    </row>
    <row r="32" spans="1:30" ht="20.25" x14ac:dyDescent="0.2">
      <c r="A32" s="8"/>
      <c r="B32" s="2015" t="s">
        <v>1676</v>
      </c>
      <c r="C32" s="2016"/>
      <c r="D32" s="2016"/>
      <c r="E32" s="2016"/>
      <c r="F32" s="371"/>
      <c r="G32" s="372"/>
      <c r="H32" s="8"/>
      <c r="I32" s="8"/>
      <c r="J32" s="8"/>
      <c r="K32" s="8"/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  <c r="AC32" s="8"/>
      <c r="AD32" s="8"/>
    </row>
    <row r="33" spans="1:30" ht="20.25" x14ac:dyDescent="0.2">
      <c r="A33" s="17"/>
      <c r="B33" s="2018"/>
      <c r="C33" s="2019"/>
      <c r="D33" s="2019"/>
      <c r="E33" s="2019"/>
      <c r="F33" s="373"/>
      <c r="G33" s="374"/>
      <c r="H33" s="8"/>
      <c r="I33" s="8"/>
      <c r="J33" s="8"/>
      <c r="K33" s="8"/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  <c r="AC33" s="8"/>
      <c r="AD33" s="8"/>
    </row>
    <row r="34" spans="1:30" x14ac:dyDescent="0.2">
      <c r="A34" s="17"/>
      <c r="B34" s="2041"/>
      <c r="C34" s="2042"/>
      <c r="D34" s="2042"/>
      <c r="E34" s="2042"/>
      <c r="F34" s="81"/>
      <c r="G34" s="375"/>
      <c r="H34" s="8"/>
      <c r="I34" s="8"/>
      <c r="J34" s="8"/>
      <c r="K34" s="8"/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  <c r="AC34" s="8"/>
      <c r="AD34" s="8"/>
    </row>
    <row r="35" spans="1:30" ht="15" x14ac:dyDescent="0.2">
      <c r="A35" s="17"/>
      <c r="B35" s="2043"/>
      <c r="C35" s="2044"/>
      <c r="D35" s="2044"/>
      <c r="E35" s="2044"/>
      <c r="F35" s="82"/>
      <c r="G35" s="1437" t="str">
        <f>IF(СОДЕРЖАНИЕ!P2=1,"EUR","RUB")</f>
        <v>RUB</v>
      </c>
      <c r="H35" s="8"/>
      <c r="I35" s="8"/>
      <c r="J35" s="8"/>
      <c r="K35" s="8"/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  <c r="AC35" s="8"/>
      <c r="AD35" s="8"/>
    </row>
    <row r="36" spans="1:30" x14ac:dyDescent="0.2">
      <c r="A36" s="17"/>
      <c r="B36" s="2028"/>
      <c r="C36" s="2" t="s">
        <v>123</v>
      </c>
      <c r="D36" s="2" t="str">
        <f>VLOOKUP(C36,всецены,2,FALSE)</f>
        <v>Корпусн стяжка (гнездо) св/сер42.0110.01</v>
      </c>
      <c r="E36" s="3">
        <v>1</v>
      </c>
      <c r="F36" s="65">
        <f>VLOOKUP(C36,всецены,4,FALSE)</f>
        <v>9.7585487999999998</v>
      </c>
      <c r="G36" s="377">
        <f>F36*E36</f>
        <v>9.7585487999999998</v>
      </c>
      <c r="H36" s="8"/>
      <c r="I36" s="8"/>
      <c r="J36" s="8"/>
      <c r="K36" s="8"/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  <c r="AC36" s="8"/>
      <c r="AD36" s="8"/>
    </row>
    <row r="37" spans="1:30" x14ac:dyDescent="0.2">
      <c r="A37" s="17"/>
      <c r="B37" s="2024"/>
      <c r="C37" s="2" t="s">
        <v>120</v>
      </c>
      <c r="D37" s="2" t="str">
        <f>VLOOKUP(C37,всецены,2,FALSE)</f>
        <v xml:space="preserve">Корпусн стяжка (гнездо) беж.42.0110.01  </v>
      </c>
      <c r="E37" s="3">
        <v>1</v>
      </c>
      <c r="F37" s="65">
        <f>VLOOKUP(C37,всецены,4,FALSE)</f>
        <v>9.7585487999999998</v>
      </c>
      <c r="G37" s="377">
        <f>F37*E37</f>
        <v>9.7585487999999998</v>
      </c>
      <c r="H37" s="8"/>
      <c r="I37" s="8"/>
      <c r="J37" s="8"/>
      <c r="K37" s="8"/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  <c r="AC37" s="8"/>
      <c r="AD37" s="8"/>
    </row>
    <row r="38" spans="1:30" x14ac:dyDescent="0.2">
      <c r="A38" s="17"/>
      <c r="B38" s="2024"/>
      <c r="C38" s="2" t="s">
        <v>121</v>
      </c>
      <c r="D38" s="2" t="str">
        <f>VLOOKUP(C38,всецены,2,FALSE)</f>
        <v xml:space="preserve">Корпусн стяжка (гнездо) бел. 42.0110.01 </v>
      </c>
      <c r="E38" s="3">
        <v>1</v>
      </c>
      <c r="F38" s="65">
        <f>VLOOKUP(C38,всецены,4,FALSE)</f>
        <v>9.7585487999999998</v>
      </c>
      <c r="G38" s="377">
        <f>F38*E38</f>
        <v>9.7585487999999998</v>
      </c>
      <c r="H38" s="8"/>
      <c r="I38" s="8"/>
      <c r="J38" s="8"/>
      <c r="K38" s="8"/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  <c r="AC38" s="8"/>
      <c r="AD38" s="8"/>
    </row>
    <row r="39" spans="1:30" x14ac:dyDescent="0.2">
      <c r="A39" s="17"/>
      <c r="B39" s="2024"/>
      <c r="C39" s="2" t="s">
        <v>122</v>
      </c>
      <c r="D39" s="2" t="str">
        <f>VLOOKUP(C39,всецены,2,FALSE)</f>
        <v xml:space="preserve">Корпусн стяжка (гнездо) кор.42.0110.01  </v>
      </c>
      <c r="E39" s="3">
        <v>1</v>
      </c>
      <c r="F39" s="65">
        <f>VLOOKUP(C39,всецены,4,FALSE)</f>
        <v>9.7585487999999998</v>
      </c>
      <c r="G39" s="377">
        <f>F39*E39</f>
        <v>9.7585487999999998</v>
      </c>
      <c r="H39" s="8"/>
      <c r="I39" s="8"/>
      <c r="J39" s="8"/>
      <c r="K39" s="8"/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  <c r="AC39" s="8"/>
      <c r="AD39" s="8"/>
    </row>
    <row r="40" spans="1:30" ht="13.5" thickBot="1" x14ac:dyDescent="0.25">
      <c r="A40" s="17"/>
      <c r="B40" s="2025"/>
      <c r="C40" s="353" t="s">
        <v>119</v>
      </c>
      <c r="D40" s="353" t="str">
        <f>VLOOKUP(C40,всецены,2,FALSE)</f>
        <v xml:space="preserve">Корпусн стяжка (шуруп)  42.0720         </v>
      </c>
      <c r="E40" s="355">
        <v>1</v>
      </c>
      <c r="F40" s="382">
        <f>VLOOKUP(C40,всецены,4,FALSE)</f>
        <v>5.6924868000000011</v>
      </c>
      <c r="G40" s="383">
        <f>F40*E40</f>
        <v>5.6924868000000011</v>
      </c>
      <c r="H40" s="8"/>
      <c r="I40" s="8"/>
      <c r="J40" s="8"/>
      <c r="K40" s="8"/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  <c r="AC40" s="8"/>
      <c r="AD40" s="8"/>
    </row>
    <row r="41" spans="1:30" x14ac:dyDescent="0.2">
      <c r="A41" s="17"/>
      <c r="B41" s="17"/>
      <c r="C41" s="17"/>
      <c r="D41" s="17"/>
      <c r="E41" s="344"/>
      <c r="F41" s="8"/>
      <c r="G41" s="91"/>
      <c r="H41" s="8"/>
      <c r="I41" s="8"/>
      <c r="J41" s="8"/>
      <c r="K41" s="8"/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  <c r="AC41" s="8"/>
      <c r="AD41" s="8"/>
    </row>
    <row r="42" spans="1:30" x14ac:dyDescent="0.2">
      <c r="A42" s="8"/>
      <c r="B42" s="8"/>
      <c r="C42" s="8"/>
      <c r="D42" s="8"/>
      <c r="E42" s="8"/>
      <c r="F42" s="8"/>
      <c r="G42" s="8"/>
      <c r="H42" s="8"/>
      <c r="I42" s="8"/>
      <c r="J42" s="8"/>
      <c r="K42" s="8"/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  <c r="AC42" s="8"/>
      <c r="AD42" s="8"/>
    </row>
    <row r="43" spans="1:30" x14ac:dyDescent="0.2">
      <c r="A43" s="8"/>
      <c r="B43" s="8"/>
      <c r="C43" s="8"/>
      <c r="D43" s="8"/>
      <c r="E43" s="8"/>
      <c r="F43" s="8"/>
      <c r="G43" s="8"/>
      <c r="H43" s="8"/>
      <c r="I43" s="8"/>
      <c r="J43" s="8"/>
      <c r="K43" s="8"/>
      <c r="L43" s="8"/>
      <c r="M43" s="8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  <c r="AB43" s="8"/>
      <c r="AC43" s="8"/>
      <c r="AD43" s="8"/>
    </row>
    <row r="44" spans="1:30" x14ac:dyDescent="0.2">
      <c r="A44" s="8"/>
      <c r="B44" s="8"/>
      <c r="C44" s="8"/>
      <c r="D44" s="8"/>
      <c r="E44" s="8"/>
      <c r="F44" s="8"/>
      <c r="G44" s="8"/>
      <c r="H44" s="8"/>
      <c r="I44" s="8"/>
      <c r="J44" s="8"/>
      <c r="K44" s="8"/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  <c r="AC44" s="8"/>
      <c r="AD44" s="8"/>
    </row>
    <row r="45" spans="1:30" x14ac:dyDescent="0.2">
      <c r="A45" s="8"/>
      <c r="B45" s="8"/>
      <c r="C45" s="8"/>
      <c r="D45" s="8"/>
      <c r="E45" s="8"/>
      <c r="F45" s="8"/>
      <c r="G45" s="8"/>
      <c r="H45" s="8"/>
      <c r="I45" s="8"/>
      <c r="J45" s="8"/>
      <c r="K45" s="8"/>
      <c r="L45" s="8"/>
      <c r="M45" s="8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  <c r="AB45" s="8"/>
      <c r="AC45" s="8"/>
      <c r="AD45" s="8"/>
    </row>
    <row r="46" spans="1:30" x14ac:dyDescent="0.2">
      <c r="A46" s="8"/>
      <c r="B46" s="8"/>
      <c r="C46" s="8"/>
      <c r="D46" s="8"/>
      <c r="E46" s="8"/>
      <c r="F46" s="8"/>
      <c r="G46" s="8"/>
      <c r="H46" s="8"/>
      <c r="I46" s="8"/>
      <c r="J46" s="8"/>
      <c r="K46" s="8"/>
      <c r="L46" s="8"/>
      <c r="M46" s="8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  <c r="AB46" s="8"/>
      <c r="AC46" s="8"/>
      <c r="AD46" s="8"/>
    </row>
    <row r="47" spans="1:30" x14ac:dyDescent="0.2">
      <c r="A47" s="8"/>
      <c r="B47" s="8"/>
      <c r="C47" s="8"/>
      <c r="D47" s="8"/>
      <c r="E47" s="8"/>
      <c r="F47" s="8"/>
      <c r="G47" s="8"/>
      <c r="H47" s="8"/>
      <c r="I47" s="8"/>
      <c r="J47" s="8"/>
      <c r="K47" s="8"/>
      <c r="L47" s="8"/>
      <c r="M47" s="8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  <c r="AB47" s="8"/>
      <c r="AC47" s="8"/>
      <c r="AD47" s="8"/>
    </row>
    <row r="48" spans="1:30" x14ac:dyDescent="0.2">
      <c r="A48" s="8"/>
      <c r="B48" s="8"/>
      <c r="C48" s="8"/>
      <c r="D48" s="8"/>
      <c r="E48" s="8"/>
      <c r="F48" s="8"/>
      <c r="G48" s="8"/>
      <c r="H48" s="8"/>
      <c r="I48" s="8"/>
      <c r="J48" s="8"/>
      <c r="K48" s="8"/>
      <c r="L48" s="8"/>
      <c r="M48" s="8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  <c r="AB48" s="8"/>
      <c r="AC48" s="8"/>
      <c r="AD48" s="8"/>
    </row>
    <row r="49" spans="1:30" x14ac:dyDescent="0.2">
      <c r="A49" s="8"/>
      <c r="B49" s="8"/>
      <c r="C49" s="8"/>
      <c r="D49" s="8"/>
      <c r="E49" s="8"/>
      <c r="F49" s="8"/>
      <c r="G49" s="8"/>
      <c r="H49" s="8"/>
      <c r="I49" s="8"/>
      <c r="J49" s="8"/>
      <c r="K49" s="8"/>
      <c r="L49" s="8"/>
      <c r="M49" s="8"/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  <c r="AB49" s="8"/>
      <c r="AC49" s="8"/>
      <c r="AD49" s="8"/>
    </row>
    <row r="50" spans="1:30" x14ac:dyDescent="0.2">
      <c r="A50" s="8"/>
      <c r="B50" s="8"/>
      <c r="C50" s="8"/>
      <c r="D50" s="8"/>
      <c r="E50" s="8"/>
      <c r="F50" s="8"/>
      <c r="G50" s="8"/>
      <c r="H50" s="8"/>
      <c r="I50" s="8"/>
      <c r="J50" s="8"/>
      <c r="K50" s="8"/>
      <c r="L50" s="8"/>
      <c r="M50" s="8"/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  <c r="AB50" s="8"/>
      <c r="AC50" s="8"/>
      <c r="AD50" s="8"/>
    </row>
    <row r="51" spans="1:30" x14ac:dyDescent="0.2">
      <c r="A51" s="8"/>
      <c r="B51" s="8"/>
      <c r="C51" s="8"/>
      <c r="D51" s="8"/>
      <c r="E51" s="8"/>
      <c r="F51" s="8"/>
      <c r="G51" s="8"/>
      <c r="H51" s="8"/>
      <c r="I51" s="8"/>
      <c r="J51" s="8"/>
      <c r="K51" s="8"/>
      <c r="L51" s="8"/>
      <c r="M51" s="8"/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  <c r="AB51" s="8"/>
      <c r="AC51" s="8"/>
      <c r="AD51" s="8"/>
    </row>
    <row r="52" spans="1:30" x14ac:dyDescent="0.2">
      <c r="A52" s="8"/>
      <c r="B52" s="8"/>
      <c r="C52" s="8"/>
      <c r="D52" s="8"/>
      <c r="E52" s="8"/>
      <c r="F52" s="8"/>
      <c r="G52" s="8"/>
      <c r="H52" s="8"/>
      <c r="I52" s="8"/>
      <c r="J52" s="8"/>
      <c r="K52" s="8"/>
      <c r="L52" s="8"/>
      <c r="M52" s="8"/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  <c r="AA52" s="8"/>
      <c r="AB52" s="8"/>
      <c r="AC52" s="8"/>
      <c r="AD52" s="8"/>
    </row>
    <row r="53" spans="1:30" x14ac:dyDescent="0.2">
      <c r="A53" s="8"/>
      <c r="B53" s="8"/>
      <c r="C53" s="8"/>
      <c r="D53" s="8"/>
      <c r="E53" s="8"/>
      <c r="F53" s="8"/>
      <c r="G53" s="8"/>
      <c r="H53" s="8"/>
      <c r="I53" s="8"/>
      <c r="J53" s="8"/>
      <c r="K53" s="8"/>
      <c r="L53" s="8"/>
      <c r="M53" s="8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  <c r="AA53" s="8"/>
      <c r="AB53" s="8"/>
      <c r="AC53" s="8"/>
      <c r="AD53" s="8"/>
    </row>
    <row r="54" spans="1:30" x14ac:dyDescent="0.2">
      <c r="A54" s="8"/>
      <c r="B54" s="8"/>
      <c r="C54" s="8"/>
      <c r="D54" s="8"/>
      <c r="E54" s="8"/>
      <c r="F54" s="8"/>
      <c r="G54" s="8"/>
      <c r="H54" s="8"/>
      <c r="I54" s="8"/>
      <c r="J54" s="8"/>
      <c r="K54" s="8"/>
      <c r="L54" s="8"/>
      <c r="M54" s="8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  <c r="AC54" s="8"/>
      <c r="AD54" s="8"/>
    </row>
    <row r="55" spans="1:30" x14ac:dyDescent="0.2">
      <c r="A55" s="8"/>
      <c r="B55" s="8"/>
      <c r="C55" s="8"/>
      <c r="D55" s="8"/>
      <c r="E55" s="8"/>
      <c r="F55" s="8"/>
      <c r="G55" s="8"/>
      <c r="H55" s="8"/>
      <c r="I55" s="8"/>
      <c r="J55" s="8"/>
      <c r="K55" s="8"/>
      <c r="L55" s="8"/>
      <c r="M55" s="8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  <c r="AC55" s="8"/>
      <c r="AD55" s="8"/>
    </row>
    <row r="56" spans="1:30" x14ac:dyDescent="0.2">
      <c r="A56" s="8"/>
      <c r="B56" s="8"/>
      <c r="C56" s="8"/>
      <c r="D56" s="8"/>
      <c r="E56" s="8"/>
      <c r="F56" s="8"/>
      <c r="G56" s="8"/>
      <c r="H56" s="8"/>
      <c r="I56" s="8"/>
      <c r="J56" s="8"/>
      <c r="K56" s="8"/>
      <c r="L56" s="8"/>
      <c r="M56" s="8"/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  <c r="AA56" s="8"/>
      <c r="AB56" s="8"/>
      <c r="AC56" s="8"/>
      <c r="AD56" s="8"/>
    </row>
    <row r="57" spans="1:30" x14ac:dyDescent="0.2">
      <c r="A57" s="8"/>
      <c r="B57" s="8"/>
      <c r="C57" s="8"/>
      <c r="D57" s="8"/>
      <c r="E57" s="8"/>
      <c r="F57" s="8"/>
      <c r="G57" s="8"/>
      <c r="H57" s="8"/>
      <c r="I57" s="8"/>
      <c r="J57" s="8"/>
      <c r="K57" s="8"/>
      <c r="L57" s="8"/>
      <c r="M57" s="8"/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  <c r="AA57" s="8"/>
      <c r="AB57" s="8"/>
      <c r="AC57" s="8"/>
      <c r="AD57" s="8"/>
    </row>
    <row r="58" spans="1:30" x14ac:dyDescent="0.2">
      <c r="A58" s="8"/>
      <c r="B58" s="8"/>
      <c r="C58" s="8"/>
      <c r="D58" s="8"/>
      <c r="E58" s="8"/>
      <c r="F58" s="8"/>
      <c r="G58" s="8"/>
      <c r="H58" s="8"/>
      <c r="I58" s="8"/>
      <c r="J58" s="8"/>
      <c r="K58" s="8"/>
      <c r="L58" s="8"/>
      <c r="M58" s="8"/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  <c r="AA58" s="8"/>
      <c r="AB58" s="8"/>
      <c r="AC58" s="8"/>
      <c r="AD58" s="8"/>
    </row>
    <row r="59" spans="1:30" x14ac:dyDescent="0.2">
      <c r="A59" s="8"/>
      <c r="B59" s="8"/>
      <c r="C59" s="8"/>
      <c r="D59" s="8"/>
      <c r="E59" s="8"/>
      <c r="F59" s="8"/>
      <c r="G59" s="8"/>
      <c r="H59" s="8"/>
      <c r="I59" s="8"/>
      <c r="J59" s="8"/>
      <c r="K59" s="8"/>
      <c r="L59" s="8"/>
      <c r="M59" s="8"/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  <c r="AA59" s="8"/>
      <c r="AB59" s="8"/>
      <c r="AC59" s="8"/>
      <c r="AD59" s="8"/>
    </row>
    <row r="60" spans="1:30" x14ac:dyDescent="0.2">
      <c r="A60" s="8"/>
      <c r="B60" s="8"/>
      <c r="C60" s="8"/>
      <c r="D60" s="8"/>
      <c r="E60" s="8"/>
      <c r="F60" s="8"/>
      <c r="G60" s="8"/>
      <c r="H60" s="8"/>
      <c r="I60" s="8"/>
      <c r="J60" s="8"/>
      <c r="K60" s="8"/>
      <c r="L60" s="8"/>
      <c r="M60" s="8"/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  <c r="AA60" s="8"/>
      <c r="AB60" s="8"/>
      <c r="AC60" s="8"/>
      <c r="AD60" s="8"/>
    </row>
    <row r="61" spans="1:30" x14ac:dyDescent="0.2">
      <c r="A61" s="8"/>
      <c r="B61" s="8"/>
      <c r="C61" s="8"/>
      <c r="D61" s="8"/>
      <c r="E61" s="8"/>
      <c r="F61" s="8"/>
      <c r="G61" s="8"/>
      <c r="H61" s="8"/>
      <c r="I61" s="8"/>
      <c r="J61" s="8"/>
      <c r="K61" s="8"/>
      <c r="L61" s="8"/>
      <c r="M61" s="8"/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  <c r="AA61" s="8"/>
      <c r="AB61" s="8"/>
      <c r="AC61" s="8"/>
      <c r="AD61" s="8"/>
    </row>
    <row r="62" spans="1:30" x14ac:dyDescent="0.2">
      <c r="A62" s="8"/>
      <c r="B62" s="8"/>
      <c r="C62" s="8"/>
      <c r="D62" s="8"/>
      <c r="E62" s="8"/>
      <c r="F62" s="8"/>
      <c r="G62" s="8"/>
      <c r="H62" s="8"/>
      <c r="I62" s="8"/>
      <c r="J62" s="8"/>
      <c r="K62" s="8"/>
      <c r="L62" s="8"/>
      <c r="M62" s="8"/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  <c r="AA62" s="8"/>
      <c r="AB62" s="8"/>
      <c r="AC62" s="8"/>
      <c r="AD62" s="8"/>
    </row>
    <row r="63" spans="1:30" x14ac:dyDescent="0.2">
      <c r="A63" s="8"/>
      <c r="B63" s="8"/>
      <c r="C63" s="8"/>
      <c r="D63" s="8"/>
      <c r="E63" s="8"/>
      <c r="F63" s="8"/>
      <c r="G63" s="8"/>
      <c r="H63" s="8"/>
      <c r="I63" s="8"/>
      <c r="J63" s="8"/>
      <c r="K63" s="8"/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  <c r="AC63" s="8"/>
      <c r="AD63" s="8"/>
    </row>
    <row r="64" spans="1:30" x14ac:dyDescent="0.2">
      <c r="A64" s="8"/>
      <c r="B64" s="8"/>
      <c r="C64" s="8"/>
      <c r="D64" s="8"/>
      <c r="E64" s="8"/>
      <c r="F64" s="8"/>
      <c r="G64" s="8"/>
      <c r="H64" s="8"/>
      <c r="I64" s="8"/>
      <c r="J64" s="8"/>
      <c r="K64" s="8"/>
      <c r="L64" s="8"/>
      <c r="M64" s="8"/>
      <c r="N64" s="8"/>
      <c r="O64" s="8"/>
      <c r="P64" s="8"/>
      <c r="Q64" s="8"/>
      <c r="R64" s="8"/>
      <c r="S64" s="8"/>
      <c r="T64" s="8"/>
      <c r="U64" s="8"/>
      <c r="V64" s="8"/>
      <c r="W64" s="8"/>
      <c r="X64" s="8"/>
      <c r="Y64" s="8"/>
      <c r="Z64" s="8"/>
      <c r="AA64" s="8"/>
      <c r="AB64" s="8"/>
      <c r="AC64" s="8"/>
      <c r="AD64" s="8"/>
    </row>
    <row r="65" spans="1:30" x14ac:dyDescent="0.2">
      <c r="A65" s="8"/>
      <c r="B65" s="8"/>
      <c r="C65" s="8"/>
      <c r="D65" s="8"/>
      <c r="E65" s="8"/>
      <c r="F65" s="8"/>
      <c r="G65" s="8"/>
      <c r="H65" s="8"/>
      <c r="I65" s="8"/>
      <c r="J65" s="8"/>
      <c r="K65" s="8"/>
      <c r="L65" s="8"/>
      <c r="M65" s="8"/>
      <c r="N65" s="8"/>
      <c r="O65" s="8"/>
      <c r="P65" s="8"/>
      <c r="Q65" s="8"/>
      <c r="R65" s="8"/>
      <c r="S65" s="8"/>
      <c r="T65" s="8"/>
      <c r="U65" s="8"/>
      <c r="V65" s="8"/>
      <c r="W65" s="8"/>
      <c r="X65" s="8"/>
      <c r="Y65" s="8"/>
      <c r="Z65" s="8"/>
      <c r="AA65" s="8"/>
      <c r="AB65" s="8"/>
      <c r="AC65" s="8"/>
      <c r="AD65" s="8"/>
    </row>
    <row r="66" spans="1:30" x14ac:dyDescent="0.2">
      <c r="A66" s="8"/>
      <c r="B66" s="8"/>
      <c r="C66" s="8"/>
      <c r="D66" s="8"/>
      <c r="E66" s="8"/>
      <c r="F66" s="8"/>
      <c r="G66" s="8"/>
      <c r="H66" s="8"/>
      <c r="I66" s="8"/>
      <c r="J66" s="8"/>
      <c r="K66" s="8"/>
      <c r="L66" s="8"/>
      <c r="M66" s="8"/>
      <c r="N66" s="8"/>
      <c r="O66" s="8"/>
      <c r="P66" s="8"/>
      <c r="Q66" s="8"/>
      <c r="R66" s="8"/>
      <c r="S66" s="8"/>
      <c r="T66" s="8"/>
      <c r="U66" s="8"/>
      <c r="V66" s="8"/>
      <c r="W66" s="8"/>
      <c r="X66" s="8"/>
      <c r="Y66" s="8"/>
      <c r="Z66" s="8"/>
      <c r="AA66" s="8"/>
      <c r="AB66" s="8"/>
      <c r="AC66" s="8"/>
      <c r="AD66" s="8"/>
    </row>
    <row r="67" spans="1:30" x14ac:dyDescent="0.2">
      <c r="A67" s="8"/>
      <c r="B67" s="8"/>
      <c r="C67" s="8"/>
      <c r="D67" s="8"/>
      <c r="E67" s="8"/>
      <c r="F67" s="8"/>
      <c r="G67" s="8"/>
      <c r="H67" s="8"/>
      <c r="I67" s="8"/>
      <c r="J67" s="8"/>
      <c r="K67" s="8"/>
      <c r="L67" s="8"/>
      <c r="M67" s="8"/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  <c r="AA67" s="8"/>
      <c r="AB67" s="8"/>
      <c r="AC67" s="8"/>
      <c r="AD67" s="8"/>
    </row>
    <row r="68" spans="1:30" x14ac:dyDescent="0.2">
      <c r="A68" s="8"/>
      <c r="B68" s="8"/>
      <c r="C68" s="8"/>
      <c r="D68" s="8"/>
      <c r="E68" s="8"/>
      <c r="F68" s="8"/>
      <c r="G68" s="8"/>
      <c r="H68" s="8"/>
      <c r="I68" s="8"/>
      <c r="J68" s="8"/>
      <c r="K68" s="8"/>
      <c r="L68" s="8"/>
      <c r="M68" s="8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  <c r="AA68" s="8"/>
      <c r="AB68" s="8"/>
      <c r="AC68" s="8"/>
      <c r="AD68" s="8"/>
    </row>
    <row r="69" spans="1:30" x14ac:dyDescent="0.2">
      <c r="A69" s="8"/>
      <c r="B69" s="8"/>
      <c r="C69" s="8"/>
      <c r="D69" s="8"/>
      <c r="E69" s="8"/>
      <c r="F69" s="8"/>
      <c r="G69" s="8"/>
      <c r="H69" s="8"/>
      <c r="I69" s="8"/>
      <c r="J69" s="8"/>
      <c r="K69" s="8"/>
      <c r="L69" s="8"/>
      <c r="M69" s="8"/>
      <c r="N69" s="8"/>
      <c r="O69" s="8"/>
      <c r="P69" s="8"/>
      <c r="Q69" s="8"/>
      <c r="R69" s="8"/>
      <c r="S69" s="8"/>
      <c r="T69" s="8"/>
      <c r="U69" s="8"/>
      <c r="V69" s="8"/>
      <c r="W69" s="8"/>
      <c r="X69" s="8"/>
      <c r="Y69" s="8"/>
      <c r="Z69" s="8"/>
      <c r="AA69" s="8"/>
      <c r="AB69" s="8"/>
      <c r="AC69" s="8"/>
      <c r="AD69" s="8"/>
    </row>
    <row r="70" spans="1:30" x14ac:dyDescent="0.2">
      <c r="A70" s="8"/>
      <c r="B70" s="8"/>
      <c r="C70" s="8"/>
      <c r="D70" s="8"/>
      <c r="E70" s="8"/>
      <c r="F70" s="8"/>
      <c r="G70" s="8"/>
      <c r="H70" s="8"/>
      <c r="I70" s="8"/>
      <c r="J70" s="8"/>
      <c r="K70" s="8"/>
      <c r="L70" s="8"/>
      <c r="M70" s="8"/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8"/>
      <c r="Z70" s="8"/>
      <c r="AA70" s="8"/>
      <c r="AB70" s="8"/>
      <c r="AC70" s="8"/>
      <c r="AD70" s="8"/>
    </row>
    <row r="71" spans="1:30" x14ac:dyDescent="0.2">
      <c r="A71" s="8"/>
      <c r="B71" s="8"/>
      <c r="C71" s="8"/>
      <c r="D71" s="8"/>
      <c r="E71" s="8"/>
      <c r="F71" s="8"/>
      <c r="G71" s="8"/>
      <c r="H71" s="8"/>
      <c r="I71" s="8"/>
      <c r="J71" s="8"/>
      <c r="K71" s="8"/>
      <c r="L71" s="8"/>
      <c r="M71" s="8"/>
      <c r="N71" s="8"/>
      <c r="O71" s="8"/>
      <c r="P71" s="8"/>
      <c r="Q71" s="8"/>
      <c r="R71" s="8"/>
      <c r="S71" s="8"/>
      <c r="T71" s="8"/>
      <c r="U71" s="8"/>
      <c r="V71" s="8"/>
      <c r="W71" s="8"/>
      <c r="X71" s="8"/>
      <c r="Y71" s="8"/>
      <c r="Z71" s="8"/>
      <c r="AA71" s="8"/>
      <c r="AB71" s="8"/>
      <c r="AC71" s="8"/>
      <c r="AD71" s="8"/>
    </row>
    <row r="72" spans="1:30" x14ac:dyDescent="0.2">
      <c r="A72" s="8"/>
      <c r="B72" s="8"/>
      <c r="C72" s="8"/>
      <c r="D72" s="8"/>
      <c r="E72" s="8"/>
      <c r="F72" s="8"/>
      <c r="G72" s="8"/>
      <c r="H72" s="8"/>
      <c r="I72" s="8"/>
      <c r="J72" s="8"/>
      <c r="K72" s="8"/>
      <c r="L72" s="8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  <c r="AA72" s="8"/>
      <c r="AB72" s="8"/>
      <c r="AC72" s="8"/>
      <c r="AD72" s="8"/>
    </row>
    <row r="73" spans="1:30" x14ac:dyDescent="0.2">
      <c r="A73" s="8"/>
      <c r="B73" s="8"/>
      <c r="C73" s="8"/>
      <c r="D73" s="8"/>
      <c r="E73" s="8"/>
      <c r="F73" s="8"/>
      <c r="G73" s="8"/>
      <c r="H73" s="8"/>
      <c r="I73" s="8"/>
      <c r="J73" s="8"/>
      <c r="K73" s="8"/>
      <c r="L73" s="8"/>
      <c r="M73" s="8"/>
      <c r="N73" s="8"/>
      <c r="O73" s="8"/>
      <c r="P73" s="8"/>
      <c r="Q73" s="8"/>
      <c r="R73" s="8"/>
      <c r="S73" s="8"/>
      <c r="T73" s="8"/>
      <c r="U73" s="8"/>
      <c r="V73" s="8"/>
      <c r="W73" s="8"/>
      <c r="X73" s="8"/>
      <c r="Y73" s="8"/>
      <c r="Z73" s="8"/>
      <c r="AA73" s="8"/>
      <c r="AB73" s="8"/>
      <c r="AC73" s="8"/>
      <c r="AD73" s="8"/>
    </row>
    <row r="74" spans="1:30" x14ac:dyDescent="0.2">
      <c r="A74" s="8"/>
      <c r="B74" s="8"/>
      <c r="C74" s="8"/>
      <c r="D74" s="8"/>
      <c r="E74" s="8"/>
      <c r="F74" s="8"/>
      <c r="G74" s="8"/>
      <c r="H74" s="8"/>
      <c r="I74" s="8"/>
      <c r="J74" s="8"/>
      <c r="K74" s="8"/>
      <c r="L74" s="8"/>
      <c r="M74" s="8"/>
      <c r="N74" s="8"/>
      <c r="O74" s="8"/>
      <c r="P74" s="8"/>
      <c r="Q74" s="8"/>
      <c r="R74" s="8"/>
      <c r="S74" s="8"/>
      <c r="T74" s="8"/>
      <c r="U74" s="8"/>
      <c r="V74" s="8"/>
      <c r="W74" s="8"/>
      <c r="X74" s="8"/>
      <c r="Y74" s="8"/>
      <c r="Z74" s="8"/>
      <c r="AA74" s="8"/>
      <c r="AB74" s="8"/>
      <c r="AC74" s="8"/>
      <c r="AD74" s="8"/>
    </row>
    <row r="75" spans="1:30" x14ac:dyDescent="0.2">
      <c r="A75" s="8"/>
      <c r="B75" s="8"/>
      <c r="C75" s="8"/>
      <c r="D75" s="8"/>
      <c r="E75" s="8"/>
      <c r="F75" s="8"/>
      <c r="G75" s="8"/>
      <c r="H75" s="8"/>
      <c r="I75" s="8"/>
      <c r="J75" s="8"/>
      <c r="K75" s="8"/>
      <c r="L75" s="8"/>
      <c r="M75" s="8"/>
      <c r="N75" s="8"/>
      <c r="O75" s="8"/>
      <c r="P75" s="8"/>
      <c r="Q75" s="8"/>
      <c r="R75" s="8"/>
      <c r="S75" s="8"/>
      <c r="T75" s="8"/>
      <c r="U75" s="8"/>
      <c r="V75" s="8"/>
      <c r="W75" s="8"/>
      <c r="X75" s="8"/>
      <c r="Y75" s="8"/>
      <c r="Z75" s="8"/>
      <c r="AA75" s="8"/>
      <c r="AB75" s="8"/>
      <c r="AC75" s="8"/>
      <c r="AD75" s="8"/>
    </row>
    <row r="76" spans="1:30" x14ac:dyDescent="0.2">
      <c r="A76" s="8"/>
      <c r="B76" s="8"/>
      <c r="C76" s="8"/>
      <c r="D76" s="8"/>
      <c r="E76" s="8"/>
      <c r="F76" s="8"/>
      <c r="G76" s="8"/>
      <c r="H76" s="8"/>
      <c r="I76" s="8"/>
      <c r="J76" s="8"/>
      <c r="K76" s="8"/>
      <c r="L76" s="8"/>
      <c r="M76" s="8"/>
      <c r="N76" s="8"/>
      <c r="O76" s="8"/>
      <c r="P76" s="8"/>
      <c r="Q76" s="8"/>
      <c r="R76" s="8"/>
      <c r="S76" s="8"/>
      <c r="T76" s="8"/>
      <c r="U76" s="8"/>
      <c r="V76" s="8"/>
      <c r="W76" s="8"/>
      <c r="X76" s="8"/>
      <c r="Y76" s="8"/>
      <c r="Z76" s="8"/>
      <c r="AA76" s="8"/>
      <c r="AB76" s="8"/>
      <c r="AC76" s="8"/>
      <c r="AD76" s="8"/>
    </row>
    <row r="77" spans="1:30" x14ac:dyDescent="0.2">
      <c r="A77" s="8"/>
      <c r="B77" s="8"/>
      <c r="C77" s="8"/>
      <c r="D77" s="8"/>
      <c r="E77" s="8"/>
      <c r="F77" s="8"/>
      <c r="G77" s="8"/>
      <c r="H77" s="8"/>
      <c r="I77" s="8"/>
      <c r="J77" s="8"/>
      <c r="K77" s="8"/>
      <c r="L77" s="8"/>
      <c r="M77" s="8"/>
      <c r="N77" s="8"/>
      <c r="O77" s="8"/>
      <c r="P77" s="8"/>
      <c r="Q77" s="8"/>
      <c r="R77" s="8"/>
      <c r="S77" s="8"/>
      <c r="T77" s="8"/>
      <c r="U77" s="8"/>
      <c r="V77" s="8"/>
      <c r="W77" s="8"/>
      <c r="X77" s="8"/>
      <c r="Y77" s="8"/>
      <c r="Z77" s="8"/>
      <c r="AA77" s="8"/>
      <c r="AB77" s="8"/>
      <c r="AC77" s="8"/>
      <c r="AD77" s="8"/>
    </row>
    <row r="78" spans="1:30" x14ac:dyDescent="0.2">
      <c r="A78" s="8"/>
      <c r="B78" s="8"/>
      <c r="C78" s="8"/>
      <c r="D78" s="8"/>
      <c r="E78" s="8"/>
      <c r="F78" s="8"/>
      <c r="G78" s="8"/>
      <c r="H78" s="8"/>
      <c r="I78" s="8"/>
      <c r="J78" s="8"/>
      <c r="K78" s="8"/>
      <c r="L78" s="8"/>
      <c r="M78" s="8"/>
      <c r="N78" s="8"/>
      <c r="O78" s="8"/>
      <c r="P78" s="8"/>
      <c r="Q78" s="8"/>
      <c r="R78" s="8"/>
      <c r="S78" s="8"/>
      <c r="T78" s="8"/>
      <c r="U78" s="8"/>
      <c r="V78" s="8"/>
      <c r="W78" s="8"/>
      <c r="X78" s="8"/>
      <c r="Y78" s="8"/>
      <c r="Z78" s="8"/>
      <c r="AA78" s="8"/>
      <c r="AB78" s="8"/>
      <c r="AC78" s="8"/>
      <c r="AD78" s="8"/>
    </row>
    <row r="79" spans="1:30" x14ac:dyDescent="0.2">
      <c r="A79" s="8"/>
      <c r="B79" s="8"/>
      <c r="C79" s="8"/>
      <c r="D79" s="8"/>
      <c r="E79" s="8"/>
      <c r="F79" s="8"/>
      <c r="G79" s="8"/>
      <c r="H79" s="8"/>
      <c r="I79" s="8"/>
      <c r="J79" s="8"/>
      <c r="K79" s="8"/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  <c r="AA79" s="8"/>
      <c r="AB79" s="8"/>
      <c r="AC79" s="8"/>
      <c r="AD79" s="8"/>
    </row>
    <row r="80" spans="1:30" x14ac:dyDescent="0.2">
      <c r="A80" s="8"/>
      <c r="B80" s="8"/>
      <c r="C80" s="8"/>
      <c r="D80" s="8"/>
      <c r="E80" s="8"/>
      <c r="F80" s="8"/>
      <c r="G80" s="8"/>
      <c r="H80" s="8"/>
      <c r="I80" s="8"/>
      <c r="J80" s="8"/>
      <c r="K80" s="8"/>
      <c r="L80" s="8"/>
      <c r="M80" s="8"/>
      <c r="N80" s="8"/>
      <c r="O80" s="8"/>
      <c r="P80" s="8"/>
      <c r="Q80" s="8"/>
      <c r="R80" s="8"/>
      <c r="S80" s="8"/>
      <c r="T80" s="8"/>
      <c r="U80" s="8"/>
      <c r="V80" s="8"/>
      <c r="W80" s="8"/>
      <c r="X80" s="8"/>
      <c r="Y80" s="8"/>
      <c r="Z80" s="8"/>
      <c r="AA80" s="8"/>
      <c r="AB80" s="8"/>
      <c r="AC80" s="8"/>
      <c r="AD80" s="8"/>
    </row>
    <row r="81" spans="1:30" x14ac:dyDescent="0.2">
      <c r="A81" s="8"/>
      <c r="B81" s="8"/>
      <c r="C81" s="8"/>
      <c r="D81" s="8"/>
      <c r="E81" s="8"/>
      <c r="F81" s="8"/>
      <c r="G81" s="8"/>
      <c r="H81" s="8"/>
      <c r="I81" s="8"/>
      <c r="J81" s="8"/>
      <c r="K81" s="8"/>
      <c r="L81" s="8"/>
      <c r="M81" s="8"/>
      <c r="N81" s="8"/>
      <c r="O81" s="8"/>
      <c r="P81" s="8"/>
      <c r="Q81" s="8"/>
      <c r="R81" s="8"/>
      <c r="S81" s="8"/>
      <c r="T81" s="8"/>
      <c r="U81" s="8"/>
      <c r="V81" s="8"/>
      <c r="W81" s="8"/>
      <c r="X81" s="8"/>
      <c r="Y81" s="8"/>
      <c r="Z81" s="8"/>
      <c r="AA81" s="8"/>
      <c r="AB81" s="8"/>
      <c r="AC81" s="8"/>
      <c r="AD81" s="8"/>
    </row>
    <row r="82" spans="1:30" x14ac:dyDescent="0.2">
      <c r="A82" s="8"/>
      <c r="B82" s="8"/>
      <c r="C82" s="8"/>
      <c r="D82" s="8"/>
      <c r="E82" s="8"/>
      <c r="F82" s="8"/>
      <c r="G82" s="8"/>
      <c r="H82" s="8"/>
      <c r="I82" s="8"/>
      <c r="J82" s="8"/>
      <c r="K82" s="8"/>
      <c r="L82" s="8"/>
      <c r="M82" s="8"/>
      <c r="N82" s="8"/>
      <c r="O82" s="8"/>
      <c r="P82" s="8"/>
      <c r="Q82" s="8"/>
      <c r="R82" s="8"/>
      <c r="S82" s="8"/>
      <c r="T82" s="8"/>
      <c r="U82" s="8"/>
      <c r="V82" s="8"/>
      <c r="W82" s="8"/>
      <c r="X82" s="8"/>
      <c r="Y82" s="8"/>
      <c r="Z82" s="8"/>
      <c r="AA82" s="8"/>
      <c r="AB82" s="8"/>
      <c r="AC82" s="8"/>
      <c r="AD82" s="8"/>
    </row>
    <row r="83" spans="1:30" x14ac:dyDescent="0.2">
      <c r="A83" s="8"/>
      <c r="B83" s="8"/>
      <c r="C83" s="8"/>
      <c r="D83" s="8"/>
      <c r="E83" s="8"/>
      <c r="F83" s="8"/>
      <c r="G83" s="8"/>
      <c r="H83" s="8"/>
      <c r="I83" s="8"/>
      <c r="J83" s="8"/>
      <c r="K83" s="8"/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  <c r="AA83" s="8"/>
      <c r="AB83" s="8"/>
      <c r="AC83" s="8"/>
      <c r="AD83" s="8"/>
    </row>
    <row r="84" spans="1:30" x14ac:dyDescent="0.2">
      <c r="A84" s="8"/>
      <c r="B84" s="8"/>
      <c r="C84" s="8"/>
      <c r="D84" s="8"/>
      <c r="E84" s="8"/>
      <c r="F84" s="8"/>
      <c r="G84" s="8"/>
      <c r="H84" s="8"/>
      <c r="I84" s="8"/>
      <c r="J84" s="8"/>
      <c r="K84" s="8"/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  <c r="AA84" s="8"/>
      <c r="AB84" s="8"/>
      <c r="AC84" s="8"/>
      <c r="AD84" s="8"/>
    </row>
    <row r="85" spans="1:30" x14ac:dyDescent="0.2">
      <c r="A85" s="8"/>
      <c r="B85" s="8"/>
      <c r="C85" s="8"/>
      <c r="D85" s="8"/>
      <c r="E85" s="8"/>
      <c r="F85" s="8"/>
      <c r="G85" s="8"/>
      <c r="H85" s="8"/>
      <c r="I85" s="8"/>
      <c r="J85" s="8"/>
      <c r="K85" s="8"/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  <c r="AA85" s="8"/>
      <c r="AB85" s="8"/>
      <c r="AC85" s="8"/>
      <c r="AD85" s="8"/>
    </row>
    <row r="86" spans="1:30" x14ac:dyDescent="0.2">
      <c r="A86" s="8"/>
      <c r="B86" s="8"/>
      <c r="C86" s="8"/>
      <c r="D86" s="8"/>
      <c r="E86" s="8"/>
      <c r="F86" s="8"/>
      <c r="G86" s="8"/>
      <c r="H86" s="8"/>
      <c r="I86" s="8"/>
      <c r="J86" s="8"/>
      <c r="K86" s="8"/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  <c r="AA86" s="8"/>
      <c r="AB86" s="8"/>
      <c r="AC86" s="8"/>
      <c r="AD86" s="8"/>
    </row>
    <row r="87" spans="1:30" x14ac:dyDescent="0.2">
      <c r="A87" s="8"/>
      <c r="B87" s="8"/>
      <c r="C87" s="8"/>
      <c r="D87" s="8"/>
      <c r="E87" s="8"/>
      <c r="F87" s="8"/>
      <c r="G87" s="8"/>
      <c r="H87" s="8"/>
      <c r="I87" s="8"/>
      <c r="J87" s="8"/>
      <c r="K87" s="8"/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  <c r="AA87" s="8"/>
      <c r="AB87" s="8"/>
      <c r="AC87" s="8"/>
      <c r="AD87" s="8"/>
    </row>
    <row r="88" spans="1:30" x14ac:dyDescent="0.2">
      <c r="A88" s="8"/>
      <c r="B88" s="8"/>
      <c r="C88" s="8"/>
      <c r="D88" s="8"/>
      <c r="E88" s="8"/>
      <c r="F88" s="8"/>
      <c r="G88" s="8"/>
      <c r="H88" s="8"/>
      <c r="I88" s="8"/>
      <c r="J88" s="8"/>
      <c r="K88" s="8"/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  <c r="AA88" s="8"/>
      <c r="AB88" s="8"/>
      <c r="AC88" s="8"/>
      <c r="AD88" s="8"/>
    </row>
    <row r="89" spans="1:30" x14ac:dyDescent="0.2">
      <c r="A89" s="8"/>
      <c r="B89" s="8"/>
      <c r="C89" s="8"/>
      <c r="D89" s="8"/>
      <c r="E89" s="8"/>
      <c r="F89" s="8"/>
      <c r="G89" s="8"/>
      <c r="H89" s="8"/>
      <c r="I89" s="8"/>
      <c r="J89" s="8"/>
      <c r="K89" s="8"/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  <c r="AA89" s="8"/>
      <c r="AB89" s="8"/>
      <c r="AC89" s="8"/>
      <c r="AD89" s="8"/>
    </row>
    <row r="90" spans="1:30" x14ac:dyDescent="0.2">
      <c r="A90" s="8"/>
      <c r="B90" s="8"/>
      <c r="C90" s="8"/>
      <c r="D90" s="8"/>
      <c r="E90" s="8"/>
      <c r="F90" s="8"/>
      <c r="G90" s="8"/>
      <c r="H90" s="8"/>
      <c r="I90" s="8"/>
      <c r="J90" s="8"/>
      <c r="K90" s="8"/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  <c r="AA90" s="8"/>
      <c r="AB90" s="8"/>
      <c r="AC90" s="8"/>
      <c r="AD90" s="8"/>
    </row>
    <row r="91" spans="1:30" x14ac:dyDescent="0.2">
      <c r="A91" s="8"/>
      <c r="B91" s="8"/>
      <c r="C91" s="8"/>
      <c r="D91" s="8"/>
      <c r="E91" s="8"/>
      <c r="F91" s="8"/>
      <c r="G91" s="8"/>
      <c r="H91" s="8"/>
      <c r="I91" s="8"/>
      <c r="J91" s="8"/>
      <c r="K91" s="8"/>
      <c r="L91" s="8"/>
      <c r="M91" s="8"/>
      <c r="N91" s="8"/>
      <c r="O91" s="8"/>
      <c r="P91" s="8"/>
      <c r="Q91" s="8"/>
      <c r="R91" s="8"/>
      <c r="S91" s="8"/>
      <c r="T91" s="8"/>
      <c r="U91" s="8"/>
      <c r="V91" s="8"/>
      <c r="W91" s="8"/>
      <c r="X91" s="8"/>
      <c r="Y91" s="8"/>
      <c r="Z91" s="8"/>
      <c r="AA91" s="8"/>
      <c r="AB91" s="8"/>
      <c r="AC91" s="8"/>
      <c r="AD91" s="8"/>
    </row>
    <row r="92" spans="1:30" x14ac:dyDescent="0.2">
      <c r="A92" s="8"/>
      <c r="B92" s="8"/>
      <c r="C92" s="8"/>
      <c r="D92" s="8"/>
      <c r="E92" s="8"/>
      <c r="F92" s="8"/>
      <c r="G92" s="8"/>
      <c r="H92" s="8"/>
      <c r="I92" s="8"/>
      <c r="J92" s="8"/>
      <c r="K92" s="8"/>
      <c r="L92" s="8"/>
      <c r="M92" s="8"/>
      <c r="N92" s="8"/>
      <c r="O92" s="8"/>
      <c r="P92" s="8"/>
      <c r="Q92" s="8"/>
      <c r="R92" s="8"/>
      <c r="S92" s="8"/>
      <c r="T92" s="8"/>
      <c r="U92" s="8"/>
      <c r="V92" s="8"/>
      <c r="W92" s="8"/>
      <c r="X92" s="8"/>
      <c r="Y92" s="8"/>
      <c r="Z92" s="8"/>
      <c r="AA92" s="8"/>
      <c r="AB92" s="8"/>
      <c r="AC92" s="8"/>
      <c r="AD92" s="8"/>
    </row>
    <row r="93" spans="1:30" x14ac:dyDescent="0.2">
      <c r="A93" s="8"/>
      <c r="B93" s="8"/>
      <c r="C93" s="8"/>
      <c r="D93" s="8"/>
      <c r="E93" s="8"/>
      <c r="F93" s="8"/>
      <c r="G93" s="8"/>
      <c r="H93" s="8"/>
      <c r="I93" s="8"/>
      <c r="J93" s="8"/>
      <c r="K93" s="8"/>
      <c r="L93" s="8"/>
      <c r="M93" s="8"/>
      <c r="N93" s="8"/>
      <c r="O93" s="8"/>
      <c r="P93" s="8"/>
      <c r="Q93" s="8"/>
      <c r="R93" s="8"/>
      <c r="S93" s="8"/>
      <c r="T93" s="8"/>
      <c r="U93" s="8"/>
      <c r="V93" s="8"/>
      <c r="W93" s="8"/>
      <c r="X93" s="8"/>
      <c r="Y93" s="8"/>
      <c r="Z93" s="8"/>
      <c r="AA93" s="8"/>
      <c r="AB93" s="8"/>
      <c r="AC93" s="8"/>
      <c r="AD93" s="8"/>
    </row>
    <row r="94" spans="1:30" x14ac:dyDescent="0.2">
      <c r="A94" s="8"/>
      <c r="B94" s="8"/>
      <c r="C94" s="8"/>
      <c r="D94" s="8"/>
      <c r="E94" s="8"/>
      <c r="F94" s="8"/>
      <c r="G94" s="8"/>
      <c r="H94" s="8"/>
      <c r="I94" s="8"/>
      <c r="J94" s="8"/>
      <c r="K94" s="8"/>
      <c r="L94" s="8"/>
      <c r="M94" s="8"/>
      <c r="N94" s="8"/>
      <c r="O94" s="8"/>
      <c r="P94" s="8"/>
      <c r="Q94" s="8"/>
      <c r="R94" s="8"/>
      <c r="S94" s="8"/>
      <c r="T94" s="8"/>
      <c r="U94" s="8"/>
      <c r="V94" s="8"/>
      <c r="W94" s="8"/>
      <c r="X94" s="8"/>
      <c r="Y94" s="8"/>
      <c r="Z94" s="8"/>
      <c r="AA94" s="8"/>
      <c r="AB94" s="8"/>
      <c r="AC94" s="8"/>
      <c r="AD94" s="8"/>
    </row>
    <row r="95" spans="1:30" x14ac:dyDescent="0.2">
      <c r="A95" s="8"/>
      <c r="B95" s="8"/>
      <c r="C95" s="8"/>
      <c r="D95" s="8"/>
      <c r="E95" s="8"/>
      <c r="F95" s="8"/>
      <c r="G95" s="8"/>
      <c r="H95" s="8"/>
      <c r="I95" s="8"/>
      <c r="J95" s="8"/>
      <c r="K95" s="8"/>
      <c r="L95" s="8"/>
      <c r="M95" s="8"/>
      <c r="N95" s="8"/>
      <c r="O95" s="8"/>
      <c r="P95" s="8"/>
      <c r="Q95" s="8"/>
      <c r="R95" s="8"/>
      <c r="S95" s="8"/>
      <c r="T95" s="8"/>
      <c r="U95" s="8"/>
      <c r="V95" s="8"/>
      <c r="W95" s="8"/>
      <c r="X95" s="8"/>
      <c r="Y95" s="8"/>
      <c r="Z95" s="8"/>
      <c r="AA95" s="8"/>
      <c r="AB95" s="8"/>
      <c r="AC95" s="8"/>
      <c r="AD95" s="8"/>
    </row>
    <row r="96" spans="1:30" x14ac:dyDescent="0.2">
      <c r="A96" s="8"/>
      <c r="B96" s="8"/>
      <c r="C96" s="8"/>
      <c r="D96" s="8"/>
      <c r="E96" s="8"/>
      <c r="F96" s="8"/>
      <c r="G96" s="8"/>
      <c r="H96" s="8"/>
      <c r="I96" s="8"/>
      <c r="J96" s="8"/>
      <c r="K96" s="8"/>
      <c r="L96" s="8"/>
      <c r="M96" s="8"/>
      <c r="N96" s="8"/>
      <c r="O96" s="8"/>
      <c r="P96" s="8"/>
      <c r="Q96" s="8"/>
      <c r="R96" s="8"/>
      <c r="S96" s="8"/>
      <c r="T96" s="8"/>
      <c r="U96" s="8"/>
      <c r="V96" s="8"/>
      <c r="W96" s="8"/>
      <c r="X96" s="8"/>
      <c r="Y96" s="8"/>
      <c r="Z96" s="8"/>
      <c r="AA96" s="8"/>
      <c r="AB96" s="8"/>
      <c r="AC96" s="8"/>
      <c r="AD96" s="8"/>
    </row>
    <row r="97" spans="1:30" x14ac:dyDescent="0.2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</row>
    <row r="98" spans="1:30" x14ac:dyDescent="0.2">
      <c r="A98" s="8"/>
      <c r="B98" s="8"/>
      <c r="C98" s="8"/>
      <c r="D98" s="8"/>
      <c r="E98" s="8"/>
      <c r="F98" s="8"/>
      <c r="G98" s="8"/>
      <c r="H98" s="8"/>
      <c r="I98" s="8"/>
      <c r="J98" s="8"/>
      <c r="K98" s="8"/>
      <c r="L98" s="8"/>
      <c r="M98" s="8"/>
      <c r="N98" s="8"/>
      <c r="O98" s="8"/>
      <c r="P98" s="8"/>
      <c r="Q98" s="8"/>
      <c r="R98" s="8"/>
      <c r="S98" s="8"/>
      <c r="T98" s="8"/>
      <c r="U98" s="8"/>
      <c r="V98" s="8"/>
      <c r="W98" s="8"/>
      <c r="X98" s="8"/>
      <c r="Y98" s="8"/>
      <c r="Z98" s="8"/>
      <c r="AA98" s="8"/>
      <c r="AB98" s="8"/>
      <c r="AC98" s="8"/>
      <c r="AD98" s="8"/>
    </row>
    <row r="99" spans="1:30" x14ac:dyDescent="0.2">
      <c r="A99" s="8"/>
      <c r="B99" s="8"/>
      <c r="C99" s="8"/>
      <c r="D99" s="8"/>
      <c r="E99" s="8"/>
      <c r="F99" s="8"/>
      <c r="G99" s="8"/>
      <c r="H99" s="8"/>
      <c r="I99" s="8"/>
      <c r="J99" s="8"/>
      <c r="K99" s="8"/>
      <c r="L99" s="8"/>
      <c r="M99" s="8"/>
      <c r="N99" s="8"/>
      <c r="O99" s="8"/>
      <c r="P99" s="8"/>
      <c r="Q99" s="8"/>
      <c r="R99" s="8"/>
      <c r="S99" s="8"/>
      <c r="T99" s="8"/>
      <c r="U99" s="8"/>
      <c r="V99" s="8"/>
      <c r="W99" s="8"/>
      <c r="X99" s="8"/>
      <c r="Y99" s="8"/>
      <c r="Z99" s="8"/>
      <c r="AA99" s="8"/>
      <c r="AB99" s="8"/>
      <c r="AC99" s="8"/>
      <c r="AD99" s="8"/>
    </row>
    <row r="100" spans="1:30" x14ac:dyDescent="0.2">
      <c r="A100" s="8"/>
      <c r="B100" s="8"/>
      <c r="C100" s="8"/>
      <c r="D100" s="8"/>
      <c r="E100" s="8"/>
      <c r="F100" s="8"/>
      <c r="G100" s="8"/>
      <c r="H100" s="8"/>
      <c r="I100" s="8"/>
      <c r="J100" s="8"/>
      <c r="K100" s="8"/>
      <c r="L100" s="8"/>
      <c r="M100" s="8"/>
      <c r="N100" s="8"/>
      <c r="O100" s="8"/>
      <c r="P100" s="8"/>
      <c r="Q100" s="8"/>
      <c r="R100" s="8"/>
      <c r="S100" s="8"/>
      <c r="T100" s="8"/>
      <c r="U100" s="8"/>
      <c r="V100" s="8"/>
      <c r="W100" s="8"/>
      <c r="X100" s="8"/>
      <c r="Y100" s="8"/>
      <c r="Z100" s="8"/>
      <c r="AA100" s="8"/>
      <c r="AB100" s="8"/>
      <c r="AC100" s="8"/>
      <c r="AD100" s="8"/>
    </row>
    <row r="101" spans="1:30" x14ac:dyDescent="0.2">
      <c r="A101" s="8"/>
      <c r="B101" s="8"/>
      <c r="C101" s="8"/>
      <c r="D101" s="8"/>
      <c r="E101" s="8"/>
      <c r="F101" s="8"/>
      <c r="G101" s="8"/>
      <c r="H101" s="8"/>
      <c r="I101" s="8"/>
      <c r="J101" s="8"/>
      <c r="K101" s="8"/>
      <c r="L101" s="8"/>
      <c r="M101" s="8"/>
      <c r="N101" s="8"/>
      <c r="O101" s="8"/>
      <c r="P101" s="8"/>
      <c r="Q101" s="8"/>
      <c r="R101" s="8"/>
      <c r="S101" s="8"/>
      <c r="T101" s="8"/>
      <c r="U101" s="8"/>
      <c r="V101" s="8"/>
      <c r="W101" s="8"/>
      <c r="X101" s="8"/>
      <c r="Y101" s="8"/>
      <c r="Z101" s="8"/>
      <c r="AA101" s="8"/>
      <c r="AB101" s="8"/>
      <c r="AC101" s="8"/>
      <c r="AD101" s="8"/>
    </row>
    <row r="102" spans="1:30" x14ac:dyDescent="0.2">
      <c r="A102" s="8"/>
      <c r="B102" s="8"/>
      <c r="C102" s="8"/>
      <c r="D102" s="8"/>
      <c r="E102" s="8"/>
      <c r="F102" s="8"/>
      <c r="G102" s="8"/>
      <c r="H102" s="8"/>
      <c r="I102" s="8"/>
      <c r="J102" s="8"/>
      <c r="K102" s="8"/>
      <c r="L102" s="8"/>
      <c r="M102" s="8"/>
      <c r="N102" s="8"/>
      <c r="O102" s="8"/>
      <c r="P102" s="8"/>
      <c r="Q102" s="8"/>
      <c r="R102" s="8"/>
      <c r="S102" s="8"/>
      <c r="T102" s="8"/>
      <c r="U102" s="8"/>
      <c r="V102" s="8"/>
      <c r="W102" s="8"/>
      <c r="X102" s="8"/>
      <c r="Y102" s="8"/>
      <c r="Z102" s="8"/>
      <c r="AA102" s="8"/>
      <c r="AB102" s="8"/>
      <c r="AC102" s="8"/>
      <c r="AD102" s="8"/>
    </row>
    <row r="103" spans="1:30" x14ac:dyDescent="0.2">
      <c r="A103" s="8"/>
      <c r="B103" s="8"/>
      <c r="C103" s="8"/>
      <c r="D103" s="8"/>
      <c r="E103" s="8"/>
      <c r="F103" s="8"/>
      <c r="G103" s="8"/>
      <c r="H103" s="8"/>
      <c r="I103" s="8"/>
      <c r="J103" s="8"/>
      <c r="K103" s="8"/>
      <c r="L103" s="8"/>
      <c r="M103" s="8"/>
      <c r="N103" s="8"/>
      <c r="O103" s="8"/>
      <c r="P103" s="8"/>
      <c r="Q103" s="8"/>
      <c r="R103" s="8"/>
      <c r="S103" s="8"/>
      <c r="T103" s="8"/>
      <c r="U103" s="8"/>
      <c r="V103" s="8"/>
      <c r="W103" s="8"/>
      <c r="X103" s="8"/>
      <c r="Y103" s="8"/>
      <c r="Z103" s="8"/>
      <c r="AA103" s="8"/>
      <c r="AB103" s="8"/>
      <c r="AC103" s="8"/>
      <c r="AD103" s="8"/>
    </row>
    <row r="104" spans="1:30" x14ac:dyDescent="0.2">
      <c r="A104" s="8"/>
      <c r="B104" s="8"/>
      <c r="C104" s="8"/>
      <c r="D104" s="8"/>
      <c r="E104" s="8"/>
      <c r="F104" s="8"/>
      <c r="G104" s="8"/>
      <c r="H104" s="8"/>
      <c r="I104" s="8"/>
      <c r="J104" s="8"/>
      <c r="K104" s="8"/>
      <c r="L104" s="8"/>
      <c r="M104" s="8"/>
      <c r="N104" s="8"/>
      <c r="O104" s="8"/>
      <c r="P104" s="8"/>
      <c r="Q104" s="8"/>
      <c r="R104" s="8"/>
      <c r="S104" s="8"/>
      <c r="T104" s="8"/>
      <c r="U104" s="8"/>
      <c r="V104" s="8"/>
      <c r="W104" s="8"/>
      <c r="X104" s="8"/>
      <c r="Y104" s="8"/>
      <c r="Z104" s="8"/>
      <c r="AA104" s="8"/>
      <c r="AB104" s="8"/>
      <c r="AC104" s="8"/>
      <c r="AD104" s="8"/>
    </row>
    <row r="105" spans="1:30" x14ac:dyDescent="0.2">
      <c r="A105" s="8"/>
      <c r="B105" s="8"/>
      <c r="C105" s="8"/>
      <c r="D105" s="8"/>
      <c r="E105" s="8"/>
      <c r="F105" s="8"/>
      <c r="G105" s="8"/>
      <c r="H105" s="8"/>
      <c r="I105" s="8"/>
      <c r="J105" s="8"/>
      <c r="K105" s="8"/>
      <c r="L105" s="8"/>
      <c r="M105" s="8"/>
      <c r="N105" s="8"/>
      <c r="O105" s="8"/>
      <c r="P105" s="8"/>
      <c r="Q105" s="8"/>
      <c r="R105" s="8"/>
      <c r="S105" s="8"/>
      <c r="T105" s="8"/>
      <c r="U105" s="8"/>
      <c r="V105" s="8"/>
      <c r="W105" s="8"/>
      <c r="X105" s="8"/>
      <c r="Y105" s="8"/>
      <c r="Z105" s="8"/>
      <c r="AA105" s="8"/>
      <c r="AB105" s="8"/>
      <c r="AC105" s="8"/>
      <c r="AD105" s="8"/>
    </row>
    <row r="106" spans="1:30" x14ac:dyDescent="0.2">
      <c r="A106" s="8"/>
      <c r="B106" s="8"/>
      <c r="C106" s="8"/>
      <c r="D106" s="8"/>
      <c r="E106" s="8"/>
      <c r="F106" s="8"/>
      <c r="G106" s="8"/>
      <c r="H106" s="8"/>
      <c r="I106" s="8"/>
      <c r="J106" s="8"/>
      <c r="K106" s="8"/>
      <c r="L106" s="8"/>
      <c r="M106" s="8"/>
      <c r="N106" s="8"/>
      <c r="O106" s="8"/>
      <c r="P106" s="8"/>
      <c r="Q106" s="8"/>
      <c r="R106" s="8"/>
      <c r="S106" s="8"/>
      <c r="T106" s="8"/>
      <c r="U106" s="8"/>
      <c r="V106" s="8"/>
      <c r="W106" s="8"/>
      <c r="X106" s="8"/>
      <c r="Y106" s="8"/>
      <c r="Z106" s="8"/>
      <c r="AA106" s="8"/>
      <c r="AB106" s="8"/>
      <c r="AC106" s="8"/>
      <c r="AD106" s="8"/>
    </row>
    <row r="107" spans="1:30" x14ac:dyDescent="0.2">
      <c r="A107" s="8"/>
      <c r="B107" s="8"/>
      <c r="C107" s="8"/>
      <c r="D107" s="8"/>
      <c r="E107" s="8"/>
      <c r="F107" s="8"/>
      <c r="G107" s="8"/>
      <c r="H107" s="8"/>
      <c r="I107" s="8"/>
      <c r="J107" s="8"/>
      <c r="K107" s="8"/>
      <c r="L107" s="8"/>
      <c r="M107" s="8"/>
      <c r="N107" s="8"/>
      <c r="O107" s="8"/>
      <c r="P107" s="8"/>
      <c r="Q107" s="8"/>
      <c r="R107" s="8"/>
      <c r="S107" s="8"/>
      <c r="T107" s="8"/>
      <c r="U107" s="8"/>
      <c r="V107" s="8"/>
      <c r="W107" s="8"/>
      <c r="X107" s="8"/>
      <c r="Y107" s="8"/>
      <c r="Z107" s="8"/>
      <c r="AA107" s="8"/>
      <c r="AB107" s="8"/>
      <c r="AC107" s="8"/>
      <c r="AD107" s="8"/>
    </row>
    <row r="108" spans="1:30" x14ac:dyDescent="0.2">
      <c r="A108" s="8"/>
      <c r="B108" s="8"/>
      <c r="C108" s="8"/>
      <c r="D108" s="8"/>
      <c r="E108" s="8"/>
      <c r="F108" s="8"/>
      <c r="G108" s="8"/>
      <c r="H108" s="8"/>
      <c r="I108" s="8"/>
      <c r="J108" s="8"/>
      <c r="K108" s="8"/>
      <c r="L108" s="8"/>
      <c r="M108" s="8"/>
      <c r="N108" s="8"/>
      <c r="O108" s="8"/>
      <c r="P108" s="8"/>
      <c r="Q108" s="8"/>
      <c r="R108" s="8"/>
      <c r="S108" s="8"/>
      <c r="T108" s="8"/>
      <c r="U108" s="8"/>
      <c r="V108" s="8"/>
      <c r="W108" s="8"/>
      <c r="X108" s="8"/>
      <c r="Y108" s="8"/>
      <c r="Z108" s="8"/>
      <c r="AA108" s="8"/>
      <c r="AB108" s="8"/>
      <c r="AC108" s="8"/>
      <c r="AD108" s="8"/>
    </row>
    <row r="109" spans="1:30" x14ac:dyDescent="0.2">
      <c r="A109" s="8"/>
      <c r="B109" s="8"/>
      <c r="C109" s="8"/>
      <c r="D109" s="8"/>
      <c r="E109" s="8"/>
      <c r="F109" s="8"/>
      <c r="G109" s="8"/>
      <c r="H109" s="8"/>
      <c r="I109" s="8"/>
      <c r="J109" s="8"/>
      <c r="K109" s="8"/>
      <c r="L109" s="8"/>
      <c r="M109" s="8"/>
      <c r="N109" s="8"/>
      <c r="O109" s="8"/>
      <c r="P109" s="8"/>
      <c r="Q109" s="8"/>
      <c r="R109" s="8"/>
      <c r="S109" s="8"/>
      <c r="T109" s="8"/>
      <c r="U109" s="8"/>
      <c r="V109" s="8"/>
      <c r="W109" s="8"/>
      <c r="X109" s="8"/>
      <c r="Y109" s="8"/>
      <c r="Z109" s="8"/>
      <c r="AA109" s="8"/>
      <c r="AB109" s="8"/>
      <c r="AC109" s="8"/>
      <c r="AD109" s="8"/>
    </row>
    <row r="110" spans="1:30" x14ac:dyDescent="0.2">
      <c r="A110" s="8"/>
      <c r="B110" s="8"/>
      <c r="C110" s="8"/>
      <c r="D110" s="8"/>
      <c r="E110" s="8"/>
      <c r="F110" s="8"/>
      <c r="G110" s="8"/>
      <c r="H110" s="8"/>
      <c r="I110" s="8"/>
      <c r="J110" s="8"/>
      <c r="K110" s="8"/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  <c r="AA110" s="8"/>
      <c r="AB110" s="8"/>
      <c r="AC110" s="8"/>
      <c r="AD110" s="8"/>
    </row>
    <row r="111" spans="1:30" x14ac:dyDescent="0.2">
      <c r="A111" s="8"/>
      <c r="B111" s="8"/>
      <c r="C111" s="8"/>
      <c r="D111" s="8"/>
      <c r="E111" s="8"/>
      <c r="F111" s="8"/>
      <c r="G111" s="8"/>
      <c r="H111" s="8"/>
      <c r="I111" s="8"/>
      <c r="J111" s="8"/>
      <c r="K111" s="8"/>
      <c r="L111" s="8"/>
      <c r="M111" s="8"/>
      <c r="N111" s="8"/>
      <c r="O111" s="8"/>
      <c r="P111" s="8"/>
      <c r="Q111" s="8"/>
      <c r="R111" s="8"/>
      <c r="S111" s="8"/>
      <c r="T111" s="8"/>
      <c r="U111" s="8"/>
      <c r="V111" s="8"/>
      <c r="W111" s="8"/>
      <c r="X111" s="8"/>
      <c r="Y111" s="8"/>
      <c r="Z111" s="8"/>
      <c r="AA111" s="8"/>
      <c r="AB111" s="8"/>
      <c r="AC111" s="8"/>
      <c r="AD111" s="8"/>
    </row>
    <row r="112" spans="1:30" x14ac:dyDescent="0.2">
      <c r="A112" s="8"/>
      <c r="B112" s="8"/>
      <c r="C112" s="8"/>
      <c r="D112" s="8"/>
      <c r="E112" s="8"/>
      <c r="F112" s="8"/>
      <c r="G112" s="8"/>
      <c r="H112" s="8"/>
      <c r="I112" s="8"/>
      <c r="J112" s="8"/>
      <c r="K112" s="8"/>
      <c r="L112" s="8"/>
      <c r="M112" s="8"/>
      <c r="N112" s="8"/>
      <c r="O112" s="8"/>
      <c r="P112" s="8"/>
      <c r="Q112" s="8"/>
      <c r="R112" s="8"/>
      <c r="S112" s="8"/>
      <c r="T112" s="8"/>
      <c r="U112" s="8"/>
      <c r="V112" s="8"/>
      <c r="W112" s="8"/>
      <c r="X112" s="8"/>
      <c r="Y112" s="8"/>
      <c r="Z112" s="8"/>
      <c r="AA112" s="8"/>
      <c r="AB112" s="8"/>
      <c r="AC112" s="8"/>
      <c r="AD112" s="8"/>
    </row>
    <row r="113" spans="1:30" x14ac:dyDescent="0.2">
      <c r="A113" s="8"/>
      <c r="B113" s="8"/>
      <c r="C113" s="8"/>
      <c r="D113" s="8"/>
      <c r="E113" s="8"/>
      <c r="F113" s="8"/>
      <c r="G113" s="8"/>
      <c r="H113" s="8"/>
      <c r="I113" s="8"/>
      <c r="J113" s="8"/>
      <c r="K113" s="8"/>
      <c r="L113" s="8"/>
      <c r="M113" s="8"/>
      <c r="N113" s="8"/>
      <c r="O113" s="8"/>
      <c r="P113" s="8"/>
      <c r="Q113" s="8"/>
      <c r="R113" s="8"/>
      <c r="S113" s="8"/>
      <c r="T113" s="8"/>
      <c r="U113" s="8"/>
      <c r="V113" s="8"/>
      <c r="W113" s="8"/>
      <c r="X113" s="8"/>
      <c r="Y113" s="8"/>
      <c r="Z113" s="8"/>
      <c r="AA113" s="8"/>
      <c r="AB113" s="8"/>
      <c r="AC113" s="8"/>
      <c r="AD113" s="8"/>
    </row>
    <row r="114" spans="1:30" x14ac:dyDescent="0.2">
      <c r="A114" s="8"/>
      <c r="B114" s="8"/>
      <c r="C114" s="8"/>
      <c r="D114" s="8"/>
      <c r="E114" s="8"/>
      <c r="F114" s="8"/>
      <c r="G114" s="8"/>
      <c r="H114" s="8"/>
      <c r="I114" s="8"/>
      <c r="J114" s="8"/>
      <c r="K114" s="8"/>
      <c r="L114" s="8"/>
      <c r="M114" s="8"/>
      <c r="N114" s="8"/>
      <c r="O114" s="8"/>
      <c r="P114" s="8"/>
      <c r="Q114" s="8"/>
      <c r="R114" s="8"/>
      <c r="S114" s="8"/>
      <c r="T114" s="8"/>
      <c r="U114" s="8"/>
      <c r="V114" s="8"/>
      <c r="W114" s="8"/>
      <c r="X114" s="8"/>
      <c r="Y114" s="8"/>
      <c r="Z114" s="8"/>
      <c r="AA114" s="8"/>
      <c r="AB114" s="8"/>
      <c r="AC114" s="8"/>
      <c r="AD114" s="8"/>
    </row>
    <row r="115" spans="1:30" x14ac:dyDescent="0.2">
      <c r="A115" s="8"/>
      <c r="B115" s="8"/>
      <c r="C115" s="8"/>
      <c r="D115" s="8"/>
      <c r="E115" s="8"/>
      <c r="F115" s="8"/>
      <c r="G115" s="8"/>
      <c r="H115" s="8"/>
      <c r="I115" s="8"/>
      <c r="J115" s="8"/>
      <c r="K115" s="8"/>
      <c r="L115" s="8"/>
      <c r="M115" s="8"/>
      <c r="N115" s="8"/>
      <c r="O115" s="8"/>
      <c r="P115" s="8"/>
      <c r="Q115" s="8"/>
      <c r="R115" s="8"/>
      <c r="S115" s="8"/>
      <c r="T115" s="8"/>
      <c r="U115" s="8"/>
      <c r="V115" s="8"/>
      <c r="W115" s="8"/>
      <c r="X115" s="8"/>
      <c r="Y115" s="8"/>
      <c r="Z115" s="8"/>
      <c r="AA115" s="8"/>
      <c r="AB115" s="8"/>
      <c r="AC115" s="8"/>
      <c r="AD115" s="8"/>
    </row>
    <row r="116" spans="1:30" x14ac:dyDescent="0.2">
      <c r="A116" s="8"/>
      <c r="B116" s="8"/>
      <c r="C116" s="8"/>
      <c r="D116" s="8"/>
      <c r="E116" s="8"/>
      <c r="F116" s="8"/>
      <c r="G116" s="8"/>
      <c r="H116" s="8"/>
      <c r="I116" s="8"/>
      <c r="J116" s="8"/>
      <c r="K116" s="8"/>
      <c r="L116" s="8"/>
      <c r="M116" s="8"/>
      <c r="N116" s="8"/>
      <c r="O116" s="8"/>
      <c r="P116" s="8"/>
      <c r="Q116" s="8"/>
      <c r="R116" s="8"/>
      <c r="S116" s="8"/>
      <c r="T116" s="8"/>
      <c r="U116" s="8"/>
      <c r="V116" s="8"/>
      <c r="W116" s="8"/>
      <c r="X116" s="8"/>
      <c r="Y116" s="8"/>
      <c r="Z116" s="8"/>
      <c r="AA116" s="8"/>
      <c r="AB116" s="8"/>
      <c r="AC116" s="8"/>
      <c r="AD116" s="8"/>
    </row>
    <row r="117" spans="1:30" x14ac:dyDescent="0.2">
      <c r="A117" s="8"/>
      <c r="B117" s="8"/>
      <c r="C117" s="8"/>
      <c r="D117" s="8"/>
      <c r="E117" s="8"/>
      <c r="F117" s="8"/>
      <c r="G117" s="8"/>
      <c r="H117" s="8"/>
      <c r="I117" s="8"/>
      <c r="J117" s="8"/>
      <c r="K117" s="8"/>
      <c r="L117" s="8"/>
      <c r="M117" s="8"/>
      <c r="N117" s="8"/>
      <c r="O117" s="8"/>
      <c r="P117" s="8"/>
      <c r="Q117" s="8"/>
      <c r="R117" s="8"/>
      <c r="S117" s="8"/>
      <c r="T117" s="8"/>
      <c r="U117" s="8"/>
      <c r="V117" s="8"/>
      <c r="W117" s="8"/>
      <c r="X117" s="8"/>
      <c r="Y117" s="8"/>
      <c r="Z117" s="8"/>
      <c r="AA117" s="8"/>
      <c r="AB117" s="8"/>
      <c r="AC117" s="8"/>
      <c r="AD117" s="8"/>
    </row>
    <row r="118" spans="1:30" x14ac:dyDescent="0.2">
      <c r="A118" s="8"/>
      <c r="B118" s="8"/>
      <c r="C118" s="8"/>
      <c r="D118" s="8"/>
      <c r="E118" s="8"/>
      <c r="F118" s="8"/>
      <c r="G118" s="8"/>
      <c r="H118" s="8"/>
      <c r="I118" s="8"/>
      <c r="J118" s="8"/>
      <c r="K118" s="8"/>
      <c r="L118" s="8"/>
      <c r="M118" s="8"/>
      <c r="N118" s="8"/>
      <c r="O118" s="8"/>
      <c r="P118" s="8"/>
      <c r="Q118" s="8"/>
      <c r="R118" s="8"/>
      <c r="S118" s="8"/>
      <c r="T118" s="8"/>
      <c r="U118" s="8"/>
      <c r="V118" s="8"/>
      <c r="W118" s="8"/>
      <c r="X118" s="8"/>
      <c r="Y118" s="8"/>
      <c r="Z118" s="8"/>
      <c r="AA118" s="8"/>
      <c r="AB118" s="8"/>
      <c r="AC118" s="8"/>
      <c r="AD118" s="8"/>
    </row>
    <row r="119" spans="1:30" x14ac:dyDescent="0.2">
      <c r="A119" s="8"/>
      <c r="B119" s="8"/>
      <c r="C119" s="8"/>
      <c r="D119" s="8"/>
      <c r="E119" s="8"/>
      <c r="F119" s="8"/>
      <c r="G119" s="8"/>
      <c r="H119" s="8"/>
      <c r="I119" s="8"/>
      <c r="J119" s="8"/>
      <c r="K119" s="8"/>
      <c r="L119" s="8"/>
      <c r="M119" s="8"/>
      <c r="N119" s="8"/>
      <c r="O119" s="8"/>
      <c r="P119" s="8"/>
      <c r="Q119" s="8"/>
      <c r="R119" s="8"/>
      <c r="S119" s="8"/>
      <c r="T119" s="8"/>
      <c r="U119" s="8"/>
      <c r="V119" s="8"/>
      <c r="W119" s="8"/>
      <c r="X119" s="8"/>
      <c r="Y119" s="8"/>
      <c r="Z119" s="8"/>
      <c r="AA119" s="8"/>
      <c r="AB119" s="8"/>
      <c r="AC119" s="8"/>
      <c r="AD119" s="8"/>
    </row>
    <row r="120" spans="1:30" x14ac:dyDescent="0.2">
      <c r="A120" s="8"/>
      <c r="B120" s="8"/>
      <c r="C120" s="8"/>
      <c r="D120" s="8"/>
      <c r="E120" s="8"/>
      <c r="F120" s="8"/>
      <c r="G120" s="8"/>
      <c r="H120" s="8"/>
      <c r="I120" s="8"/>
      <c r="J120" s="8"/>
      <c r="K120" s="8"/>
      <c r="L120" s="8"/>
      <c r="M120" s="8"/>
      <c r="N120" s="8"/>
      <c r="O120" s="8"/>
      <c r="P120" s="8"/>
      <c r="Q120" s="8"/>
      <c r="R120" s="8"/>
      <c r="S120" s="8"/>
      <c r="T120" s="8"/>
      <c r="U120" s="8"/>
      <c r="V120" s="8"/>
      <c r="W120" s="8"/>
      <c r="X120" s="8"/>
      <c r="Y120" s="8"/>
      <c r="Z120" s="8"/>
      <c r="AA120" s="8"/>
      <c r="AB120" s="8"/>
      <c r="AC120" s="8"/>
      <c r="AD120" s="8"/>
    </row>
    <row r="121" spans="1:30" x14ac:dyDescent="0.2">
      <c r="A121" s="8"/>
      <c r="B121" s="8"/>
      <c r="C121" s="8"/>
      <c r="D121" s="8"/>
      <c r="E121" s="8"/>
      <c r="F121" s="8"/>
      <c r="G121" s="8"/>
      <c r="H121" s="8"/>
      <c r="I121" s="8"/>
      <c r="J121" s="8"/>
      <c r="K121" s="8"/>
      <c r="L121" s="8"/>
      <c r="M121" s="8"/>
      <c r="N121" s="8"/>
      <c r="O121" s="8"/>
      <c r="P121" s="8"/>
      <c r="Q121" s="8"/>
      <c r="R121" s="8"/>
      <c r="S121" s="8"/>
      <c r="T121" s="8"/>
      <c r="U121" s="8"/>
      <c r="V121" s="8"/>
      <c r="W121" s="8"/>
      <c r="X121" s="8"/>
      <c r="Y121" s="8"/>
      <c r="Z121" s="8"/>
      <c r="AA121" s="8"/>
      <c r="AB121" s="8"/>
      <c r="AC121" s="8"/>
      <c r="AD121" s="8"/>
    </row>
    <row r="122" spans="1:30" x14ac:dyDescent="0.2">
      <c r="A122" s="8"/>
      <c r="B122" s="8"/>
      <c r="C122" s="8"/>
      <c r="D122" s="8"/>
      <c r="E122" s="8"/>
      <c r="F122" s="8"/>
      <c r="G122" s="8"/>
      <c r="H122" s="8"/>
      <c r="I122" s="8"/>
      <c r="J122" s="8"/>
      <c r="K122" s="8"/>
      <c r="L122" s="8"/>
      <c r="M122" s="8"/>
      <c r="N122" s="8"/>
      <c r="O122" s="8"/>
      <c r="P122" s="8"/>
      <c r="Q122" s="8"/>
      <c r="R122" s="8"/>
      <c r="S122" s="8"/>
      <c r="T122" s="8"/>
      <c r="U122" s="8"/>
      <c r="V122" s="8"/>
      <c r="W122" s="8"/>
      <c r="X122" s="8"/>
      <c r="Y122" s="8"/>
      <c r="Z122" s="8"/>
      <c r="AA122" s="8"/>
      <c r="AB122" s="8"/>
      <c r="AC122" s="8"/>
      <c r="AD122" s="8"/>
    </row>
    <row r="123" spans="1:30" x14ac:dyDescent="0.2">
      <c r="A123" s="8"/>
      <c r="B123" s="8"/>
      <c r="C123" s="8"/>
      <c r="D123" s="8"/>
      <c r="E123" s="8"/>
      <c r="F123" s="8"/>
      <c r="G123" s="8"/>
      <c r="H123" s="8"/>
      <c r="I123" s="8"/>
      <c r="J123" s="8"/>
      <c r="K123" s="8"/>
      <c r="L123" s="8"/>
      <c r="M123" s="8"/>
      <c r="N123" s="8"/>
      <c r="O123" s="8"/>
      <c r="P123" s="8"/>
      <c r="Q123" s="8"/>
      <c r="R123" s="8"/>
      <c r="S123" s="8"/>
      <c r="T123" s="8"/>
      <c r="U123" s="8"/>
      <c r="V123" s="8"/>
      <c r="W123" s="8"/>
      <c r="X123" s="8"/>
      <c r="Y123" s="8"/>
      <c r="Z123" s="8"/>
      <c r="AA123" s="8"/>
      <c r="AB123" s="8"/>
      <c r="AC123" s="8"/>
      <c r="AD123" s="8"/>
    </row>
    <row r="124" spans="1:30" x14ac:dyDescent="0.2">
      <c r="A124" s="8"/>
      <c r="B124" s="8"/>
      <c r="C124" s="8"/>
      <c r="D124" s="8"/>
      <c r="E124" s="8"/>
      <c r="F124" s="8"/>
      <c r="G124" s="8"/>
      <c r="H124" s="8"/>
      <c r="I124" s="8"/>
      <c r="J124" s="8"/>
      <c r="K124" s="8"/>
      <c r="L124" s="8"/>
      <c r="M124" s="8"/>
      <c r="N124" s="8"/>
      <c r="O124" s="8"/>
      <c r="P124" s="8"/>
      <c r="Q124" s="8"/>
      <c r="R124" s="8"/>
      <c r="S124" s="8"/>
      <c r="T124" s="8"/>
      <c r="U124" s="8"/>
      <c r="V124" s="8"/>
      <c r="W124" s="8"/>
      <c r="X124" s="8"/>
      <c r="Y124" s="8"/>
      <c r="Z124" s="8"/>
      <c r="AA124" s="8"/>
      <c r="AB124" s="8"/>
      <c r="AC124" s="8"/>
      <c r="AD124" s="8"/>
    </row>
    <row r="125" spans="1:30" x14ac:dyDescent="0.2">
      <c r="A125" s="8"/>
      <c r="B125" s="8"/>
      <c r="C125" s="8"/>
      <c r="D125" s="8"/>
      <c r="E125" s="8"/>
      <c r="F125" s="8"/>
      <c r="G125" s="8"/>
      <c r="H125" s="8"/>
      <c r="I125" s="8"/>
      <c r="J125" s="8"/>
      <c r="K125" s="8"/>
      <c r="L125" s="8"/>
      <c r="M125" s="8"/>
      <c r="N125" s="8"/>
      <c r="O125" s="8"/>
      <c r="P125" s="8"/>
      <c r="Q125" s="8"/>
      <c r="R125" s="8"/>
      <c r="S125" s="8"/>
      <c r="T125" s="8"/>
      <c r="U125" s="8"/>
      <c r="V125" s="8"/>
      <c r="W125" s="8"/>
      <c r="X125" s="8"/>
      <c r="Y125" s="8"/>
      <c r="Z125" s="8"/>
      <c r="AA125" s="8"/>
      <c r="AB125" s="8"/>
      <c r="AC125" s="8"/>
      <c r="AD125" s="8"/>
    </row>
    <row r="126" spans="1:30" x14ac:dyDescent="0.2">
      <c r="A126" s="8"/>
      <c r="B126" s="8"/>
      <c r="C126" s="8"/>
      <c r="D126" s="8"/>
      <c r="E126" s="8"/>
      <c r="F126" s="8"/>
      <c r="G126" s="8"/>
      <c r="H126" s="8"/>
      <c r="I126" s="8"/>
      <c r="J126" s="8"/>
      <c r="K126" s="8"/>
      <c r="L126" s="8"/>
      <c r="M126" s="8"/>
      <c r="N126" s="8"/>
      <c r="O126" s="8"/>
      <c r="P126" s="8"/>
      <c r="Q126" s="8"/>
      <c r="R126" s="8"/>
      <c r="S126" s="8"/>
      <c r="T126" s="8"/>
      <c r="U126" s="8"/>
      <c r="V126" s="8"/>
      <c r="W126" s="8"/>
      <c r="X126" s="8"/>
      <c r="Y126" s="8"/>
      <c r="Z126" s="8"/>
      <c r="AA126" s="8"/>
      <c r="AB126" s="8"/>
      <c r="AC126" s="8"/>
      <c r="AD126" s="8"/>
    </row>
    <row r="127" spans="1:30" x14ac:dyDescent="0.2">
      <c r="A127" s="8"/>
      <c r="B127" s="8"/>
      <c r="C127" s="8"/>
      <c r="D127" s="8"/>
      <c r="E127" s="8"/>
      <c r="F127" s="8"/>
      <c r="G127" s="8"/>
      <c r="H127" s="8"/>
      <c r="I127" s="8"/>
      <c r="J127" s="8"/>
      <c r="K127" s="8"/>
      <c r="L127" s="8"/>
      <c r="M127" s="8"/>
      <c r="N127" s="8"/>
      <c r="O127" s="8"/>
      <c r="P127" s="8"/>
      <c r="Q127" s="8"/>
      <c r="R127" s="8"/>
      <c r="S127" s="8"/>
      <c r="T127" s="8"/>
      <c r="U127" s="8"/>
      <c r="V127" s="8"/>
      <c r="W127" s="8"/>
      <c r="X127" s="8"/>
      <c r="Y127" s="8"/>
      <c r="Z127" s="8"/>
      <c r="AA127" s="8"/>
      <c r="AB127" s="8"/>
      <c r="AC127" s="8"/>
      <c r="AD127" s="8"/>
    </row>
    <row r="128" spans="1:30" x14ac:dyDescent="0.2">
      <c r="A128" s="8"/>
      <c r="B128" s="8"/>
      <c r="C128" s="8"/>
      <c r="D128" s="8"/>
      <c r="E128" s="8"/>
      <c r="F128" s="8"/>
      <c r="G128" s="8"/>
      <c r="H128" s="8"/>
      <c r="I128" s="8"/>
      <c r="J128" s="8"/>
      <c r="K128" s="8"/>
      <c r="L128" s="8"/>
      <c r="M128" s="8"/>
      <c r="N128" s="8"/>
      <c r="O128" s="8"/>
      <c r="P128" s="8"/>
      <c r="Q128" s="8"/>
      <c r="R128" s="8"/>
      <c r="S128" s="8"/>
      <c r="T128" s="8"/>
      <c r="U128" s="8"/>
      <c r="V128" s="8"/>
      <c r="W128" s="8"/>
      <c r="X128" s="8"/>
      <c r="Y128" s="8"/>
      <c r="Z128" s="8"/>
      <c r="AA128" s="8"/>
      <c r="AB128" s="8"/>
      <c r="AC128" s="8"/>
      <c r="AD128" s="8"/>
    </row>
    <row r="129" spans="1:30" x14ac:dyDescent="0.2">
      <c r="A129" s="8"/>
      <c r="B129" s="8"/>
      <c r="C129" s="8"/>
      <c r="D129" s="8"/>
      <c r="E129" s="8"/>
      <c r="F129" s="8"/>
      <c r="G129" s="8"/>
      <c r="H129" s="8"/>
      <c r="I129" s="8"/>
      <c r="J129" s="8"/>
      <c r="K129" s="8"/>
      <c r="L129" s="8"/>
      <c r="M129" s="8"/>
      <c r="N129" s="8"/>
      <c r="O129" s="8"/>
      <c r="P129" s="8"/>
      <c r="Q129" s="8"/>
      <c r="R129" s="8"/>
      <c r="S129" s="8"/>
      <c r="T129" s="8"/>
      <c r="U129" s="8"/>
      <c r="V129" s="8"/>
      <c r="W129" s="8"/>
      <c r="X129" s="8"/>
      <c r="Y129" s="8"/>
      <c r="Z129" s="8"/>
      <c r="AA129" s="8"/>
      <c r="AB129" s="8"/>
      <c r="AC129" s="8"/>
      <c r="AD129" s="8"/>
    </row>
    <row r="130" spans="1:30" x14ac:dyDescent="0.2">
      <c r="A130" s="8"/>
      <c r="B130" s="8"/>
      <c r="C130" s="8"/>
      <c r="D130" s="8"/>
      <c r="E130" s="8"/>
      <c r="F130" s="8"/>
      <c r="G130" s="8"/>
      <c r="H130" s="8"/>
      <c r="I130" s="8"/>
      <c r="J130" s="8"/>
      <c r="K130" s="8"/>
      <c r="L130" s="8"/>
      <c r="M130" s="8"/>
      <c r="N130" s="8"/>
      <c r="O130" s="8"/>
      <c r="P130" s="8"/>
      <c r="Q130" s="8"/>
      <c r="R130" s="8"/>
      <c r="S130" s="8"/>
      <c r="T130" s="8"/>
      <c r="U130" s="8"/>
      <c r="V130" s="8"/>
      <c r="W130" s="8"/>
      <c r="X130" s="8"/>
      <c r="Y130" s="8"/>
      <c r="Z130" s="8"/>
      <c r="AA130" s="8"/>
      <c r="AB130" s="8"/>
      <c r="AC130" s="8"/>
      <c r="AD130" s="8"/>
    </row>
    <row r="131" spans="1:30" x14ac:dyDescent="0.2">
      <c r="A131" s="8"/>
      <c r="B131" s="8"/>
      <c r="C131" s="8"/>
      <c r="D131" s="8"/>
      <c r="E131" s="8"/>
      <c r="F131" s="8"/>
      <c r="G131" s="8"/>
      <c r="H131" s="8"/>
      <c r="I131" s="8"/>
      <c r="J131" s="8"/>
      <c r="K131" s="8"/>
      <c r="L131" s="8"/>
      <c r="M131" s="8"/>
      <c r="N131" s="8"/>
      <c r="O131" s="8"/>
      <c r="P131" s="8"/>
      <c r="Q131" s="8"/>
      <c r="R131" s="8"/>
      <c r="S131" s="8"/>
      <c r="T131" s="8"/>
      <c r="U131" s="8"/>
      <c r="V131" s="8"/>
      <c r="W131" s="8"/>
      <c r="X131" s="8"/>
      <c r="Y131" s="8"/>
      <c r="Z131" s="8"/>
      <c r="AA131" s="8"/>
      <c r="AB131" s="8"/>
      <c r="AC131" s="8"/>
      <c r="AD131" s="8"/>
    </row>
    <row r="132" spans="1:30" x14ac:dyDescent="0.2">
      <c r="A132" s="8"/>
      <c r="B132" s="8"/>
      <c r="C132" s="8"/>
      <c r="D132" s="8"/>
      <c r="E132" s="8"/>
      <c r="F132" s="8"/>
      <c r="G132" s="8"/>
      <c r="H132" s="8"/>
      <c r="I132" s="8"/>
      <c r="J132" s="8"/>
      <c r="K132" s="8"/>
      <c r="L132" s="8"/>
      <c r="M132" s="8"/>
      <c r="N132" s="8"/>
      <c r="O132" s="8"/>
      <c r="P132" s="8"/>
      <c r="Q132" s="8"/>
      <c r="R132" s="8"/>
      <c r="S132" s="8"/>
      <c r="T132" s="8"/>
      <c r="U132" s="8"/>
      <c r="V132" s="8"/>
      <c r="W132" s="8"/>
      <c r="X132" s="8"/>
      <c r="Y132" s="8"/>
      <c r="Z132" s="8"/>
      <c r="AA132" s="8"/>
      <c r="AB132" s="8"/>
      <c r="AC132" s="8"/>
      <c r="AD132" s="8"/>
    </row>
    <row r="133" spans="1:30" x14ac:dyDescent="0.2">
      <c r="A133" s="8"/>
      <c r="B133" s="8"/>
      <c r="C133" s="8"/>
      <c r="D133" s="8"/>
      <c r="E133" s="8"/>
      <c r="F133" s="8"/>
      <c r="G133" s="8"/>
      <c r="H133" s="8"/>
      <c r="I133" s="8"/>
      <c r="J133" s="8"/>
      <c r="K133" s="8"/>
      <c r="L133" s="8"/>
      <c r="M133" s="8"/>
      <c r="N133" s="8"/>
      <c r="O133" s="8"/>
      <c r="P133" s="8"/>
      <c r="Q133" s="8"/>
      <c r="R133" s="8"/>
      <c r="S133" s="8"/>
      <c r="T133" s="8"/>
      <c r="U133" s="8"/>
      <c r="V133" s="8"/>
      <c r="W133" s="8"/>
      <c r="X133" s="8"/>
      <c r="Y133" s="8"/>
      <c r="Z133" s="8"/>
      <c r="AA133" s="8"/>
      <c r="AB133" s="8"/>
      <c r="AC133" s="8"/>
      <c r="AD133" s="8"/>
    </row>
    <row r="134" spans="1:30" x14ac:dyDescent="0.2">
      <c r="A134" s="8"/>
      <c r="B134" s="8"/>
      <c r="C134" s="8"/>
      <c r="D134" s="8"/>
      <c r="E134" s="8"/>
      <c r="F134" s="8"/>
      <c r="G134" s="8"/>
      <c r="H134" s="8"/>
      <c r="I134" s="8"/>
      <c r="J134" s="8"/>
      <c r="K134" s="8"/>
      <c r="L134" s="8"/>
      <c r="M134" s="8"/>
      <c r="N134" s="8"/>
      <c r="O134" s="8"/>
      <c r="P134" s="8"/>
      <c r="Q134" s="8"/>
      <c r="R134" s="8"/>
      <c r="S134" s="8"/>
      <c r="T134" s="8"/>
      <c r="U134" s="8"/>
      <c r="V134" s="8"/>
      <c r="W134" s="8"/>
      <c r="X134" s="8"/>
      <c r="Y134" s="8"/>
      <c r="Z134" s="8"/>
      <c r="AA134" s="8"/>
      <c r="AB134" s="8"/>
      <c r="AC134" s="8"/>
      <c r="AD134" s="8"/>
    </row>
    <row r="135" spans="1:30" x14ac:dyDescent="0.2">
      <c r="A135" s="8"/>
      <c r="B135" s="8"/>
      <c r="C135" s="8"/>
      <c r="D135" s="8"/>
      <c r="E135" s="8"/>
      <c r="F135" s="8"/>
      <c r="G135" s="8"/>
      <c r="H135" s="8"/>
      <c r="I135" s="8"/>
      <c r="J135" s="8"/>
      <c r="K135" s="8"/>
      <c r="L135" s="8"/>
      <c r="M135" s="8"/>
      <c r="N135" s="8"/>
      <c r="O135" s="8"/>
      <c r="P135" s="8"/>
      <c r="Q135" s="8"/>
      <c r="R135" s="8"/>
      <c r="S135" s="8"/>
      <c r="T135" s="8"/>
      <c r="U135" s="8"/>
      <c r="V135" s="8"/>
      <c r="W135" s="8"/>
      <c r="X135" s="8"/>
      <c r="Y135" s="8"/>
      <c r="Z135" s="8"/>
      <c r="AA135" s="8"/>
      <c r="AB135" s="8"/>
      <c r="AC135" s="8"/>
      <c r="AD135" s="8"/>
    </row>
    <row r="136" spans="1:30" x14ac:dyDescent="0.2">
      <c r="A136" s="8"/>
      <c r="B136" s="8"/>
      <c r="C136" s="8"/>
      <c r="D136" s="8"/>
      <c r="E136" s="8"/>
      <c r="F136" s="8"/>
      <c r="G136" s="8"/>
      <c r="H136" s="8"/>
      <c r="I136" s="8"/>
      <c r="J136" s="8"/>
      <c r="K136" s="8"/>
      <c r="L136" s="8"/>
      <c r="M136" s="8"/>
      <c r="N136" s="8"/>
      <c r="O136" s="8"/>
      <c r="P136" s="8"/>
      <c r="Q136" s="8"/>
      <c r="R136" s="8"/>
      <c r="S136" s="8"/>
      <c r="T136" s="8"/>
      <c r="U136" s="8"/>
      <c r="V136" s="8"/>
      <c r="W136" s="8"/>
      <c r="X136" s="8"/>
      <c r="Y136" s="8"/>
      <c r="Z136" s="8"/>
      <c r="AA136" s="8"/>
      <c r="AB136" s="8"/>
      <c r="AC136" s="8"/>
      <c r="AD136" s="8"/>
    </row>
    <row r="137" spans="1:30" x14ac:dyDescent="0.2">
      <c r="A137" s="8"/>
      <c r="B137" s="8"/>
      <c r="C137" s="8"/>
      <c r="D137" s="8"/>
      <c r="E137" s="8"/>
      <c r="F137" s="8"/>
      <c r="G137" s="8"/>
      <c r="H137" s="8"/>
      <c r="I137" s="8"/>
      <c r="J137" s="8"/>
      <c r="K137" s="8"/>
      <c r="L137" s="8"/>
      <c r="M137" s="8"/>
      <c r="N137" s="8"/>
      <c r="O137" s="8"/>
      <c r="P137" s="8"/>
      <c r="Q137" s="8"/>
      <c r="R137" s="8"/>
      <c r="S137" s="8"/>
      <c r="T137" s="8"/>
      <c r="U137" s="8"/>
      <c r="V137" s="8"/>
      <c r="W137" s="8"/>
      <c r="X137" s="8"/>
      <c r="Y137" s="8"/>
      <c r="Z137" s="8"/>
      <c r="AA137" s="8"/>
      <c r="AB137" s="8"/>
      <c r="AC137" s="8"/>
      <c r="AD137" s="8"/>
    </row>
    <row r="138" spans="1:30" x14ac:dyDescent="0.2">
      <c r="A138" s="8"/>
      <c r="B138" s="8"/>
      <c r="C138" s="8"/>
      <c r="D138" s="8"/>
      <c r="E138" s="8"/>
      <c r="F138" s="8"/>
      <c r="G138" s="8"/>
      <c r="H138" s="8"/>
      <c r="I138" s="8"/>
      <c r="J138" s="8"/>
      <c r="K138" s="8"/>
      <c r="L138" s="8"/>
      <c r="M138" s="8"/>
      <c r="N138" s="8"/>
      <c r="O138" s="8"/>
      <c r="P138" s="8"/>
      <c r="Q138" s="8"/>
      <c r="R138" s="8"/>
      <c r="S138" s="8"/>
      <c r="T138" s="8"/>
      <c r="U138" s="8"/>
      <c r="V138" s="8"/>
      <c r="W138" s="8"/>
      <c r="X138" s="8"/>
      <c r="Y138" s="8"/>
      <c r="Z138" s="8"/>
      <c r="AA138" s="8"/>
      <c r="AB138" s="8"/>
      <c r="AC138" s="8"/>
      <c r="AD138" s="8"/>
    </row>
    <row r="139" spans="1:30" x14ac:dyDescent="0.2">
      <c r="A139" s="8"/>
      <c r="B139" s="8"/>
      <c r="C139" s="8"/>
      <c r="D139" s="8"/>
      <c r="E139" s="8"/>
      <c r="F139" s="8"/>
      <c r="G139" s="8"/>
      <c r="H139" s="8"/>
      <c r="I139" s="8"/>
      <c r="J139" s="8"/>
      <c r="K139" s="8"/>
      <c r="L139" s="8"/>
      <c r="M139" s="8"/>
      <c r="N139" s="8"/>
      <c r="O139" s="8"/>
      <c r="P139" s="8"/>
      <c r="Q139" s="8"/>
      <c r="R139" s="8"/>
      <c r="S139" s="8"/>
      <c r="T139" s="8"/>
      <c r="U139" s="8"/>
      <c r="V139" s="8"/>
      <c r="W139" s="8"/>
      <c r="X139" s="8"/>
      <c r="Y139" s="8"/>
      <c r="Z139" s="8"/>
      <c r="AA139" s="8"/>
      <c r="AB139" s="8"/>
      <c r="AC139" s="8"/>
      <c r="AD139" s="8"/>
    </row>
    <row r="140" spans="1:30" x14ac:dyDescent="0.2">
      <c r="A140" s="8"/>
      <c r="B140" s="8"/>
      <c r="C140" s="8"/>
      <c r="D140" s="8"/>
      <c r="E140" s="8"/>
      <c r="F140" s="8"/>
      <c r="G140" s="8"/>
      <c r="H140" s="8"/>
      <c r="I140" s="8"/>
      <c r="J140" s="8"/>
      <c r="K140" s="8"/>
      <c r="L140" s="8"/>
      <c r="M140" s="8"/>
      <c r="N140" s="8"/>
      <c r="O140" s="8"/>
      <c r="P140" s="8"/>
      <c r="Q140" s="8"/>
      <c r="R140" s="8"/>
      <c r="S140" s="8"/>
      <c r="T140" s="8"/>
      <c r="U140" s="8"/>
      <c r="V140" s="8"/>
      <c r="W140" s="8"/>
      <c r="X140" s="8"/>
      <c r="Y140" s="8"/>
      <c r="Z140" s="8"/>
      <c r="AA140" s="8"/>
      <c r="AB140" s="8"/>
      <c r="AC140" s="8"/>
      <c r="AD140" s="8"/>
    </row>
    <row r="141" spans="1:30" x14ac:dyDescent="0.2">
      <c r="A141" s="8"/>
      <c r="B141" s="8"/>
      <c r="C141" s="8"/>
      <c r="D141" s="8"/>
      <c r="E141" s="8"/>
      <c r="F141" s="8"/>
      <c r="G141" s="8"/>
      <c r="H141" s="8"/>
      <c r="I141" s="8"/>
      <c r="J141" s="8"/>
      <c r="K141" s="8"/>
      <c r="L141" s="8"/>
      <c r="M141" s="8"/>
      <c r="N141" s="8"/>
      <c r="O141" s="8"/>
      <c r="P141" s="8"/>
      <c r="Q141" s="8"/>
      <c r="R141" s="8"/>
      <c r="S141" s="8"/>
      <c r="T141" s="8"/>
      <c r="U141" s="8"/>
      <c r="V141" s="8"/>
      <c r="W141" s="8"/>
      <c r="X141" s="8"/>
      <c r="Y141" s="8"/>
      <c r="Z141" s="8"/>
      <c r="AA141" s="8"/>
      <c r="AB141" s="8"/>
      <c r="AC141" s="8"/>
      <c r="AD141" s="8"/>
    </row>
    <row r="142" spans="1:30" x14ac:dyDescent="0.2">
      <c r="A142" s="8"/>
      <c r="B142" s="8"/>
      <c r="C142" s="8"/>
      <c r="D142" s="8"/>
      <c r="E142" s="8"/>
      <c r="F142" s="8"/>
      <c r="G142" s="8"/>
      <c r="H142" s="8"/>
      <c r="I142" s="8"/>
      <c r="J142" s="8"/>
      <c r="K142" s="8"/>
      <c r="L142" s="8"/>
      <c r="M142" s="8"/>
      <c r="N142" s="8"/>
      <c r="O142" s="8"/>
      <c r="P142" s="8"/>
      <c r="Q142" s="8"/>
      <c r="R142" s="8"/>
      <c r="S142" s="8"/>
      <c r="T142" s="8"/>
      <c r="U142" s="8"/>
      <c r="V142" s="8"/>
      <c r="W142" s="8"/>
      <c r="X142" s="8"/>
      <c r="Y142" s="8"/>
      <c r="Z142" s="8"/>
      <c r="AA142" s="8"/>
      <c r="AB142" s="8"/>
      <c r="AC142" s="8"/>
      <c r="AD142" s="8"/>
    </row>
    <row r="143" spans="1:30" x14ac:dyDescent="0.2">
      <c r="A143" s="8"/>
      <c r="B143" s="8"/>
      <c r="C143" s="8"/>
      <c r="D143" s="8"/>
      <c r="E143" s="8"/>
      <c r="F143" s="8"/>
      <c r="G143" s="8"/>
      <c r="H143" s="8"/>
      <c r="I143" s="8"/>
      <c r="J143" s="8"/>
      <c r="K143" s="8"/>
      <c r="L143" s="8"/>
      <c r="M143" s="8"/>
      <c r="N143" s="8"/>
      <c r="O143" s="8"/>
      <c r="P143" s="8"/>
      <c r="Q143" s="8"/>
      <c r="R143" s="8"/>
      <c r="S143" s="8"/>
      <c r="T143" s="8"/>
      <c r="U143" s="8"/>
      <c r="V143" s="8"/>
      <c r="W143" s="8"/>
      <c r="X143" s="8"/>
      <c r="Y143" s="8"/>
      <c r="Z143" s="8"/>
      <c r="AA143" s="8"/>
      <c r="AB143" s="8"/>
      <c r="AC143" s="8"/>
      <c r="AD143" s="8"/>
    </row>
    <row r="144" spans="1:30" x14ac:dyDescent="0.2">
      <c r="A144" s="8"/>
      <c r="B144" s="8"/>
      <c r="C144" s="8"/>
      <c r="D144" s="8"/>
      <c r="E144" s="8"/>
      <c r="F144" s="8"/>
      <c r="G144" s="8"/>
      <c r="H144" s="8"/>
      <c r="I144" s="8"/>
      <c r="J144" s="8"/>
      <c r="K144" s="8"/>
      <c r="L144" s="8"/>
      <c r="M144" s="8"/>
      <c r="N144" s="8"/>
      <c r="O144" s="8"/>
      <c r="P144" s="8"/>
      <c r="Q144" s="8"/>
      <c r="R144" s="8"/>
      <c r="S144" s="8"/>
      <c r="T144" s="8"/>
      <c r="U144" s="8"/>
      <c r="V144" s="8"/>
      <c r="W144" s="8"/>
      <c r="X144" s="8"/>
      <c r="Y144" s="8"/>
      <c r="Z144" s="8"/>
      <c r="AA144" s="8"/>
      <c r="AB144" s="8"/>
      <c r="AC144" s="8"/>
      <c r="AD144" s="8"/>
    </row>
    <row r="145" spans="1:30" x14ac:dyDescent="0.2">
      <c r="A145" s="8"/>
      <c r="B145" s="8"/>
      <c r="C145" s="8"/>
      <c r="D145" s="8"/>
      <c r="E145" s="8"/>
      <c r="F145" s="8"/>
      <c r="G145" s="8"/>
      <c r="H145" s="8"/>
      <c r="I145" s="8"/>
      <c r="J145" s="8"/>
      <c r="K145" s="8"/>
      <c r="L145" s="8"/>
      <c r="M145" s="8"/>
      <c r="N145" s="8"/>
      <c r="O145" s="8"/>
      <c r="P145" s="8"/>
      <c r="Q145" s="8"/>
      <c r="R145" s="8"/>
      <c r="S145" s="8"/>
      <c r="T145" s="8"/>
      <c r="U145" s="8"/>
      <c r="V145" s="8"/>
      <c r="W145" s="8"/>
      <c r="X145" s="8"/>
      <c r="Y145" s="8"/>
      <c r="Z145" s="8"/>
      <c r="AA145" s="8"/>
      <c r="AB145" s="8"/>
      <c r="AC145" s="8"/>
      <c r="AD145" s="8"/>
    </row>
    <row r="146" spans="1:30" x14ac:dyDescent="0.2">
      <c r="A146" s="8"/>
      <c r="B146" s="8"/>
      <c r="C146" s="8"/>
      <c r="D146" s="8"/>
      <c r="E146" s="8"/>
      <c r="F146" s="8"/>
      <c r="G146" s="8"/>
      <c r="H146" s="8"/>
      <c r="I146" s="8"/>
      <c r="J146" s="8"/>
      <c r="K146" s="8"/>
      <c r="L146" s="8"/>
      <c r="M146" s="8"/>
      <c r="N146" s="8"/>
      <c r="O146" s="8"/>
      <c r="P146" s="8"/>
      <c r="Q146" s="8"/>
      <c r="R146" s="8"/>
      <c r="S146" s="8"/>
      <c r="T146" s="8"/>
      <c r="U146" s="8"/>
      <c r="V146" s="8"/>
      <c r="W146" s="8"/>
      <c r="X146" s="8"/>
      <c r="Y146" s="8"/>
      <c r="Z146" s="8"/>
      <c r="AA146" s="8"/>
      <c r="AB146" s="8"/>
      <c r="AC146" s="8"/>
      <c r="AD146" s="8"/>
    </row>
    <row r="147" spans="1:30" x14ac:dyDescent="0.2">
      <c r="A147" s="8"/>
      <c r="B147" s="8"/>
      <c r="C147" s="8"/>
      <c r="D147" s="8"/>
      <c r="E147" s="8"/>
      <c r="F147" s="8"/>
      <c r="G147" s="8"/>
      <c r="H147" s="8"/>
      <c r="I147" s="8"/>
      <c r="J147" s="8"/>
      <c r="K147" s="8"/>
      <c r="L147" s="8"/>
      <c r="M147" s="8"/>
      <c r="N147" s="8"/>
      <c r="O147" s="8"/>
      <c r="P147" s="8"/>
      <c r="Q147" s="8"/>
      <c r="R147" s="8"/>
      <c r="S147" s="8"/>
      <c r="T147" s="8"/>
      <c r="U147" s="8"/>
      <c r="V147" s="8"/>
      <c r="W147" s="8"/>
      <c r="X147" s="8"/>
      <c r="Y147" s="8"/>
      <c r="Z147" s="8"/>
      <c r="AA147" s="8"/>
      <c r="AB147" s="8"/>
      <c r="AC147" s="8"/>
      <c r="AD147" s="8"/>
    </row>
    <row r="148" spans="1:30" x14ac:dyDescent="0.2">
      <c r="A148" s="8"/>
      <c r="B148" s="8"/>
      <c r="C148" s="8"/>
      <c r="D148" s="8"/>
      <c r="E148" s="8"/>
      <c r="F148" s="8"/>
      <c r="G148" s="8"/>
      <c r="H148" s="8"/>
      <c r="I148" s="8"/>
      <c r="J148" s="8"/>
      <c r="K148" s="8"/>
      <c r="L148" s="8"/>
      <c r="M148" s="8"/>
      <c r="N148" s="8"/>
      <c r="O148" s="8"/>
      <c r="P148" s="8"/>
      <c r="Q148" s="8"/>
      <c r="R148" s="8"/>
      <c r="S148" s="8"/>
      <c r="T148" s="8"/>
      <c r="U148" s="8"/>
      <c r="V148" s="8"/>
      <c r="W148" s="8"/>
      <c r="X148" s="8"/>
      <c r="Y148" s="8"/>
      <c r="Z148" s="8"/>
      <c r="AA148" s="8"/>
      <c r="AB148" s="8"/>
      <c r="AC148" s="8"/>
      <c r="AD148" s="8"/>
    </row>
    <row r="149" spans="1:30" x14ac:dyDescent="0.2">
      <c r="A149" s="8"/>
      <c r="B149" s="8"/>
      <c r="C149" s="8"/>
      <c r="D149" s="8"/>
      <c r="E149" s="8"/>
      <c r="F149" s="8"/>
      <c r="G149" s="8"/>
      <c r="H149" s="8"/>
      <c r="I149" s="8"/>
      <c r="J149" s="8"/>
      <c r="K149" s="8"/>
      <c r="L149" s="8"/>
      <c r="M149" s="8"/>
      <c r="N149" s="8"/>
      <c r="O149" s="8"/>
      <c r="P149" s="8"/>
      <c r="Q149" s="8"/>
      <c r="R149" s="8"/>
      <c r="S149" s="8"/>
      <c r="T149" s="8"/>
      <c r="U149" s="8"/>
      <c r="V149" s="8"/>
      <c r="W149" s="8"/>
      <c r="X149" s="8"/>
      <c r="Y149" s="8"/>
      <c r="Z149" s="8"/>
      <c r="AA149" s="8"/>
      <c r="AB149" s="8"/>
      <c r="AC149" s="8"/>
      <c r="AD149" s="8"/>
    </row>
    <row r="150" spans="1:30" x14ac:dyDescent="0.2">
      <c r="A150" s="8"/>
      <c r="B150" s="8"/>
      <c r="C150" s="8"/>
      <c r="D150" s="8"/>
      <c r="E150" s="8"/>
      <c r="F150" s="8"/>
      <c r="G150" s="8"/>
      <c r="H150" s="8"/>
      <c r="I150" s="8"/>
      <c r="J150" s="8"/>
      <c r="K150" s="8"/>
      <c r="L150" s="8"/>
      <c r="M150" s="8"/>
      <c r="N150" s="8"/>
      <c r="O150" s="8"/>
      <c r="P150" s="8"/>
      <c r="Q150" s="8"/>
      <c r="R150" s="8"/>
      <c r="S150" s="8"/>
      <c r="T150" s="8"/>
      <c r="U150" s="8"/>
      <c r="V150" s="8"/>
      <c r="W150" s="8"/>
      <c r="X150" s="8"/>
      <c r="Y150" s="8"/>
      <c r="Z150" s="8"/>
      <c r="AA150" s="8"/>
      <c r="AB150" s="8"/>
      <c r="AC150" s="8"/>
      <c r="AD150" s="8"/>
    </row>
    <row r="151" spans="1:30" x14ac:dyDescent="0.2">
      <c r="A151" s="8"/>
      <c r="B151" s="8"/>
      <c r="C151" s="8"/>
      <c r="D151" s="8"/>
      <c r="E151" s="8"/>
      <c r="F151" s="8"/>
      <c r="G151" s="8"/>
      <c r="H151" s="8"/>
      <c r="I151" s="8"/>
      <c r="J151" s="8"/>
      <c r="K151" s="8"/>
      <c r="L151" s="8"/>
      <c r="M151" s="8"/>
      <c r="N151" s="8"/>
      <c r="O151" s="8"/>
      <c r="P151" s="8"/>
      <c r="Q151" s="8"/>
      <c r="R151" s="8"/>
      <c r="S151" s="8"/>
      <c r="T151" s="8"/>
      <c r="U151" s="8"/>
      <c r="V151" s="8"/>
      <c r="W151" s="8"/>
      <c r="X151" s="8"/>
      <c r="Y151" s="8"/>
      <c r="Z151" s="8"/>
      <c r="AA151" s="8"/>
      <c r="AB151" s="8"/>
      <c r="AC151" s="8"/>
      <c r="AD151" s="8"/>
    </row>
    <row r="152" spans="1:30" x14ac:dyDescent="0.2">
      <c r="A152" s="8"/>
      <c r="B152" s="8"/>
      <c r="C152" s="8"/>
      <c r="D152" s="8"/>
      <c r="E152" s="8"/>
      <c r="F152" s="8"/>
      <c r="G152" s="8"/>
      <c r="H152" s="8"/>
      <c r="I152" s="8"/>
      <c r="J152" s="8"/>
      <c r="K152" s="8"/>
      <c r="L152" s="8"/>
      <c r="M152" s="8"/>
      <c r="N152" s="8"/>
      <c r="O152" s="8"/>
      <c r="P152" s="8"/>
      <c r="Q152" s="8"/>
      <c r="R152" s="8"/>
      <c r="S152" s="8"/>
      <c r="T152" s="8"/>
      <c r="U152" s="8"/>
      <c r="V152" s="8"/>
      <c r="W152" s="8"/>
      <c r="X152" s="8"/>
      <c r="Y152" s="8"/>
      <c r="Z152" s="8"/>
      <c r="AA152" s="8"/>
      <c r="AB152" s="8"/>
      <c r="AC152" s="8"/>
      <c r="AD152" s="8"/>
    </row>
    <row r="153" spans="1:30" x14ac:dyDescent="0.2">
      <c r="A153" s="8"/>
      <c r="B153" s="8"/>
      <c r="C153" s="8"/>
      <c r="D153" s="8"/>
      <c r="E153" s="8"/>
      <c r="F153" s="8"/>
      <c r="G153" s="8"/>
      <c r="H153" s="8"/>
      <c r="I153" s="8"/>
      <c r="J153" s="8"/>
      <c r="K153" s="8"/>
      <c r="L153" s="8"/>
      <c r="M153" s="8"/>
      <c r="N153" s="8"/>
      <c r="O153" s="8"/>
      <c r="P153" s="8"/>
      <c r="Q153" s="8"/>
      <c r="R153" s="8"/>
      <c r="S153" s="8"/>
      <c r="T153" s="8"/>
      <c r="U153" s="8"/>
      <c r="V153" s="8"/>
      <c r="W153" s="8"/>
      <c r="X153" s="8"/>
      <c r="Y153" s="8"/>
      <c r="Z153" s="8"/>
      <c r="AA153" s="8"/>
      <c r="AB153" s="8"/>
      <c r="AC153" s="8"/>
      <c r="AD153" s="8"/>
    </row>
    <row r="154" spans="1:30" x14ac:dyDescent="0.2">
      <c r="A154" s="8"/>
      <c r="B154" s="8"/>
      <c r="C154" s="8"/>
      <c r="D154" s="8"/>
      <c r="E154" s="8"/>
      <c r="F154" s="8"/>
      <c r="G154" s="8"/>
      <c r="H154" s="8"/>
      <c r="I154" s="8"/>
      <c r="J154" s="8"/>
      <c r="K154" s="8"/>
      <c r="L154" s="8"/>
      <c r="M154" s="8"/>
      <c r="N154" s="8"/>
      <c r="O154" s="8"/>
      <c r="P154" s="8"/>
      <c r="Q154" s="8"/>
      <c r="R154" s="8"/>
      <c r="S154" s="8"/>
      <c r="T154" s="8"/>
      <c r="U154" s="8"/>
      <c r="V154" s="8"/>
      <c r="W154" s="8"/>
      <c r="X154" s="8"/>
      <c r="Y154" s="8"/>
      <c r="Z154" s="8"/>
      <c r="AA154" s="8"/>
      <c r="AB154" s="8"/>
      <c r="AC154" s="8"/>
      <c r="AD154" s="8"/>
    </row>
    <row r="155" spans="1:30" x14ac:dyDescent="0.2">
      <c r="A155" s="8"/>
      <c r="B155" s="8"/>
      <c r="C155" s="8"/>
      <c r="D155" s="8"/>
      <c r="E155" s="8"/>
      <c r="F155" s="8"/>
      <c r="G155" s="8"/>
      <c r="H155" s="8"/>
      <c r="I155" s="8"/>
      <c r="J155" s="8"/>
      <c r="K155" s="8"/>
      <c r="L155" s="8"/>
      <c r="M155" s="8"/>
      <c r="N155" s="8"/>
      <c r="O155" s="8"/>
      <c r="P155" s="8"/>
      <c r="Q155" s="8"/>
      <c r="R155" s="8"/>
      <c r="S155" s="8"/>
      <c r="T155" s="8"/>
      <c r="U155" s="8"/>
      <c r="V155" s="8"/>
      <c r="W155" s="8"/>
      <c r="X155" s="8"/>
      <c r="Y155" s="8"/>
      <c r="Z155" s="8"/>
      <c r="AA155" s="8"/>
      <c r="AB155" s="8"/>
      <c r="AC155" s="8"/>
      <c r="AD155" s="8"/>
    </row>
    <row r="156" spans="1:30" x14ac:dyDescent="0.2">
      <c r="A156" s="8"/>
      <c r="B156" s="8"/>
      <c r="C156" s="8"/>
      <c r="D156" s="8"/>
      <c r="E156" s="8"/>
      <c r="F156" s="8"/>
      <c r="G156" s="8"/>
      <c r="H156" s="8"/>
      <c r="I156" s="8"/>
      <c r="J156" s="8"/>
      <c r="K156" s="8"/>
      <c r="L156" s="8"/>
      <c r="M156" s="8"/>
      <c r="N156" s="8"/>
      <c r="O156" s="8"/>
      <c r="P156" s="8"/>
      <c r="Q156" s="8"/>
      <c r="R156" s="8"/>
      <c r="S156" s="8"/>
      <c r="T156" s="8"/>
      <c r="U156" s="8"/>
      <c r="V156" s="8"/>
      <c r="W156" s="8"/>
      <c r="X156" s="8"/>
      <c r="Y156" s="8"/>
      <c r="Z156" s="8"/>
      <c r="AA156" s="8"/>
      <c r="AB156" s="8"/>
      <c r="AC156" s="8"/>
      <c r="AD156" s="8"/>
    </row>
    <row r="157" spans="1:30" x14ac:dyDescent="0.2">
      <c r="A157" s="8"/>
      <c r="B157" s="8"/>
      <c r="C157" s="8"/>
      <c r="D157" s="8"/>
      <c r="E157" s="8"/>
      <c r="F157" s="8"/>
      <c r="G157" s="8"/>
      <c r="H157" s="8"/>
      <c r="I157" s="8"/>
      <c r="J157" s="8"/>
      <c r="K157" s="8"/>
      <c r="L157" s="8"/>
      <c r="M157" s="8"/>
      <c r="N157" s="8"/>
      <c r="O157" s="8"/>
      <c r="P157" s="8"/>
      <c r="Q157" s="8"/>
      <c r="R157" s="8"/>
      <c r="S157" s="8"/>
      <c r="T157" s="8"/>
      <c r="U157" s="8"/>
      <c r="V157" s="8"/>
      <c r="W157" s="8"/>
      <c r="X157" s="8"/>
      <c r="Y157" s="8"/>
      <c r="Z157" s="8"/>
      <c r="AA157" s="8"/>
      <c r="AB157" s="8"/>
      <c r="AC157" s="8"/>
      <c r="AD157" s="8"/>
    </row>
    <row r="158" spans="1:30" x14ac:dyDescent="0.2">
      <c r="A158" s="8"/>
      <c r="B158" s="8"/>
      <c r="C158" s="8"/>
      <c r="D158" s="8"/>
      <c r="E158" s="8"/>
      <c r="F158" s="8"/>
      <c r="G158" s="8"/>
      <c r="H158" s="8"/>
      <c r="I158" s="8"/>
      <c r="J158" s="8"/>
      <c r="K158" s="8"/>
      <c r="L158" s="8"/>
      <c r="M158" s="8"/>
      <c r="N158" s="8"/>
      <c r="O158" s="8"/>
      <c r="P158" s="8"/>
      <c r="Q158" s="8"/>
      <c r="R158" s="8"/>
      <c r="S158" s="8"/>
      <c r="T158" s="8"/>
      <c r="U158" s="8"/>
      <c r="V158" s="8"/>
      <c r="W158" s="8"/>
      <c r="X158" s="8"/>
      <c r="Y158" s="8"/>
      <c r="Z158" s="8"/>
      <c r="AA158" s="8"/>
      <c r="AB158" s="8"/>
      <c r="AC158" s="8"/>
      <c r="AD158" s="8"/>
    </row>
    <row r="159" spans="1:30" x14ac:dyDescent="0.2">
      <c r="A159" s="8"/>
      <c r="B159" s="8"/>
      <c r="C159" s="8"/>
      <c r="D159" s="8"/>
      <c r="E159" s="8"/>
      <c r="F159" s="8"/>
      <c r="G159" s="8"/>
      <c r="H159" s="8"/>
      <c r="I159" s="8"/>
      <c r="J159" s="8"/>
      <c r="K159" s="8"/>
      <c r="L159" s="8"/>
      <c r="M159" s="8"/>
      <c r="N159" s="8"/>
      <c r="O159" s="8"/>
      <c r="P159" s="8"/>
      <c r="Q159" s="8"/>
      <c r="R159" s="8"/>
      <c r="S159" s="8"/>
      <c r="T159" s="8"/>
      <c r="U159" s="8"/>
      <c r="V159" s="8"/>
      <c r="W159" s="8"/>
      <c r="X159" s="8"/>
      <c r="Y159" s="8"/>
      <c r="Z159" s="8"/>
      <c r="AA159" s="8"/>
      <c r="AB159" s="8"/>
      <c r="AC159" s="8"/>
      <c r="AD159" s="8"/>
    </row>
    <row r="160" spans="1:30" x14ac:dyDescent="0.2">
      <c r="A160" s="8"/>
      <c r="B160" s="8"/>
      <c r="C160" s="8"/>
      <c r="D160" s="8"/>
      <c r="E160" s="8"/>
      <c r="F160" s="8"/>
      <c r="G160" s="8"/>
      <c r="H160" s="8"/>
      <c r="I160" s="8"/>
      <c r="J160" s="8"/>
      <c r="K160" s="8"/>
      <c r="L160" s="8"/>
      <c r="M160" s="8"/>
      <c r="N160" s="8"/>
      <c r="O160" s="8"/>
      <c r="P160" s="8"/>
      <c r="Q160" s="8"/>
      <c r="R160" s="8"/>
      <c r="S160" s="8"/>
      <c r="T160" s="8"/>
      <c r="U160" s="8"/>
      <c r="V160" s="8"/>
      <c r="W160" s="8"/>
      <c r="X160" s="8"/>
      <c r="Y160" s="8"/>
      <c r="Z160" s="8"/>
      <c r="AA160" s="8"/>
      <c r="AB160" s="8"/>
      <c r="AC160" s="8"/>
      <c r="AD160" s="8"/>
    </row>
    <row r="161" spans="1:30" x14ac:dyDescent="0.2">
      <c r="A161" s="8"/>
      <c r="B161" s="8"/>
      <c r="C161" s="8"/>
      <c r="D161" s="8"/>
      <c r="E161" s="8"/>
      <c r="F161" s="8"/>
      <c r="G161" s="8"/>
      <c r="H161" s="8"/>
      <c r="I161" s="8"/>
      <c r="J161" s="8"/>
      <c r="K161" s="8"/>
      <c r="L161" s="8"/>
      <c r="M161" s="8"/>
      <c r="N161" s="8"/>
      <c r="O161" s="8"/>
      <c r="P161" s="8"/>
      <c r="Q161" s="8"/>
      <c r="R161" s="8"/>
      <c r="S161" s="8"/>
      <c r="T161" s="8"/>
      <c r="U161" s="8"/>
      <c r="V161" s="8"/>
      <c r="W161" s="8"/>
      <c r="X161" s="8"/>
      <c r="Y161" s="8"/>
      <c r="Z161" s="8"/>
      <c r="AA161" s="8"/>
      <c r="AB161" s="8"/>
      <c r="AC161" s="8"/>
      <c r="AD161" s="8"/>
    </row>
    <row r="162" spans="1:30" x14ac:dyDescent="0.2">
      <c r="A162" s="8"/>
      <c r="B162" s="8"/>
      <c r="C162" s="8"/>
      <c r="D162" s="8"/>
      <c r="E162" s="8"/>
      <c r="F162" s="8"/>
      <c r="G162" s="8"/>
      <c r="H162" s="8"/>
      <c r="I162" s="8"/>
      <c r="J162" s="8"/>
      <c r="K162" s="8"/>
      <c r="L162" s="8"/>
      <c r="M162" s="8"/>
      <c r="N162" s="8"/>
      <c r="O162" s="8"/>
      <c r="P162" s="8"/>
      <c r="Q162" s="8"/>
      <c r="R162" s="8"/>
      <c r="S162" s="8"/>
      <c r="T162" s="8"/>
      <c r="U162" s="8"/>
      <c r="V162" s="8"/>
      <c r="W162" s="8"/>
      <c r="X162" s="8"/>
      <c r="Y162" s="8"/>
      <c r="Z162" s="8"/>
      <c r="AA162" s="8"/>
      <c r="AB162" s="8"/>
      <c r="AC162" s="8"/>
      <c r="AD162" s="8"/>
    </row>
    <row r="163" spans="1:30" x14ac:dyDescent="0.2">
      <c r="A163" s="8"/>
      <c r="B163" s="8"/>
      <c r="C163" s="8"/>
      <c r="D163" s="8"/>
      <c r="E163" s="8"/>
      <c r="F163" s="8"/>
      <c r="G163" s="8"/>
      <c r="H163" s="8"/>
      <c r="I163" s="8"/>
      <c r="J163" s="8"/>
      <c r="K163" s="8"/>
      <c r="L163" s="8"/>
      <c r="M163" s="8"/>
      <c r="N163" s="8"/>
      <c r="O163" s="8"/>
      <c r="P163" s="8"/>
      <c r="Q163" s="8"/>
      <c r="R163" s="8"/>
      <c r="S163" s="8"/>
      <c r="T163" s="8"/>
      <c r="U163" s="8"/>
      <c r="V163" s="8"/>
      <c r="W163" s="8"/>
      <c r="X163" s="8"/>
      <c r="Y163" s="8"/>
      <c r="Z163" s="8"/>
      <c r="AA163" s="8"/>
      <c r="AB163" s="8"/>
      <c r="AC163" s="8"/>
      <c r="AD163" s="8"/>
    </row>
    <row r="164" spans="1:30" x14ac:dyDescent="0.2">
      <c r="A164" s="8"/>
      <c r="B164" s="8"/>
      <c r="C164" s="8"/>
      <c r="D164" s="8"/>
      <c r="E164" s="8"/>
      <c r="F164" s="8"/>
      <c r="G164" s="8"/>
      <c r="H164" s="8"/>
      <c r="I164" s="8"/>
      <c r="J164" s="8"/>
      <c r="K164" s="8"/>
      <c r="L164" s="8"/>
      <c r="M164" s="8"/>
      <c r="N164" s="8"/>
      <c r="O164" s="8"/>
      <c r="P164" s="8"/>
      <c r="Q164" s="8"/>
      <c r="R164" s="8"/>
      <c r="S164" s="8"/>
      <c r="T164" s="8"/>
      <c r="U164" s="8"/>
      <c r="V164" s="8"/>
      <c r="W164" s="8"/>
      <c r="X164" s="8"/>
      <c r="Y164" s="8"/>
      <c r="Z164" s="8"/>
      <c r="AA164" s="8"/>
      <c r="AB164" s="8"/>
      <c r="AC164" s="8"/>
      <c r="AD164" s="8"/>
    </row>
    <row r="165" spans="1:30" x14ac:dyDescent="0.2">
      <c r="A165" s="8"/>
      <c r="B165" s="8"/>
      <c r="C165" s="8"/>
      <c r="D165" s="8"/>
      <c r="E165" s="8"/>
      <c r="F165" s="8"/>
      <c r="G165" s="8"/>
      <c r="H165" s="8"/>
      <c r="I165" s="8"/>
      <c r="J165" s="8"/>
      <c r="K165" s="8"/>
      <c r="L165" s="8"/>
      <c r="M165" s="8"/>
      <c r="N165" s="8"/>
      <c r="O165" s="8"/>
      <c r="P165" s="8"/>
      <c r="Q165" s="8"/>
      <c r="R165" s="8"/>
      <c r="S165" s="8"/>
      <c r="T165" s="8"/>
      <c r="U165" s="8"/>
      <c r="V165" s="8"/>
      <c r="W165" s="8"/>
      <c r="X165" s="8"/>
      <c r="Y165" s="8"/>
      <c r="Z165" s="8"/>
      <c r="AA165" s="8"/>
      <c r="AB165" s="8"/>
      <c r="AC165" s="8"/>
      <c r="AD165" s="8"/>
    </row>
    <row r="166" spans="1:30" x14ac:dyDescent="0.2">
      <c r="A166" s="8"/>
      <c r="B166" s="8"/>
      <c r="C166" s="8"/>
      <c r="D166" s="8"/>
      <c r="E166" s="8"/>
      <c r="F166" s="8"/>
      <c r="G166" s="8"/>
      <c r="H166" s="8"/>
      <c r="I166" s="8"/>
      <c r="J166" s="8"/>
      <c r="K166" s="8"/>
      <c r="L166" s="8"/>
      <c r="M166" s="8"/>
      <c r="N166" s="8"/>
      <c r="O166" s="8"/>
      <c r="P166" s="8"/>
      <c r="Q166" s="8"/>
      <c r="R166" s="8"/>
      <c r="S166" s="8"/>
      <c r="T166" s="8"/>
      <c r="U166" s="8"/>
      <c r="V166" s="8"/>
      <c r="W166" s="8"/>
      <c r="X166" s="8"/>
      <c r="Y166" s="8"/>
      <c r="Z166" s="8"/>
      <c r="AA166" s="8"/>
      <c r="AB166" s="8"/>
      <c r="AC166" s="8"/>
      <c r="AD166" s="8"/>
    </row>
    <row r="167" spans="1:30" x14ac:dyDescent="0.2">
      <c r="A167" s="8"/>
      <c r="B167" s="8"/>
      <c r="C167" s="8"/>
      <c r="D167" s="8"/>
      <c r="E167" s="8"/>
      <c r="F167" s="8"/>
      <c r="G167" s="8"/>
      <c r="H167" s="8"/>
      <c r="I167" s="8"/>
      <c r="J167" s="8"/>
      <c r="K167" s="8"/>
      <c r="L167" s="8"/>
      <c r="M167" s="8"/>
      <c r="N167" s="8"/>
      <c r="O167" s="8"/>
      <c r="P167" s="8"/>
      <c r="Q167" s="8"/>
      <c r="R167" s="8"/>
      <c r="S167" s="8"/>
      <c r="T167" s="8"/>
      <c r="U167" s="8"/>
      <c r="V167" s="8"/>
      <c r="W167" s="8"/>
      <c r="X167" s="8"/>
      <c r="Y167" s="8"/>
      <c r="Z167" s="8"/>
      <c r="AA167" s="8"/>
      <c r="AB167" s="8"/>
      <c r="AC167" s="8"/>
      <c r="AD167" s="8"/>
    </row>
    <row r="168" spans="1:30" x14ac:dyDescent="0.2">
      <c r="A168" s="8"/>
      <c r="B168" s="8"/>
      <c r="C168" s="8"/>
      <c r="D168" s="8"/>
      <c r="E168" s="8"/>
      <c r="F168" s="8"/>
      <c r="G168" s="8"/>
      <c r="H168" s="8"/>
      <c r="I168" s="8"/>
      <c r="J168" s="8"/>
      <c r="K168" s="8"/>
      <c r="L168" s="8"/>
      <c r="M168" s="8"/>
      <c r="N168" s="8"/>
      <c r="O168" s="8"/>
      <c r="P168" s="8"/>
      <c r="Q168" s="8"/>
      <c r="R168" s="8"/>
      <c r="S168" s="8"/>
      <c r="T168" s="8"/>
      <c r="U168" s="8"/>
      <c r="V168" s="8"/>
      <c r="W168" s="8"/>
      <c r="X168" s="8"/>
      <c r="Y168" s="8"/>
      <c r="Z168" s="8"/>
      <c r="AA168" s="8"/>
      <c r="AB168" s="8"/>
      <c r="AC168" s="8"/>
      <c r="AD168" s="8"/>
    </row>
    <row r="169" spans="1:30" x14ac:dyDescent="0.2">
      <c r="A169" s="8"/>
      <c r="B169" s="8"/>
      <c r="C169" s="8"/>
      <c r="D169" s="8"/>
      <c r="E169" s="8"/>
      <c r="F169" s="8"/>
      <c r="G169" s="8"/>
      <c r="H169" s="8"/>
      <c r="I169" s="8"/>
      <c r="J169" s="8"/>
      <c r="K169" s="8"/>
      <c r="L169" s="8"/>
      <c r="M169" s="8"/>
      <c r="N169" s="8"/>
      <c r="O169" s="8"/>
      <c r="P169" s="8"/>
      <c r="Q169" s="8"/>
      <c r="R169" s="8"/>
      <c r="S169" s="8"/>
      <c r="T169" s="8"/>
      <c r="U169" s="8"/>
      <c r="V169" s="8"/>
      <c r="W169" s="8"/>
      <c r="X169" s="8"/>
      <c r="Y169" s="8"/>
      <c r="Z169" s="8"/>
      <c r="AA169" s="8"/>
      <c r="AB169" s="8"/>
      <c r="AC169" s="8"/>
      <c r="AD169" s="8"/>
    </row>
    <row r="170" spans="1:30" x14ac:dyDescent="0.2">
      <c r="A170" s="8"/>
      <c r="B170" s="8"/>
      <c r="C170" s="8"/>
      <c r="D170" s="8"/>
      <c r="E170" s="8"/>
      <c r="F170" s="8"/>
      <c r="G170" s="8"/>
      <c r="H170" s="8"/>
      <c r="I170" s="8"/>
      <c r="J170" s="8"/>
      <c r="K170" s="8"/>
      <c r="L170" s="8"/>
      <c r="M170" s="8"/>
      <c r="N170" s="8"/>
      <c r="O170" s="8"/>
      <c r="P170" s="8"/>
      <c r="Q170" s="8"/>
      <c r="R170" s="8"/>
      <c r="S170" s="8"/>
      <c r="T170" s="8"/>
      <c r="U170" s="8"/>
      <c r="V170" s="8"/>
      <c r="W170" s="8"/>
      <c r="X170" s="8"/>
      <c r="Y170" s="8"/>
      <c r="Z170" s="8"/>
      <c r="AA170" s="8"/>
      <c r="AB170" s="8"/>
      <c r="AC170" s="8"/>
      <c r="AD170" s="8"/>
    </row>
    <row r="171" spans="1:30" x14ac:dyDescent="0.2">
      <c r="A171" s="8"/>
      <c r="B171" s="8"/>
      <c r="C171" s="8"/>
      <c r="D171" s="8"/>
      <c r="E171" s="8"/>
      <c r="F171" s="8"/>
      <c r="G171" s="8"/>
      <c r="H171" s="8"/>
      <c r="I171" s="8"/>
      <c r="J171" s="8"/>
      <c r="K171" s="8"/>
      <c r="L171" s="8"/>
      <c r="M171" s="8"/>
      <c r="N171" s="8"/>
      <c r="O171" s="8"/>
      <c r="P171" s="8"/>
      <c r="Q171" s="8"/>
      <c r="R171" s="8"/>
      <c r="S171" s="8"/>
      <c r="T171" s="8"/>
      <c r="U171" s="8"/>
      <c r="V171" s="8"/>
      <c r="W171" s="8"/>
      <c r="X171" s="8"/>
      <c r="Y171" s="8"/>
      <c r="Z171" s="8"/>
      <c r="AA171" s="8"/>
      <c r="AB171" s="8"/>
      <c r="AC171" s="8"/>
      <c r="AD171" s="8"/>
    </row>
    <row r="172" spans="1:30" x14ac:dyDescent="0.2">
      <c r="A172" s="8"/>
      <c r="B172" s="8"/>
      <c r="C172" s="8"/>
      <c r="D172" s="8"/>
      <c r="E172" s="8"/>
      <c r="F172" s="8"/>
      <c r="G172" s="8"/>
      <c r="H172" s="8"/>
      <c r="I172" s="8"/>
      <c r="J172" s="8"/>
      <c r="K172" s="8"/>
      <c r="L172" s="8"/>
      <c r="M172" s="8"/>
      <c r="N172" s="8"/>
      <c r="O172" s="8"/>
      <c r="P172" s="8"/>
      <c r="Q172" s="8"/>
      <c r="R172" s="8"/>
      <c r="S172" s="8"/>
      <c r="T172" s="8"/>
      <c r="U172" s="8"/>
      <c r="V172" s="8"/>
      <c r="W172" s="8"/>
      <c r="X172" s="8"/>
      <c r="Y172" s="8"/>
      <c r="Z172" s="8"/>
      <c r="AA172" s="8"/>
      <c r="AB172" s="8"/>
      <c r="AC172" s="8"/>
      <c r="AD172" s="8"/>
    </row>
    <row r="173" spans="1:30" x14ac:dyDescent="0.2">
      <c r="A173" s="8"/>
      <c r="B173" s="8"/>
      <c r="C173" s="8"/>
      <c r="D173" s="8"/>
      <c r="E173" s="8"/>
      <c r="F173" s="8"/>
      <c r="G173" s="8"/>
      <c r="H173" s="8"/>
      <c r="I173" s="8"/>
      <c r="J173" s="8"/>
      <c r="K173" s="8"/>
      <c r="L173" s="8"/>
      <c r="M173" s="8"/>
      <c r="N173" s="8"/>
      <c r="O173" s="8"/>
      <c r="P173" s="8"/>
      <c r="Q173" s="8"/>
      <c r="R173" s="8"/>
      <c r="S173" s="8"/>
      <c r="T173" s="8"/>
      <c r="U173" s="8"/>
      <c r="V173" s="8"/>
      <c r="W173" s="8"/>
      <c r="X173" s="8"/>
      <c r="Y173" s="8"/>
      <c r="Z173" s="8"/>
      <c r="AA173" s="8"/>
      <c r="AB173" s="8"/>
      <c r="AC173" s="8"/>
      <c r="AD173" s="8"/>
    </row>
    <row r="174" spans="1:30" x14ac:dyDescent="0.2">
      <c r="A174" s="8"/>
      <c r="B174" s="8"/>
      <c r="C174" s="8"/>
      <c r="D174" s="8"/>
      <c r="E174" s="8"/>
      <c r="F174" s="8"/>
      <c r="G174" s="8"/>
      <c r="H174" s="8"/>
      <c r="I174" s="8"/>
      <c r="J174" s="8"/>
      <c r="K174" s="8"/>
      <c r="L174" s="8"/>
      <c r="M174" s="8"/>
      <c r="N174" s="8"/>
      <c r="O174" s="8"/>
      <c r="P174" s="8"/>
      <c r="Q174" s="8"/>
      <c r="R174" s="8"/>
      <c r="S174" s="8"/>
      <c r="T174" s="8"/>
      <c r="U174" s="8"/>
      <c r="V174" s="8"/>
      <c r="W174" s="8"/>
      <c r="X174" s="8"/>
      <c r="Y174" s="8"/>
      <c r="Z174" s="8"/>
      <c r="AA174" s="8"/>
      <c r="AB174" s="8"/>
      <c r="AC174" s="8"/>
      <c r="AD174" s="8"/>
    </row>
  </sheetData>
  <customSheetViews>
    <customSheetView guid="{788B8383-784A-4263-9D04-45657AC129FF}" hiddenColumns="1">
      <pageMargins left="0.75" right="0.75" top="1" bottom="1" header="0.5" footer="0.5"/>
      <pageSetup paperSize="9" orientation="portrait" verticalDpi="0" r:id="rId1"/>
      <headerFooter alignWithMargins="0"/>
    </customSheetView>
  </customSheetViews>
  <mergeCells count="14">
    <mergeCell ref="B2:E3"/>
    <mergeCell ref="B4:E4"/>
    <mergeCell ref="B5:E5"/>
    <mergeCell ref="B6:B7"/>
    <mergeCell ref="B23:E23"/>
    <mergeCell ref="B14:B21"/>
    <mergeCell ref="B10:E11"/>
    <mergeCell ref="B12:E12"/>
    <mergeCell ref="B13:E13"/>
    <mergeCell ref="B36:B40"/>
    <mergeCell ref="B32:E33"/>
    <mergeCell ref="B34:E34"/>
    <mergeCell ref="B35:E35"/>
    <mergeCell ref="B24:B29"/>
  </mergeCells>
  <phoneticPr fontId="2" type="noConversion"/>
  <pageMargins left="0.75" right="0.75" top="1" bottom="1" header="0.5" footer="0.5"/>
  <pageSetup paperSize="9" orientation="portrait" verticalDpi="0" r:id="rId2"/>
  <headerFooter alignWithMargins="0"/>
  <drawing r:id="rId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 codeName="Лист20"/>
  <dimension ref="A1:W110"/>
  <sheetViews>
    <sheetView workbookViewId="0"/>
  </sheetViews>
  <sheetFormatPr defaultRowHeight="12.75" x14ac:dyDescent="0.2"/>
  <cols>
    <col min="1" max="1" width="3.28515625" customWidth="1"/>
    <col min="2" max="2" width="22.140625" customWidth="1"/>
    <col min="4" max="4" width="60.42578125" customWidth="1"/>
    <col min="6" max="6" width="0" hidden="1" customWidth="1"/>
    <col min="7" max="7" width="9.140625" style="6"/>
    <col min="9" max="23" width="9.140625" style="8"/>
  </cols>
  <sheetData>
    <row r="1" spans="1:8" ht="3.75" customHeight="1" thickBot="1" x14ac:dyDescent="0.25">
      <c r="A1" s="8"/>
      <c r="B1" s="8"/>
      <c r="C1" s="8"/>
      <c r="D1" s="8"/>
      <c r="E1" s="53"/>
      <c r="F1" s="8"/>
      <c r="G1" s="37"/>
      <c r="H1" s="35"/>
    </row>
    <row r="2" spans="1:8" ht="20.25" x14ac:dyDescent="0.2">
      <c r="A2" s="8"/>
      <c r="B2" s="2015" t="s">
        <v>928</v>
      </c>
      <c r="C2" s="2016"/>
      <c r="D2" s="2016"/>
      <c r="E2" s="2016"/>
      <c r="F2" s="2016"/>
      <c r="G2" s="2016"/>
      <c r="H2" s="372"/>
    </row>
    <row r="3" spans="1:8" ht="20.25" x14ac:dyDescent="0.2">
      <c r="A3" s="17"/>
      <c r="B3" s="2018"/>
      <c r="C3" s="2019"/>
      <c r="D3" s="2019"/>
      <c r="E3" s="2019"/>
      <c r="F3" s="2019"/>
      <c r="G3" s="2019"/>
      <c r="H3" s="374"/>
    </row>
    <row r="4" spans="1:8" x14ac:dyDescent="0.2">
      <c r="A4" s="17"/>
      <c r="B4" s="425"/>
      <c r="C4" s="131"/>
      <c r="D4" s="2095"/>
      <c r="E4" s="2095"/>
      <c r="F4" s="2095"/>
      <c r="G4" s="2095"/>
      <c r="H4" s="426"/>
    </row>
    <row r="5" spans="1:8" ht="15" customHeight="1" x14ac:dyDescent="0.2">
      <c r="A5" s="17"/>
      <c r="B5" s="2329" t="s">
        <v>929</v>
      </c>
      <c r="C5" s="2330"/>
      <c r="D5" s="2330"/>
      <c r="E5" s="94"/>
      <c r="F5" s="73"/>
      <c r="G5" s="115"/>
      <c r="H5" s="376" t="str">
        <f>IF(СОДЕРЖАНИЕ!P2=1,"EUR","RUB")</f>
        <v>RUB</v>
      </c>
    </row>
    <row r="6" spans="1:8" x14ac:dyDescent="0.2">
      <c r="A6" s="17"/>
      <c r="B6" s="2072"/>
      <c r="C6" s="138" t="s">
        <v>1328</v>
      </c>
      <c r="D6" s="43" t="str">
        <f>VLOOKUP(C6,всецены,2,FALSE)</f>
        <v>ZBH, Шаблон-угол д/отв 65.5310 (4134034)</v>
      </c>
      <c r="E6" s="3">
        <v>1</v>
      </c>
      <c r="F6" s="12">
        <f>VLOOKUP(C6,всецены,4,FALSE)</f>
        <v>287.87718960000001</v>
      </c>
      <c r="G6" s="109">
        <f>F6*E6</f>
        <v>287.87718960000001</v>
      </c>
      <c r="H6" s="2091">
        <f>SUM(G6:G12)</f>
        <v>287.87718960000001</v>
      </c>
    </row>
    <row r="7" spans="1:8" x14ac:dyDescent="0.2">
      <c r="A7" s="17"/>
      <c r="B7" s="2073"/>
      <c r="C7" s="2320" t="s">
        <v>927</v>
      </c>
      <c r="D7" s="2321"/>
      <c r="E7" s="2321"/>
      <c r="F7" s="2321"/>
      <c r="G7" s="2322"/>
      <c r="H7" s="2092"/>
    </row>
    <row r="8" spans="1:8" x14ac:dyDescent="0.2">
      <c r="A8" s="17"/>
      <c r="B8" s="2073"/>
      <c r="C8" s="2323"/>
      <c r="D8" s="2324"/>
      <c r="E8" s="2324"/>
      <c r="F8" s="2324"/>
      <c r="G8" s="2325"/>
      <c r="H8" s="2092"/>
    </row>
    <row r="9" spans="1:8" x14ac:dyDescent="0.2">
      <c r="A9" s="17"/>
      <c r="B9" s="2073"/>
      <c r="C9" s="2323"/>
      <c r="D9" s="2324"/>
      <c r="E9" s="2324"/>
      <c r="F9" s="2324"/>
      <c r="G9" s="2325"/>
      <c r="H9" s="2092"/>
    </row>
    <row r="10" spans="1:8" x14ac:dyDescent="0.2">
      <c r="A10" s="17"/>
      <c r="B10" s="2073"/>
      <c r="C10" s="2323"/>
      <c r="D10" s="2324"/>
      <c r="E10" s="2324"/>
      <c r="F10" s="2324"/>
      <c r="G10" s="2325"/>
      <c r="H10" s="2092"/>
    </row>
    <row r="11" spans="1:8" x14ac:dyDescent="0.2">
      <c r="A11" s="17"/>
      <c r="B11" s="2073"/>
      <c r="C11" s="2323"/>
      <c r="D11" s="2324"/>
      <c r="E11" s="2324"/>
      <c r="F11" s="2324"/>
      <c r="G11" s="2325"/>
      <c r="H11" s="2092"/>
    </row>
    <row r="12" spans="1:8" ht="13.5" thickBot="1" x14ac:dyDescent="0.25">
      <c r="A12" s="17"/>
      <c r="B12" s="2074"/>
      <c r="C12" s="2326"/>
      <c r="D12" s="2327"/>
      <c r="E12" s="2327"/>
      <c r="F12" s="2327"/>
      <c r="G12" s="2328"/>
      <c r="H12" s="2093"/>
    </row>
    <row r="13" spans="1:8" ht="15" x14ac:dyDescent="0.2">
      <c r="A13" s="17"/>
      <c r="B13" s="2329" t="s">
        <v>930</v>
      </c>
      <c r="C13" s="2330"/>
      <c r="D13" s="2330"/>
      <c r="E13" s="94"/>
      <c r="F13" s="73"/>
      <c r="G13" s="115"/>
      <c r="H13" s="376" t="str">
        <f>IF(СОДЕРЖАНИЕ!P2=1,"EUR","RUB")</f>
        <v>RUB</v>
      </c>
    </row>
    <row r="14" spans="1:8" x14ac:dyDescent="0.2">
      <c r="A14" s="17"/>
      <c r="B14" s="2072"/>
      <c r="C14" s="138" t="s">
        <v>261</v>
      </c>
      <c r="D14" s="43" t="str">
        <f>VLOOKUP(C14,всецены,2,FALSE)</f>
        <v xml:space="preserve">ZBH, Шаблон д/отв. планок, 65.5070      </v>
      </c>
      <c r="E14" s="3">
        <v>1</v>
      </c>
      <c r="F14" s="12">
        <f>VLOOKUP(C14,всецены,4,FALSE)</f>
        <v>1904.5434408000003</v>
      </c>
      <c r="G14" s="109">
        <f>F14*E14</f>
        <v>1904.5434408000003</v>
      </c>
      <c r="H14" s="2091">
        <f>SUM(G14:G20)</f>
        <v>1904.5434408000003</v>
      </c>
    </row>
    <row r="15" spans="1:8" x14ac:dyDescent="0.2">
      <c r="A15" s="17"/>
      <c r="B15" s="2073"/>
      <c r="C15" s="2320" t="s">
        <v>491</v>
      </c>
      <c r="D15" s="2321"/>
      <c r="E15" s="2321"/>
      <c r="F15" s="2321"/>
      <c r="G15" s="2322"/>
      <c r="H15" s="2092"/>
    </row>
    <row r="16" spans="1:8" x14ac:dyDescent="0.2">
      <c r="A16" s="17"/>
      <c r="B16" s="2073"/>
      <c r="C16" s="2323"/>
      <c r="D16" s="2324"/>
      <c r="E16" s="2324"/>
      <c r="F16" s="2324"/>
      <c r="G16" s="2325"/>
      <c r="H16" s="2092"/>
    </row>
    <row r="17" spans="1:8" x14ac:dyDescent="0.2">
      <c r="A17" s="17"/>
      <c r="B17" s="2073"/>
      <c r="C17" s="2323"/>
      <c r="D17" s="2324"/>
      <c r="E17" s="2324"/>
      <c r="F17" s="2324"/>
      <c r="G17" s="2325"/>
      <c r="H17" s="2092"/>
    </row>
    <row r="18" spans="1:8" x14ac:dyDescent="0.2">
      <c r="A18" s="17"/>
      <c r="B18" s="2073"/>
      <c r="C18" s="2323"/>
      <c r="D18" s="2324"/>
      <c r="E18" s="2324"/>
      <c r="F18" s="2324"/>
      <c r="G18" s="2325"/>
      <c r="H18" s="2092"/>
    </row>
    <row r="19" spans="1:8" x14ac:dyDescent="0.2">
      <c r="A19" s="17"/>
      <c r="B19" s="2073"/>
      <c r="C19" s="2323"/>
      <c r="D19" s="2324"/>
      <c r="E19" s="2324"/>
      <c r="F19" s="2324"/>
      <c r="G19" s="2325"/>
      <c r="H19" s="2092"/>
    </row>
    <row r="20" spans="1:8" ht="13.5" thickBot="1" x14ac:dyDescent="0.25">
      <c r="A20" s="17"/>
      <c r="B20" s="2074"/>
      <c r="C20" s="2326"/>
      <c r="D20" s="2327"/>
      <c r="E20" s="2327"/>
      <c r="F20" s="2327"/>
      <c r="G20" s="2328"/>
      <c r="H20" s="2093"/>
    </row>
    <row r="21" spans="1:8" ht="15" x14ac:dyDescent="0.2">
      <c r="A21" s="17"/>
      <c r="B21" s="2329" t="s">
        <v>492</v>
      </c>
      <c r="C21" s="2330"/>
      <c r="D21" s="2330"/>
      <c r="E21" s="94"/>
      <c r="F21" s="73"/>
      <c r="G21" s="115"/>
      <c r="H21" s="376" t="str">
        <f>IF(СОДЕРЖАНИЕ!P2=1,"EUR","RUB")</f>
        <v>RUB</v>
      </c>
    </row>
    <row r="22" spans="1:8" x14ac:dyDescent="0.2">
      <c r="A22" s="17"/>
      <c r="B22" s="2072"/>
      <c r="C22" s="138" t="s">
        <v>1736</v>
      </c>
      <c r="D22" s="43" t="str">
        <f>VLOOKUP(C22,всецены,2,FALSE)</f>
        <v xml:space="preserve">ZBH, Шаблон BM д/дв у петли 65.5010     </v>
      </c>
      <c r="E22" s="3">
        <v>1</v>
      </c>
      <c r="F22" s="12">
        <f>VLOOKUP(C22,всецены,4,FALSE)</f>
        <v>2370.514146</v>
      </c>
      <c r="G22" s="109">
        <f>F22*E22</f>
        <v>2370.514146</v>
      </c>
      <c r="H22" s="2091">
        <f>SUM(G22:G27)</f>
        <v>2370.514146</v>
      </c>
    </row>
    <row r="23" spans="1:8" x14ac:dyDescent="0.2">
      <c r="A23" s="17"/>
      <c r="B23" s="2073"/>
      <c r="C23" s="2320" t="s">
        <v>497</v>
      </c>
      <c r="D23" s="2321"/>
      <c r="E23" s="2321"/>
      <c r="F23" s="2321"/>
      <c r="G23" s="2322"/>
      <c r="H23" s="2092"/>
    </row>
    <row r="24" spans="1:8" x14ac:dyDescent="0.2">
      <c r="A24" s="17"/>
      <c r="B24" s="2073"/>
      <c r="C24" s="2323"/>
      <c r="D24" s="2324"/>
      <c r="E24" s="2324"/>
      <c r="F24" s="2324"/>
      <c r="G24" s="2325"/>
      <c r="H24" s="2092"/>
    </row>
    <row r="25" spans="1:8" x14ac:dyDescent="0.2">
      <c r="A25" s="17"/>
      <c r="B25" s="2073"/>
      <c r="C25" s="2323"/>
      <c r="D25" s="2324"/>
      <c r="E25" s="2324"/>
      <c r="F25" s="2324"/>
      <c r="G25" s="2325"/>
      <c r="H25" s="2092"/>
    </row>
    <row r="26" spans="1:8" x14ac:dyDescent="0.2">
      <c r="A26" s="17"/>
      <c r="B26" s="2073"/>
      <c r="C26" s="2323"/>
      <c r="D26" s="2324"/>
      <c r="E26" s="2324"/>
      <c r="F26" s="2324"/>
      <c r="G26" s="2325"/>
      <c r="H26" s="2092"/>
    </row>
    <row r="27" spans="1:8" ht="13.5" thickBot="1" x14ac:dyDescent="0.25">
      <c r="A27" s="17"/>
      <c r="B27" s="2074"/>
      <c r="C27" s="2326"/>
      <c r="D27" s="2327"/>
      <c r="E27" s="2327"/>
      <c r="F27" s="2327"/>
      <c r="G27" s="2328"/>
      <c r="H27" s="2093"/>
    </row>
    <row r="28" spans="1:8" ht="15" x14ac:dyDescent="0.2">
      <c r="A28" s="17"/>
      <c r="B28" s="2329" t="s">
        <v>493</v>
      </c>
      <c r="C28" s="2330"/>
      <c r="D28" s="2330"/>
      <c r="E28" s="94"/>
      <c r="F28" s="73"/>
      <c r="G28" s="115"/>
      <c r="H28" s="376" t="str">
        <f>IF(СОДЕРЖАНИЕ!P2=1,"EUR","RUB")</f>
        <v>RUB</v>
      </c>
    </row>
    <row r="29" spans="1:8" x14ac:dyDescent="0.2">
      <c r="A29" s="17"/>
      <c r="B29" s="2072"/>
      <c r="C29" s="138" t="s">
        <v>584</v>
      </c>
      <c r="D29" s="43" t="str">
        <f>VLOOKUP(C29,всецены,2,FALSE)</f>
        <v xml:space="preserve">ZBH, Шаблон BM д/дв, 65.5000            </v>
      </c>
      <c r="E29" s="3">
        <v>1</v>
      </c>
      <c r="F29" s="12">
        <f>VLOOKUP(C29,всецены,4,FALSE)</f>
        <v>5638.0015692000006</v>
      </c>
      <c r="G29" s="109">
        <f>F29*E29</f>
        <v>5638.0015692000006</v>
      </c>
      <c r="H29" s="2091">
        <f>SUM(G29:G36)</f>
        <v>5638.0015692000006</v>
      </c>
    </row>
    <row r="30" spans="1:8" x14ac:dyDescent="0.2">
      <c r="A30" s="17"/>
      <c r="B30" s="2073"/>
      <c r="C30" s="2320" t="s">
        <v>494</v>
      </c>
      <c r="D30" s="2321"/>
      <c r="E30" s="2321"/>
      <c r="F30" s="2321"/>
      <c r="G30" s="2322"/>
      <c r="H30" s="2092"/>
    </row>
    <row r="31" spans="1:8" x14ac:dyDescent="0.2">
      <c r="A31" s="17"/>
      <c r="B31" s="2073"/>
      <c r="C31" s="2323"/>
      <c r="D31" s="2324"/>
      <c r="E31" s="2324"/>
      <c r="F31" s="2324"/>
      <c r="G31" s="2325"/>
      <c r="H31" s="2092"/>
    </row>
    <row r="32" spans="1:8" x14ac:dyDescent="0.2">
      <c r="A32" s="17"/>
      <c r="B32" s="2073"/>
      <c r="C32" s="2323"/>
      <c r="D32" s="2324"/>
      <c r="E32" s="2324"/>
      <c r="F32" s="2324"/>
      <c r="G32" s="2325"/>
      <c r="H32" s="2092"/>
    </row>
    <row r="33" spans="1:8" x14ac:dyDescent="0.2">
      <c r="A33" s="17"/>
      <c r="B33" s="2073"/>
      <c r="C33" s="2323"/>
      <c r="D33" s="2324"/>
      <c r="E33" s="2324"/>
      <c r="F33" s="2324"/>
      <c r="G33" s="2325"/>
      <c r="H33" s="2092"/>
    </row>
    <row r="34" spans="1:8" x14ac:dyDescent="0.2">
      <c r="A34" s="17"/>
      <c r="B34" s="2073"/>
      <c r="C34" s="2323"/>
      <c r="D34" s="2324"/>
      <c r="E34" s="2324"/>
      <c r="F34" s="2324"/>
      <c r="G34" s="2325"/>
      <c r="H34" s="2092"/>
    </row>
    <row r="35" spans="1:8" x14ac:dyDescent="0.2">
      <c r="A35" s="17"/>
      <c r="B35" s="2073"/>
      <c r="C35" s="2323"/>
      <c r="D35" s="2324"/>
      <c r="E35" s="2324"/>
      <c r="F35" s="2324"/>
      <c r="G35" s="2325"/>
      <c r="H35" s="2092"/>
    </row>
    <row r="36" spans="1:8" ht="13.5" thickBot="1" x14ac:dyDescent="0.25">
      <c r="A36" s="17"/>
      <c r="B36" s="2074"/>
      <c r="C36" s="2326"/>
      <c r="D36" s="2327"/>
      <c r="E36" s="2327"/>
      <c r="F36" s="2327"/>
      <c r="G36" s="2328"/>
      <c r="H36" s="2093"/>
    </row>
    <row r="37" spans="1:8" ht="15" x14ac:dyDescent="0.2">
      <c r="A37" s="17"/>
      <c r="B37" s="2329" t="s">
        <v>495</v>
      </c>
      <c r="C37" s="2330"/>
      <c r="D37" s="2330"/>
      <c r="E37" s="94"/>
      <c r="F37" s="73"/>
      <c r="G37" s="115"/>
      <c r="H37" s="376" t="str">
        <f>IF(СОДЕРЖАНИЕ!P2=1,"EUR","RUB")</f>
        <v>RUB</v>
      </c>
    </row>
    <row r="38" spans="1:8" x14ac:dyDescent="0.2">
      <c r="A38" s="17"/>
      <c r="B38" s="2072"/>
      <c r="C38" s="138" t="s">
        <v>1735</v>
      </c>
      <c r="D38" s="43" t="str">
        <f>VLOOKUP(C38,всецены,2,FALSE)</f>
        <v xml:space="preserve">ZBH, Угломер ПИФАГОР, 65.5810           </v>
      </c>
      <c r="E38" s="3">
        <v>1</v>
      </c>
      <c r="F38" s="12">
        <f>VLOOKUP(C38,всецены,4,FALSE)</f>
        <v>345.61527000000001</v>
      </c>
      <c r="G38" s="109">
        <f>F38*E38</f>
        <v>345.61527000000001</v>
      </c>
      <c r="H38" s="2091">
        <f>SUM(G38:G43)</f>
        <v>345.61527000000001</v>
      </c>
    </row>
    <row r="39" spans="1:8" x14ac:dyDescent="0.2">
      <c r="A39" s="17"/>
      <c r="B39" s="2073"/>
      <c r="C39" s="2320" t="s">
        <v>496</v>
      </c>
      <c r="D39" s="2321"/>
      <c r="E39" s="2321"/>
      <c r="F39" s="2321"/>
      <c r="G39" s="2322"/>
      <c r="H39" s="2092"/>
    </row>
    <row r="40" spans="1:8" x14ac:dyDescent="0.2">
      <c r="A40" s="17"/>
      <c r="B40" s="2073"/>
      <c r="C40" s="2323"/>
      <c r="D40" s="2324"/>
      <c r="E40" s="2324"/>
      <c r="F40" s="2324"/>
      <c r="G40" s="2325"/>
      <c r="H40" s="2092"/>
    </row>
    <row r="41" spans="1:8" x14ac:dyDescent="0.2">
      <c r="A41" s="17"/>
      <c r="B41" s="2073"/>
      <c r="C41" s="2323"/>
      <c r="D41" s="2324"/>
      <c r="E41" s="2324"/>
      <c r="F41" s="2324"/>
      <c r="G41" s="2325"/>
      <c r="H41" s="2092"/>
    </row>
    <row r="42" spans="1:8" x14ac:dyDescent="0.2">
      <c r="A42" s="17"/>
      <c r="B42" s="2073"/>
      <c r="C42" s="2323"/>
      <c r="D42" s="2324"/>
      <c r="E42" s="2324"/>
      <c r="F42" s="2324"/>
      <c r="G42" s="2325"/>
      <c r="H42" s="2092"/>
    </row>
    <row r="43" spans="1:8" ht="13.5" thickBot="1" x14ac:dyDescent="0.25">
      <c r="A43" s="17"/>
      <c r="B43" s="2074"/>
      <c r="C43" s="2326"/>
      <c r="D43" s="2327"/>
      <c r="E43" s="2327"/>
      <c r="F43" s="2327"/>
      <c r="G43" s="2328"/>
      <c r="H43" s="2093"/>
    </row>
    <row r="44" spans="1:8" ht="15" x14ac:dyDescent="0.2">
      <c r="A44" s="17"/>
      <c r="B44" s="2329" t="s">
        <v>498</v>
      </c>
      <c r="C44" s="2330"/>
      <c r="D44" s="2330"/>
      <c r="E44" s="94"/>
      <c r="F44" s="73"/>
      <c r="G44" s="115"/>
      <c r="H44" s="376" t="str">
        <f>IF(СОДЕРЖАНИЕ!P2=1,"EUR","RUB")</f>
        <v>RUB</v>
      </c>
    </row>
    <row r="45" spans="1:8" x14ac:dyDescent="0.2">
      <c r="A45" s="17"/>
      <c r="B45" s="2072"/>
      <c r="C45" s="138" t="s">
        <v>1244</v>
      </c>
      <c r="D45" s="43" t="str">
        <f>VLOOKUP(C45,всецены,2,FALSE)</f>
        <v xml:space="preserve">ZBH, Шт.кондукт. NEW 65.1000.01         </v>
      </c>
      <c r="E45" s="3">
        <v>1</v>
      </c>
      <c r="F45" s="12">
        <f>VLOOKUP(C45,всецены,4,FALSE)</f>
        <v>35111.258582399998</v>
      </c>
      <c r="G45" s="109">
        <f>F45*E45</f>
        <v>35111.258582399998</v>
      </c>
      <c r="H45" s="2091">
        <f>SUM(G45:G53)</f>
        <v>35111.258582399998</v>
      </c>
    </row>
    <row r="46" spans="1:8" x14ac:dyDescent="0.2">
      <c r="A46" s="17"/>
      <c r="B46" s="2073"/>
      <c r="C46" s="2320" t="s">
        <v>1593</v>
      </c>
      <c r="D46" s="2321"/>
      <c r="E46" s="2321"/>
      <c r="F46" s="2321"/>
      <c r="G46" s="2322"/>
      <c r="H46" s="2092"/>
    </row>
    <row r="47" spans="1:8" x14ac:dyDescent="0.2">
      <c r="A47" s="17"/>
      <c r="B47" s="2073"/>
      <c r="C47" s="2323"/>
      <c r="D47" s="2324"/>
      <c r="E47" s="2324"/>
      <c r="F47" s="2324"/>
      <c r="G47" s="2325"/>
      <c r="H47" s="2092"/>
    </row>
    <row r="48" spans="1:8" x14ac:dyDescent="0.2">
      <c r="A48" s="17"/>
      <c r="B48" s="2073"/>
      <c r="C48" s="2323"/>
      <c r="D48" s="2324"/>
      <c r="E48" s="2324"/>
      <c r="F48" s="2324"/>
      <c r="G48" s="2325"/>
      <c r="H48" s="2092"/>
    </row>
    <row r="49" spans="1:8" x14ac:dyDescent="0.2">
      <c r="A49" s="17"/>
      <c r="B49" s="2073"/>
      <c r="C49" s="2323"/>
      <c r="D49" s="2324"/>
      <c r="E49" s="2324"/>
      <c r="F49" s="2324"/>
      <c r="G49" s="2325"/>
      <c r="H49" s="2092"/>
    </row>
    <row r="50" spans="1:8" x14ac:dyDescent="0.2">
      <c r="A50" s="17"/>
      <c r="B50" s="2073"/>
      <c r="C50" s="2323"/>
      <c r="D50" s="2324"/>
      <c r="E50" s="2324"/>
      <c r="F50" s="2324"/>
      <c r="G50" s="2325"/>
      <c r="H50" s="2092"/>
    </row>
    <row r="51" spans="1:8" x14ac:dyDescent="0.2">
      <c r="A51" s="17"/>
      <c r="B51" s="2073"/>
      <c r="C51" s="2323"/>
      <c r="D51" s="2324"/>
      <c r="E51" s="2324"/>
      <c r="F51" s="2324"/>
      <c r="G51" s="2325"/>
      <c r="H51" s="2092"/>
    </row>
    <row r="52" spans="1:8" x14ac:dyDescent="0.2">
      <c r="A52" s="17"/>
      <c r="B52" s="2073"/>
      <c r="C52" s="2323"/>
      <c r="D52" s="2324"/>
      <c r="E52" s="2324"/>
      <c r="F52" s="2324"/>
      <c r="G52" s="2325"/>
      <c r="H52" s="2092"/>
    </row>
    <row r="53" spans="1:8" ht="13.5" thickBot="1" x14ac:dyDescent="0.25">
      <c r="A53" s="17"/>
      <c r="B53" s="2074"/>
      <c r="C53" s="2326"/>
      <c r="D53" s="2327"/>
      <c r="E53" s="2327"/>
      <c r="F53" s="2327"/>
      <c r="G53" s="2328"/>
      <c r="H53" s="2093"/>
    </row>
    <row r="54" spans="1:8" ht="15" x14ac:dyDescent="0.2">
      <c r="A54" s="17"/>
      <c r="B54" s="2329" t="s">
        <v>1594</v>
      </c>
      <c r="C54" s="2330"/>
      <c r="D54" s="2330"/>
      <c r="E54" s="94"/>
      <c r="F54" s="73"/>
      <c r="G54" s="115"/>
      <c r="H54" s="376" t="str">
        <f>IF(СОДЕРЖАНИЕ!P2=1,"EUR","RUB")</f>
        <v>RUB</v>
      </c>
    </row>
    <row r="55" spans="1:8" x14ac:dyDescent="0.2">
      <c r="A55" s="17"/>
      <c r="B55" s="2072"/>
      <c r="C55" s="138" t="s">
        <v>1243</v>
      </c>
      <c r="D55" s="43" t="str">
        <f>VLOOKUP(C55,всецены,2,FALSE)</f>
        <v>ZBH, Шаблон д/напр. 65.1051.01,(5093516)</v>
      </c>
      <c r="E55" s="3">
        <v>1</v>
      </c>
      <c r="F55" s="12">
        <f>VLOOKUP(C55,всецены,4,FALSE)</f>
        <v>5582.7031260000012</v>
      </c>
      <c r="G55" s="109">
        <f>F55*E55</f>
        <v>5582.7031260000012</v>
      </c>
      <c r="H55" s="2091">
        <f>SUM(G55:G63)</f>
        <v>5582.7031260000012</v>
      </c>
    </row>
    <row r="56" spans="1:8" x14ac:dyDescent="0.2">
      <c r="A56" s="17"/>
      <c r="B56" s="2073"/>
      <c r="C56" s="2320" t="s">
        <v>1595</v>
      </c>
      <c r="D56" s="2321"/>
      <c r="E56" s="2321"/>
      <c r="F56" s="2321"/>
      <c r="G56" s="2322"/>
      <c r="H56" s="2092"/>
    </row>
    <row r="57" spans="1:8" x14ac:dyDescent="0.2">
      <c r="A57" s="17"/>
      <c r="B57" s="2073"/>
      <c r="C57" s="2323"/>
      <c r="D57" s="2324"/>
      <c r="E57" s="2324"/>
      <c r="F57" s="2324"/>
      <c r="G57" s="2325"/>
      <c r="H57" s="2092"/>
    </row>
    <row r="58" spans="1:8" x14ac:dyDescent="0.2">
      <c r="A58" s="17"/>
      <c r="B58" s="2073"/>
      <c r="C58" s="2323"/>
      <c r="D58" s="2324"/>
      <c r="E58" s="2324"/>
      <c r="F58" s="2324"/>
      <c r="G58" s="2325"/>
      <c r="H58" s="2092"/>
    </row>
    <row r="59" spans="1:8" x14ac:dyDescent="0.2">
      <c r="A59" s="17"/>
      <c r="B59" s="2073"/>
      <c r="C59" s="2323"/>
      <c r="D59" s="2324"/>
      <c r="E59" s="2324"/>
      <c r="F59" s="2324"/>
      <c r="G59" s="2325"/>
      <c r="H59" s="2092"/>
    </row>
    <row r="60" spans="1:8" x14ac:dyDescent="0.2">
      <c r="A60" s="17"/>
      <c r="B60" s="2073"/>
      <c r="C60" s="2323"/>
      <c r="D60" s="2324"/>
      <c r="E60" s="2324"/>
      <c r="F60" s="2324"/>
      <c r="G60" s="2325"/>
      <c r="H60" s="2092"/>
    </row>
    <row r="61" spans="1:8" x14ac:dyDescent="0.2">
      <c r="A61" s="17"/>
      <c r="B61" s="2073"/>
      <c r="C61" s="2323"/>
      <c r="D61" s="2324"/>
      <c r="E61" s="2324"/>
      <c r="F61" s="2324"/>
      <c r="G61" s="2325"/>
      <c r="H61" s="2092"/>
    </row>
    <row r="62" spans="1:8" x14ac:dyDescent="0.2">
      <c r="A62" s="17"/>
      <c r="B62" s="2073"/>
      <c r="C62" s="2323"/>
      <c r="D62" s="2324"/>
      <c r="E62" s="2324"/>
      <c r="F62" s="2324"/>
      <c r="G62" s="2325"/>
      <c r="H62" s="2092"/>
    </row>
    <row r="63" spans="1:8" ht="13.5" thickBot="1" x14ac:dyDescent="0.25">
      <c r="A63" s="17"/>
      <c r="B63" s="2074"/>
      <c r="C63" s="2326"/>
      <c r="D63" s="2327"/>
      <c r="E63" s="2327"/>
      <c r="F63" s="2327"/>
      <c r="G63" s="2328"/>
      <c r="H63" s="2093"/>
    </row>
    <row r="64" spans="1:8" ht="15" x14ac:dyDescent="0.2">
      <c r="A64" s="17"/>
      <c r="B64" s="2329" t="s">
        <v>1596</v>
      </c>
      <c r="C64" s="2330"/>
      <c r="D64" s="2330"/>
      <c r="E64" s="94"/>
      <c r="F64" s="73"/>
      <c r="G64" s="115"/>
      <c r="H64" s="376" t="str">
        <f>IF(СОДЕРЖАНИЕ!P2=1,"EUR","RUB")</f>
        <v>RUB</v>
      </c>
    </row>
    <row r="65" spans="1:8" x14ac:dyDescent="0.2">
      <c r="A65" s="17"/>
      <c r="B65" s="2072"/>
      <c r="C65" s="138" t="s">
        <v>256</v>
      </c>
      <c r="D65" s="43" t="str">
        <f>VLOOKUP(C65,всецены,2,FALSE)</f>
        <v>ZBH, Шаблон д/напр. МТВ,Standart,65.3300</v>
      </c>
      <c r="E65" s="3">
        <v>1</v>
      </c>
      <c r="F65" s="12">
        <f>VLOOKUP(C65,всецены,4,FALSE)</f>
        <v>1285.6888044000002</v>
      </c>
      <c r="G65" s="109">
        <f>F65*E65</f>
        <v>1285.6888044000002</v>
      </c>
      <c r="H65" s="2091">
        <f>SUM(G65:G70)</f>
        <v>1285.6888044000002</v>
      </c>
    </row>
    <row r="66" spans="1:8" x14ac:dyDescent="0.2">
      <c r="A66" s="17"/>
      <c r="B66" s="2073"/>
      <c r="C66" s="2320" t="s">
        <v>1597</v>
      </c>
      <c r="D66" s="2321"/>
      <c r="E66" s="2321"/>
      <c r="F66" s="2321"/>
      <c r="G66" s="2322"/>
      <c r="H66" s="2092"/>
    </row>
    <row r="67" spans="1:8" x14ac:dyDescent="0.2">
      <c r="A67" s="17"/>
      <c r="B67" s="2073"/>
      <c r="C67" s="2323"/>
      <c r="D67" s="2324"/>
      <c r="E67" s="2324"/>
      <c r="F67" s="2324"/>
      <c r="G67" s="2325"/>
      <c r="H67" s="2092"/>
    </row>
    <row r="68" spans="1:8" x14ac:dyDescent="0.2">
      <c r="A68" s="17"/>
      <c r="B68" s="2073"/>
      <c r="C68" s="2323"/>
      <c r="D68" s="2324"/>
      <c r="E68" s="2324"/>
      <c r="F68" s="2324"/>
      <c r="G68" s="2325"/>
      <c r="H68" s="2092"/>
    </row>
    <row r="69" spans="1:8" x14ac:dyDescent="0.2">
      <c r="A69" s="17"/>
      <c r="B69" s="2073"/>
      <c r="C69" s="2323"/>
      <c r="D69" s="2324"/>
      <c r="E69" s="2324"/>
      <c r="F69" s="2324"/>
      <c r="G69" s="2325"/>
      <c r="H69" s="2092"/>
    </row>
    <row r="70" spans="1:8" ht="13.5" thickBot="1" x14ac:dyDescent="0.25">
      <c r="A70" s="17"/>
      <c r="B70" s="2074"/>
      <c r="C70" s="2326"/>
      <c r="D70" s="2327"/>
      <c r="E70" s="2327"/>
      <c r="F70" s="2327"/>
      <c r="G70" s="2328"/>
      <c r="H70" s="2093"/>
    </row>
    <row r="71" spans="1:8" ht="15" x14ac:dyDescent="0.2">
      <c r="A71" s="17"/>
      <c r="B71" s="2329" t="s">
        <v>1594</v>
      </c>
      <c r="C71" s="2330"/>
      <c r="D71" s="2330"/>
      <c r="E71" s="94"/>
      <c r="F71" s="73"/>
      <c r="G71" s="115"/>
      <c r="H71" s="376" t="str">
        <f>IF(СОДЕРЖАНИЕ!P2=1,"EUR","RUB")</f>
        <v>RUB</v>
      </c>
    </row>
    <row r="72" spans="1:8" x14ac:dyDescent="0.2">
      <c r="A72" s="17"/>
      <c r="B72" s="2072"/>
      <c r="C72" s="138" t="s">
        <v>587</v>
      </c>
      <c r="D72" s="43" t="str">
        <f>VLOOKUP(C72,всецены,2,FALSE)</f>
        <v xml:space="preserve">ZBH, Универс. шаблон д/ящиков(7445143)  </v>
      </c>
      <c r="E72" s="3">
        <v>1</v>
      </c>
      <c r="F72" s="12">
        <f>VLOOKUP(C72,всецены,4,FALSE)</f>
        <v>3478.9226472</v>
      </c>
      <c r="G72" s="109">
        <f>F72*E72</f>
        <v>3478.9226472</v>
      </c>
      <c r="H72" s="2091">
        <f>SUM(G72:G77)</f>
        <v>3478.9226472</v>
      </c>
    </row>
    <row r="73" spans="1:8" x14ac:dyDescent="0.2">
      <c r="A73" s="17"/>
      <c r="B73" s="2073"/>
      <c r="C73" s="2320" t="s">
        <v>1598</v>
      </c>
      <c r="D73" s="2321"/>
      <c r="E73" s="2321"/>
      <c r="F73" s="2321"/>
      <c r="G73" s="2322"/>
      <c r="H73" s="2092"/>
    </row>
    <row r="74" spans="1:8" x14ac:dyDescent="0.2">
      <c r="A74" s="17"/>
      <c r="B74" s="2073"/>
      <c r="C74" s="2323"/>
      <c r="D74" s="2324"/>
      <c r="E74" s="2324"/>
      <c r="F74" s="2324"/>
      <c r="G74" s="2325"/>
      <c r="H74" s="2092"/>
    </row>
    <row r="75" spans="1:8" x14ac:dyDescent="0.2">
      <c r="A75" s="17"/>
      <c r="B75" s="2073"/>
      <c r="C75" s="2323"/>
      <c r="D75" s="2324"/>
      <c r="E75" s="2324"/>
      <c r="F75" s="2324"/>
      <c r="G75" s="2325"/>
      <c r="H75" s="2092"/>
    </row>
    <row r="76" spans="1:8" x14ac:dyDescent="0.2">
      <c r="A76" s="17"/>
      <c r="B76" s="2073"/>
      <c r="C76" s="2323"/>
      <c r="D76" s="2324"/>
      <c r="E76" s="2324"/>
      <c r="F76" s="2324"/>
      <c r="G76" s="2325"/>
      <c r="H76" s="2092"/>
    </row>
    <row r="77" spans="1:8" ht="13.5" thickBot="1" x14ac:dyDescent="0.25">
      <c r="A77" s="17"/>
      <c r="B77" s="2074"/>
      <c r="C77" s="2326"/>
      <c r="D77" s="2327"/>
      <c r="E77" s="2327"/>
      <c r="F77" s="2327"/>
      <c r="G77" s="2328"/>
      <c r="H77" s="2093"/>
    </row>
    <row r="78" spans="1:8" x14ac:dyDescent="0.2">
      <c r="A78" s="17"/>
      <c r="B78" s="69"/>
      <c r="C78" s="619"/>
      <c r="D78" s="619"/>
      <c r="E78" s="619"/>
      <c r="F78" s="619"/>
      <c r="G78" s="619"/>
      <c r="H78" s="618"/>
    </row>
    <row r="79" spans="1:8" ht="13.5" thickBot="1" x14ac:dyDescent="0.25">
      <c r="A79" s="8"/>
      <c r="B79" s="8"/>
      <c r="C79" s="8"/>
      <c r="D79" s="8"/>
      <c r="E79" s="8"/>
      <c r="F79" s="8"/>
      <c r="G79" s="37"/>
      <c r="H79" s="8"/>
    </row>
    <row r="80" spans="1:8" ht="20.25" x14ac:dyDescent="0.2">
      <c r="A80" s="8"/>
      <c r="B80" s="2015" t="s">
        <v>1599</v>
      </c>
      <c r="C80" s="2016"/>
      <c r="D80" s="2016"/>
      <c r="E80" s="2016"/>
      <c r="F80" s="2016"/>
      <c r="G80" s="2016"/>
      <c r="H80" s="372"/>
    </row>
    <row r="81" spans="1:8" ht="20.25" x14ac:dyDescent="0.2">
      <c r="A81" s="17"/>
      <c r="B81" s="2018"/>
      <c r="C81" s="2019"/>
      <c r="D81" s="2019"/>
      <c r="E81" s="2019"/>
      <c r="F81" s="2019"/>
      <c r="G81" s="2019"/>
      <c r="H81" s="374"/>
    </row>
    <row r="82" spans="1:8" x14ac:dyDescent="0.2">
      <c r="A82" s="17"/>
      <c r="B82" s="425"/>
      <c r="C82" s="131"/>
      <c r="D82" s="2095"/>
      <c r="E82" s="2095"/>
      <c r="F82" s="2095"/>
      <c r="G82" s="2095"/>
      <c r="H82" s="426"/>
    </row>
    <row r="83" spans="1:8" ht="15" x14ac:dyDescent="0.2">
      <c r="A83" s="17"/>
      <c r="B83" s="533" t="s">
        <v>1600</v>
      </c>
      <c r="C83" s="441"/>
      <c r="D83" s="95"/>
      <c r="E83" s="94"/>
      <c r="F83" s="73"/>
      <c r="G83" s="115"/>
      <c r="H83" s="376" t="str">
        <f>IF(СОДЕРЖАНИЕ!P2=1,"EUR","RUB")</f>
        <v>RUB</v>
      </c>
    </row>
    <row r="84" spans="1:8" x14ac:dyDescent="0.2">
      <c r="A84" s="17"/>
      <c r="B84" s="2072"/>
      <c r="C84" s="532" t="s">
        <v>2064</v>
      </c>
      <c r="D84" s="43" t="str">
        <f>VLOOKUP(C84,всецены,2,FALSE)</f>
        <v>ZBH, Станок Minipress P,3ф,400В,M53.1000</v>
      </c>
      <c r="E84" s="3">
        <v>1</v>
      </c>
      <c r="F84" s="12">
        <f>VLOOKUP(C84,всецены,4,FALSE)</f>
        <v>103347.9110664</v>
      </c>
      <c r="G84" s="109">
        <f>F84*E84</f>
        <v>103347.9110664</v>
      </c>
      <c r="H84" s="2091">
        <f>SUM(G84:G90)</f>
        <v>103347.9110664</v>
      </c>
    </row>
    <row r="85" spans="1:8" x14ac:dyDescent="0.2">
      <c r="A85" s="17"/>
      <c r="B85" s="2073"/>
      <c r="C85" s="2331" t="s">
        <v>1602</v>
      </c>
      <c r="D85" s="2332"/>
      <c r="E85" s="2332"/>
      <c r="F85" s="2332"/>
      <c r="G85" s="2333"/>
      <c r="H85" s="2092"/>
    </row>
    <row r="86" spans="1:8" x14ac:dyDescent="0.2">
      <c r="A86" s="17"/>
      <c r="B86" s="2073"/>
      <c r="C86" s="2334"/>
      <c r="D86" s="2335"/>
      <c r="E86" s="2335"/>
      <c r="F86" s="2335"/>
      <c r="G86" s="2336"/>
      <c r="H86" s="2092"/>
    </row>
    <row r="87" spans="1:8" x14ac:dyDescent="0.2">
      <c r="A87" s="17"/>
      <c r="B87" s="2073"/>
      <c r="C87" s="2334"/>
      <c r="D87" s="2335"/>
      <c r="E87" s="2335"/>
      <c r="F87" s="2335"/>
      <c r="G87" s="2336"/>
      <c r="H87" s="2092"/>
    </row>
    <row r="88" spans="1:8" x14ac:dyDescent="0.2">
      <c r="A88" s="17"/>
      <c r="B88" s="2073"/>
      <c r="C88" s="2334"/>
      <c r="D88" s="2335"/>
      <c r="E88" s="2335"/>
      <c r="F88" s="2335"/>
      <c r="G88" s="2336"/>
      <c r="H88" s="2092"/>
    </row>
    <row r="89" spans="1:8" x14ac:dyDescent="0.2">
      <c r="A89" s="17"/>
      <c r="B89" s="2073"/>
      <c r="C89" s="2334"/>
      <c r="D89" s="2335"/>
      <c r="E89" s="2335"/>
      <c r="F89" s="2335"/>
      <c r="G89" s="2336"/>
      <c r="H89" s="2092"/>
    </row>
    <row r="90" spans="1:8" ht="13.5" thickBot="1" x14ac:dyDescent="0.25">
      <c r="A90" s="17"/>
      <c r="B90" s="2074"/>
      <c r="C90" s="2337"/>
      <c r="D90" s="2338"/>
      <c r="E90" s="2338"/>
      <c r="F90" s="2338"/>
      <c r="G90" s="2339"/>
      <c r="H90" s="2093"/>
    </row>
    <row r="91" spans="1:8" ht="13.5" thickBot="1" x14ac:dyDescent="0.25">
      <c r="A91" s="17"/>
      <c r="B91" s="69"/>
      <c r="C91" s="75"/>
      <c r="D91" s="75"/>
      <c r="E91" s="169"/>
      <c r="F91" s="358"/>
      <c r="G91" s="177"/>
      <c r="H91" s="19"/>
    </row>
    <row r="92" spans="1:8" ht="15" x14ac:dyDescent="0.2">
      <c r="A92" s="17"/>
      <c r="B92" s="2340" t="s">
        <v>1601</v>
      </c>
      <c r="C92" s="2341"/>
      <c r="D92" s="2341"/>
      <c r="E92" s="2341"/>
      <c r="F92" s="2341"/>
      <c r="G92" s="2341"/>
      <c r="H92" s="385" t="str">
        <f>IF(СОДЕРЖАНИЕ!P2=1,"EUR","RUB")</f>
        <v>RUB</v>
      </c>
    </row>
    <row r="93" spans="1:8" x14ac:dyDescent="0.2">
      <c r="A93" s="17"/>
      <c r="B93" s="2072"/>
      <c r="C93" s="532" t="s">
        <v>2061</v>
      </c>
      <c r="D93" s="43" t="str">
        <f t="shared" ref="D93:D102" si="0">VLOOKUP(C93,всецены,2,FALSE)</f>
        <v>ZBH, Раб. стол д/нов. Minipress MZA.5300</v>
      </c>
      <c r="E93" s="3">
        <v>1</v>
      </c>
      <c r="F93" s="12">
        <f>VLOOKUP(C93,всецены,4,FALSE)</f>
        <v>9898.4213328000005</v>
      </c>
      <c r="G93" s="109">
        <f>F93*E93</f>
        <v>9898.4213328000005</v>
      </c>
      <c r="H93" s="534">
        <f>G93</f>
        <v>9898.4213328000005</v>
      </c>
    </row>
    <row r="94" spans="1:8" x14ac:dyDescent="0.2">
      <c r="A94" s="17"/>
      <c r="B94" s="2073"/>
      <c r="C94" s="532" t="s">
        <v>626</v>
      </c>
      <c r="D94" s="43" t="str">
        <f t="shared" si="0"/>
        <v xml:space="preserve">ZBH, Удл.лин 1250мм к MР, MZL.1250      </v>
      </c>
      <c r="E94" s="3">
        <v>1</v>
      </c>
      <c r="F94" s="12">
        <f t="shared" ref="F94:F102" si="1">VLOOKUP(C94,всецены,4,FALSE)</f>
        <v>7033.4740476000006</v>
      </c>
      <c r="G94" s="109">
        <f t="shared" ref="G94:G102" si="2">F94*E94</f>
        <v>7033.4740476000006</v>
      </c>
      <c r="H94" s="534">
        <f t="shared" ref="H94:H102" si="3">G94</f>
        <v>7033.4740476000006</v>
      </c>
    </row>
    <row r="95" spans="1:8" x14ac:dyDescent="0.2">
      <c r="A95" s="17"/>
      <c r="B95" s="2073"/>
      <c r="C95" s="532" t="s">
        <v>912</v>
      </c>
      <c r="D95" s="43" t="str">
        <f t="shared" si="0"/>
        <v xml:space="preserve">ZBH, Опора д/удл. линейки, MZV.2100 NEW </v>
      </c>
      <c r="E95" s="3">
        <v>1</v>
      </c>
      <c r="F95" s="12">
        <f t="shared" si="1"/>
        <v>1022.2079868000001</v>
      </c>
      <c r="G95" s="109">
        <f t="shared" si="2"/>
        <v>1022.2079868000001</v>
      </c>
      <c r="H95" s="534">
        <f t="shared" si="3"/>
        <v>1022.2079868000001</v>
      </c>
    </row>
    <row r="96" spans="1:8" x14ac:dyDescent="0.2">
      <c r="A96" s="17"/>
      <c r="B96" s="2073"/>
      <c r="C96" s="532" t="s">
        <v>789</v>
      </c>
      <c r="D96" s="43" t="str">
        <f t="shared" si="0"/>
        <v xml:space="preserve">ZBH, Упор к линейке, лев, MZS.2000      </v>
      </c>
      <c r="E96" s="3">
        <v>1</v>
      </c>
      <c r="F96" s="12">
        <f t="shared" si="1"/>
        <v>853.87302</v>
      </c>
      <c r="G96" s="109">
        <f t="shared" si="2"/>
        <v>853.87302</v>
      </c>
      <c r="H96" s="534">
        <f t="shared" si="3"/>
        <v>853.87302</v>
      </c>
    </row>
    <row r="97" spans="1:8" x14ac:dyDescent="0.2">
      <c r="A97" s="17"/>
      <c r="B97" s="2073"/>
      <c r="C97" s="532" t="s">
        <v>788</v>
      </c>
      <c r="D97" s="43" t="str">
        <f t="shared" si="0"/>
        <v xml:space="preserve">ZBH, Упор к линейке, прав, MZS.2000     </v>
      </c>
      <c r="E97" s="3">
        <v>1</v>
      </c>
      <c r="F97" s="12">
        <f t="shared" si="1"/>
        <v>853.87302</v>
      </c>
      <c r="G97" s="109">
        <f t="shared" si="2"/>
        <v>853.87302</v>
      </c>
      <c r="H97" s="534">
        <f t="shared" si="3"/>
        <v>853.87302</v>
      </c>
    </row>
    <row r="98" spans="1:8" x14ac:dyDescent="0.2">
      <c r="A98" s="17"/>
      <c r="B98" s="2073"/>
      <c r="C98" s="532" t="s">
        <v>591</v>
      </c>
      <c r="D98" s="43" t="str">
        <f t="shared" si="0"/>
        <v xml:space="preserve">ZBH, Сверло 35x57мм, прав, M01.ZB35.02  </v>
      </c>
      <c r="E98" s="3">
        <v>1</v>
      </c>
      <c r="F98" s="12">
        <f>VLOOKUP(C98,всецены,4,FALSE)</f>
        <v>3919.6837680000003</v>
      </c>
      <c r="G98" s="109">
        <f>F98*E98</f>
        <v>3919.6837680000003</v>
      </c>
      <c r="H98" s="534">
        <f t="shared" si="3"/>
        <v>3919.6837680000003</v>
      </c>
    </row>
    <row r="99" spans="1:8" x14ac:dyDescent="0.2">
      <c r="A99" s="17"/>
      <c r="B99" s="2073"/>
      <c r="C99" s="532" t="s">
        <v>610</v>
      </c>
      <c r="D99" s="43" t="str">
        <f t="shared" si="0"/>
        <v xml:space="preserve">ZBH, Сверло 2,5х57мм, лев, M01.ZB02.D3  </v>
      </c>
      <c r="E99" s="3">
        <v>1</v>
      </c>
      <c r="F99" s="12">
        <f>VLOOKUP(C99,всецены,4,FALSE)</f>
        <v>3747.2827392000004</v>
      </c>
      <c r="G99" s="109">
        <f>F99*E99</f>
        <v>3747.2827392000004</v>
      </c>
      <c r="H99" s="534">
        <f t="shared" si="3"/>
        <v>3747.2827392000004</v>
      </c>
    </row>
    <row r="100" spans="1:8" x14ac:dyDescent="0.2">
      <c r="A100" s="17"/>
      <c r="B100" s="2073"/>
      <c r="C100" s="532" t="s">
        <v>1732</v>
      </c>
      <c r="D100" s="43" t="str">
        <f t="shared" si="0"/>
        <v>ZBH, Сверло 2,5х57 мм, прав M01.ZB02.D2 </v>
      </c>
      <c r="E100" s="3">
        <v>1</v>
      </c>
      <c r="F100" s="12">
        <f>VLOOKUP(C100,всецены,4,FALSE)</f>
        <v>3747.2827392000004</v>
      </c>
      <c r="G100" s="109">
        <f>F100*E100</f>
        <v>3747.2827392000004</v>
      </c>
      <c r="H100" s="534">
        <f t="shared" si="3"/>
        <v>3747.2827392000004</v>
      </c>
    </row>
    <row r="101" spans="1:8" x14ac:dyDescent="0.2">
      <c r="A101" s="17"/>
      <c r="B101" s="2073"/>
      <c r="C101" s="532" t="s">
        <v>1724</v>
      </c>
      <c r="D101" s="43" t="str">
        <f t="shared" si="0"/>
        <v xml:space="preserve">ZBH, Сверло 5x57мм, лев, M01.ZB05.03    </v>
      </c>
      <c r="E101" s="3">
        <v>1</v>
      </c>
      <c r="F101" s="12">
        <f>VLOOKUP(C101,всецены,4,FALSE)</f>
        <v>1641.0626232</v>
      </c>
      <c r="G101" s="109">
        <f>F101*E101</f>
        <v>1641.0626232</v>
      </c>
      <c r="H101" s="534">
        <f t="shared" si="3"/>
        <v>1641.0626232</v>
      </c>
    </row>
    <row r="102" spans="1:8" ht="13.5" thickBot="1" x14ac:dyDescent="0.25">
      <c r="A102" s="17"/>
      <c r="B102" s="2074"/>
      <c r="C102" s="535" t="s">
        <v>1725</v>
      </c>
      <c r="D102" s="404" t="str">
        <f t="shared" si="0"/>
        <v xml:space="preserve">ZBH, Сверло 5x57мм, прав, M01.ZB05.02   </v>
      </c>
      <c r="E102" s="355">
        <v>1</v>
      </c>
      <c r="F102" s="356">
        <f t="shared" si="1"/>
        <v>1641.0626232</v>
      </c>
      <c r="G102" s="536">
        <f t="shared" si="2"/>
        <v>1641.0626232</v>
      </c>
      <c r="H102" s="390">
        <f t="shared" si="3"/>
        <v>1641.0626232</v>
      </c>
    </row>
    <row r="103" spans="1:8" ht="13.5" thickBot="1" x14ac:dyDescent="0.25">
      <c r="A103" s="17"/>
      <c r="B103" s="69"/>
      <c r="C103" s="75"/>
      <c r="D103" s="75"/>
      <c r="E103" s="169"/>
      <c r="F103" s="358"/>
      <c r="G103" s="177"/>
      <c r="H103" s="19"/>
    </row>
    <row r="104" spans="1:8" ht="15" x14ac:dyDescent="0.2">
      <c r="A104" s="17"/>
      <c r="B104" s="2340" t="s">
        <v>1603</v>
      </c>
      <c r="C104" s="2341"/>
      <c r="D104" s="2341"/>
      <c r="E104" s="2341"/>
      <c r="F104" s="2341"/>
      <c r="G104" s="2341"/>
      <c r="H104" s="385" t="str">
        <f>IF(СОДЕРЖАНИЕ!P2=1,"EUR","RUB")</f>
        <v>RUB</v>
      </c>
    </row>
    <row r="105" spans="1:8" x14ac:dyDescent="0.2">
      <c r="A105" s="17"/>
      <c r="B105" s="2072"/>
      <c r="C105" s="532" t="s">
        <v>633</v>
      </c>
      <c r="D105" s="43" t="str">
        <f>VLOOKUP(C105,всецены,2,FALSE)</f>
        <v xml:space="preserve">ZBH, Индикатор полож-я Minipr, MZE.2110 </v>
      </c>
      <c r="E105" s="3">
        <v>1</v>
      </c>
      <c r="F105" s="12">
        <f>VLOOKUP(C105,всецены,4,FALSE)</f>
        <v>5287.5070247999993</v>
      </c>
      <c r="G105" s="109">
        <f>F105*E105</f>
        <v>5287.5070247999993</v>
      </c>
      <c r="H105" s="534">
        <f>G105</f>
        <v>5287.5070247999993</v>
      </c>
    </row>
    <row r="106" spans="1:8" x14ac:dyDescent="0.2">
      <c r="A106" s="17"/>
      <c r="B106" s="2073"/>
      <c r="C106" s="532" t="s">
        <v>630</v>
      </c>
      <c r="D106" s="43" t="str">
        <f>VLOOKUP(C106,всецены,2,FALSE)</f>
        <v xml:space="preserve">ZBH, Пневм. прижимы д/ MP P, M53.0720   </v>
      </c>
      <c r="E106" s="3">
        <v>1</v>
      </c>
      <c r="F106" s="12">
        <f>VLOOKUP(C106,всецены,4,FALSE)</f>
        <v>23697.009335999999</v>
      </c>
      <c r="G106" s="109">
        <f>F106*E106</f>
        <v>23697.009335999999</v>
      </c>
      <c r="H106" s="534">
        <f>G106</f>
        <v>23697.009335999999</v>
      </c>
    </row>
    <row r="107" spans="1:8" x14ac:dyDescent="0.2">
      <c r="A107" s="17"/>
      <c r="B107" s="2073"/>
      <c r="C107" s="532" t="s">
        <v>626</v>
      </c>
      <c r="D107" s="43" t="str">
        <f>VLOOKUP(C107,всецены,2,FALSE)</f>
        <v xml:space="preserve">ZBH, Удл.лин 1250мм к MР, MZL.1250      </v>
      </c>
      <c r="E107" s="3">
        <v>1</v>
      </c>
      <c r="F107" s="12">
        <f>VLOOKUP(C107,всецены,4,FALSE)</f>
        <v>7033.4740476000006</v>
      </c>
      <c r="G107" s="109">
        <f>F107*E107</f>
        <v>7033.4740476000006</v>
      </c>
      <c r="H107" s="534">
        <f>G107</f>
        <v>7033.4740476000006</v>
      </c>
    </row>
    <row r="108" spans="1:8" x14ac:dyDescent="0.2">
      <c r="A108" s="17"/>
      <c r="B108" s="2073"/>
      <c r="C108" s="532" t="s">
        <v>1734</v>
      </c>
      <c r="D108" s="43" t="str">
        <f>VLOOKUP(C108,всецены,2,FALSE)</f>
        <v>ZBH, Б/съемн. патрон, 5 кмп, MZF.1000.01</v>
      </c>
      <c r="E108" s="3">
        <v>1</v>
      </c>
      <c r="F108" s="12">
        <f>VLOOKUP(C108,всецены,4,FALSE)</f>
        <v>26038.247835600003</v>
      </c>
      <c r="G108" s="109">
        <f>F108*E108</f>
        <v>26038.247835600003</v>
      </c>
      <c r="H108" s="534">
        <f>G108</f>
        <v>26038.247835600003</v>
      </c>
    </row>
    <row r="109" spans="1:8" ht="13.5" thickBot="1" x14ac:dyDescent="0.25">
      <c r="A109" s="17"/>
      <c r="B109" s="2074"/>
      <c r="C109" s="535" t="s">
        <v>1466</v>
      </c>
      <c r="D109" s="404" t="str">
        <f>VLOOKUP(C109,всецены,2,FALSE)</f>
        <v>ZBH, 8-шп. гол. к M,P,Minidrill,MZK.880S</v>
      </c>
      <c r="E109" s="355">
        <v>1</v>
      </c>
      <c r="F109" s="356">
        <f>VLOOKUP(C109,всецены,4,FALSE)</f>
        <v>51673.955533200002</v>
      </c>
      <c r="G109" s="536">
        <f>F109*E109</f>
        <v>51673.955533200002</v>
      </c>
      <c r="H109" s="390">
        <f>G109</f>
        <v>51673.955533200002</v>
      </c>
    </row>
    <row r="110" spans="1:8" x14ac:dyDescent="0.2">
      <c r="A110" s="17"/>
      <c r="B110" s="69"/>
      <c r="C110" s="75"/>
      <c r="D110" s="75"/>
      <c r="E110" s="169"/>
      <c r="F110" s="358"/>
      <c r="G110" s="177"/>
      <c r="H110" s="19"/>
    </row>
  </sheetData>
  <customSheetViews>
    <customSheetView guid="{788B8383-784A-4263-9D04-45657AC129FF}" hiddenColumns="1">
      <pageMargins left="0.75" right="0.75" top="1" bottom="1" header="0.5" footer="0.5"/>
      <pageSetup paperSize="9" orientation="portrait" r:id="rId1"/>
      <headerFooter alignWithMargins="0"/>
    </customSheetView>
  </customSheetViews>
  <mergeCells count="47">
    <mergeCell ref="B92:G92"/>
    <mergeCell ref="B105:B109"/>
    <mergeCell ref="B104:G104"/>
    <mergeCell ref="B64:D64"/>
    <mergeCell ref="B65:B70"/>
    <mergeCell ref="B93:B102"/>
    <mergeCell ref="H65:H70"/>
    <mergeCell ref="C66:G70"/>
    <mergeCell ref="B71:D71"/>
    <mergeCell ref="B72:B77"/>
    <mergeCell ref="H72:H77"/>
    <mergeCell ref="C73:G77"/>
    <mergeCell ref="H84:H90"/>
    <mergeCell ref="B84:B90"/>
    <mergeCell ref="C85:G90"/>
    <mergeCell ref="B80:G81"/>
    <mergeCell ref="D82:G82"/>
    <mergeCell ref="B45:B53"/>
    <mergeCell ref="H45:H53"/>
    <mergeCell ref="C46:G53"/>
    <mergeCell ref="B54:D54"/>
    <mergeCell ref="B55:B63"/>
    <mergeCell ref="H55:H63"/>
    <mergeCell ref="C56:G63"/>
    <mergeCell ref="B37:D37"/>
    <mergeCell ref="B38:B43"/>
    <mergeCell ref="H38:H43"/>
    <mergeCell ref="C39:G43"/>
    <mergeCell ref="B44:D44"/>
    <mergeCell ref="B22:B27"/>
    <mergeCell ref="H22:H27"/>
    <mergeCell ref="C23:G27"/>
    <mergeCell ref="B28:D28"/>
    <mergeCell ref="B29:B36"/>
    <mergeCell ref="H29:H36"/>
    <mergeCell ref="C30:G36"/>
    <mergeCell ref="B13:D13"/>
    <mergeCell ref="B14:B20"/>
    <mergeCell ref="H14:H20"/>
    <mergeCell ref="C15:G20"/>
    <mergeCell ref="B21:D21"/>
    <mergeCell ref="B2:G3"/>
    <mergeCell ref="D4:G4"/>
    <mergeCell ref="B6:B12"/>
    <mergeCell ref="H6:H12"/>
    <mergeCell ref="C7:G12"/>
    <mergeCell ref="B5:D5"/>
  </mergeCells>
  <phoneticPr fontId="2" type="noConversion"/>
  <pageMargins left="0.75" right="0.75" top="1" bottom="1" header="0.5" footer="0.5"/>
  <pageSetup paperSize="9" orientation="portrait" r:id="rId2"/>
  <headerFooter alignWithMargins="0"/>
  <drawing r:id="rId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 codeName="Лист21"/>
  <dimension ref="A1:AX182"/>
  <sheetViews>
    <sheetView workbookViewId="0">
      <selection activeCell="F7" sqref="F7:H8"/>
    </sheetView>
  </sheetViews>
  <sheetFormatPr defaultRowHeight="12.75" x14ac:dyDescent="0.2"/>
  <cols>
    <col min="1" max="1" width="1.42578125" style="8" customWidth="1"/>
    <col min="2" max="2" width="15.42578125" style="814" bestFit="1" customWidth="1"/>
    <col min="3" max="3" width="19.5703125" style="814" bestFit="1" customWidth="1"/>
    <col min="4" max="4" width="6.5703125" style="814" bestFit="1" customWidth="1"/>
    <col min="5" max="5" width="12.140625" style="814" bestFit="1" customWidth="1"/>
    <col min="6" max="7" width="8.7109375" style="814" bestFit="1" customWidth="1"/>
    <col min="8" max="8" width="8.5703125" style="814" bestFit="1" customWidth="1"/>
    <col min="9" max="9" width="7.7109375" style="814" hidden="1" customWidth="1"/>
    <col min="10" max="10" width="9.42578125" style="814" bestFit="1" customWidth="1"/>
    <col min="11" max="11" width="9.42578125" style="814" customWidth="1"/>
    <col min="12" max="12" width="8" style="814" hidden="1" customWidth="1"/>
    <col min="13" max="13" width="1.42578125" style="814" customWidth="1"/>
    <col min="14" max="14" width="12.5703125" style="814" bestFit="1" customWidth="1"/>
    <col min="15" max="15" width="8.140625" style="814" customWidth="1"/>
    <col min="16" max="16" width="3.7109375" style="814" customWidth="1"/>
    <col min="17" max="17" width="8.140625" style="814" hidden="1" customWidth="1"/>
    <col min="18" max="18" width="5" style="814" hidden="1" customWidth="1"/>
    <col min="19" max="19" width="23.85546875" style="814" hidden="1" customWidth="1"/>
    <col min="20" max="32" width="9.140625" style="814" hidden="1" customWidth="1"/>
    <col min="33" max="33" width="21.140625" style="814" hidden="1" customWidth="1"/>
    <col min="34" max="34" width="15.140625" style="814" hidden="1" customWidth="1"/>
    <col min="35" max="35" width="6.140625" style="8" customWidth="1"/>
    <col min="36" max="36" width="18.42578125" style="8" customWidth="1"/>
    <col min="37" max="37" width="5.5703125" style="8" customWidth="1"/>
    <col min="38" max="45" width="9.140625" style="8"/>
    <col min="46" max="16384" width="9.140625" style="814"/>
  </cols>
  <sheetData>
    <row r="1" spans="1:45" s="8" customFormat="1" ht="6.95" customHeight="1" thickBot="1" x14ac:dyDescent="0.25"/>
    <row r="2" spans="1:45" s="262" customFormat="1" ht="39.950000000000003" customHeight="1" thickBot="1" x14ac:dyDescent="0.3">
      <c r="A2" s="259"/>
      <c r="B2" s="2376" t="s">
        <v>1159</v>
      </c>
      <c r="C2" s="2377"/>
      <c r="D2" s="2377"/>
      <c r="E2" s="2377"/>
      <c r="F2" s="2377"/>
      <c r="G2" s="2377"/>
      <c r="H2" s="2377"/>
      <c r="I2" s="2377"/>
      <c r="J2" s="2377"/>
      <c r="K2" s="2377"/>
      <c r="L2" s="2377"/>
      <c r="M2" s="2377"/>
      <c r="N2" s="2377"/>
      <c r="O2" s="2378"/>
      <c r="P2" s="259"/>
      <c r="Q2" s="259"/>
      <c r="R2" s="259"/>
      <c r="S2" s="259"/>
      <c r="T2" s="259"/>
      <c r="U2" s="259"/>
      <c r="V2" s="259"/>
      <c r="W2" s="259"/>
      <c r="X2" s="259"/>
      <c r="AI2" s="259"/>
      <c r="AJ2" s="259"/>
      <c r="AK2" s="259"/>
      <c r="AL2" s="259"/>
      <c r="AM2" s="259"/>
      <c r="AN2" s="259"/>
      <c r="AO2" s="259"/>
      <c r="AP2" s="259"/>
      <c r="AQ2" s="259"/>
      <c r="AR2" s="259"/>
      <c r="AS2" s="259"/>
    </row>
    <row r="3" spans="1:45" s="8" customFormat="1" ht="6.95" customHeight="1" thickBot="1" x14ac:dyDescent="0.25">
      <c r="N3" s="17"/>
      <c r="O3" s="17"/>
    </row>
    <row r="4" spans="1:45" ht="16.5" thickBot="1" x14ac:dyDescent="0.25">
      <c r="B4" s="2344" t="s">
        <v>1781</v>
      </c>
      <c r="C4" s="2379" t="s">
        <v>1106</v>
      </c>
      <c r="D4" s="605" t="s">
        <v>211</v>
      </c>
      <c r="E4" s="2379" t="s">
        <v>1107</v>
      </c>
      <c r="F4" s="2381"/>
      <c r="G4" s="2381"/>
      <c r="H4" s="2381"/>
      <c r="I4" s="2382"/>
      <c r="J4" s="2382"/>
      <c r="K4" s="818" t="s">
        <v>1363</v>
      </c>
      <c r="M4" s="550"/>
      <c r="N4" s="2344" t="s">
        <v>1108</v>
      </c>
      <c r="O4" s="2361" t="s">
        <v>1109</v>
      </c>
      <c r="P4" s="8"/>
      <c r="Q4" s="8"/>
      <c r="R4" s="8"/>
      <c r="S4" s="8"/>
      <c r="T4" s="8"/>
      <c r="U4" s="8"/>
      <c r="V4" s="8"/>
      <c r="W4" s="8"/>
      <c r="X4" s="8"/>
    </row>
    <row r="5" spans="1:45" ht="16.5" thickBot="1" x14ac:dyDescent="0.25">
      <c r="B5" s="2345"/>
      <c r="C5" s="2380"/>
      <c r="D5" s="606" t="s">
        <v>212</v>
      </c>
      <c r="E5" s="607" t="s">
        <v>1362</v>
      </c>
      <c r="F5" s="607" t="s">
        <v>1153</v>
      </c>
      <c r="G5" s="607" t="s">
        <v>1154</v>
      </c>
      <c r="H5" s="608" t="s">
        <v>1155</v>
      </c>
      <c r="J5" s="600" t="s">
        <v>1156</v>
      </c>
      <c r="K5" s="819" t="s">
        <v>1364</v>
      </c>
      <c r="M5" s="550"/>
      <c r="N5" s="2345"/>
      <c r="O5" s="2362"/>
      <c r="P5" s="8"/>
      <c r="Q5" s="8"/>
      <c r="R5" s="8"/>
      <c r="S5" s="8"/>
      <c r="T5" s="8"/>
      <c r="U5" s="8"/>
      <c r="V5" s="8"/>
      <c r="W5" s="8"/>
      <c r="X5" s="8"/>
    </row>
    <row r="6" spans="1:45" s="28" customFormat="1" ht="5.0999999999999996" customHeight="1" thickBot="1" x14ac:dyDescent="0.25">
      <c r="B6" s="550"/>
      <c r="C6" s="550"/>
      <c r="D6" s="591"/>
      <c r="E6" s="550"/>
      <c r="F6" s="550"/>
      <c r="G6" s="550"/>
      <c r="H6" s="595"/>
      <c r="I6" s="550"/>
      <c r="J6" s="550"/>
      <c r="K6" s="601"/>
      <c r="L6" s="550"/>
      <c r="M6" s="550"/>
      <c r="N6" s="591"/>
      <c r="O6" s="595"/>
    </row>
    <row r="7" spans="1:45" s="537" customFormat="1" ht="15.75" x14ac:dyDescent="0.25">
      <c r="A7" s="87"/>
      <c r="B7" s="2344" t="s">
        <v>247</v>
      </c>
      <c r="C7" s="580" t="s">
        <v>7166</v>
      </c>
      <c r="D7" s="2365">
        <v>0.1</v>
      </c>
      <c r="E7" s="572" t="s">
        <v>1118</v>
      </c>
      <c r="F7" s="572"/>
      <c r="G7" s="2363"/>
      <c r="H7" s="573"/>
      <c r="I7" s="581">
        <f>IF(H7=$AG$47,VLOOKUP(F7,ALVES,VLOOKUP(G7,ALVESDOP,2,FALSE),FALSE),(H7*G7*F7*(VLOOKUP(E7,$AG$43:$AH$45,2,FALSE))))</f>
        <v>0</v>
      </c>
      <c r="J7" s="602">
        <f>IF(E7=0," ",I7)</f>
        <v>0</v>
      </c>
      <c r="K7" s="2359">
        <f>IF(E7=0," ",L7)</f>
        <v>0</v>
      </c>
      <c r="L7" s="2346">
        <f>(I7+D7+I8)*(F7+F8)</f>
        <v>0</v>
      </c>
      <c r="M7" s="551"/>
      <c r="N7" s="2344">
        <f>IF(E7=0, " ",IF(L7&lt;5350,22,IF(L7&lt;9000,25,IF(L7&lt;15000,28,"3х28"))))</f>
        <v>22</v>
      </c>
      <c r="O7" s="2361">
        <f>IF((F7+F8)&lt;560,32,IF((F7+F8)&lt;700,35,IF((F7+F8)&lt;760,38,39)))</f>
        <v>32</v>
      </c>
      <c r="P7" s="87"/>
      <c r="Q7" s="87"/>
      <c r="R7" s="87"/>
      <c r="S7" s="87"/>
      <c r="T7" s="87"/>
      <c r="U7" s="87"/>
      <c r="V7" s="87"/>
      <c r="W7" s="87"/>
      <c r="X7" s="87"/>
      <c r="AI7" s="87"/>
      <c r="AJ7" s="87"/>
      <c r="AK7" s="87"/>
      <c r="AL7" s="87"/>
      <c r="AM7" s="87"/>
      <c r="AN7" s="87"/>
      <c r="AO7" s="87"/>
      <c r="AP7" s="87"/>
      <c r="AQ7" s="87"/>
      <c r="AR7" s="87"/>
      <c r="AS7" s="87"/>
    </row>
    <row r="8" spans="1:45" s="537" customFormat="1" ht="16.5" thickBot="1" x14ac:dyDescent="0.3">
      <c r="A8" s="87"/>
      <c r="B8" s="2345"/>
      <c r="C8" s="575" t="s">
        <v>7167</v>
      </c>
      <c r="D8" s="2366"/>
      <c r="E8" s="545" t="s">
        <v>1118</v>
      </c>
      <c r="F8" s="545"/>
      <c r="G8" s="2364"/>
      <c r="H8" s="574"/>
      <c r="I8" s="571">
        <f>IF(H8=$AG$47,VLOOKUP(F8,ALVES,VLOOKUP(G7,ALVESDOP,2,FALSE),FALSE),(H8*G7*F8*(VLOOKUP(E8,$AG$43:$AH$45,2,FALSE))))</f>
        <v>0</v>
      </c>
      <c r="J8" s="598">
        <f>IF(E8=0," ",I8)</f>
        <v>0</v>
      </c>
      <c r="K8" s="2360"/>
      <c r="L8" s="2347"/>
      <c r="M8" s="551"/>
      <c r="N8" s="2345"/>
      <c r="O8" s="2362"/>
      <c r="P8" s="87"/>
      <c r="Q8" s="87"/>
      <c r="R8" s="87"/>
      <c r="S8" s="87"/>
      <c r="T8" s="87"/>
      <c r="U8" s="87"/>
      <c r="V8" s="87"/>
      <c r="W8" s="87"/>
      <c r="X8" s="87"/>
      <c r="AI8" s="87"/>
      <c r="AJ8" s="87"/>
      <c r="AK8" s="87"/>
      <c r="AL8" s="87"/>
      <c r="AM8" s="87"/>
      <c r="AN8" s="87"/>
      <c r="AO8" s="87"/>
      <c r="AP8" s="87"/>
      <c r="AQ8" s="87"/>
      <c r="AR8" s="87"/>
      <c r="AS8" s="87"/>
    </row>
    <row r="9" spans="1:45" s="578" customFormat="1" ht="5.0999999999999996" customHeight="1" thickBot="1" x14ac:dyDescent="0.3">
      <c r="B9" s="550"/>
      <c r="C9" s="576"/>
      <c r="D9" s="591"/>
      <c r="E9" s="215"/>
      <c r="F9" s="215"/>
      <c r="G9" s="579"/>
      <c r="H9" s="592"/>
      <c r="I9" s="577"/>
      <c r="J9" s="577"/>
      <c r="K9" s="577"/>
      <c r="L9" s="579"/>
      <c r="M9" s="551"/>
      <c r="N9" s="591"/>
      <c r="O9" s="595"/>
    </row>
    <row r="10" spans="1:45" ht="16.5" thickBot="1" x14ac:dyDescent="0.3">
      <c r="B10" s="582" t="s">
        <v>249</v>
      </c>
      <c r="C10" s="583" t="s">
        <v>1112</v>
      </c>
      <c r="D10" s="584">
        <v>0.1</v>
      </c>
      <c r="E10" s="585"/>
      <c r="F10" s="585"/>
      <c r="G10" s="585"/>
      <c r="H10" s="586"/>
      <c r="I10" s="587" t="e">
        <f>IF(H10=$AG$47,VLOOKUP(F10,ALVES,VLOOKUP(G10,ALVESDOP,2,FALSE),FALSE),(H10*G10*F10*(VLOOKUP(E10,$AG$43:$AH$45,2,FALSE))))</f>
        <v>#N/A</v>
      </c>
      <c r="J10" s="599" t="str">
        <f>IF(E10=0," ",I10)</f>
        <v xml:space="preserve"> </v>
      </c>
      <c r="K10" s="588" t="str">
        <f>"-"</f>
        <v>-</v>
      </c>
      <c r="M10" s="552"/>
      <c r="N10" s="582" t="str">
        <f>IF(E10=0," ",VLOOKUP(F10,S85:Z179,8,FALSE))</f>
        <v xml:space="preserve"> </v>
      </c>
      <c r="O10" s="589" t="str">
        <f>"-"</f>
        <v>-</v>
      </c>
      <c r="P10" s="8"/>
      <c r="Q10" s="8"/>
      <c r="R10" s="8"/>
      <c r="S10" s="8"/>
      <c r="T10" s="8"/>
      <c r="U10" s="8"/>
      <c r="V10" s="8"/>
      <c r="W10" s="8"/>
      <c r="X10" s="8"/>
    </row>
    <row r="11" spans="1:45" s="28" customFormat="1" ht="5.0999999999999996" customHeight="1" thickBot="1" x14ac:dyDescent="0.3">
      <c r="B11" s="325"/>
      <c r="C11" s="576"/>
      <c r="D11" s="593"/>
      <c r="E11" s="215"/>
      <c r="F11" s="215"/>
      <c r="G11" s="215"/>
      <c r="H11" s="592"/>
      <c r="I11" s="577"/>
      <c r="J11" s="577"/>
      <c r="K11" s="577"/>
      <c r="L11" s="552"/>
      <c r="M11" s="552"/>
      <c r="N11" s="593"/>
      <c r="O11" s="596"/>
    </row>
    <row r="12" spans="1:45" ht="16.5" thickBot="1" x14ac:dyDescent="0.3">
      <c r="B12" s="582" t="s">
        <v>250</v>
      </c>
      <c r="C12" s="583" t="s">
        <v>1113</v>
      </c>
      <c r="D12" s="584">
        <v>0.1</v>
      </c>
      <c r="E12" s="585"/>
      <c r="F12" s="585"/>
      <c r="G12" s="585"/>
      <c r="H12" s="586"/>
      <c r="I12" s="587" t="e">
        <f>IF(H12=$AG$47,VLOOKUP(F12,ALVES,VLOOKUP(G12,ALVESDOP,2,FALSE),FALSE),(H12*G12*F12*(VLOOKUP(E12,$AG$43:$AH$45,2,FALSE))))</f>
        <v>#N/A</v>
      </c>
      <c r="J12" s="599" t="str">
        <f>IF(E12=0," ",I12)</f>
        <v xml:space="preserve"> </v>
      </c>
      <c r="K12" s="588" t="str">
        <f>"-"</f>
        <v>-</v>
      </c>
      <c r="M12" s="552"/>
      <c r="N12" s="582" t="str">
        <f>IF(E12=0," ",VLOOKUP(O12,Z73:AA76,2,FALSE))</f>
        <v xml:space="preserve"> </v>
      </c>
      <c r="O12" s="590">
        <f>IF(F12&lt;350,32,IF(F12&lt;400,35,IF(F12&lt;550,38,39)))</f>
        <v>32</v>
      </c>
      <c r="P12" s="215"/>
      <c r="Q12" s="215"/>
      <c r="R12" s="8"/>
      <c r="S12" s="8" t="s">
        <v>3490</v>
      </c>
      <c r="T12" s="8"/>
      <c r="U12" s="8"/>
      <c r="V12" s="8"/>
      <c r="W12" s="8"/>
      <c r="X12" s="8"/>
    </row>
    <row r="13" spans="1:45" s="28" customFormat="1" ht="5.0999999999999996" customHeight="1" thickBot="1" x14ac:dyDescent="0.3">
      <c r="B13" s="325"/>
      <c r="C13" s="576"/>
      <c r="D13" s="593"/>
      <c r="E13" s="215"/>
      <c r="F13" s="215"/>
      <c r="G13" s="215"/>
      <c r="H13" s="592"/>
      <c r="I13" s="577"/>
      <c r="J13" s="577"/>
      <c r="K13" s="577"/>
      <c r="L13" s="552"/>
      <c r="M13" s="552"/>
      <c r="N13" s="593"/>
      <c r="O13" s="597"/>
      <c r="P13" s="215"/>
      <c r="Q13" s="215"/>
    </row>
    <row r="14" spans="1:45" ht="16.5" thickBot="1" x14ac:dyDescent="0.3">
      <c r="B14" s="582" t="s">
        <v>1401</v>
      </c>
      <c r="C14" s="583" t="s">
        <v>1114</v>
      </c>
      <c r="D14" s="584">
        <v>0.1</v>
      </c>
      <c r="E14" s="585" t="s">
        <v>1118</v>
      </c>
      <c r="F14" s="585"/>
      <c r="G14" s="585"/>
      <c r="H14" s="586"/>
      <c r="I14" s="587">
        <f>IF(H14=$AG$47,VLOOKUP(F14,ALVES,VLOOKUP(G14,ALVESDOP,2,FALSE),FALSE),(H14*G14*F14*(VLOOKUP(E14,$AG$43:$AH$45,2,FALSE))))</f>
        <v>0</v>
      </c>
      <c r="J14" s="599">
        <f>IF(E14=0," ",I14)</f>
        <v>0</v>
      </c>
      <c r="K14" s="604">
        <f>IF(E14=0," ",L14)</f>
        <v>0</v>
      </c>
      <c r="L14" s="603">
        <f>(D14*2+I14)*F14</f>
        <v>0</v>
      </c>
      <c r="M14" s="553"/>
      <c r="N14" s="582">
        <f>IF(E14=0," ",IF(L14&lt;750,23,IF(L14&lt;1700,25,IF(L14&lt;4000,27,29))))</f>
        <v>23</v>
      </c>
      <c r="O14" s="589" t="str">
        <f>"-"</f>
        <v>-</v>
      </c>
      <c r="P14" s="8"/>
      <c r="Q14" s="8"/>
      <c r="R14" s="8"/>
      <c r="S14" s="8"/>
      <c r="T14" s="8"/>
      <c r="U14" s="8"/>
      <c r="V14" s="8"/>
      <c r="W14" s="8"/>
      <c r="X14" s="8"/>
    </row>
    <row r="15" spans="1:45" s="28" customFormat="1" ht="5.0999999999999996" customHeight="1" thickBot="1" x14ac:dyDescent="0.3">
      <c r="B15" s="325"/>
      <c r="C15" s="576"/>
      <c r="D15" s="593"/>
      <c r="E15" s="215"/>
      <c r="F15" s="215"/>
      <c r="G15" s="215"/>
      <c r="H15" s="592"/>
      <c r="I15" s="577"/>
      <c r="J15" s="577"/>
      <c r="K15" s="577"/>
      <c r="L15" s="553"/>
      <c r="M15" s="553"/>
      <c r="N15" s="593"/>
      <c r="O15" s="596"/>
    </row>
    <row r="16" spans="1:45" ht="16.5" thickBot="1" x14ac:dyDescent="0.3">
      <c r="B16" s="582" t="s">
        <v>1110</v>
      </c>
      <c r="C16" s="583" t="s">
        <v>1114</v>
      </c>
      <c r="D16" s="584">
        <v>0.1</v>
      </c>
      <c r="E16" s="585" t="s">
        <v>1118</v>
      </c>
      <c r="F16" s="585"/>
      <c r="G16" s="585"/>
      <c r="H16" s="586"/>
      <c r="I16" s="587">
        <f>IF(H16=$AG$47,VLOOKUP(F16,ALVES,VLOOKUP(G16,ALVESDOP,2,FALSE),FALSE),(H16*G16*F16*(VLOOKUP(E16,$AG$43:$AH$45,2,FALSE))))</f>
        <v>0</v>
      </c>
      <c r="J16" s="599">
        <f>IF(E16=0," ",I16)</f>
        <v>0</v>
      </c>
      <c r="K16" s="604">
        <f>IF(E16=0," ",L16)</f>
        <v>0</v>
      </c>
      <c r="L16" s="603">
        <f>(D16*2+I16)*F16</f>
        <v>0</v>
      </c>
      <c r="M16" s="553"/>
      <c r="N16" s="582">
        <f>IF(E16=0," ",IF(L16&lt;750,23,IF(L16&lt;1700,25,IF(L16&lt;4000,27,29))))</f>
        <v>23</v>
      </c>
      <c r="O16" s="589" t="str">
        <f>"-"</f>
        <v>-</v>
      </c>
      <c r="P16" s="8"/>
      <c r="Q16" s="8"/>
      <c r="R16" s="8"/>
      <c r="S16" s="8"/>
      <c r="T16" s="8"/>
      <c r="U16" s="8"/>
      <c r="V16" s="8"/>
      <c r="W16" s="8"/>
      <c r="X16" s="8"/>
    </row>
    <row r="17" spans="1:50" s="28" customFormat="1" ht="5.0999999999999996" customHeight="1" thickBot="1" x14ac:dyDescent="0.3">
      <c r="B17" s="325"/>
      <c r="C17" s="576"/>
      <c r="D17" s="593"/>
      <c r="E17" s="215"/>
      <c r="F17" s="215"/>
      <c r="G17" s="215"/>
      <c r="H17" s="592"/>
      <c r="I17" s="577"/>
      <c r="J17" s="577"/>
      <c r="K17" s="577"/>
      <c r="L17" s="553"/>
      <c r="M17" s="553"/>
      <c r="N17" s="593"/>
      <c r="O17" s="596"/>
    </row>
    <row r="18" spans="1:50" ht="16.5" thickBot="1" x14ac:dyDescent="0.3">
      <c r="A18" s="814"/>
      <c r="B18" s="582" t="s">
        <v>1111</v>
      </c>
      <c r="C18" s="583" t="s">
        <v>1114</v>
      </c>
      <c r="D18" s="584">
        <v>0.1</v>
      </c>
      <c r="E18" s="585" t="s">
        <v>1118</v>
      </c>
      <c r="F18" s="585"/>
      <c r="G18" s="585"/>
      <c r="H18" s="586"/>
      <c r="I18" s="587">
        <f>IF(H18=$AG$47,VLOOKUP(F18,ALVES,VLOOKUP(G18,ALVESDOP,2,FALSE),FALSE),(H18*G18*F18*(VLOOKUP(E18,$AG$43:$AH$45,2,FALSE))))</f>
        <v>0</v>
      </c>
      <c r="J18" s="599">
        <f>IF(E18=0," ",I18)</f>
        <v>0</v>
      </c>
      <c r="K18" s="604">
        <f>IF(E18=0," ",L18)</f>
        <v>0</v>
      </c>
      <c r="L18" s="603">
        <f>(D18*2+I18)*F18</f>
        <v>0</v>
      </c>
      <c r="M18" s="553"/>
      <c r="N18" s="582" t="e">
        <f>IF(E18=0," ",IF(L18&lt;400,B,IF(L18&lt;960,"C","E")))</f>
        <v>#NAME?</v>
      </c>
      <c r="O18" s="589" t="str">
        <f>"-"</f>
        <v>-</v>
      </c>
      <c r="P18" s="8"/>
      <c r="Q18" s="8"/>
      <c r="R18" s="8"/>
      <c r="S18" s="8"/>
      <c r="T18" s="8"/>
      <c r="U18" s="8"/>
      <c r="V18" s="8"/>
      <c r="W18" s="8"/>
      <c r="X18" s="8"/>
      <c r="AI18" s="771"/>
      <c r="AJ18" s="771"/>
      <c r="AK18" s="771"/>
      <c r="AL18" s="771"/>
      <c r="AM18" s="771"/>
      <c r="AN18" s="771"/>
      <c r="AO18" s="771"/>
      <c r="AP18" s="771"/>
      <c r="AQ18" s="771"/>
      <c r="AR18" s="771"/>
      <c r="AS18" s="771"/>
      <c r="AT18" s="771"/>
      <c r="AU18" s="771"/>
      <c r="AV18" s="771"/>
      <c r="AW18" s="771"/>
      <c r="AX18" s="771"/>
    </row>
    <row r="19" spans="1:50" s="28" customFormat="1" ht="5.0999999999999996" customHeight="1" thickBot="1" x14ac:dyDescent="0.3">
      <c r="B19" s="325"/>
      <c r="C19" s="576"/>
      <c r="D19" s="593"/>
      <c r="E19" s="215"/>
      <c r="F19" s="215"/>
      <c r="G19" s="215"/>
      <c r="H19" s="592"/>
      <c r="I19" s="577"/>
      <c r="J19" s="577"/>
      <c r="K19" s="577"/>
      <c r="L19" s="553"/>
      <c r="M19" s="553"/>
      <c r="N19" s="593"/>
      <c r="O19" s="596"/>
    </row>
    <row r="20" spans="1:50" s="1345" customFormat="1" ht="16.5" thickBot="1" x14ac:dyDescent="0.3">
      <c r="B20" s="582" t="s">
        <v>3491</v>
      </c>
      <c r="C20" s="583" t="s">
        <v>3492</v>
      </c>
      <c r="D20" s="584">
        <v>0.1</v>
      </c>
      <c r="E20" s="585" t="s">
        <v>1118</v>
      </c>
      <c r="F20" s="585"/>
      <c r="G20" s="585"/>
      <c r="H20" s="586"/>
      <c r="I20" s="587">
        <f>IF(H20=$AG$47,VLOOKUP(F20,ALVES,VLOOKUP(G20,ALVESDOP,2,FALSE),FALSE),(H20*G20*F20*(VLOOKUP(E20,$AG$43:$AH$45,2,FALSE))))</f>
        <v>0</v>
      </c>
      <c r="J20" s="599">
        <f>IF(E20=0," ",I20)</f>
        <v>0</v>
      </c>
      <c r="K20" s="604">
        <f>IF(E20=0," ",L20)</f>
        <v>0</v>
      </c>
      <c r="L20" s="603">
        <f>(D20*2+I20)*F20</f>
        <v>0</v>
      </c>
      <c r="M20" s="553"/>
      <c r="N20" s="582">
        <f>IF(E20=0," ",IF(L20&lt;700,11,IF(L20&lt;1100,13,IF(L20&lt;1800,15,IF(AH50&lt;1100,"13х2","15х2")))))</f>
        <v>11</v>
      </c>
      <c r="O20" s="589" t="str">
        <f>"-"</f>
        <v>-</v>
      </c>
      <c r="P20" s="8"/>
      <c r="Q20" s="8"/>
      <c r="R20" s="8"/>
      <c r="S20" s="8"/>
      <c r="T20" s="8"/>
      <c r="U20" s="8"/>
      <c r="V20" s="8"/>
      <c r="W20" s="8"/>
      <c r="X20" s="8"/>
      <c r="AI20" s="771"/>
      <c r="AJ20" s="771"/>
      <c r="AK20" s="771"/>
      <c r="AL20" s="771"/>
      <c r="AM20" s="771"/>
      <c r="AN20" s="771"/>
      <c r="AO20" s="771"/>
      <c r="AP20" s="771"/>
      <c r="AQ20" s="771"/>
      <c r="AR20" s="771"/>
      <c r="AS20" s="771"/>
      <c r="AT20" s="771"/>
      <c r="AU20" s="771"/>
      <c r="AV20" s="771"/>
      <c r="AW20" s="771"/>
      <c r="AX20" s="771"/>
    </row>
    <row r="21" spans="1:50" x14ac:dyDescent="0.2">
      <c r="A21" s="814"/>
      <c r="B21" s="8"/>
      <c r="C21" s="8"/>
      <c r="D21" s="364" t="s">
        <v>1382</v>
      </c>
      <c r="E21" s="32" t="s">
        <v>1382</v>
      </c>
      <c r="F21" s="32" t="s">
        <v>1382</v>
      </c>
      <c r="G21" s="32" t="s">
        <v>1382</v>
      </c>
      <c r="H21" s="549" t="s">
        <v>1382</v>
      </c>
      <c r="I21" s="8"/>
      <c r="J21" s="8"/>
      <c r="K21" s="8"/>
      <c r="L21" s="8"/>
      <c r="M21" s="8"/>
      <c r="N21" s="364" t="s">
        <v>1382</v>
      </c>
      <c r="O21" s="549" t="s">
        <v>1382</v>
      </c>
      <c r="P21" s="8"/>
      <c r="Q21" s="8"/>
      <c r="R21" s="8"/>
      <c r="S21" s="8"/>
      <c r="T21" s="8"/>
      <c r="U21" s="8"/>
      <c r="V21" s="8"/>
      <c r="W21" s="8"/>
      <c r="X21" s="8"/>
      <c r="AI21" s="771"/>
      <c r="AJ21" s="771"/>
      <c r="AK21" s="771"/>
      <c r="AL21" s="771"/>
      <c r="AM21" s="771"/>
      <c r="AN21" s="771"/>
      <c r="AO21" s="771"/>
      <c r="AP21" s="771"/>
      <c r="AQ21" s="771"/>
      <c r="AR21" s="771"/>
      <c r="AS21" s="771"/>
      <c r="AT21" s="771"/>
      <c r="AU21" s="771"/>
      <c r="AV21" s="771"/>
      <c r="AW21" s="771"/>
      <c r="AX21" s="771"/>
    </row>
    <row r="22" spans="1:50" ht="13.5" thickBot="1" x14ac:dyDescent="0.25">
      <c r="A22" s="814"/>
      <c r="B22" s="8"/>
      <c r="C22" s="8"/>
      <c r="D22" s="2356" t="s">
        <v>1157</v>
      </c>
      <c r="E22" s="2357"/>
      <c r="F22" s="2357"/>
      <c r="G22" s="2357"/>
      <c r="H22" s="2358"/>
      <c r="I22" s="594"/>
      <c r="J22" s="594"/>
      <c r="K22" s="594"/>
      <c r="L22" s="594"/>
      <c r="M22" s="8"/>
      <c r="N22" s="2356" t="s">
        <v>1158</v>
      </c>
      <c r="O22" s="2358"/>
      <c r="P22" s="8"/>
      <c r="Q22" s="8"/>
      <c r="R22" s="8"/>
      <c r="S22" s="8"/>
      <c r="T22" s="8"/>
      <c r="U22" s="8"/>
      <c r="V22" s="8"/>
      <c r="W22" s="8"/>
      <c r="X22" s="8"/>
      <c r="AI22" s="961" t="s">
        <v>1813</v>
      </c>
      <c r="AJ22" s="963" t="s">
        <v>1781</v>
      </c>
      <c r="AK22" s="967" t="s">
        <v>2236</v>
      </c>
      <c r="AL22" s="771"/>
      <c r="AM22" s="771"/>
      <c r="AN22" s="771"/>
      <c r="AO22" s="771"/>
      <c r="AP22" s="771"/>
      <c r="AQ22" s="771"/>
      <c r="AR22" s="771"/>
      <c r="AS22" s="771"/>
      <c r="AT22" s="771"/>
      <c r="AU22" s="771"/>
      <c r="AV22" s="771"/>
      <c r="AW22" s="771"/>
      <c r="AX22" s="771"/>
    </row>
    <row r="23" spans="1:50" x14ac:dyDescent="0.2">
      <c r="A23" s="814"/>
      <c r="B23" s="8"/>
      <c r="C23" s="8"/>
      <c r="D23" s="8"/>
      <c r="E23" s="8"/>
      <c r="F23" s="8"/>
      <c r="G23" s="8"/>
      <c r="H23" s="8"/>
      <c r="I23" s="8"/>
      <c r="J23" s="8"/>
      <c r="K23" s="8"/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AI23" s="943" t="s">
        <v>1813</v>
      </c>
      <c r="AJ23" s="956" t="s">
        <v>1782</v>
      </c>
      <c r="AK23" s="968" t="s">
        <v>2237</v>
      </c>
      <c r="AL23" s="771"/>
      <c r="AM23" s="771"/>
      <c r="AN23" s="771"/>
      <c r="AO23" s="771"/>
      <c r="AP23" s="771"/>
      <c r="AQ23" s="771"/>
      <c r="AR23" s="771"/>
      <c r="AS23" s="771"/>
      <c r="AT23" s="771"/>
      <c r="AU23" s="771"/>
      <c r="AV23" s="771"/>
      <c r="AW23" s="771"/>
      <c r="AX23" s="771"/>
    </row>
    <row r="24" spans="1:50" x14ac:dyDescent="0.2">
      <c r="A24" s="814"/>
      <c r="B24" s="8"/>
      <c r="C24" s="8"/>
      <c r="D24" s="8"/>
      <c r="E24" s="8"/>
      <c r="F24" s="8"/>
      <c r="G24" s="8"/>
      <c r="H24" s="8"/>
      <c r="I24" s="8"/>
      <c r="J24" s="8"/>
      <c r="K24" s="8"/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AI24" s="2342" t="s">
        <v>2823</v>
      </c>
      <c r="AJ24" s="2343"/>
      <c r="AK24" s="962"/>
      <c r="AL24" s="771"/>
      <c r="AM24" s="771"/>
      <c r="AN24" s="771"/>
      <c r="AO24" s="771"/>
      <c r="AP24" s="771"/>
      <c r="AQ24" s="771"/>
      <c r="AR24" s="771"/>
      <c r="AS24" s="771"/>
      <c r="AT24" s="771"/>
      <c r="AU24" s="771"/>
      <c r="AV24" s="771"/>
      <c r="AW24" s="771"/>
      <c r="AX24" s="771"/>
    </row>
    <row r="25" spans="1:50" x14ac:dyDescent="0.2">
      <c r="A25" s="814"/>
      <c r="B25" s="8"/>
      <c r="C25" s="8"/>
      <c r="D25" s="8"/>
      <c r="E25" s="8"/>
      <c r="F25" s="8"/>
      <c r="G25" s="8"/>
      <c r="H25" s="8"/>
      <c r="I25" s="8"/>
      <c r="J25" s="8"/>
      <c r="K25" s="8"/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AI25" s="771"/>
      <c r="AJ25" s="771"/>
      <c r="AK25" s="974" t="s">
        <v>2825</v>
      </c>
      <c r="AL25" s="771"/>
      <c r="AM25" s="771"/>
      <c r="AN25" s="771"/>
      <c r="AO25" s="771"/>
      <c r="AP25" s="771"/>
      <c r="AQ25" s="771"/>
      <c r="AR25" s="771"/>
      <c r="AS25" s="771"/>
      <c r="AT25" s="771"/>
      <c r="AU25" s="771"/>
      <c r="AV25" s="771"/>
      <c r="AW25" s="771"/>
      <c r="AX25" s="771"/>
    </row>
    <row r="26" spans="1:50" ht="12.75" customHeight="1" x14ac:dyDescent="0.25">
      <c r="A26" s="814"/>
      <c r="B26" s="8"/>
      <c r="C26" s="8"/>
      <c r="D26" s="8"/>
      <c r="E26" s="8"/>
      <c r="F26" s="8"/>
      <c r="G26" s="8"/>
      <c r="H26" s="8"/>
      <c r="I26" s="8"/>
      <c r="J26" s="8"/>
      <c r="K26" s="8"/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AI26" s="970" t="s">
        <v>1815</v>
      </c>
      <c r="AJ26" s="971" t="s">
        <v>2813</v>
      </c>
      <c r="AK26" s="972"/>
      <c r="AL26" s="973"/>
      <c r="AM26" s="771"/>
      <c r="AN26" s="771"/>
      <c r="AO26" s="771"/>
      <c r="AP26" s="771"/>
      <c r="AQ26" s="771"/>
      <c r="AR26" s="771"/>
      <c r="AS26" s="771"/>
      <c r="AT26" s="771"/>
      <c r="AU26" s="771"/>
      <c r="AV26" s="771"/>
      <c r="AW26" s="771"/>
      <c r="AX26" s="771"/>
    </row>
    <row r="27" spans="1:50" x14ac:dyDescent="0.2">
      <c r="A27" s="814"/>
      <c r="B27" s="8"/>
      <c r="C27" s="8"/>
      <c r="D27" s="8"/>
      <c r="E27" s="8"/>
      <c r="F27" s="8"/>
      <c r="G27" s="8"/>
      <c r="H27" s="8"/>
      <c r="I27" s="8"/>
      <c r="J27" s="8"/>
      <c r="K27" s="8"/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AI27" s="771"/>
      <c r="AJ27" s="771"/>
      <c r="AK27" s="771"/>
      <c r="AL27" s="771"/>
      <c r="AM27" s="771"/>
      <c r="AN27" s="771"/>
      <c r="AO27" s="771"/>
      <c r="AP27" s="771"/>
      <c r="AQ27" s="771"/>
      <c r="AR27" s="771"/>
      <c r="AS27" s="771"/>
      <c r="AT27" s="771"/>
      <c r="AU27" s="771"/>
      <c r="AV27" s="771"/>
      <c r="AW27" s="771"/>
      <c r="AX27" s="771"/>
    </row>
    <row r="28" spans="1:50" ht="13.5" thickBot="1" x14ac:dyDescent="0.25">
      <c r="A28" s="814"/>
      <c r="B28" s="8"/>
      <c r="C28" s="8"/>
      <c r="D28" s="8"/>
      <c r="E28" s="8"/>
      <c r="F28" s="8"/>
      <c r="G28" s="8"/>
      <c r="H28" s="8"/>
      <c r="I28" s="8"/>
      <c r="J28" s="8"/>
      <c r="K28" s="8"/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AI28" s="771"/>
      <c r="AJ28" s="771"/>
      <c r="AK28" s="771"/>
      <c r="AL28" s="771"/>
      <c r="AM28" s="771"/>
      <c r="AN28" s="771"/>
      <c r="AO28" s="771"/>
      <c r="AP28" s="771"/>
      <c r="AQ28" s="771"/>
      <c r="AR28" s="771"/>
      <c r="AS28" s="771"/>
      <c r="AT28" s="771"/>
      <c r="AU28" s="771"/>
      <c r="AV28" s="771"/>
      <c r="AW28" s="771"/>
      <c r="AX28" s="771"/>
    </row>
    <row r="29" spans="1:50" ht="12.75" customHeight="1" x14ac:dyDescent="0.2">
      <c r="A29" s="814"/>
      <c r="B29" s="8"/>
      <c r="C29" s="8"/>
      <c r="D29" s="8"/>
      <c r="E29" s="8"/>
      <c r="F29" s="8"/>
      <c r="G29" s="8"/>
      <c r="H29" s="8"/>
      <c r="I29" s="8"/>
      <c r="J29" s="8"/>
      <c r="K29" s="8"/>
      <c r="L29" s="8"/>
      <c r="M29" s="8"/>
      <c r="N29" s="8"/>
      <c r="O29" s="8"/>
      <c r="P29" s="8"/>
      <c r="Q29" s="210" t="s">
        <v>1401</v>
      </c>
      <c r="R29" s="570">
        <v>200</v>
      </c>
      <c r="S29" s="8"/>
      <c r="T29" s="8"/>
      <c r="U29" s="8"/>
      <c r="V29" s="8"/>
      <c r="W29" s="8"/>
      <c r="X29" s="8"/>
      <c r="Y29" s="8"/>
      <c r="Z29" s="8"/>
      <c r="AA29" s="8"/>
      <c r="AB29" s="8"/>
      <c r="AC29" s="8"/>
      <c r="AD29" s="8"/>
      <c r="AE29" s="8"/>
      <c r="AF29" s="8"/>
      <c r="AG29" s="8"/>
      <c r="AH29" s="8"/>
      <c r="AI29" s="771"/>
      <c r="AJ29" s="771"/>
      <c r="AK29" s="771"/>
      <c r="AL29" s="771"/>
      <c r="AM29" s="771"/>
      <c r="AN29" s="771"/>
      <c r="AO29" s="771"/>
      <c r="AP29" s="771"/>
      <c r="AQ29" s="771"/>
      <c r="AR29" s="771"/>
      <c r="AS29" s="771"/>
      <c r="AT29" s="771"/>
      <c r="AU29" s="771"/>
      <c r="AV29" s="771"/>
      <c r="AW29" s="771"/>
      <c r="AX29" s="771"/>
    </row>
    <row r="30" spans="1:50" ht="30" customHeight="1" x14ac:dyDescent="0.2">
      <c r="A30" s="814"/>
      <c r="B30" s="8"/>
      <c r="C30" s="8"/>
      <c r="D30" s="8"/>
      <c r="E30" s="8"/>
      <c r="F30" s="8"/>
      <c r="G30" s="8"/>
      <c r="H30" s="8"/>
      <c r="I30" s="8"/>
      <c r="J30" s="8"/>
      <c r="K30" s="8"/>
      <c r="L30" s="8"/>
      <c r="M30" s="8"/>
      <c r="N30" s="8"/>
      <c r="O30" s="8"/>
      <c r="P30" s="8"/>
      <c r="R30" s="567">
        <v>210</v>
      </c>
      <c r="S30" s="2369" t="s">
        <v>1116</v>
      </c>
      <c r="T30" s="2370"/>
      <c r="U30" s="2370"/>
      <c r="V30" s="2370"/>
      <c r="W30" s="2370"/>
      <c r="X30" s="2370"/>
      <c r="Y30" s="2370"/>
      <c r="Z30" s="2370"/>
      <c r="AA30" s="2370"/>
      <c r="AB30" s="2370"/>
      <c r="AC30" s="2370"/>
      <c r="AD30" s="2370"/>
      <c r="AE30" s="2371"/>
      <c r="AF30" s="8"/>
      <c r="AG30" s="2372" t="s">
        <v>1309</v>
      </c>
      <c r="AH30" s="2372"/>
      <c r="AI30" s="771"/>
      <c r="AJ30" s="771"/>
      <c r="AK30" s="771"/>
      <c r="AL30" s="771"/>
      <c r="AM30" s="771"/>
      <c r="AN30" s="771"/>
      <c r="AO30" s="771"/>
      <c r="AP30" s="771"/>
      <c r="AQ30" s="771"/>
      <c r="AR30" s="771"/>
      <c r="AS30" s="771"/>
      <c r="AT30" s="771"/>
      <c r="AU30" s="771"/>
      <c r="AV30" s="771"/>
      <c r="AW30" s="771"/>
      <c r="AX30" s="771"/>
    </row>
    <row r="31" spans="1:50" ht="17.25" customHeight="1" x14ac:dyDescent="0.2">
      <c r="A31" s="814"/>
      <c r="B31" s="8"/>
      <c r="C31" s="8"/>
      <c r="D31" s="8"/>
      <c r="E31" s="8"/>
      <c r="F31" s="8"/>
      <c r="G31" s="8"/>
      <c r="H31" s="8"/>
      <c r="I31" s="8"/>
      <c r="J31" s="8"/>
      <c r="K31" s="8"/>
      <c r="L31" s="8"/>
      <c r="M31" s="8"/>
      <c r="N31" s="8"/>
      <c r="O31" s="8"/>
      <c r="P31" s="8"/>
      <c r="Q31" s="8"/>
      <c r="R31" s="567">
        <v>220</v>
      </c>
      <c r="S31" s="2354" t="s">
        <v>1103</v>
      </c>
      <c r="T31" s="2373" t="s">
        <v>1115</v>
      </c>
      <c r="U31" s="2373"/>
      <c r="V31" s="2373"/>
      <c r="W31" s="2373"/>
      <c r="X31" s="2373"/>
      <c r="Y31" s="2373"/>
      <c r="Z31" s="2373"/>
      <c r="AA31" s="2373"/>
      <c r="AB31" s="2373"/>
      <c r="AC31" s="2373"/>
      <c r="AD31" s="2373"/>
      <c r="AE31" s="2373"/>
      <c r="AF31" s="8"/>
      <c r="AG31" s="2367" t="s">
        <v>1105</v>
      </c>
      <c r="AH31" s="2374" t="s">
        <v>1104</v>
      </c>
      <c r="AI31" s="771"/>
      <c r="AJ31" s="771"/>
      <c r="AK31" s="771"/>
      <c r="AL31" s="771"/>
      <c r="AM31" s="771"/>
      <c r="AN31" s="771"/>
      <c r="AO31" s="771"/>
      <c r="AP31" s="771"/>
      <c r="AQ31" s="771"/>
      <c r="AR31" s="771"/>
      <c r="AS31" s="771"/>
      <c r="AT31" s="771"/>
      <c r="AU31" s="771"/>
      <c r="AV31" s="771"/>
      <c r="AW31" s="771"/>
      <c r="AX31" s="771"/>
    </row>
    <row r="32" spans="1:50" ht="15.75" customHeight="1" thickBot="1" x14ac:dyDescent="0.25">
      <c r="A32" s="814"/>
      <c r="B32" s="8"/>
      <c r="C32" s="8"/>
      <c r="D32" s="8"/>
      <c r="E32" s="8"/>
      <c r="F32" s="8"/>
      <c r="G32" s="8"/>
      <c r="H32" s="8"/>
      <c r="I32" s="8"/>
      <c r="J32" s="8"/>
      <c r="K32" s="8"/>
      <c r="L32" s="8"/>
      <c r="M32" s="8"/>
      <c r="N32" s="8"/>
      <c r="O32" s="8"/>
      <c r="P32" s="8"/>
      <c r="Q32" s="8"/>
      <c r="R32" s="569">
        <v>230</v>
      </c>
      <c r="S32" s="2355"/>
      <c r="T32" s="546">
        <v>400</v>
      </c>
      <c r="U32" s="546">
        <v>450</v>
      </c>
      <c r="V32" s="546">
        <v>500</v>
      </c>
      <c r="W32" s="546">
        <v>550</v>
      </c>
      <c r="X32" s="546">
        <v>600</v>
      </c>
      <c r="Y32" s="546">
        <v>700</v>
      </c>
      <c r="Z32" s="546">
        <v>800</v>
      </c>
      <c r="AA32" s="546">
        <v>900</v>
      </c>
      <c r="AB32" s="546">
        <v>1000</v>
      </c>
      <c r="AC32" s="546">
        <v>1200</v>
      </c>
      <c r="AD32" s="546">
        <v>1500</v>
      </c>
      <c r="AE32" s="546">
        <v>1800</v>
      </c>
      <c r="AF32" s="8"/>
      <c r="AG32" s="2368"/>
      <c r="AH32" s="2375"/>
      <c r="AI32" s="771"/>
      <c r="AJ32" s="771"/>
      <c r="AK32" s="771"/>
      <c r="AL32" s="771"/>
      <c r="AM32" s="771"/>
      <c r="AN32" s="771"/>
      <c r="AO32" s="771"/>
      <c r="AP32" s="771"/>
      <c r="AQ32" s="771"/>
      <c r="AR32" s="771"/>
      <c r="AS32" s="771"/>
      <c r="AT32" s="771"/>
      <c r="AU32" s="771"/>
      <c r="AV32" s="771"/>
      <c r="AW32" s="771"/>
      <c r="AX32" s="771"/>
    </row>
    <row r="33" spans="1:50" ht="15" x14ac:dyDescent="0.2">
      <c r="A33" s="814"/>
      <c r="B33" s="8"/>
      <c r="C33" s="8"/>
      <c r="D33" s="8"/>
      <c r="E33" s="8"/>
      <c r="F33" s="8"/>
      <c r="G33" s="8"/>
      <c r="H33" s="8"/>
      <c r="I33" s="8"/>
      <c r="J33" s="8"/>
      <c r="K33" s="8"/>
      <c r="L33" s="8"/>
      <c r="M33" s="8"/>
      <c r="N33" s="8"/>
      <c r="O33" s="8"/>
      <c r="P33" s="8"/>
      <c r="Q33" s="210" t="s">
        <v>247</v>
      </c>
      <c r="R33" s="566">
        <v>240</v>
      </c>
      <c r="S33" s="563">
        <v>300</v>
      </c>
      <c r="T33" s="547">
        <v>1.6</v>
      </c>
      <c r="U33" s="547">
        <v>1.7</v>
      </c>
      <c r="V33" s="547">
        <v>1.9</v>
      </c>
      <c r="W33" s="547">
        <v>2.1</v>
      </c>
      <c r="X33" s="547">
        <v>2.2999999999999998</v>
      </c>
      <c r="Y33" s="547">
        <v>2.7</v>
      </c>
      <c r="Z33" s="547">
        <v>3.1</v>
      </c>
      <c r="AA33" s="547">
        <v>3.5</v>
      </c>
      <c r="AB33" s="547">
        <v>3.9</v>
      </c>
      <c r="AC33" s="547">
        <v>4.7</v>
      </c>
      <c r="AD33" s="547">
        <v>5.8</v>
      </c>
      <c r="AE33" s="547">
        <v>7</v>
      </c>
      <c r="AF33" s="8"/>
      <c r="AG33" s="546">
        <v>15</v>
      </c>
      <c r="AH33" s="546">
        <v>0.79</v>
      </c>
      <c r="AI33" s="771"/>
      <c r="AJ33" s="771"/>
      <c r="AK33" s="771"/>
      <c r="AL33" s="771"/>
      <c r="AM33" s="771"/>
      <c r="AN33" s="771"/>
      <c r="AO33" s="771"/>
      <c r="AP33" s="771"/>
      <c r="AQ33" s="771"/>
      <c r="AR33" s="771"/>
      <c r="AS33" s="771"/>
      <c r="AT33" s="771"/>
      <c r="AU33" s="771"/>
      <c r="AV33" s="771"/>
      <c r="AW33" s="771"/>
      <c r="AX33" s="771"/>
    </row>
    <row r="34" spans="1:50" ht="15" x14ac:dyDescent="0.2">
      <c r="A34" s="814"/>
      <c r="B34" s="8"/>
      <c r="C34" s="8"/>
      <c r="D34" s="8"/>
      <c r="E34" s="8"/>
      <c r="F34" s="8"/>
      <c r="G34" s="8"/>
      <c r="H34" s="8"/>
      <c r="I34" s="8"/>
      <c r="J34" s="8"/>
      <c r="K34" s="8"/>
      <c r="L34" s="8"/>
      <c r="M34" s="8"/>
      <c r="N34" s="8"/>
      <c r="O34" s="8"/>
      <c r="P34" s="8"/>
      <c r="Q34" s="8"/>
      <c r="R34" s="567">
        <v>250</v>
      </c>
      <c r="S34" s="563">
        <v>350</v>
      </c>
      <c r="T34" s="547">
        <v>1.8</v>
      </c>
      <c r="U34" s="547">
        <v>2</v>
      </c>
      <c r="V34" s="547">
        <v>2.2999999999999998</v>
      </c>
      <c r="W34" s="547">
        <v>2.5</v>
      </c>
      <c r="X34" s="547">
        <v>2.7</v>
      </c>
      <c r="Y34" s="547">
        <v>3.2</v>
      </c>
      <c r="Z34" s="547">
        <v>3.6</v>
      </c>
      <c r="AA34" s="547">
        <v>4.0999999999999996</v>
      </c>
      <c r="AB34" s="547">
        <v>4.5</v>
      </c>
      <c r="AC34" s="547">
        <v>5.4</v>
      </c>
      <c r="AD34" s="547">
        <v>6.8</v>
      </c>
      <c r="AE34" s="547">
        <v>8.1</v>
      </c>
      <c r="AF34" s="8"/>
      <c r="AG34" s="546">
        <v>16</v>
      </c>
      <c r="AH34" s="546">
        <v>0.84</v>
      </c>
      <c r="AI34" s="771"/>
      <c r="AJ34" s="771"/>
      <c r="AK34" s="771"/>
      <c r="AL34" s="771"/>
      <c r="AM34" s="771"/>
      <c r="AN34" s="771"/>
      <c r="AO34" s="771"/>
      <c r="AP34" s="771"/>
      <c r="AQ34" s="771"/>
      <c r="AR34" s="771"/>
      <c r="AS34" s="771"/>
      <c r="AT34" s="771"/>
      <c r="AU34" s="771"/>
      <c r="AV34" s="771"/>
      <c r="AW34" s="771"/>
      <c r="AX34" s="771"/>
    </row>
    <row r="35" spans="1:50" ht="15" x14ac:dyDescent="0.2">
      <c r="A35" s="814"/>
      <c r="B35" s="8"/>
      <c r="C35" s="8"/>
      <c r="D35" s="8"/>
      <c r="E35" s="8"/>
      <c r="F35" s="8"/>
      <c r="G35" s="8"/>
      <c r="H35" s="8"/>
      <c r="I35" s="8"/>
      <c r="J35" s="8"/>
      <c r="K35" s="8"/>
      <c r="L35" s="8"/>
      <c r="M35" s="8"/>
      <c r="N35" s="8"/>
      <c r="O35" s="8"/>
      <c r="P35" s="8"/>
      <c r="Q35" s="8"/>
      <c r="R35" s="567">
        <v>260</v>
      </c>
      <c r="S35" s="563">
        <v>400</v>
      </c>
      <c r="T35" s="547">
        <v>2.1</v>
      </c>
      <c r="U35" s="547">
        <v>2.2999999999999998</v>
      </c>
      <c r="V35" s="547">
        <v>2.6</v>
      </c>
      <c r="W35" s="547">
        <v>2.8</v>
      </c>
      <c r="X35" s="547">
        <v>3.1</v>
      </c>
      <c r="Y35" s="547">
        <v>3.6</v>
      </c>
      <c r="Z35" s="547">
        <v>4.0999999999999996</v>
      </c>
      <c r="AA35" s="547">
        <v>4.7</v>
      </c>
      <c r="AB35" s="547">
        <v>5.2</v>
      </c>
      <c r="AC35" s="547">
        <v>6.2</v>
      </c>
      <c r="AD35" s="547">
        <v>7.8</v>
      </c>
      <c r="AE35" s="547">
        <v>9.3000000000000007</v>
      </c>
      <c r="AF35" s="8"/>
      <c r="AG35" s="546">
        <v>18</v>
      </c>
      <c r="AH35" s="546">
        <v>0.95</v>
      </c>
      <c r="AI35" s="771"/>
      <c r="AJ35" s="771"/>
      <c r="AK35" s="771"/>
      <c r="AL35" s="771"/>
      <c r="AM35" s="771"/>
      <c r="AN35" s="771"/>
      <c r="AO35" s="771"/>
      <c r="AP35" s="771"/>
      <c r="AQ35" s="771"/>
      <c r="AR35" s="771"/>
      <c r="AS35" s="771"/>
      <c r="AT35" s="771"/>
      <c r="AU35" s="771"/>
      <c r="AV35" s="771"/>
      <c r="AW35" s="771"/>
      <c r="AX35" s="771"/>
    </row>
    <row r="36" spans="1:50" ht="15" x14ac:dyDescent="0.2">
      <c r="A36" s="814"/>
      <c r="B36" s="8"/>
      <c r="C36" s="8"/>
      <c r="D36" s="8"/>
      <c r="E36" s="8"/>
      <c r="F36" s="8"/>
      <c r="G36" s="8"/>
      <c r="H36" s="8"/>
      <c r="I36" s="8"/>
      <c r="J36" s="8"/>
      <c r="K36" s="8"/>
      <c r="L36" s="8"/>
      <c r="M36" s="8"/>
      <c r="N36" s="8"/>
      <c r="O36" s="8"/>
      <c r="P36" s="8"/>
      <c r="Q36" s="8"/>
      <c r="R36" s="567">
        <v>270</v>
      </c>
      <c r="S36" s="563">
        <v>450</v>
      </c>
      <c r="T36" s="547">
        <v>2.2999999999999998</v>
      </c>
      <c r="U36" s="547">
        <v>2.6</v>
      </c>
      <c r="V36" s="547">
        <v>2.9</v>
      </c>
      <c r="W36" s="547">
        <v>3.2</v>
      </c>
      <c r="X36" s="547">
        <v>3.5</v>
      </c>
      <c r="Y36" s="547">
        <v>4.0999999999999996</v>
      </c>
      <c r="Z36" s="547">
        <v>4.7</v>
      </c>
      <c r="AA36" s="547">
        <v>5.2</v>
      </c>
      <c r="AB36" s="547">
        <v>5.8</v>
      </c>
      <c r="AC36" s="547">
        <v>7</v>
      </c>
      <c r="AD36" s="547">
        <v>8.6999999999999993</v>
      </c>
      <c r="AE36" s="547">
        <v>10.5</v>
      </c>
      <c r="AF36" s="8"/>
      <c r="AG36" s="546">
        <v>19</v>
      </c>
      <c r="AH36" s="546">
        <v>1</v>
      </c>
      <c r="AI36" s="771"/>
      <c r="AJ36" s="771"/>
      <c r="AK36" s="771"/>
      <c r="AL36" s="771"/>
      <c r="AM36" s="771"/>
      <c r="AN36" s="771"/>
      <c r="AO36" s="771"/>
      <c r="AP36" s="771"/>
      <c r="AQ36" s="771"/>
      <c r="AR36" s="771"/>
      <c r="AS36" s="771"/>
      <c r="AT36" s="771"/>
      <c r="AU36" s="771"/>
      <c r="AV36" s="771"/>
      <c r="AW36" s="771"/>
      <c r="AX36" s="771"/>
    </row>
    <row r="37" spans="1:50" ht="15" x14ac:dyDescent="0.2">
      <c r="A37" s="814"/>
      <c r="B37" s="8"/>
      <c r="C37" s="8"/>
      <c r="D37" s="8"/>
      <c r="E37" s="8"/>
      <c r="F37" s="8"/>
      <c r="G37" s="8"/>
      <c r="H37" s="8"/>
      <c r="I37" s="8"/>
      <c r="J37" s="8"/>
      <c r="K37" s="8"/>
      <c r="L37" s="8"/>
      <c r="M37" s="8"/>
      <c r="N37" s="8"/>
      <c r="O37" s="8"/>
      <c r="P37" s="8"/>
      <c r="Q37" s="8"/>
      <c r="R37" s="567">
        <v>280</v>
      </c>
      <c r="S37" s="563">
        <v>500</v>
      </c>
      <c r="T37" s="547">
        <v>2.6</v>
      </c>
      <c r="U37" s="547">
        <v>2.9</v>
      </c>
      <c r="V37" s="547">
        <v>3.2</v>
      </c>
      <c r="W37" s="547">
        <v>3.6</v>
      </c>
      <c r="X37" s="547">
        <v>3.9</v>
      </c>
      <c r="Y37" s="547">
        <v>4.5</v>
      </c>
      <c r="Z37" s="547">
        <v>5.2</v>
      </c>
      <c r="AA37" s="547">
        <v>5.8</v>
      </c>
      <c r="AB37" s="547">
        <v>6.5</v>
      </c>
      <c r="AC37" s="547">
        <v>7.8</v>
      </c>
      <c r="AD37" s="547">
        <v>9.6999999999999993</v>
      </c>
      <c r="AE37" s="547">
        <v>11.6</v>
      </c>
      <c r="AF37" s="8"/>
      <c r="AG37" s="546">
        <v>20</v>
      </c>
      <c r="AH37" s="546">
        <v>1.05</v>
      </c>
      <c r="AI37" s="771"/>
      <c r="AJ37" s="771"/>
      <c r="AK37" s="771"/>
      <c r="AL37" s="771"/>
      <c r="AM37" s="771"/>
      <c r="AN37" s="771"/>
      <c r="AO37" s="771"/>
      <c r="AP37" s="771"/>
      <c r="AQ37" s="771"/>
      <c r="AR37" s="771"/>
      <c r="AS37" s="771"/>
      <c r="AT37" s="771"/>
      <c r="AU37" s="771"/>
      <c r="AV37" s="771"/>
      <c r="AW37" s="771"/>
      <c r="AX37" s="771"/>
    </row>
    <row r="38" spans="1:50" ht="15.75" thickBot="1" x14ac:dyDescent="0.25">
      <c r="A38" s="814"/>
      <c r="B38" s="8"/>
      <c r="C38" s="8"/>
      <c r="D38" s="8"/>
      <c r="E38" s="8"/>
      <c r="F38" s="8"/>
      <c r="G38" s="8"/>
      <c r="H38" s="8"/>
      <c r="I38" s="8"/>
      <c r="J38" s="8"/>
      <c r="K38" s="8"/>
      <c r="L38" s="8"/>
      <c r="M38" s="8"/>
      <c r="N38" s="8"/>
      <c r="O38" s="8"/>
      <c r="P38" s="8"/>
      <c r="Q38" s="8"/>
      <c r="R38" s="567">
        <v>290</v>
      </c>
      <c r="S38" s="563">
        <v>550</v>
      </c>
      <c r="T38" s="547">
        <v>2.8</v>
      </c>
      <c r="U38" s="547">
        <v>3.2</v>
      </c>
      <c r="V38" s="547">
        <v>3.6</v>
      </c>
      <c r="W38" s="547">
        <v>3.9</v>
      </c>
      <c r="X38" s="547">
        <v>4.3</v>
      </c>
      <c r="Y38" s="547">
        <v>5</v>
      </c>
      <c r="Z38" s="547">
        <v>5.7</v>
      </c>
      <c r="AA38" s="547">
        <v>6.4</v>
      </c>
      <c r="AB38" s="547">
        <v>7.1</v>
      </c>
      <c r="AC38" s="547">
        <v>8.5</v>
      </c>
      <c r="AD38" s="547">
        <v>10.7</v>
      </c>
      <c r="AE38" s="547">
        <v>12.8</v>
      </c>
      <c r="AF38" s="8"/>
      <c r="AG38" s="546">
        <v>22</v>
      </c>
      <c r="AH38" s="546">
        <v>1.1599999999999999</v>
      </c>
      <c r="AI38" s="771"/>
      <c r="AJ38" s="771"/>
      <c r="AK38" s="771"/>
      <c r="AL38" s="771"/>
      <c r="AM38" s="771"/>
      <c r="AN38" s="771"/>
      <c r="AO38" s="771"/>
      <c r="AP38" s="771"/>
      <c r="AQ38" s="771"/>
      <c r="AR38" s="771"/>
      <c r="AS38" s="771"/>
      <c r="AT38" s="771"/>
      <c r="AU38" s="771"/>
      <c r="AV38" s="771"/>
      <c r="AW38" s="771"/>
      <c r="AX38" s="771"/>
    </row>
    <row r="39" spans="1:50" ht="15" x14ac:dyDescent="0.2">
      <c r="A39" s="814"/>
      <c r="B39" s="8"/>
      <c r="C39" s="8"/>
      <c r="D39" s="8"/>
      <c r="E39" s="8"/>
      <c r="F39" s="8"/>
      <c r="G39" s="8"/>
      <c r="H39" s="8"/>
      <c r="I39" s="8"/>
      <c r="J39" s="8"/>
      <c r="K39" s="8"/>
      <c r="L39" s="8"/>
      <c r="M39" s="8"/>
      <c r="N39" s="8"/>
      <c r="O39" s="8"/>
      <c r="P39" s="210"/>
      <c r="Q39" s="210" t="s">
        <v>250</v>
      </c>
      <c r="R39" s="566">
        <v>300</v>
      </c>
      <c r="S39" s="563">
        <v>600</v>
      </c>
      <c r="T39" s="547">
        <v>3.1</v>
      </c>
      <c r="U39" s="547">
        <v>3.5</v>
      </c>
      <c r="V39" s="547">
        <v>3.9</v>
      </c>
      <c r="W39" s="547">
        <v>4.3</v>
      </c>
      <c r="X39" s="547">
        <v>4.7</v>
      </c>
      <c r="Y39" s="547">
        <v>5.4</v>
      </c>
      <c r="Z39" s="547">
        <v>6.2</v>
      </c>
      <c r="AA39" s="547">
        <v>7</v>
      </c>
      <c r="AB39" s="547">
        <v>7.8</v>
      </c>
      <c r="AC39" s="547">
        <v>9.3000000000000007</v>
      </c>
      <c r="AD39" s="547">
        <v>11.6</v>
      </c>
      <c r="AE39" s="547">
        <v>14</v>
      </c>
      <c r="AF39" s="8"/>
      <c r="AG39" s="546">
        <v>23</v>
      </c>
      <c r="AH39" s="546">
        <v>1.21</v>
      </c>
      <c r="AI39" s="771"/>
      <c r="AJ39" s="771"/>
      <c r="AK39" s="771"/>
      <c r="AL39" s="771"/>
      <c r="AM39" s="771"/>
      <c r="AN39" s="771"/>
      <c r="AO39" s="771"/>
      <c r="AP39" s="771"/>
      <c r="AQ39" s="771"/>
      <c r="AR39" s="771"/>
      <c r="AS39" s="771"/>
      <c r="AT39" s="771"/>
      <c r="AU39" s="771"/>
      <c r="AV39" s="771"/>
      <c r="AW39" s="771"/>
      <c r="AX39" s="771"/>
    </row>
    <row r="40" spans="1:50" ht="15" x14ac:dyDescent="0.2">
      <c r="A40" s="814"/>
      <c r="B40" s="8"/>
      <c r="C40" s="8"/>
      <c r="D40" s="8"/>
      <c r="E40" s="8"/>
      <c r="F40" s="8"/>
      <c r="G40" s="8"/>
      <c r="H40" s="8"/>
      <c r="I40" s="8"/>
      <c r="J40" s="8"/>
      <c r="K40" s="8"/>
      <c r="L40" s="8"/>
      <c r="M40" s="8"/>
      <c r="N40" s="8"/>
      <c r="O40" s="8"/>
      <c r="P40" s="8"/>
      <c r="Q40" s="8"/>
      <c r="R40" s="567">
        <v>310</v>
      </c>
      <c r="S40" s="563">
        <v>650</v>
      </c>
      <c r="T40" s="547">
        <v>3.4</v>
      </c>
      <c r="U40" s="547">
        <v>3.8</v>
      </c>
      <c r="V40" s="547">
        <v>4.2</v>
      </c>
      <c r="W40" s="547">
        <v>4.5999999999999996</v>
      </c>
      <c r="X40" s="547">
        <v>5</v>
      </c>
      <c r="Y40" s="547">
        <v>5.9</v>
      </c>
      <c r="Z40" s="547">
        <v>6.7</v>
      </c>
      <c r="AA40" s="547">
        <v>7.6</v>
      </c>
      <c r="AB40" s="547">
        <v>8.4</v>
      </c>
      <c r="AC40" s="547">
        <v>10.1</v>
      </c>
      <c r="AD40" s="547">
        <v>12.6</v>
      </c>
      <c r="AE40" s="547">
        <v>15.1</v>
      </c>
      <c r="AF40" s="8"/>
      <c r="AG40" s="546">
        <v>26</v>
      </c>
      <c r="AH40" s="546">
        <v>1.37</v>
      </c>
      <c r="AI40" s="771"/>
      <c r="AJ40" s="771"/>
      <c r="AK40" s="771"/>
      <c r="AL40" s="771"/>
      <c r="AM40" s="771"/>
      <c r="AN40" s="771"/>
      <c r="AO40" s="771"/>
      <c r="AP40" s="771"/>
      <c r="AQ40" s="771"/>
      <c r="AR40" s="771"/>
      <c r="AS40" s="771"/>
      <c r="AT40" s="771"/>
      <c r="AU40" s="771"/>
      <c r="AV40" s="771"/>
      <c r="AW40" s="771"/>
      <c r="AX40" s="771"/>
    </row>
    <row r="41" spans="1:50" ht="15" x14ac:dyDescent="0.2">
      <c r="A41" s="814"/>
      <c r="B41" s="8"/>
      <c r="C41" s="8"/>
      <c r="D41" s="8"/>
      <c r="E41" s="8"/>
      <c r="F41" s="8"/>
      <c r="G41" s="8"/>
      <c r="H41" s="8"/>
      <c r="I41" s="8"/>
      <c r="J41" s="8"/>
      <c r="K41" s="8"/>
      <c r="L41" s="8"/>
      <c r="M41" s="8"/>
      <c r="N41" s="8"/>
      <c r="O41" s="8"/>
      <c r="P41" s="8"/>
      <c r="Q41" s="8"/>
      <c r="R41" s="567">
        <v>320</v>
      </c>
      <c r="S41" s="563">
        <v>700</v>
      </c>
      <c r="T41" s="547">
        <v>3.6</v>
      </c>
      <c r="U41" s="547">
        <v>4.0999999999999996</v>
      </c>
      <c r="V41" s="547">
        <v>4.5</v>
      </c>
      <c r="W41" s="547">
        <v>5</v>
      </c>
      <c r="X41" s="547">
        <v>5.4</v>
      </c>
      <c r="Y41" s="547">
        <v>6.3</v>
      </c>
      <c r="Z41" s="547">
        <v>7.2</v>
      </c>
      <c r="AA41" s="547">
        <v>8.1</v>
      </c>
      <c r="AB41" s="547">
        <v>9</v>
      </c>
      <c r="AC41" s="547">
        <v>10.9</v>
      </c>
      <c r="AD41" s="547">
        <v>13.6</v>
      </c>
      <c r="AE41" s="547">
        <v>16.3</v>
      </c>
      <c r="AF41" s="8"/>
      <c r="AG41" s="546">
        <v>29</v>
      </c>
      <c r="AH41" s="546">
        <v>1.53</v>
      </c>
      <c r="AI41" s="771"/>
      <c r="AJ41" s="771"/>
      <c r="AK41" s="771"/>
      <c r="AL41" s="771"/>
      <c r="AM41" s="771"/>
      <c r="AN41" s="771"/>
      <c r="AO41" s="771"/>
      <c r="AP41" s="771"/>
      <c r="AQ41" s="771"/>
      <c r="AR41" s="771"/>
      <c r="AS41" s="771"/>
      <c r="AT41" s="771"/>
      <c r="AU41" s="771"/>
      <c r="AV41" s="771"/>
      <c r="AW41" s="771"/>
      <c r="AX41" s="771"/>
    </row>
    <row r="42" spans="1:50" ht="15" x14ac:dyDescent="0.2">
      <c r="A42" s="814"/>
      <c r="B42" s="8"/>
      <c r="C42" s="8"/>
      <c r="D42" s="8"/>
      <c r="E42" s="8"/>
      <c r="F42" s="8"/>
      <c r="G42" s="8"/>
      <c r="H42" s="8"/>
      <c r="I42" s="8"/>
      <c r="J42" s="8"/>
      <c r="K42" s="8"/>
      <c r="L42" s="8"/>
      <c r="M42" s="8"/>
      <c r="N42" s="8"/>
      <c r="O42" s="8"/>
      <c r="P42" s="8"/>
      <c r="Q42" s="8"/>
      <c r="R42" s="567">
        <v>330</v>
      </c>
      <c r="S42" s="563">
        <v>750</v>
      </c>
      <c r="T42" s="547">
        <v>3.9</v>
      </c>
      <c r="U42" s="547">
        <v>4.4000000000000004</v>
      </c>
      <c r="V42" s="547">
        <v>4.8</v>
      </c>
      <c r="W42" s="547">
        <v>5.3</v>
      </c>
      <c r="X42" s="547">
        <v>5.8</v>
      </c>
      <c r="Y42" s="547">
        <v>6.8</v>
      </c>
      <c r="Z42" s="547">
        <v>7.8</v>
      </c>
      <c r="AA42" s="547">
        <v>8.6999999999999993</v>
      </c>
      <c r="AB42" s="547">
        <v>9.6999999999999993</v>
      </c>
      <c r="AC42" s="547">
        <v>11.6</v>
      </c>
      <c r="AD42" s="547">
        <v>14.5</v>
      </c>
      <c r="AE42" s="547">
        <v>17.399999999999999</v>
      </c>
      <c r="AF42" s="8"/>
      <c r="AG42" s="8"/>
      <c r="AH42" s="8"/>
      <c r="AI42" s="771"/>
      <c r="AJ42" s="771"/>
      <c r="AK42" s="771"/>
      <c r="AL42" s="771"/>
      <c r="AM42" s="771"/>
      <c r="AN42" s="771"/>
      <c r="AO42" s="771"/>
      <c r="AP42" s="771"/>
      <c r="AQ42" s="771"/>
      <c r="AR42" s="771"/>
      <c r="AS42" s="771"/>
      <c r="AT42" s="771"/>
      <c r="AU42" s="771"/>
      <c r="AV42" s="771"/>
      <c r="AW42" s="771"/>
      <c r="AX42" s="771"/>
    </row>
    <row r="43" spans="1:50" ht="15" x14ac:dyDescent="0.2">
      <c r="A43" s="814"/>
      <c r="B43" s="8"/>
      <c r="C43" s="8"/>
      <c r="D43" s="8"/>
      <c r="E43" s="8"/>
      <c r="F43" s="8"/>
      <c r="G43" s="8"/>
      <c r="H43" s="8"/>
      <c r="I43" s="8"/>
      <c r="J43" s="8"/>
      <c r="K43" s="8"/>
      <c r="L43" s="8"/>
      <c r="M43" s="8"/>
      <c r="N43" s="8"/>
      <c r="O43" s="8"/>
      <c r="P43" s="8"/>
      <c r="Q43" s="8"/>
      <c r="R43" s="567">
        <v>340</v>
      </c>
      <c r="S43" s="563">
        <v>800</v>
      </c>
      <c r="T43" s="547">
        <v>4.0999999999999996</v>
      </c>
      <c r="U43" s="547">
        <v>4.7</v>
      </c>
      <c r="V43" s="547">
        <v>5.2</v>
      </c>
      <c r="W43" s="547">
        <v>5.7</v>
      </c>
      <c r="X43" s="547">
        <v>6.2</v>
      </c>
      <c r="Y43" s="547">
        <v>7.2</v>
      </c>
      <c r="Z43" s="547">
        <v>8.3000000000000007</v>
      </c>
      <c r="AA43" s="547">
        <v>9.3000000000000007</v>
      </c>
      <c r="AB43" s="547">
        <v>10.3</v>
      </c>
      <c r="AC43" s="547">
        <v>12.4</v>
      </c>
      <c r="AD43" s="547">
        <v>15.5</v>
      </c>
      <c r="AE43" s="547">
        <v>18.600000000000001</v>
      </c>
      <c r="AF43" s="8"/>
      <c r="AG43" s="8" t="s">
        <v>1117</v>
      </c>
      <c r="AH43" s="548">
        <v>6.7999999999999995E-7</v>
      </c>
      <c r="AI43" s="771"/>
      <c r="AJ43" s="771"/>
      <c r="AK43" s="771"/>
      <c r="AL43" s="771"/>
      <c r="AM43" s="771"/>
      <c r="AN43" s="771"/>
      <c r="AO43" s="771"/>
      <c r="AP43" s="771"/>
      <c r="AQ43" s="771"/>
      <c r="AR43" s="771"/>
      <c r="AS43" s="771"/>
      <c r="AT43" s="771"/>
      <c r="AU43" s="771"/>
      <c r="AV43" s="771"/>
      <c r="AW43" s="771"/>
      <c r="AX43" s="771"/>
    </row>
    <row r="44" spans="1:50" ht="15" x14ac:dyDescent="0.2">
      <c r="A44" s="814"/>
      <c r="B44" s="8"/>
      <c r="C44" s="8"/>
      <c r="D44" s="8"/>
      <c r="E44" s="8"/>
      <c r="F44" s="8"/>
      <c r="G44" s="8"/>
      <c r="H44" s="8"/>
      <c r="I44" s="8"/>
      <c r="J44" s="8"/>
      <c r="K44" s="8"/>
      <c r="L44" s="8"/>
      <c r="M44" s="8"/>
      <c r="N44" s="8"/>
      <c r="O44" s="8"/>
      <c r="P44" s="8"/>
      <c r="Q44" s="8"/>
      <c r="R44" s="567">
        <v>350</v>
      </c>
      <c r="S44" s="563">
        <v>850</v>
      </c>
      <c r="T44" s="547">
        <v>4.4000000000000004</v>
      </c>
      <c r="U44" s="547">
        <v>4.9000000000000004</v>
      </c>
      <c r="V44" s="547">
        <v>5.5</v>
      </c>
      <c r="W44" s="547">
        <v>6</v>
      </c>
      <c r="X44" s="547">
        <v>6.6</v>
      </c>
      <c r="Y44" s="547">
        <v>7.7</v>
      </c>
      <c r="Z44" s="547">
        <v>8.8000000000000007</v>
      </c>
      <c r="AA44" s="547">
        <v>9.9</v>
      </c>
      <c r="AB44" s="547">
        <v>11</v>
      </c>
      <c r="AC44" s="547">
        <v>13.2</v>
      </c>
      <c r="AD44" s="547">
        <v>16.5</v>
      </c>
      <c r="AE44" s="547">
        <v>19.8</v>
      </c>
      <c r="AF44" s="8"/>
      <c r="AG44" s="8" t="s">
        <v>1118</v>
      </c>
      <c r="AH44" s="548">
        <v>7.6000000000000003E-7</v>
      </c>
      <c r="AI44" s="771"/>
      <c r="AJ44" s="771"/>
      <c r="AK44" s="771"/>
      <c r="AL44" s="771"/>
      <c r="AM44" s="771"/>
      <c r="AN44" s="771"/>
      <c r="AO44" s="771"/>
      <c r="AP44" s="771"/>
      <c r="AQ44" s="771"/>
      <c r="AR44" s="771"/>
      <c r="AS44" s="771"/>
      <c r="AT44" s="771"/>
      <c r="AU44" s="771"/>
      <c r="AV44" s="771"/>
      <c r="AW44" s="771"/>
      <c r="AX44" s="771"/>
    </row>
    <row r="45" spans="1:50" ht="15" x14ac:dyDescent="0.2">
      <c r="A45" s="814"/>
      <c r="B45" s="8"/>
      <c r="C45" s="8"/>
      <c r="D45" s="8"/>
      <c r="E45" s="8"/>
      <c r="F45" s="8"/>
      <c r="G45" s="8"/>
      <c r="H45" s="8"/>
      <c r="I45" s="8"/>
      <c r="J45" s="8"/>
      <c r="K45" s="8"/>
      <c r="L45" s="8"/>
      <c r="M45" s="8"/>
      <c r="N45" s="8"/>
      <c r="O45" s="8"/>
      <c r="P45" s="8"/>
      <c r="Q45" s="8"/>
      <c r="R45" s="567">
        <v>360</v>
      </c>
      <c r="S45" s="563">
        <v>900</v>
      </c>
      <c r="T45" s="547">
        <v>4.7</v>
      </c>
      <c r="U45" s="547">
        <v>5.2</v>
      </c>
      <c r="V45" s="547">
        <v>5.8</v>
      </c>
      <c r="W45" s="547">
        <v>6.4</v>
      </c>
      <c r="X45" s="547">
        <v>7</v>
      </c>
      <c r="Y45" s="547">
        <v>8.1</v>
      </c>
      <c r="Z45" s="547">
        <v>9.3000000000000007</v>
      </c>
      <c r="AA45" s="547">
        <v>10.5</v>
      </c>
      <c r="AB45" s="547">
        <v>11.6</v>
      </c>
      <c r="AC45" s="547">
        <v>14</v>
      </c>
      <c r="AD45" s="547">
        <v>17.399999999999999</v>
      </c>
      <c r="AE45" s="547">
        <v>20.9</v>
      </c>
      <c r="AF45" s="8"/>
      <c r="AG45" s="8" t="s">
        <v>1360</v>
      </c>
      <c r="AH45" s="548">
        <v>2.5000000000000002E-6</v>
      </c>
      <c r="AI45" s="771"/>
      <c r="AJ45" s="771"/>
      <c r="AK45" s="771"/>
      <c r="AL45" s="771"/>
      <c r="AM45" s="771"/>
      <c r="AN45" s="771"/>
      <c r="AO45" s="771"/>
      <c r="AP45" s="771"/>
      <c r="AQ45" s="771"/>
      <c r="AR45" s="771"/>
      <c r="AS45" s="771"/>
      <c r="AT45" s="771"/>
      <c r="AU45" s="771"/>
      <c r="AV45" s="771"/>
      <c r="AW45" s="771"/>
      <c r="AX45" s="771"/>
    </row>
    <row r="46" spans="1:50" ht="15" x14ac:dyDescent="0.2">
      <c r="A46" s="814"/>
      <c r="B46" s="8"/>
      <c r="C46" s="8"/>
      <c r="D46" s="8"/>
      <c r="E46" s="8"/>
      <c r="F46" s="8"/>
      <c r="G46" s="8"/>
      <c r="H46" s="8"/>
      <c r="I46" s="8"/>
      <c r="J46" s="8"/>
      <c r="K46" s="8"/>
      <c r="L46" s="8"/>
      <c r="M46" s="8"/>
      <c r="N46" s="8"/>
      <c r="O46" s="8"/>
      <c r="P46" s="8"/>
      <c r="Q46" s="8"/>
      <c r="R46" s="567">
        <v>370</v>
      </c>
      <c r="S46" s="563">
        <v>950</v>
      </c>
      <c r="T46" s="547">
        <v>4.9000000000000004</v>
      </c>
      <c r="U46" s="547">
        <v>5.5</v>
      </c>
      <c r="V46" s="547">
        <v>6.1</v>
      </c>
      <c r="W46" s="547">
        <v>6.8</v>
      </c>
      <c r="X46" s="547">
        <v>7.4</v>
      </c>
      <c r="Y46" s="547">
        <v>8.6</v>
      </c>
      <c r="Z46" s="547">
        <v>9.8000000000000007</v>
      </c>
      <c r="AA46" s="547">
        <v>11</v>
      </c>
      <c r="AB46" s="547">
        <v>12.3</v>
      </c>
      <c r="AC46" s="547">
        <v>14.7</v>
      </c>
      <c r="AD46" s="547">
        <v>18.399999999999999</v>
      </c>
      <c r="AE46" s="547">
        <v>22.1</v>
      </c>
      <c r="AF46" s="8"/>
      <c r="AG46" s="8"/>
      <c r="AH46" s="8"/>
      <c r="AI46" s="771"/>
      <c r="AJ46" s="771"/>
      <c r="AK46" s="771"/>
      <c r="AL46" s="771"/>
      <c r="AM46" s="771"/>
      <c r="AN46" s="771"/>
      <c r="AO46" s="771"/>
      <c r="AP46" s="771"/>
      <c r="AQ46" s="771"/>
      <c r="AR46" s="771"/>
      <c r="AS46" s="771"/>
      <c r="AT46" s="771"/>
      <c r="AU46" s="771"/>
      <c r="AV46" s="771"/>
      <c r="AW46" s="771"/>
      <c r="AX46" s="771"/>
    </row>
    <row r="47" spans="1:50" ht="15" x14ac:dyDescent="0.2">
      <c r="A47" s="814"/>
      <c r="B47" s="8"/>
      <c r="C47" s="8"/>
      <c r="D47" s="8"/>
      <c r="E47" s="8"/>
      <c r="F47" s="8"/>
      <c r="G47" s="8"/>
      <c r="H47" s="8"/>
      <c r="I47" s="8"/>
      <c r="J47" s="8"/>
      <c r="K47" s="8"/>
      <c r="L47" s="8"/>
      <c r="M47" s="8"/>
      <c r="N47" s="8"/>
      <c r="O47" s="8"/>
      <c r="P47" s="8"/>
      <c r="Q47" s="8"/>
      <c r="R47" s="567">
        <v>380</v>
      </c>
      <c r="S47" s="563">
        <v>1000</v>
      </c>
      <c r="T47" s="547">
        <v>5.2</v>
      </c>
      <c r="U47" s="547">
        <v>5.8</v>
      </c>
      <c r="V47" s="547">
        <v>6.5</v>
      </c>
      <c r="W47" s="547">
        <v>7.1</v>
      </c>
      <c r="X47" s="547">
        <v>7.8</v>
      </c>
      <c r="Y47" s="547">
        <v>9</v>
      </c>
      <c r="Z47" s="547">
        <v>10.3</v>
      </c>
      <c r="AA47" s="547">
        <v>11.6</v>
      </c>
      <c r="AB47" s="547">
        <v>12.9</v>
      </c>
      <c r="AC47" s="547">
        <v>15.5</v>
      </c>
      <c r="AD47" s="547">
        <v>19.399999999999999</v>
      </c>
      <c r="AE47" s="547">
        <v>23.3</v>
      </c>
      <c r="AF47" s="8"/>
      <c r="AG47" s="562" t="s">
        <v>1361</v>
      </c>
      <c r="AH47" s="8"/>
      <c r="AI47" s="771"/>
      <c r="AJ47" s="771"/>
      <c r="AK47" s="771"/>
      <c r="AL47" s="771"/>
      <c r="AM47" s="771"/>
      <c r="AN47" s="771"/>
      <c r="AO47" s="771"/>
      <c r="AP47" s="771"/>
      <c r="AQ47" s="771"/>
      <c r="AR47" s="771"/>
      <c r="AS47" s="771"/>
      <c r="AT47" s="771"/>
      <c r="AU47" s="771"/>
      <c r="AV47" s="771"/>
      <c r="AW47" s="771"/>
      <c r="AX47" s="771"/>
    </row>
    <row r="48" spans="1:50" ht="15" x14ac:dyDescent="0.2">
      <c r="A48" s="814"/>
      <c r="B48" s="8"/>
      <c r="C48" s="8"/>
      <c r="D48" s="8"/>
      <c r="E48" s="8"/>
      <c r="F48" s="8"/>
      <c r="G48" s="8"/>
      <c r="H48" s="8"/>
      <c r="I48" s="8"/>
      <c r="J48" s="8"/>
      <c r="K48" s="8"/>
      <c r="L48" s="8"/>
      <c r="M48" s="8"/>
      <c r="N48" s="8"/>
      <c r="O48" s="8"/>
      <c r="P48" s="8"/>
      <c r="Q48" s="8"/>
      <c r="R48" s="567">
        <v>390</v>
      </c>
      <c r="S48" s="563">
        <v>1040</v>
      </c>
      <c r="T48" s="547">
        <v>5.4</v>
      </c>
      <c r="U48" s="547">
        <v>6</v>
      </c>
      <c r="V48" s="547">
        <v>6.7</v>
      </c>
      <c r="W48" s="547">
        <v>7.4</v>
      </c>
      <c r="X48" s="547">
        <v>8.1</v>
      </c>
      <c r="Y48" s="547">
        <v>9.4</v>
      </c>
      <c r="Z48" s="547">
        <v>10.7</v>
      </c>
      <c r="AA48" s="547">
        <v>12.1</v>
      </c>
      <c r="AB48" s="547">
        <v>13.4</v>
      </c>
      <c r="AC48" s="547">
        <v>16.100000000000001</v>
      </c>
      <c r="AD48" s="547">
        <v>20.2</v>
      </c>
      <c r="AE48" s="547">
        <v>24.2</v>
      </c>
      <c r="AF48" s="8"/>
      <c r="AG48" s="8"/>
      <c r="AH48" s="8"/>
      <c r="AI48" s="771"/>
      <c r="AJ48" s="771"/>
      <c r="AK48" s="771"/>
      <c r="AL48" s="771"/>
      <c r="AM48" s="771"/>
      <c r="AN48" s="771"/>
      <c r="AO48" s="771"/>
      <c r="AP48" s="771"/>
      <c r="AQ48" s="771"/>
      <c r="AR48" s="771"/>
      <c r="AS48" s="771"/>
      <c r="AT48" s="771"/>
      <c r="AU48" s="771"/>
      <c r="AV48" s="771"/>
      <c r="AW48" s="771"/>
      <c r="AX48" s="771"/>
    </row>
    <row r="49" spans="1:50" x14ac:dyDescent="0.2">
      <c r="A49" s="814"/>
      <c r="B49" s="8"/>
      <c r="C49" s="8"/>
      <c r="D49" s="8"/>
      <c r="E49" s="8"/>
      <c r="F49" s="8"/>
      <c r="G49" s="8"/>
      <c r="H49" s="8"/>
      <c r="I49" s="8"/>
      <c r="J49" s="8"/>
      <c r="K49" s="8"/>
      <c r="L49" s="8"/>
      <c r="M49" s="8"/>
      <c r="N49" s="8"/>
      <c r="O49" s="8"/>
      <c r="P49" s="8"/>
      <c r="Q49" s="8"/>
      <c r="R49" s="567">
        <v>400</v>
      </c>
      <c r="S49" s="8"/>
      <c r="T49" s="8"/>
      <c r="U49" s="8"/>
      <c r="V49" s="8"/>
      <c r="W49" s="8"/>
      <c r="X49" s="8"/>
      <c r="Y49" s="8"/>
      <c r="Z49" s="8"/>
      <c r="AA49" s="8"/>
      <c r="AB49" s="8"/>
      <c r="AC49" s="8"/>
      <c r="AD49" s="8"/>
      <c r="AE49" s="8"/>
      <c r="AF49" s="8"/>
      <c r="AG49" s="8"/>
      <c r="AH49" s="8"/>
      <c r="AI49" s="771"/>
      <c r="AJ49" s="771"/>
      <c r="AK49" s="771"/>
      <c r="AL49" s="771"/>
      <c r="AM49" s="771"/>
      <c r="AN49" s="771"/>
      <c r="AO49" s="771"/>
      <c r="AP49" s="771"/>
      <c r="AQ49" s="771"/>
      <c r="AR49" s="771"/>
      <c r="AS49" s="771"/>
      <c r="AT49" s="771"/>
      <c r="AU49" s="771"/>
      <c r="AV49" s="771"/>
      <c r="AW49" s="771"/>
      <c r="AX49" s="771"/>
    </row>
    <row r="50" spans="1:50" ht="21.75" customHeight="1" x14ac:dyDescent="0.2">
      <c r="A50" s="814"/>
      <c r="B50" s="8"/>
      <c r="C50" s="8"/>
      <c r="D50" s="8"/>
      <c r="E50" s="8"/>
      <c r="F50" s="8"/>
      <c r="G50" s="8"/>
      <c r="H50" s="8"/>
      <c r="I50" s="8"/>
      <c r="J50" s="8"/>
      <c r="K50" s="8"/>
      <c r="L50" s="8"/>
      <c r="M50" s="8"/>
      <c r="N50" s="8"/>
      <c r="O50" s="8"/>
      <c r="P50" s="8"/>
      <c r="Q50" s="8"/>
      <c r="R50" s="567">
        <v>410</v>
      </c>
      <c r="S50" s="2348" t="s">
        <v>1359</v>
      </c>
      <c r="T50" s="2349"/>
      <c r="U50" s="2349"/>
      <c r="V50" s="2349"/>
      <c r="W50" s="2349"/>
      <c r="X50" s="2349"/>
      <c r="Y50" s="2349"/>
      <c r="Z50" s="2349"/>
      <c r="AA50" s="2349"/>
      <c r="AB50" s="2349"/>
      <c r="AC50" s="2349"/>
      <c r="AD50" s="2349"/>
      <c r="AE50" s="2350"/>
      <c r="AF50" s="8"/>
      <c r="AG50" s="91" t="s">
        <v>3491</v>
      </c>
      <c r="AH50" s="8">
        <f>K20/2</f>
        <v>0</v>
      </c>
      <c r="AI50" s="771"/>
      <c r="AJ50" s="771"/>
      <c r="AK50" s="771"/>
      <c r="AL50" s="771"/>
      <c r="AM50" s="771"/>
      <c r="AN50" s="771"/>
      <c r="AO50" s="771"/>
      <c r="AP50" s="771"/>
      <c r="AQ50" s="771"/>
      <c r="AR50" s="771"/>
      <c r="AS50" s="771"/>
      <c r="AT50" s="771"/>
      <c r="AU50" s="771"/>
      <c r="AV50" s="771"/>
      <c r="AW50" s="771"/>
      <c r="AX50" s="771"/>
    </row>
    <row r="51" spans="1:50" ht="15.75" x14ac:dyDescent="0.2">
      <c r="A51" s="814"/>
      <c r="B51" s="8"/>
      <c r="C51" s="8"/>
      <c r="D51" s="8"/>
      <c r="E51" s="8"/>
      <c r="F51" s="8"/>
      <c r="G51" s="8"/>
      <c r="H51" s="8"/>
      <c r="I51" s="8"/>
      <c r="J51" s="8"/>
      <c r="K51" s="8"/>
      <c r="L51" s="8"/>
      <c r="M51" s="8"/>
      <c r="N51" s="8"/>
      <c r="O51" s="8"/>
      <c r="P51" s="8"/>
      <c r="Q51" s="8"/>
      <c r="R51" s="567">
        <v>420</v>
      </c>
      <c r="S51" s="2351" t="s">
        <v>1103</v>
      </c>
      <c r="T51" s="2353" t="s">
        <v>1115</v>
      </c>
      <c r="U51" s="2353"/>
      <c r="V51" s="2353"/>
      <c r="W51" s="2353"/>
      <c r="X51" s="2353"/>
      <c r="Y51" s="2353"/>
      <c r="Z51" s="2353"/>
      <c r="AA51" s="2353"/>
      <c r="AB51" s="2353"/>
      <c r="AC51" s="2353"/>
      <c r="AD51" s="2353"/>
      <c r="AE51" s="2353"/>
      <c r="AF51" s="8"/>
      <c r="AG51" s="8"/>
      <c r="AH51" s="8"/>
      <c r="AI51" s="771"/>
      <c r="AJ51" s="771"/>
      <c r="AK51" s="771"/>
      <c r="AL51" s="771"/>
      <c r="AM51" s="771"/>
      <c r="AN51" s="771"/>
      <c r="AO51" s="771"/>
      <c r="AP51" s="771"/>
      <c r="AQ51" s="771"/>
      <c r="AR51" s="771"/>
      <c r="AS51" s="771"/>
      <c r="AT51" s="771"/>
      <c r="AU51" s="771"/>
      <c r="AV51" s="771"/>
      <c r="AW51" s="771"/>
      <c r="AX51" s="771"/>
    </row>
    <row r="52" spans="1:50" ht="15" customHeight="1" x14ac:dyDescent="0.2">
      <c r="A52" s="814"/>
      <c r="B52" s="8"/>
      <c r="C52" s="8"/>
      <c r="D52" s="8"/>
      <c r="E52" s="8"/>
      <c r="F52" s="8"/>
      <c r="G52" s="8"/>
      <c r="H52" s="8"/>
      <c r="I52" s="8"/>
      <c r="J52" s="8"/>
      <c r="K52" s="8"/>
      <c r="L52" s="8"/>
      <c r="M52" s="8"/>
      <c r="N52" s="8"/>
      <c r="O52" s="8"/>
      <c r="P52" s="8"/>
      <c r="Q52" s="8"/>
      <c r="R52" s="567">
        <v>430</v>
      </c>
      <c r="S52" s="2352"/>
      <c r="T52" s="560">
        <v>400</v>
      </c>
      <c r="U52" s="560">
        <v>450</v>
      </c>
      <c r="V52" s="560">
        <v>500</v>
      </c>
      <c r="W52" s="560">
        <v>550</v>
      </c>
      <c r="X52" s="560">
        <v>600</v>
      </c>
      <c r="Y52" s="560">
        <v>700</v>
      </c>
      <c r="Z52" s="560">
        <v>800</v>
      </c>
      <c r="AA52" s="560">
        <v>900</v>
      </c>
      <c r="AB52" s="560">
        <v>1000</v>
      </c>
      <c r="AC52" s="560">
        <v>1200</v>
      </c>
      <c r="AD52" s="560">
        <v>1500</v>
      </c>
      <c r="AE52" s="560">
        <v>1800</v>
      </c>
      <c r="AF52" s="8"/>
      <c r="AG52" s="8"/>
      <c r="AH52" s="8"/>
      <c r="AI52" s="771"/>
      <c r="AJ52" s="771"/>
      <c r="AK52" s="771"/>
      <c r="AL52" s="771"/>
      <c r="AM52" s="771"/>
      <c r="AN52" s="771"/>
      <c r="AO52" s="771"/>
      <c r="AP52" s="771"/>
      <c r="AQ52" s="771"/>
      <c r="AR52" s="771"/>
      <c r="AS52" s="771"/>
      <c r="AT52" s="771"/>
      <c r="AU52" s="771"/>
      <c r="AV52" s="771"/>
      <c r="AW52" s="771"/>
      <c r="AX52" s="771"/>
    </row>
    <row r="53" spans="1:50" ht="15" x14ac:dyDescent="0.2">
      <c r="A53" s="814"/>
      <c r="B53" s="8"/>
      <c r="C53" s="8"/>
      <c r="D53" s="8"/>
      <c r="E53" s="8"/>
      <c r="F53" s="8"/>
      <c r="G53" s="8"/>
      <c r="H53" s="8"/>
      <c r="I53" s="8"/>
      <c r="J53" s="8"/>
      <c r="K53" s="8"/>
      <c r="L53" s="8"/>
      <c r="M53" s="8"/>
      <c r="N53" s="8"/>
      <c r="O53" s="8"/>
      <c r="P53" s="8"/>
      <c r="Q53" s="8"/>
      <c r="R53" s="567">
        <v>440</v>
      </c>
      <c r="S53" s="564">
        <v>300</v>
      </c>
      <c r="T53" s="561">
        <v>1.6</v>
      </c>
      <c r="U53" s="561">
        <v>1.8</v>
      </c>
      <c r="V53" s="561">
        <v>2</v>
      </c>
      <c r="W53" s="561">
        <v>2.2000000000000002</v>
      </c>
      <c r="X53" s="561">
        <v>2.4</v>
      </c>
      <c r="Y53" s="561">
        <v>2.7</v>
      </c>
      <c r="Z53" s="561">
        <v>3.1</v>
      </c>
      <c r="AA53" s="561">
        <v>3.5</v>
      </c>
      <c r="AB53" s="561">
        <v>3.8</v>
      </c>
      <c r="AC53" s="561">
        <v>4.5999999999999996</v>
      </c>
      <c r="AD53" s="561">
        <v>5.7</v>
      </c>
      <c r="AE53" s="561">
        <v>6.8</v>
      </c>
      <c r="AF53" s="8"/>
      <c r="AG53" s="8"/>
      <c r="AH53" s="8"/>
      <c r="AI53" s="771"/>
      <c r="AJ53" s="771"/>
      <c r="AK53" s="771"/>
      <c r="AL53" s="771"/>
      <c r="AM53" s="771"/>
      <c r="AN53" s="771"/>
      <c r="AO53" s="771"/>
      <c r="AP53" s="771"/>
      <c r="AQ53" s="771"/>
      <c r="AR53" s="771"/>
      <c r="AS53" s="771"/>
      <c r="AT53" s="771"/>
      <c r="AU53" s="771"/>
      <c r="AV53" s="771"/>
      <c r="AW53" s="771"/>
      <c r="AX53" s="771"/>
    </row>
    <row r="54" spans="1:50" ht="15" x14ac:dyDescent="0.2">
      <c r="A54" s="814"/>
      <c r="B54" s="8"/>
      <c r="C54" s="8"/>
      <c r="D54" s="8"/>
      <c r="E54" s="8"/>
      <c r="F54" s="8"/>
      <c r="G54" s="8"/>
      <c r="H54" s="8"/>
      <c r="I54" s="8"/>
      <c r="J54" s="8"/>
      <c r="K54" s="8"/>
      <c r="L54" s="8"/>
      <c r="M54" s="8"/>
      <c r="N54" s="8"/>
      <c r="O54" s="8"/>
      <c r="P54" s="8"/>
      <c r="Q54" s="8"/>
      <c r="R54" s="567">
        <v>450</v>
      </c>
      <c r="S54" s="564">
        <v>350</v>
      </c>
      <c r="T54" s="561">
        <v>1.9</v>
      </c>
      <c r="U54" s="561">
        <v>2.1</v>
      </c>
      <c r="V54" s="561">
        <v>2.2999999999999998</v>
      </c>
      <c r="W54" s="561">
        <v>2.5</v>
      </c>
      <c r="X54" s="561">
        <v>2.7</v>
      </c>
      <c r="Y54" s="561">
        <v>3.1</v>
      </c>
      <c r="Z54" s="561">
        <v>3.5</v>
      </c>
      <c r="AA54" s="561">
        <v>4</v>
      </c>
      <c r="AB54" s="561">
        <v>4.4000000000000004</v>
      </c>
      <c r="AC54" s="561">
        <v>5.2</v>
      </c>
      <c r="AD54" s="561">
        <v>6.5</v>
      </c>
      <c r="AE54" s="561">
        <v>7.7</v>
      </c>
      <c r="AF54" s="8"/>
      <c r="AG54" s="8"/>
      <c r="AH54" s="8"/>
      <c r="AI54" s="771"/>
      <c r="AJ54" s="771"/>
      <c r="AK54" s="771"/>
      <c r="AL54" s="771"/>
      <c r="AM54" s="771"/>
      <c r="AN54" s="771"/>
      <c r="AO54" s="771"/>
      <c r="AP54" s="771"/>
      <c r="AQ54" s="771"/>
      <c r="AR54" s="771"/>
      <c r="AS54" s="771"/>
      <c r="AT54" s="771"/>
      <c r="AU54" s="771"/>
      <c r="AV54" s="771"/>
      <c r="AW54" s="771"/>
      <c r="AX54" s="771"/>
    </row>
    <row r="55" spans="1:50" ht="15" x14ac:dyDescent="0.2">
      <c r="A55" s="814"/>
      <c r="B55" s="8"/>
      <c r="C55" s="8"/>
      <c r="D55" s="8"/>
      <c r="E55" s="8"/>
      <c r="F55" s="8"/>
      <c r="G55" s="8"/>
      <c r="H55" s="8"/>
      <c r="I55" s="8"/>
      <c r="J55" s="8"/>
      <c r="K55" s="8"/>
      <c r="L55" s="8"/>
      <c r="M55" s="8"/>
      <c r="N55" s="8"/>
      <c r="O55" s="8"/>
      <c r="P55" s="8"/>
      <c r="Q55" s="8"/>
      <c r="R55" s="567">
        <v>460</v>
      </c>
      <c r="S55" s="564">
        <v>400</v>
      </c>
      <c r="T55" s="561">
        <v>2.1</v>
      </c>
      <c r="U55" s="561">
        <v>2.2999999999999998</v>
      </c>
      <c r="V55" s="561">
        <v>2.6</v>
      </c>
      <c r="W55" s="561">
        <v>2.8</v>
      </c>
      <c r="X55" s="561">
        <v>3</v>
      </c>
      <c r="Y55" s="561">
        <v>3.5</v>
      </c>
      <c r="Z55" s="561">
        <v>4</v>
      </c>
      <c r="AA55" s="561">
        <v>4.4000000000000004</v>
      </c>
      <c r="AB55" s="561">
        <v>4.9000000000000004</v>
      </c>
      <c r="AC55" s="561">
        <v>5.9</v>
      </c>
      <c r="AD55" s="561">
        <v>7.3</v>
      </c>
      <c r="AE55" s="561">
        <v>8.6999999999999993</v>
      </c>
      <c r="AF55" s="8"/>
      <c r="AG55" s="8"/>
      <c r="AH55" s="8"/>
      <c r="AI55" s="771"/>
      <c r="AJ55" s="771"/>
      <c r="AK55" s="771"/>
      <c r="AL55" s="771"/>
      <c r="AM55" s="771"/>
      <c r="AN55" s="771"/>
      <c r="AO55" s="771"/>
      <c r="AP55" s="771"/>
      <c r="AQ55" s="771"/>
      <c r="AR55" s="771"/>
      <c r="AS55" s="771"/>
      <c r="AT55" s="771"/>
      <c r="AU55" s="771"/>
      <c r="AV55" s="771"/>
      <c r="AW55" s="771"/>
      <c r="AX55" s="771"/>
    </row>
    <row r="56" spans="1:50" ht="15" x14ac:dyDescent="0.2">
      <c r="A56" s="814"/>
      <c r="B56" s="8"/>
      <c r="C56" s="8"/>
      <c r="D56" s="8"/>
      <c r="E56" s="8"/>
      <c r="F56" s="8"/>
      <c r="G56" s="8"/>
      <c r="H56" s="8"/>
      <c r="I56" s="8"/>
      <c r="J56" s="8"/>
      <c r="K56" s="8"/>
      <c r="L56" s="8"/>
      <c r="M56" s="8"/>
      <c r="N56" s="8"/>
      <c r="O56" s="8"/>
      <c r="P56" s="8"/>
      <c r="Q56" s="8"/>
      <c r="R56" s="567">
        <v>470</v>
      </c>
      <c r="S56" s="564">
        <v>450</v>
      </c>
      <c r="T56" s="561">
        <v>2.2999999999999998</v>
      </c>
      <c r="U56" s="561">
        <v>2.6</v>
      </c>
      <c r="V56" s="561">
        <v>2.8</v>
      </c>
      <c r="W56" s="561">
        <v>3.1</v>
      </c>
      <c r="X56" s="561">
        <v>3.4</v>
      </c>
      <c r="Y56" s="561">
        <v>3.9</v>
      </c>
      <c r="Z56" s="561">
        <v>4.4000000000000004</v>
      </c>
      <c r="AA56" s="561">
        <v>4.9000000000000004</v>
      </c>
      <c r="AB56" s="561">
        <v>5.5</v>
      </c>
      <c r="AC56" s="561">
        <v>6.5</v>
      </c>
      <c r="AD56" s="561">
        <v>8.1</v>
      </c>
      <c r="AE56" s="561">
        <v>9.6</v>
      </c>
      <c r="AF56" s="8"/>
      <c r="AG56" s="8"/>
      <c r="AH56" s="8"/>
      <c r="AI56" s="771"/>
      <c r="AJ56" s="771"/>
      <c r="AK56" s="771"/>
      <c r="AL56" s="771"/>
      <c r="AM56" s="771"/>
      <c r="AN56" s="771"/>
      <c r="AO56" s="771"/>
      <c r="AP56" s="771"/>
      <c r="AQ56" s="771"/>
      <c r="AR56" s="771"/>
      <c r="AS56" s="771"/>
      <c r="AT56" s="771"/>
      <c r="AU56" s="771"/>
      <c r="AV56" s="771"/>
      <c r="AW56" s="771"/>
      <c r="AX56" s="771"/>
    </row>
    <row r="57" spans="1:50" ht="15" x14ac:dyDescent="0.2">
      <c r="A57" s="814"/>
      <c r="B57" s="8"/>
      <c r="C57" s="8"/>
      <c r="D57" s="8"/>
      <c r="E57" s="8"/>
      <c r="F57" s="8"/>
      <c r="G57" s="8"/>
      <c r="H57" s="8"/>
      <c r="I57" s="8"/>
      <c r="J57" s="8"/>
      <c r="K57" s="8"/>
      <c r="L57" s="8"/>
      <c r="M57" s="8"/>
      <c r="N57" s="8"/>
      <c r="O57" s="8"/>
      <c r="P57" s="8"/>
      <c r="Q57" s="8"/>
      <c r="R57" s="567">
        <v>480</v>
      </c>
      <c r="S57" s="564">
        <v>500</v>
      </c>
      <c r="T57" s="561">
        <v>2.6</v>
      </c>
      <c r="U57" s="561">
        <v>2.8</v>
      </c>
      <c r="V57" s="561">
        <v>3.1</v>
      </c>
      <c r="W57" s="561">
        <v>3.4</v>
      </c>
      <c r="X57" s="561">
        <v>3.7</v>
      </c>
      <c r="Y57" s="561">
        <v>4.3</v>
      </c>
      <c r="Z57" s="561">
        <v>4.8</v>
      </c>
      <c r="AA57" s="561">
        <v>5.4</v>
      </c>
      <c r="AB57" s="561">
        <v>6</v>
      </c>
      <c r="AC57" s="561">
        <v>7.1</v>
      </c>
      <c r="AD57" s="561">
        <v>8.8000000000000007</v>
      </c>
      <c r="AE57" s="561">
        <v>10.6</v>
      </c>
      <c r="AF57" s="8"/>
      <c r="AG57" s="8"/>
      <c r="AH57" s="8"/>
      <c r="AI57" s="771"/>
      <c r="AJ57" s="771"/>
      <c r="AK57" s="771"/>
      <c r="AL57" s="771"/>
      <c r="AM57" s="771"/>
      <c r="AN57" s="771"/>
      <c r="AO57" s="771"/>
      <c r="AP57" s="771"/>
      <c r="AQ57" s="771"/>
      <c r="AR57" s="771"/>
      <c r="AS57" s="771"/>
      <c r="AT57" s="771"/>
      <c r="AU57" s="771"/>
      <c r="AV57" s="771"/>
      <c r="AW57" s="771"/>
      <c r="AX57" s="771"/>
    </row>
    <row r="58" spans="1:50" ht="15" x14ac:dyDescent="0.2">
      <c r="A58" s="814"/>
      <c r="B58" s="8"/>
      <c r="C58" s="8"/>
      <c r="D58" s="8"/>
      <c r="E58" s="8"/>
      <c r="F58" s="8"/>
      <c r="G58" s="8"/>
      <c r="H58" s="8"/>
      <c r="I58" s="8"/>
      <c r="J58" s="8"/>
      <c r="K58" s="8"/>
      <c r="L58" s="8"/>
      <c r="M58" s="8"/>
      <c r="N58" s="8"/>
      <c r="O58" s="8"/>
      <c r="P58" s="8"/>
      <c r="Q58" s="8"/>
      <c r="R58" s="567">
        <v>490</v>
      </c>
      <c r="S58" s="564">
        <v>550</v>
      </c>
      <c r="T58" s="561">
        <v>2.8</v>
      </c>
      <c r="U58" s="561">
        <v>3.1</v>
      </c>
      <c r="V58" s="561">
        <v>3.4</v>
      </c>
      <c r="W58" s="561">
        <v>3.7</v>
      </c>
      <c r="X58" s="561">
        <v>4</v>
      </c>
      <c r="Y58" s="561">
        <v>4.7</v>
      </c>
      <c r="Z58" s="561">
        <v>5.3</v>
      </c>
      <c r="AA58" s="561">
        <v>5.9</v>
      </c>
      <c r="AB58" s="561">
        <v>6.5</v>
      </c>
      <c r="AC58" s="561">
        <v>7.8</v>
      </c>
      <c r="AD58" s="561">
        <v>9.6</v>
      </c>
      <c r="AE58" s="561">
        <v>11.5</v>
      </c>
      <c r="AF58" s="8"/>
      <c r="AG58" s="8"/>
      <c r="AH58" s="8"/>
      <c r="AI58" s="771"/>
      <c r="AJ58" s="771"/>
      <c r="AK58" s="771"/>
      <c r="AL58" s="771"/>
      <c r="AM58" s="771"/>
      <c r="AN58" s="771"/>
      <c r="AO58" s="771"/>
      <c r="AP58" s="771"/>
      <c r="AQ58" s="771"/>
      <c r="AR58" s="771"/>
      <c r="AS58" s="771"/>
      <c r="AT58" s="771"/>
      <c r="AU58" s="771"/>
      <c r="AV58" s="771"/>
      <c r="AW58" s="771"/>
      <c r="AX58" s="771"/>
    </row>
    <row r="59" spans="1:50" ht="15" x14ac:dyDescent="0.2">
      <c r="A59" s="814"/>
      <c r="B59" s="8"/>
      <c r="C59" s="8"/>
      <c r="D59" s="8"/>
      <c r="E59" s="8"/>
      <c r="F59" s="8"/>
      <c r="G59" s="8"/>
      <c r="H59" s="8"/>
      <c r="I59" s="8"/>
      <c r="J59" s="8"/>
      <c r="K59" s="8"/>
      <c r="L59" s="8"/>
      <c r="M59" s="8"/>
      <c r="N59" s="8"/>
      <c r="O59" s="8"/>
      <c r="P59" s="8"/>
      <c r="Q59" s="8"/>
      <c r="R59" s="567">
        <v>500</v>
      </c>
      <c r="S59" s="564">
        <v>600</v>
      </c>
      <c r="T59" s="561">
        <v>3</v>
      </c>
      <c r="U59" s="561">
        <v>3.4</v>
      </c>
      <c r="V59" s="561">
        <v>3.7</v>
      </c>
      <c r="W59" s="561">
        <v>4</v>
      </c>
      <c r="X59" s="561">
        <v>4.4000000000000004</v>
      </c>
      <c r="Y59" s="561">
        <v>5</v>
      </c>
      <c r="Z59" s="561">
        <v>5.7</v>
      </c>
      <c r="AA59" s="561">
        <v>6.4</v>
      </c>
      <c r="AB59" s="561">
        <v>7.1</v>
      </c>
      <c r="AC59" s="561">
        <v>8.4</v>
      </c>
      <c r="AD59" s="561">
        <v>10.4</v>
      </c>
      <c r="AE59" s="561">
        <v>12.4</v>
      </c>
      <c r="AF59" s="8"/>
      <c r="AG59" s="8"/>
      <c r="AH59" s="8"/>
      <c r="AI59" s="771"/>
      <c r="AJ59" s="771"/>
      <c r="AK59" s="771"/>
      <c r="AL59" s="771"/>
      <c r="AM59" s="771"/>
      <c r="AN59" s="771"/>
      <c r="AO59" s="771"/>
      <c r="AP59" s="771"/>
      <c r="AQ59" s="771"/>
      <c r="AR59" s="771"/>
      <c r="AS59" s="771"/>
      <c r="AT59" s="771"/>
      <c r="AU59" s="771"/>
      <c r="AV59" s="771"/>
      <c r="AW59" s="771"/>
      <c r="AX59" s="771"/>
    </row>
    <row r="60" spans="1:50" ht="15" x14ac:dyDescent="0.2">
      <c r="A60" s="814"/>
      <c r="B60" s="8"/>
      <c r="C60" s="8"/>
      <c r="D60" s="8"/>
      <c r="E60" s="8"/>
      <c r="F60" s="8"/>
      <c r="G60" s="8"/>
      <c r="H60" s="8"/>
      <c r="I60" s="8"/>
      <c r="J60" s="8"/>
      <c r="K60" s="8"/>
      <c r="L60" s="8"/>
      <c r="M60" s="8"/>
      <c r="N60" s="8"/>
      <c r="O60" s="8"/>
      <c r="P60" s="8"/>
      <c r="Q60" s="8"/>
      <c r="R60" s="567">
        <v>510</v>
      </c>
      <c r="S60" s="564">
        <v>650</v>
      </c>
      <c r="T60" s="561">
        <v>3.3</v>
      </c>
      <c r="U60" s="561">
        <v>3.6</v>
      </c>
      <c r="V60" s="561">
        <v>4</v>
      </c>
      <c r="W60" s="561">
        <v>4.3</v>
      </c>
      <c r="X60" s="561">
        <v>4.7</v>
      </c>
      <c r="Y60" s="561">
        <v>5.4</v>
      </c>
      <c r="Z60" s="561">
        <v>6.2</v>
      </c>
      <c r="AA60" s="561">
        <v>6.9</v>
      </c>
      <c r="AB60" s="561">
        <v>7.6</v>
      </c>
      <c r="AC60" s="561">
        <v>9</v>
      </c>
      <c r="AD60" s="561">
        <v>12.2</v>
      </c>
      <c r="AE60" s="561">
        <v>13.4</v>
      </c>
      <c r="AF60" s="8"/>
      <c r="AG60" s="8"/>
      <c r="AH60" s="8"/>
      <c r="AI60" s="771"/>
      <c r="AJ60" s="771"/>
      <c r="AK60" s="771"/>
      <c r="AL60" s="771"/>
      <c r="AM60" s="771"/>
      <c r="AN60" s="771"/>
      <c r="AO60" s="771"/>
      <c r="AP60" s="771"/>
      <c r="AQ60" s="771"/>
      <c r="AR60" s="771"/>
      <c r="AS60" s="771"/>
      <c r="AT60" s="771"/>
      <c r="AU60" s="771"/>
      <c r="AV60" s="771"/>
      <c r="AW60" s="771"/>
      <c r="AX60" s="771"/>
    </row>
    <row r="61" spans="1:50" ht="15" x14ac:dyDescent="0.2">
      <c r="A61" s="814"/>
      <c r="B61" s="8"/>
      <c r="C61" s="8"/>
      <c r="D61" s="8"/>
      <c r="E61" s="8"/>
      <c r="F61" s="8"/>
      <c r="G61" s="8"/>
      <c r="H61" s="8"/>
      <c r="I61" s="8"/>
      <c r="J61" s="8"/>
      <c r="K61" s="8"/>
      <c r="L61" s="8"/>
      <c r="M61" s="8"/>
      <c r="N61" s="8"/>
      <c r="O61" s="8"/>
      <c r="P61" s="8"/>
      <c r="Q61" s="8"/>
      <c r="R61" s="567">
        <v>520</v>
      </c>
      <c r="S61" s="564">
        <v>700</v>
      </c>
      <c r="T61" s="561">
        <v>3.5</v>
      </c>
      <c r="U61" s="561">
        <v>3.9</v>
      </c>
      <c r="V61" s="561">
        <v>4.3</v>
      </c>
      <c r="W61" s="561">
        <v>4.7</v>
      </c>
      <c r="X61" s="561">
        <v>5</v>
      </c>
      <c r="Y61" s="561">
        <v>5.8</v>
      </c>
      <c r="Z61" s="561">
        <v>6.6</v>
      </c>
      <c r="AA61" s="561">
        <v>7.4</v>
      </c>
      <c r="AB61" s="561">
        <v>8.1</v>
      </c>
      <c r="AC61" s="561">
        <v>9.6999999999999993</v>
      </c>
      <c r="AD61" s="561">
        <v>12</v>
      </c>
      <c r="AE61" s="561">
        <v>14.3</v>
      </c>
      <c r="AF61" s="8"/>
      <c r="AG61" s="8"/>
      <c r="AH61" s="8"/>
      <c r="AI61" s="771"/>
      <c r="AJ61" s="771"/>
      <c r="AK61" s="771"/>
      <c r="AL61" s="771"/>
      <c r="AM61" s="771"/>
      <c r="AN61" s="771"/>
      <c r="AO61" s="771"/>
      <c r="AP61" s="771"/>
      <c r="AQ61" s="771"/>
      <c r="AR61" s="771"/>
      <c r="AS61" s="771"/>
      <c r="AT61" s="771"/>
      <c r="AU61" s="771"/>
      <c r="AV61" s="771"/>
      <c r="AW61" s="771"/>
      <c r="AX61" s="771"/>
    </row>
    <row r="62" spans="1:50" ht="15" x14ac:dyDescent="0.2">
      <c r="A62" s="814"/>
      <c r="B62" s="8"/>
      <c r="C62" s="8"/>
      <c r="D62" s="8"/>
      <c r="E62" s="8"/>
      <c r="F62" s="8"/>
      <c r="G62" s="8"/>
      <c r="H62" s="8"/>
      <c r="I62" s="8"/>
      <c r="J62" s="8"/>
      <c r="K62" s="8"/>
      <c r="L62" s="8"/>
      <c r="M62" s="8"/>
      <c r="N62" s="8"/>
      <c r="O62" s="8"/>
      <c r="P62" s="8"/>
      <c r="Q62" s="8"/>
      <c r="R62" s="567">
        <v>530</v>
      </c>
      <c r="S62" s="564">
        <v>750</v>
      </c>
      <c r="T62" s="561">
        <v>3.7</v>
      </c>
      <c r="U62" s="561">
        <v>4.0999999999999996</v>
      </c>
      <c r="V62" s="561">
        <v>4.5999999999999996</v>
      </c>
      <c r="W62" s="561">
        <v>5</v>
      </c>
      <c r="X62" s="561">
        <v>5.4</v>
      </c>
      <c r="Y62" s="561">
        <v>6.2</v>
      </c>
      <c r="Z62" s="561">
        <v>7</v>
      </c>
      <c r="AA62" s="561">
        <v>7.8</v>
      </c>
      <c r="AB62" s="561">
        <v>8.6999999999999993</v>
      </c>
      <c r="AC62" s="561">
        <v>10.3</v>
      </c>
      <c r="AD62" s="561">
        <v>12.8</v>
      </c>
      <c r="AE62" s="561">
        <v>15.2</v>
      </c>
      <c r="AF62" s="8"/>
      <c r="AG62" s="8"/>
      <c r="AH62" s="8"/>
      <c r="AI62" s="771"/>
      <c r="AJ62" s="771"/>
      <c r="AK62" s="771"/>
      <c r="AL62" s="771"/>
      <c r="AM62" s="771"/>
      <c r="AN62" s="771"/>
      <c r="AO62" s="771"/>
      <c r="AP62" s="771"/>
      <c r="AQ62" s="771"/>
      <c r="AR62" s="771"/>
      <c r="AS62" s="771"/>
      <c r="AT62" s="771"/>
      <c r="AU62" s="771"/>
      <c r="AV62" s="771"/>
      <c r="AW62" s="771"/>
      <c r="AX62" s="771"/>
    </row>
    <row r="63" spans="1:50" ht="15" x14ac:dyDescent="0.2">
      <c r="A63" s="814"/>
      <c r="B63" s="8"/>
      <c r="C63" s="8"/>
      <c r="D63" s="8"/>
      <c r="E63" s="8"/>
      <c r="F63" s="8"/>
      <c r="G63" s="8"/>
      <c r="H63" s="8"/>
      <c r="I63" s="8"/>
      <c r="J63" s="8"/>
      <c r="K63" s="8"/>
      <c r="L63" s="8"/>
      <c r="M63" s="8"/>
      <c r="N63" s="8"/>
      <c r="O63" s="8"/>
      <c r="P63" s="8"/>
      <c r="Q63" s="8"/>
      <c r="R63" s="567">
        <v>540</v>
      </c>
      <c r="S63" s="564">
        <v>800</v>
      </c>
      <c r="T63" s="561">
        <v>4</v>
      </c>
      <c r="U63" s="561">
        <v>4.4000000000000004</v>
      </c>
      <c r="V63" s="561">
        <v>4.8</v>
      </c>
      <c r="W63" s="561">
        <v>5.3</v>
      </c>
      <c r="X63" s="561">
        <v>5.7</v>
      </c>
      <c r="Y63" s="561">
        <v>6.6</v>
      </c>
      <c r="Z63" s="561">
        <v>7.5</v>
      </c>
      <c r="AA63" s="561">
        <v>8.3000000000000007</v>
      </c>
      <c r="AB63" s="561">
        <v>9.1999999999999993</v>
      </c>
      <c r="AC63" s="561">
        <v>10.9</v>
      </c>
      <c r="AD63" s="561">
        <v>13.6</v>
      </c>
      <c r="AE63" s="561">
        <v>16.2</v>
      </c>
      <c r="AF63" s="8"/>
      <c r="AG63" s="8"/>
      <c r="AH63" s="8"/>
      <c r="AI63" s="771"/>
      <c r="AJ63" s="771"/>
      <c r="AK63" s="771"/>
      <c r="AL63" s="771"/>
      <c r="AM63" s="771"/>
      <c r="AN63" s="771"/>
      <c r="AO63" s="771"/>
      <c r="AP63" s="771"/>
      <c r="AQ63" s="771"/>
      <c r="AR63" s="771"/>
      <c r="AS63" s="771"/>
      <c r="AT63" s="771"/>
      <c r="AU63" s="771"/>
      <c r="AV63" s="771"/>
      <c r="AW63" s="771"/>
      <c r="AX63" s="771"/>
    </row>
    <row r="64" spans="1:50" ht="15" x14ac:dyDescent="0.2">
      <c r="A64" s="814"/>
      <c r="B64" s="8"/>
      <c r="C64" s="8"/>
      <c r="D64" s="8"/>
      <c r="E64" s="8"/>
      <c r="F64" s="8"/>
      <c r="G64" s="8"/>
      <c r="H64" s="8"/>
      <c r="I64" s="8"/>
      <c r="J64" s="8"/>
      <c r="K64" s="8"/>
      <c r="L64" s="8"/>
      <c r="M64" s="8"/>
      <c r="N64" s="8"/>
      <c r="O64" s="8"/>
      <c r="P64" s="8"/>
      <c r="Q64" s="8"/>
      <c r="R64" s="567">
        <v>550</v>
      </c>
      <c r="S64" s="564">
        <v>850</v>
      </c>
      <c r="T64" s="561">
        <v>4.2</v>
      </c>
      <c r="U64" s="561">
        <v>4.7</v>
      </c>
      <c r="V64" s="561">
        <v>5.0999999999999996</v>
      </c>
      <c r="W64" s="561">
        <v>5.6</v>
      </c>
      <c r="X64" s="561">
        <v>6.1</v>
      </c>
      <c r="Y64" s="561">
        <v>7</v>
      </c>
      <c r="Z64" s="561">
        <v>7.9</v>
      </c>
      <c r="AA64" s="561">
        <v>8.8000000000000007</v>
      </c>
      <c r="AB64" s="561">
        <v>9.6999999999999993</v>
      </c>
      <c r="AC64" s="561">
        <v>11.6</v>
      </c>
      <c r="AD64" s="561">
        <v>14.3</v>
      </c>
      <c r="AE64" s="561">
        <v>17.100000000000001</v>
      </c>
      <c r="AF64" s="8"/>
      <c r="AG64" s="8"/>
      <c r="AH64" s="8"/>
      <c r="AI64" s="771"/>
      <c r="AJ64" s="771"/>
      <c r="AK64" s="771"/>
      <c r="AL64" s="771"/>
      <c r="AM64" s="771"/>
      <c r="AN64" s="771"/>
      <c r="AO64" s="771"/>
      <c r="AP64" s="771"/>
      <c r="AQ64" s="771"/>
      <c r="AR64" s="771"/>
      <c r="AS64" s="771"/>
      <c r="AT64" s="771"/>
      <c r="AU64" s="771"/>
      <c r="AV64" s="771"/>
      <c r="AW64" s="771"/>
      <c r="AX64" s="771"/>
    </row>
    <row r="65" spans="1:50" ht="15" x14ac:dyDescent="0.2">
      <c r="A65" s="814"/>
      <c r="B65" s="8"/>
      <c r="C65" s="8"/>
      <c r="D65" s="8"/>
      <c r="E65" s="8"/>
      <c r="F65" s="8"/>
      <c r="G65" s="8"/>
      <c r="H65" s="8"/>
      <c r="I65" s="8"/>
      <c r="J65" s="8"/>
      <c r="K65" s="8"/>
      <c r="L65" s="8"/>
      <c r="M65" s="8"/>
      <c r="N65" s="8"/>
      <c r="O65" s="8"/>
      <c r="P65" s="8"/>
      <c r="Q65" s="8"/>
      <c r="R65" s="567">
        <v>560</v>
      </c>
      <c r="S65" s="564">
        <v>900</v>
      </c>
      <c r="T65" s="561">
        <v>4.4000000000000004</v>
      </c>
      <c r="U65" s="561">
        <v>4.9000000000000004</v>
      </c>
      <c r="V65" s="561">
        <v>5.4</v>
      </c>
      <c r="W65" s="561">
        <v>5.9</v>
      </c>
      <c r="X65" s="561">
        <v>6.4</v>
      </c>
      <c r="Y65" s="561">
        <v>7.4</v>
      </c>
      <c r="Z65" s="561">
        <v>8.3000000000000007</v>
      </c>
      <c r="AA65" s="561">
        <v>9.3000000000000007</v>
      </c>
      <c r="AB65" s="561">
        <v>10.3</v>
      </c>
      <c r="AC65" s="561">
        <v>12.2</v>
      </c>
      <c r="AD65" s="561">
        <v>15.1</v>
      </c>
      <c r="AE65" s="561">
        <v>18</v>
      </c>
      <c r="AF65" s="8"/>
      <c r="AG65" s="8"/>
      <c r="AH65" s="8"/>
      <c r="AI65" s="771"/>
      <c r="AJ65" s="771"/>
      <c r="AK65" s="771"/>
      <c r="AL65" s="771"/>
      <c r="AM65" s="771"/>
      <c r="AN65" s="771"/>
      <c r="AO65" s="771"/>
      <c r="AP65" s="771"/>
      <c r="AQ65" s="771"/>
      <c r="AR65" s="771"/>
      <c r="AS65" s="771"/>
      <c r="AT65" s="771"/>
      <c r="AU65" s="771"/>
      <c r="AV65" s="771"/>
      <c r="AW65" s="771"/>
      <c r="AX65" s="771"/>
    </row>
    <row r="66" spans="1:50" ht="15" x14ac:dyDescent="0.2">
      <c r="A66" s="814"/>
      <c r="B66" s="8"/>
      <c r="C66" s="8"/>
      <c r="D66" s="8"/>
      <c r="E66" s="8"/>
      <c r="F66" s="8"/>
      <c r="G66" s="8"/>
      <c r="H66" s="8"/>
      <c r="I66" s="8"/>
      <c r="J66" s="8"/>
      <c r="K66" s="8"/>
      <c r="L66" s="8"/>
      <c r="M66" s="8"/>
      <c r="N66" s="8"/>
      <c r="O66" s="8"/>
      <c r="P66" s="8"/>
      <c r="Q66" s="8"/>
      <c r="R66" s="567">
        <v>570</v>
      </c>
      <c r="S66" s="564">
        <v>950</v>
      </c>
      <c r="T66" s="561">
        <v>4.7</v>
      </c>
      <c r="U66" s="561">
        <v>5.2</v>
      </c>
      <c r="V66" s="561">
        <v>5.7</v>
      </c>
      <c r="W66" s="561">
        <v>6.2</v>
      </c>
      <c r="X66" s="561">
        <v>6.7</v>
      </c>
      <c r="Y66" s="561">
        <v>7.7</v>
      </c>
      <c r="Z66" s="561">
        <v>8.8000000000000007</v>
      </c>
      <c r="AA66" s="561">
        <v>9.8000000000000007</v>
      </c>
      <c r="AB66" s="561">
        <v>10.8</v>
      </c>
      <c r="AC66" s="561">
        <v>12.8</v>
      </c>
      <c r="AD66" s="561">
        <v>15.9</v>
      </c>
      <c r="AE66" s="561">
        <v>19</v>
      </c>
      <c r="AF66" s="8"/>
      <c r="AG66" s="8"/>
      <c r="AH66" s="8"/>
      <c r="AI66" s="771"/>
      <c r="AJ66" s="771"/>
      <c r="AK66" s="771"/>
      <c r="AL66" s="771"/>
      <c r="AM66" s="771"/>
      <c r="AN66" s="771"/>
      <c r="AO66" s="771"/>
      <c r="AP66" s="771"/>
      <c r="AQ66" s="771"/>
      <c r="AR66" s="771"/>
      <c r="AS66" s="771"/>
      <c r="AT66" s="771"/>
      <c r="AU66" s="771"/>
      <c r="AV66" s="771"/>
      <c r="AW66" s="771"/>
      <c r="AX66" s="771"/>
    </row>
    <row r="67" spans="1:50" s="8" customFormat="1" ht="15" x14ac:dyDescent="0.2">
      <c r="R67" s="567">
        <v>580</v>
      </c>
      <c r="S67" s="564">
        <v>1000</v>
      </c>
      <c r="T67" s="561">
        <v>4.9000000000000004</v>
      </c>
      <c r="U67" s="561">
        <v>5.5</v>
      </c>
      <c r="V67" s="561">
        <v>6</v>
      </c>
      <c r="W67" s="561">
        <v>6.5</v>
      </c>
      <c r="X67" s="561">
        <v>7.1</v>
      </c>
      <c r="Y67" s="561">
        <v>8.1</v>
      </c>
      <c r="Z67" s="561">
        <v>9.1999999999999993</v>
      </c>
      <c r="AA67" s="561">
        <v>10.3</v>
      </c>
      <c r="AB67" s="561">
        <v>11.3</v>
      </c>
      <c r="AC67" s="561">
        <v>13.5</v>
      </c>
      <c r="AD67" s="561">
        <v>16.7</v>
      </c>
      <c r="AE67" s="561">
        <v>19.899999999999999</v>
      </c>
      <c r="AI67" s="771"/>
      <c r="AJ67" s="771"/>
      <c r="AK67" s="771"/>
      <c r="AL67" s="771"/>
      <c r="AM67" s="771"/>
      <c r="AN67" s="771"/>
      <c r="AO67" s="771"/>
      <c r="AP67" s="771"/>
      <c r="AQ67" s="771"/>
      <c r="AR67" s="771"/>
      <c r="AS67" s="771"/>
      <c r="AT67" s="771"/>
      <c r="AU67" s="771"/>
      <c r="AV67" s="771"/>
      <c r="AW67" s="771"/>
      <c r="AX67" s="771"/>
    </row>
    <row r="68" spans="1:50" s="8" customFormat="1" ht="15" x14ac:dyDescent="0.2">
      <c r="R68" s="567">
        <v>590</v>
      </c>
      <c r="S68" s="564">
        <v>1040</v>
      </c>
      <c r="T68" s="561">
        <v>5.0999999999999996</v>
      </c>
      <c r="U68" s="561">
        <v>5.7</v>
      </c>
      <c r="V68" s="561">
        <v>6.2</v>
      </c>
      <c r="W68" s="561">
        <v>6.8</v>
      </c>
      <c r="X68" s="561">
        <v>7.3</v>
      </c>
      <c r="Y68" s="561">
        <v>8.4</v>
      </c>
      <c r="Z68" s="561">
        <v>9.5</v>
      </c>
      <c r="AA68" s="561">
        <v>10.7</v>
      </c>
      <c r="AB68" s="561">
        <v>11.8</v>
      </c>
      <c r="AC68" s="561">
        <v>14</v>
      </c>
      <c r="AD68" s="561">
        <v>17.3</v>
      </c>
      <c r="AE68" s="561">
        <v>20.7</v>
      </c>
      <c r="AI68" s="771"/>
      <c r="AJ68" s="771"/>
      <c r="AK68" s="771"/>
      <c r="AL68" s="771"/>
      <c r="AM68" s="771"/>
      <c r="AN68" s="771"/>
      <c r="AO68" s="771"/>
      <c r="AP68" s="771"/>
      <c r="AQ68" s="771"/>
      <c r="AR68" s="771"/>
      <c r="AS68" s="771"/>
      <c r="AT68" s="771"/>
      <c r="AU68" s="771"/>
      <c r="AV68" s="771"/>
      <c r="AW68" s="771"/>
      <c r="AX68" s="771"/>
    </row>
    <row r="69" spans="1:50" s="8" customFormat="1" ht="13.5" thickBot="1" x14ac:dyDescent="0.25">
      <c r="R69" s="568">
        <v>600</v>
      </c>
      <c r="AI69" s="771"/>
      <c r="AJ69" s="771"/>
      <c r="AK69" s="771"/>
      <c r="AL69" s="771"/>
      <c r="AM69" s="771"/>
      <c r="AN69" s="771"/>
      <c r="AO69" s="771"/>
      <c r="AP69" s="771"/>
      <c r="AQ69" s="771"/>
      <c r="AR69" s="771"/>
      <c r="AS69" s="771"/>
      <c r="AT69" s="771"/>
      <c r="AU69" s="771"/>
      <c r="AV69" s="771"/>
      <c r="AW69" s="771"/>
      <c r="AX69" s="771"/>
    </row>
    <row r="70" spans="1:50" s="8" customFormat="1" x14ac:dyDescent="0.2">
      <c r="R70" s="567">
        <v>610</v>
      </c>
      <c r="AI70" s="771"/>
      <c r="AJ70" s="771"/>
      <c r="AK70" s="771"/>
      <c r="AL70" s="771"/>
      <c r="AM70" s="771"/>
      <c r="AN70" s="771"/>
      <c r="AO70" s="771"/>
      <c r="AP70" s="771"/>
      <c r="AQ70" s="771"/>
      <c r="AR70" s="771"/>
      <c r="AS70" s="771"/>
      <c r="AT70" s="771"/>
      <c r="AU70" s="771"/>
      <c r="AV70" s="771"/>
      <c r="AW70" s="771"/>
      <c r="AX70" s="771"/>
    </row>
    <row r="71" spans="1:50" s="8" customFormat="1" ht="13.5" thickBot="1" x14ac:dyDescent="0.25">
      <c r="R71" s="567">
        <v>620</v>
      </c>
      <c r="AI71" s="771"/>
      <c r="AJ71" s="771"/>
      <c r="AK71" s="771"/>
      <c r="AL71" s="771"/>
      <c r="AM71" s="771"/>
      <c r="AN71" s="771"/>
      <c r="AO71" s="771"/>
      <c r="AP71" s="771"/>
      <c r="AQ71" s="771"/>
      <c r="AR71" s="771"/>
      <c r="AS71" s="771"/>
      <c r="AT71" s="771"/>
      <c r="AU71" s="771"/>
      <c r="AV71" s="771"/>
      <c r="AW71" s="771"/>
      <c r="AX71" s="771"/>
    </row>
    <row r="72" spans="1:50" s="8" customFormat="1" x14ac:dyDescent="0.2">
      <c r="R72" s="567">
        <v>630</v>
      </c>
      <c r="S72" s="502">
        <v>400</v>
      </c>
      <c r="T72" s="503">
        <v>2</v>
      </c>
      <c r="V72" s="8" t="s">
        <v>213</v>
      </c>
      <c r="W72" s="8" t="s">
        <v>214</v>
      </c>
      <c r="X72" s="8" t="s">
        <v>215</v>
      </c>
      <c r="Y72" s="8" t="s">
        <v>216</v>
      </c>
      <c r="Z72" s="498" t="s">
        <v>217</v>
      </c>
      <c r="AA72" s="556" t="s">
        <v>250</v>
      </c>
      <c r="AI72" s="771"/>
      <c r="AJ72" s="771"/>
      <c r="AK72" s="771"/>
      <c r="AL72" s="771"/>
      <c r="AM72" s="771"/>
      <c r="AN72" s="771"/>
      <c r="AO72" s="771"/>
      <c r="AP72" s="771"/>
      <c r="AQ72" s="771"/>
      <c r="AR72" s="771"/>
      <c r="AS72" s="771"/>
      <c r="AT72" s="771"/>
      <c r="AU72" s="771"/>
      <c r="AV72" s="771"/>
      <c r="AW72" s="771"/>
      <c r="AX72" s="771"/>
    </row>
    <row r="73" spans="1:50" s="8" customFormat="1" x14ac:dyDescent="0.2">
      <c r="R73" s="567">
        <v>640</v>
      </c>
      <c r="S73" s="75">
        <v>450</v>
      </c>
      <c r="T73" s="459">
        <v>3</v>
      </c>
      <c r="V73" s="8">
        <v>21</v>
      </c>
      <c r="W73" s="8">
        <v>21</v>
      </c>
      <c r="X73" s="8">
        <v>21</v>
      </c>
      <c r="Y73" s="8">
        <v>21</v>
      </c>
      <c r="Z73" s="440">
        <v>32</v>
      </c>
      <c r="AA73" s="557" t="e">
        <f>IF($I$12&lt;3.5,21,IF($I$12&lt;6.5,23,IF($I$12&lt;11,25,27)))</f>
        <v>#N/A</v>
      </c>
      <c r="AI73" s="771"/>
      <c r="AJ73" s="771"/>
      <c r="AK73" s="771"/>
      <c r="AL73" s="771"/>
      <c r="AM73" s="771"/>
      <c r="AN73" s="771"/>
      <c r="AO73" s="771"/>
      <c r="AP73" s="771"/>
      <c r="AQ73" s="771"/>
      <c r="AR73" s="771"/>
      <c r="AS73" s="771"/>
      <c r="AT73" s="771"/>
      <c r="AU73" s="771"/>
      <c r="AV73" s="771"/>
      <c r="AW73" s="771"/>
      <c r="AX73" s="771"/>
    </row>
    <row r="74" spans="1:50" s="8" customFormat="1" x14ac:dyDescent="0.2">
      <c r="R74" s="567">
        <v>650</v>
      </c>
      <c r="S74" s="75">
        <v>500</v>
      </c>
      <c r="T74" s="459">
        <v>4</v>
      </c>
      <c r="V74" s="8">
        <v>23</v>
      </c>
      <c r="W74" s="8">
        <v>23</v>
      </c>
      <c r="X74" s="8">
        <v>23</v>
      </c>
      <c r="Y74" s="8">
        <v>23</v>
      </c>
      <c r="Z74" s="440">
        <v>35</v>
      </c>
      <c r="AA74" s="557" t="e">
        <f>IF($I$12&lt;1.8,21,IF($I$12&lt;4.3,23,IF($I$12&lt;8,25,IF($I$12&lt;13.5,27,29))))</f>
        <v>#N/A</v>
      </c>
      <c r="AI74" s="771"/>
      <c r="AJ74" s="771"/>
      <c r="AK74" s="771"/>
      <c r="AL74" s="771"/>
      <c r="AM74" s="771"/>
      <c r="AN74" s="771"/>
      <c r="AO74" s="771"/>
      <c r="AP74" s="771"/>
      <c r="AQ74" s="771"/>
      <c r="AR74" s="771"/>
      <c r="AS74" s="771"/>
      <c r="AT74" s="771"/>
      <c r="AU74" s="771"/>
      <c r="AV74" s="771"/>
      <c r="AW74" s="771"/>
      <c r="AX74" s="771"/>
    </row>
    <row r="75" spans="1:50" s="8" customFormat="1" x14ac:dyDescent="0.2">
      <c r="R75" s="567">
        <v>660</v>
      </c>
      <c r="S75" s="75">
        <v>550</v>
      </c>
      <c r="T75" s="459">
        <v>5</v>
      </c>
      <c r="V75" s="8">
        <v>25</v>
      </c>
      <c r="W75" s="8">
        <v>25</v>
      </c>
      <c r="X75" s="8">
        <v>25</v>
      </c>
      <c r="Y75" s="8">
        <v>25</v>
      </c>
      <c r="Z75" s="440">
        <v>38</v>
      </c>
      <c r="AA75" s="557" t="e">
        <f>IF($I$12&lt;2.8,23,IF($I$12&lt;5.8,25,IF($I$12&lt;10.5,27,29)))</f>
        <v>#N/A</v>
      </c>
      <c r="AI75" s="771"/>
      <c r="AJ75" s="771"/>
      <c r="AK75" s="771"/>
      <c r="AL75" s="771"/>
      <c r="AM75" s="771"/>
      <c r="AN75" s="771"/>
      <c r="AO75" s="771"/>
      <c r="AP75" s="771"/>
      <c r="AQ75" s="771"/>
      <c r="AR75" s="771"/>
      <c r="AS75" s="771"/>
      <c r="AT75" s="771"/>
      <c r="AU75" s="771"/>
      <c r="AV75" s="771"/>
      <c r="AW75" s="771"/>
      <c r="AX75" s="771"/>
    </row>
    <row r="76" spans="1:50" s="8" customFormat="1" ht="13.5" thickBot="1" x14ac:dyDescent="0.25">
      <c r="R76" s="567">
        <v>670</v>
      </c>
      <c r="S76" s="75">
        <v>600</v>
      </c>
      <c r="T76" s="459">
        <v>6</v>
      </c>
      <c r="V76" s="8">
        <v>27</v>
      </c>
      <c r="W76" s="8">
        <v>27</v>
      </c>
      <c r="X76" s="8">
        <v>27</v>
      </c>
      <c r="Y76" s="8">
        <v>27</v>
      </c>
      <c r="Z76" s="554">
        <v>39</v>
      </c>
      <c r="AA76" s="558" t="e">
        <f>IF($I$12&lt;4.3,25,IF($I$12&lt;8.3,27,29))</f>
        <v>#N/A</v>
      </c>
      <c r="AI76" s="771"/>
      <c r="AJ76" s="771"/>
      <c r="AK76" s="771"/>
      <c r="AL76" s="771"/>
      <c r="AM76" s="771"/>
      <c r="AN76" s="771"/>
      <c r="AO76" s="771"/>
      <c r="AP76" s="771"/>
      <c r="AQ76" s="771"/>
      <c r="AR76" s="771"/>
      <c r="AS76" s="771"/>
      <c r="AT76" s="771"/>
      <c r="AU76" s="771"/>
      <c r="AV76" s="771"/>
      <c r="AW76" s="771"/>
      <c r="AX76" s="771"/>
    </row>
    <row r="77" spans="1:50" s="8" customFormat="1" x14ac:dyDescent="0.2">
      <c r="R77" s="567">
        <v>680</v>
      </c>
      <c r="S77" s="75">
        <v>700</v>
      </c>
      <c r="T77" s="459">
        <v>7</v>
      </c>
      <c r="V77" s="8">
        <v>29</v>
      </c>
      <c r="W77" s="8">
        <v>29</v>
      </c>
      <c r="X77" s="8">
        <v>29</v>
      </c>
      <c r="Y77" s="8">
        <v>29</v>
      </c>
      <c r="AI77" s="771"/>
      <c r="AJ77" s="771"/>
      <c r="AK77" s="771"/>
      <c r="AL77" s="771"/>
      <c r="AM77" s="771"/>
      <c r="AN77" s="771"/>
      <c r="AO77" s="771"/>
      <c r="AP77" s="771"/>
      <c r="AQ77" s="771"/>
      <c r="AR77" s="771"/>
      <c r="AS77" s="771"/>
      <c r="AT77" s="771"/>
      <c r="AU77" s="771"/>
      <c r="AV77" s="771"/>
      <c r="AW77" s="771"/>
      <c r="AX77" s="771"/>
    </row>
    <row r="78" spans="1:50" s="8" customFormat="1" x14ac:dyDescent="0.2">
      <c r="R78" s="567">
        <v>690</v>
      </c>
      <c r="S78" s="75">
        <v>800</v>
      </c>
      <c r="T78" s="459">
        <v>8</v>
      </c>
      <c r="AI78" s="771"/>
      <c r="AJ78" s="771"/>
      <c r="AK78" s="771"/>
      <c r="AL78" s="771"/>
      <c r="AM78" s="771"/>
      <c r="AN78" s="771"/>
      <c r="AO78" s="771"/>
      <c r="AP78" s="771"/>
      <c r="AQ78" s="771"/>
      <c r="AR78" s="771"/>
      <c r="AS78" s="771"/>
      <c r="AT78" s="771"/>
      <c r="AU78" s="771"/>
      <c r="AV78" s="771"/>
      <c r="AW78" s="771"/>
      <c r="AX78" s="771"/>
    </row>
    <row r="79" spans="1:50" s="8" customFormat="1" x14ac:dyDescent="0.2">
      <c r="R79" s="567">
        <v>700</v>
      </c>
      <c r="S79" s="75">
        <v>900</v>
      </c>
      <c r="T79" s="459">
        <v>9</v>
      </c>
      <c r="AI79" s="771"/>
      <c r="AJ79" s="771"/>
      <c r="AK79" s="771"/>
      <c r="AL79" s="771"/>
      <c r="AM79" s="771"/>
      <c r="AN79" s="771"/>
      <c r="AO79" s="771"/>
      <c r="AP79" s="771"/>
      <c r="AQ79" s="771"/>
      <c r="AR79" s="771"/>
      <c r="AS79" s="771"/>
      <c r="AT79" s="771"/>
      <c r="AU79" s="771"/>
      <c r="AV79" s="771"/>
      <c r="AW79" s="771"/>
      <c r="AX79" s="771"/>
    </row>
    <row r="80" spans="1:50" s="8" customFormat="1" x14ac:dyDescent="0.2">
      <c r="R80" s="567">
        <v>710</v>
      </c>
      <c r="S80" s="75">
        <v>1000</v>
      </c>
      <c r="T80" s="459">
        <v>10</v>
      </c>
      <c r="AI80" s="771"/>
      <c r="AJ80" s="771"/>
      <c r="AK80" s="771"/>
      <c r="AL80" s="771"/>
      <c r="AM80" s="771"/>
      <c r="AN80" s="771"/>
      <c r="AO80" s="771"/>
      <c r="AP80" s="771"/>
      <c r="AQ80" s="771"/>
      <c r="AR80" s="771"/>
      <c r="AS80" s="771"/>
      <c r="AT80" s="771"/>
      <c r="AU80" s="771"/>
      <c r="AV80" s="771"/>
      <c r="AW80" s="771"/>
      <c r="AX80" s="771"/>
    </row>
    <row r="81" spans="18:50" s="8" customFormat="1" x14ac:dyDescent="0.2">
      <c r="R81" s="567">
        <v>720</v>
      </c>
      <c r="S81" s="75">
        <v>1200</v>
      </c>
      <c r="T81" s="459">
        <v>11</v>
      </c>
      <c r="AI81" s="771"/>
      <c r="AJ81" s="771"/>
      <c r="AK81" s="771"/>
      <c r="AL81" s="771"/>
      <c r="AM81" s="771"/>
      <c r="AN81" s="771"/>
      <c r="AO81" s="771"/>
      <c r="AP81" s="771"/>
      <c r="AQ81" s="771"/>
      <c r="AR81" s="771"/>
      <c r="AS81" s="771"/>
      <c r="AT81" s="771"/>
      <c r="AU81" s="771"/>
      <c r="AV81" s="771"/>
      <c r="AW81" s="771"/>
      <c r="AX81" s="771"/>
    </row>
    <row r="82" spans="18:50" s="8" customFormat="1" x14ac:dyDescent="0.2">
      <c r="R82" s="567">
        <v>730</v>
      </c>
      <c r="S82" s="75">
        <v>1500</v>
      </c>
      <c r="T82" s="459">
        <v>12</v>
      </c>
      <c r="AI82" s="771"/>
      <c r="AJ82" s="771"/>
      <c r="AK82" s="771"/>
      <c r="AL82" s="771"/>
      <c r="AM82" s="771"/>
      <c r="AN82" s="771"/>
      <c r="AO82" s="771"/>
      <c r="AP82" s="771"/>
      <c r="AQ82" s="771"/>
      <c r="AR82" s="771"/>
      <c r="AS82" s="771"/>
      <c r="AT82" s="771"/>
      <c r="AU82" s="771"/>
      <c r="AV82" s="771"/>
      <c r="AW82" s="771"/>
      <c r="AX82" s="771"/>
    </row>
    <row r="83" spans="18:50" s="8" customFormat="1" ht="13.5" thickBot="1" x14ac:dyDescent="0.25">
      <c r="R83" s="567">
        <v>740</v>
      </c>
      <c r="S83" s="565">
        <v>1800</v>
      </c>
      <c r="T83" s="555">
        <v>13</v>
      </c>
      <c r="AI83" s="771"/>
      <c r="AJ83" s="771"/>
      <c r="AK83" s="771"/>
      <c r="AL83" s="771"/>
      <c r="AM83" s="771"/>
      <c r="AN83" s="771"/>
      <c r="AO83" s="771"/>
      <c r="AP83" s="771"/>
      <c r="AQ83" s="771"/>
      <c r="AR83" s="771"/>
      <c r="AS83" s="771"/>
      <c r="AT83" s="771"/>
      <c r="AU83" s="771"/>
      <c r="AV83" s="771"/>
      <c r="AW83" s="771"/>
      <c r="AX83" s="771"/>
    </row>
    <row r="84" spans="18:50" s="8" customFormat="1" x14ac:dyDescent="0.2">
      <c r="R84" s="567">
        <v>750</v>
      </c>
      <c r="S84" s="502"/>
      <c r="T84" s="502" t="s">
        <v>1347</v>
      </c>
      <c r="U84" s="502" t="s">
        <v>1347</v>
      </c>
      <c r="V84" s="502" t="s">
        <v>1339</v>
      </c>
      <c r="W84" s="502" t="s">
        <v>1339</v>
      </c>
      <c r="X84" s="502" t="s">
        <v>1348</v>
      </c>
      <c r="Y84" s="502" t="s">
        <v>1348</v>
      </c>
      <c r="Z84" s="503"/>
      <c r="AI84" s="771"/>
      <c r="AJ84" s="771"/>
      <c r="AK84" s="771"/>
      <c r="AL84" s="771"/>
      <c r="AM84" s="771"/>
      <c r="AN84" s="771"/>
      <c r="AO84" s="771"/>
      <c r="AP84" s="771"/>
      <c r="AQ84" s="771"/>
      <c r="AR84" s="771"/>
      <c r="AS84" s="771"/>
      <c r="AT84" s="771"/>
      <c r="AU84" s="771"/>
      <c r="AV84" s="771"/>
      <c r="AW84" s="771"/>
      <c r="AX84" s="771"/>
    </row>
    <row r="85" spans="18:50" s="8" customFormat="1" x14ac:dyDescent="0.2">
      <c r="R85" s="567">
        <v>760</v>
      </c>
      <c r="S85" s="75">
        <v>800</v>
      </c>
      <c r="T85" s="539">
        <v>4</v>
      </c>
      <c r="U85" s="166">
        <v>7</v>
      </c>
      <c r="V85" s="539">
        <v>6</v>
      </c>
      <c r="W85" s="166">
        <v>12.25</v>
      </c>
      <c r="X85" s="539">
        <v>10.5</v>
      </c>
      <c r="Y85" s="166">
        <v>20</v>
      </c>
      <c r="Z85" s="559" t="e">
        <f t="shared" ref="Z85:Z110" si="0">IF($I$10&lt;V85,$U$84,IF($I$10&lt;X85,$W$84,$Y$84))</f>
        <v>#N/A</v>
      </c>
      <c r="AI85" s="771"/>
      <c r="AJ85" s="771"/>
      <c r="AK85" s="771"/>
      <c r="AL85" s="771"/>
      <c r="AM85" s="771"/>
      <c r="AN85" s="771"/>
      <c r="AO85" s="771"/>
      <c r="AP85" s="771"/>
      <c r="AQ85" s="771"/>
      <c r="AR85" s="771"/>
      <c r="AS85" s="771"/>
      <c r="AT85" s="771"/>
      <c r="AU85" s="771"/>
      <c r="AV85" s="771"/>
      <c r="AW85" s="771"/>
      <c r="AX85" s="771"/>
    </row>
    <row r="86" spans="18:50" s="8" customFormat="1" x14ac:dyDescent="0.2">
      <c r="R86" s="567">
        <v>770</v>
      </c>
      <c r="S86" s="75">
        <v>795</v>
      </c>
      <c r="T86" s="168">
        <v>4</v>
      </c>
      <c r="U86" s="167">
        <v>7</v>
      </c>
      <c r="V86" s="168">
        <v>6</v>
      </c>
      <c r="W86" s="167"/>
      <c r="X86" s="168">
        <v>10.5</v>
      </c>
      <c r="Y86" s="167">
        <v>20</v>
      </c>
      <c r="Z86" s="538" t="e">
        <f t="shared" si="0"/>
        <v>#N/A</v>
      </c>
      <c r="AI86" s="771"/>
      <c r="AJ86" s="771"/>
      <c r="AK86" s="771"/>
      <c r="AL86" s="771"/>
      <c r="AM86" s="771"/>
      <c r="AN86" s="771"/>
      <c r="AO86" s="771"/>
      <c r="AP86" s="771"/>
      <c r="AQ86" s="771"/>
      <c r="AR86" s="771"/>
      <c r="AS86" s="771"/>
      <c r="AT86" s="771"/>
      <c r="AU86" s="771"/>
      <c r="AV86" s="771"/>
      <c r="AW86" s="771"/>
      <c r="AX86" s="771"/>
    </row>
    <row r="87" spans="18:50" s="8" customFormat="1" x14ac:dyDescent="0.2">
      <c r="R87" s="567">
        <v>780</v>
      </c>
      <c r="S87" s="75">
        <v>790</v>
      </c>
      <c r="T87" s="168">
        <v>4</v>
      </c>
      <c r="U87" s="167">
        <v>7</v>
      </c>
      <c r="V87" s="168">
        <v>6</v>
      </c>
      <c r="W87" s="167">
        <v>12.25</v>
      </c>
      <c r="X87" s="168">
        <v>10.75</v>
      </c>
      <c r="Y87" s="167">
        <v>20</v>
      </c>
      <c r="Z87" s="538" t="e">
        <f t="shared" si="0"/>
        <v>#N/A</v>
      </c>
      <c r="AI87" s="771"/>
      <c r="AJ87" s="771"/>
      <c r="AK87" s="771"/>
      <c r="AL87" s="771"/>
      <c r="AM87" s="771"/>
      <c r="AN87" s="771"/>
      <c r="AO87" s="771"/>
      <c r="AP87" s="771"/>
      <c r="AQ87" s="771"/>
      <c r="AR87" s="771"/>
      <c r="AS87" s="771"/>
      <c r="AT87" s="771"/>
      <c r="AU87" s="771"/>
      <c r="AV87" s="771"/>
      <c r="AW87" s="771"/>
      <c r="AX87" s="771"/>
    </row>
    <row r="88" spans="18:50" s="8" customFormat="1" x14ac:dyDescent="0.2">
      <c r="R88" s="567">
        <v>790</v>
      </c>
      <c r="S88" s="75">
        <v>785</v>
      </c>
      <c r="T88" s="168">
        <v>4</v>
      </c>
      <c r="U88" s="167">
        <v>7</v>
      </c>
      <c r="V88" s="168">
        <v>6.25</v>
      </c>
      <c r="W88" s="167">
        <v>12.5</v>
      </c>
      <c r="X88" s="168">
        <v>10.75</v>
      </c>
      <c r="Y88" s="167">
        <v>20</v>
      </c>
      <c r="Z88" s="538" t="e">
        <f t="shared" si="0"/>
        <v>#N/A</v>
      </c>
      <c r="AI88" s="771"/>
      <c r="AJ88" s="771"/>
      <c r="AK88" s="771"/>
      <c r="AL88" s="771"/>
      <c r="AM88" s="771"/>
      <c r="AN88" s="771"/>
      <c r="AO88" s="771"/>
      <c r="AP88" s="771"/>
      <c r="AQ88" s="771"/>
      <c r="AR88" s="771"/>
      <c r="AS88" s="771"/>
      <c r="AT88" s="771"/>
      <c r="AU88" s="771"/>
      <c r="AV88" s="771"/>
      <c r="AW88" s="771"/>
      <c r="AX88" s="771"/>
    </row>
    <row r="89" spans="18:50" s="8" customFormat="1" x14ac:dyDescent="0.2">
      <c r="R89" s="567">
        <v>800</v>
      </c>
      <c r="S89" s="75">
        <v>780</v>
      </c>
      <c r="T89" s="168">
        <v>4</v>
      </c>
      <c r="U89" s="167">
        <v>7</v>
      </c>
      <c r="V89" s="168">
        <v>6.25</v>
      </c>
      <c r="W89" s="167"/>
      <c r="X89" s="168">
        <v>10.75</v>
      </c>
      <c r="Y89" s="167">
        <v>20.25</v>
      </c>
      <c r="Z89" s="538" t="e">
        <f t="shared" si="0"/>
        <v>#N/A</v>
      </c>
      <c r="AI89" s="771"/>
      <c r="AJ89" s="771"/>
      <c r="AK89" s="771"/>
      <c r="AL89" s="771"/>
      <c r="AM89" s="771"/>
      <c r="AN89" s="771"/>
      <c r="AO89" s="771"/>
      <c r="AP89" s="771"/>
      <c r="AQ89" s="771"/>
      <c r="AR89" s="771"/>
      <c r="AS89" s="771"/>
      <c r="AT89" s="771"/>
      <c r="AU89" s="771"/>
      <c r="AV89" s="771"/>
      <c r="AW89" s="771"/>
      <c r="AX89" s="771"/>
    </row>
    <row r="90" spans="18:50" s="8" customFormat="1" x14ac:dyDescent="0.2">
      <c r="R90" s="567">
        <v>810</v>
      </c>
      <c r="S90" s="75">
        <v>775</v>
      </c>
      <c r="T90" s="168">
        <v>3.75</v>
      </c>
      <c r="U90" s="167">
        <v>7</v>
      </c>
      <c r="V90" s="168">
        <v>6.25</v>
      </c>
      <c r="W90" s="167"/>
      <c r="X90" s="168">
        <v>11</v>
      </c>
      <c r="Y90" s="167">
        <v>20.25</v>
      </c>
      <c r="Z90" s="538" t="e">
        <f t="shared" si="0"/>
        <v>#N/A</v>
      </c>
      <c r="AI90" s="771"/>
      <c r="AJ90" s="771"/>
      <c r="AK90" s="771"/>
      <c r="AL90" s="771"/>
      <c r="AM90" s="771"/>
      <c r="AN90" s="771"/>
      <c r="AO90" s="771"/>
      <c r="AP90" s="771"/>
      <c r="AQ90" s="771"/>
      <c r="AR90" s="771"/>
      <c r="AS90" s="771"/>
      <c r="AT90" s="771"/>
      <c r="AU90" s="771"/>
      <c r="AV90" s="771"/>
      <c r="AW90" s="771"/>
      <c r="AX90" s="771"/>
    </row>
    <row r="91" spans="18:50" s="8" customFormat="1" x14ac:dyDescent="0.2">
      <c r="R91" s="567">
        <v>820</v>
      </c>
      <c r="S91" s="75">
        <v>770</v>
      </c>
      <c r="T91" s="168">
        <v>3.75</v>
      </c>
      <c r="U91" s="167">
        <v>7</v>
      </c>
      <c r="V91" s="168">
        <v>6.25</v>
      </c>
      <c r="W91" s="167"/>
      <c r="X91" s="168">
        <v>11</v>
      </c>
      <c r="Y91" s="167">
        <v>20.25</v>
      </c>
      <c r="Z91" s="538" t="e">
        <f t="shared" si="0"/>
        <v>#N/A</v>
      </c>
      <c r="AI91" s="771"/>
      <c r="AJ91" s="771"/>
      <c r="AK91" s="771"/>
      <c r="AL91" s="771"/>
      <c r="AM91" s="771"/>
      <c r="AN91" s="771"/>
      <c r="AO91" s="771"/>
      <c r="AP91" s="771"/>
      <c r="AQ91" s="771"/>
      <c r="AR91" s="771"/>
      <c r="AS91" s="771"/>
      <c r="AT91" s="771"/>
      <c r="AU91" s="771"/>
      <c r="AV91" s="771"/>
      <c r="AW91" s="771"/>
      <c r="AX91" s="771"/>
    </row>
    <row r="92" spans="18:50" s="8" customFormat="1" x14ac:dyDescent="0.2">
      <c r="R92" s="567">
        <v>830</v>
      </c>
      <c r="S92" s="75">
        <v>765</v>
      </c>
      <c r="T92" s="168">
        <v>3.75</v>
      </c>
      <c r="U92" s="167">
        <v>7.25</v>
      </c>
      <c r="V92" s="168">
        <v>6.5</v>
      </c>
      <c r="W92" s="167">
        <v>12.5</v>
      </c>
      <c r="X92" s="168">
        <v>11</v>
      </c>
      <c r="Y92" s="167">
        <v>20.25</v>
      </c>
      <c r="Z92" s="538" t="e">
        <f t="shared" si="0"/>
        <v>#N/A</v>
      </c>
      <c r="AI92" s="771"/>
      <c r="AJ92" s="771"/>
      <c r="AK92" s="771"/>
      <c r="AL92" s="771"/>
      <c r="AM92" s="771"/>
      <c r="AN92" s="771"/>
      <c r="AO92" s="771"/>
      <c r="AP92" s="771"/>
      <c r="AQ92" s="771"/>
      <c r="AR92" s="771"/>
      <c r="AS92" s="771"/>
      <c r="AT92" s="771"/>
      <c r="AU92" s="771"/>
      <c r="AV92" s="771"/>
      <c r="AW92" s="771"/>
      <c r="AX92" s="771"/>
    </row>
    <row r="93" spans="18:50" s="8" customFormat="1" x14ac:dyDescent="0.2">
      <c r="R93" s="567">
        <v>840</v>
      </c>
      <c r="S93" s="75">
        <v>760</v>
      </c>
      <c r="T93" s="168">
        <v>3.75</v>
      </c>
      <c r="U93" s="167">
        <v>7.25</v>
      </c>
      <c r="V93" s="168">
        <v>6.5</v>
      </c>
      <c r="W93" s="167">
        <v>12.75</v>
      </c>
      <c r="X93" s="168">
        <v>11.25</v>
      </c>
      <c r="Y93" s="167">
        <v>20.25</v>
      </c>
      <c r="Z93" s="538" t="e">
        <f t="shared" si="0"/>
        <v>#N/A</v>
      </c>
      <c r="AI93" s="771"/>
      <c r="AJ93" s="771"/>
      <c r="AK93" s="771"/>
      <c r="AL93" s="771"/>
      <c r="AM93" s="771"/>
      <c r="AN93" s="771"/>
      <c r="AO93" s="771"/>
      <c r="AP93" s="771"/>
      <c r="AQ93" s="771"/>
      <c r="AR93" s="771"/>
      <c r="AS93" s="771"/>
      <c r="AT93" s="771"/>
      <c r="AU93" s="771"/>
      <c r="AV93" s="771"/>
      <c r="AW93" s="771"/>
      <c r="AX93" s="771"/>
    </row>
    <row r="94" spans="18:50" s="8" customFormat="1" x14ac:dyDescent="0.2">
      <c r="R94" s="567">
        <v>850</v>
      </c>
      <c r="S94" s="75">
        <v>755</v>
      </c>
      <c r="T94" s="168">
        <v>3.75</v>
      </c>
      <c r="U94" s="167">
        <v>7.25</v>
      </c>
      <c r="V94" s="168">
        <v>6.5</v>
      </c>
      <c r="W94" s="167"/>
      <c r="X94" s="168">
        <v>11.25</v>
      </c>
      <c r="Y94" s="167">
        <v>20.5</v>
      </c>
      <c r="Z94" s="538" t="e">
        <f t="shared" si="0"/>
        <v>#N/A</v>
      </c>
      <c r="AI94" s="771"/>
      <c r="AJ94" s="771"/>
      <c r="AK94" s="771"/>
      <c r="AL94" s="771"/>
      <c r="AM94" s="771"/>
      <c r="AN94" s="771"/>
      <c r="AO94" s="771"/>
      <c r="AP94" s="771"/>
      <c r="AQ94" s="771"/>
      <c r="AR94" s="771"/>
      <c r="AS94" s="771"/>
      <c r="AT94" s="771"/>
      <c r="AU94" s="771"/>
      <c r="AV94" s="771"/>
      <c r="AW94" s="771"/>
      <c r="AX94" s="771"/>
    </row>
    <row r="95" spans="18:50" s="8" customFormat="1" x14ac:dyDescent="0.2">
      <c r="R95" s="567">
        <v>860</v>
      </c>
      <c r="S95" s="75">
        <v>750</v>
      </c>
      <c r="T95" s="168">
        <v>3.5</v>
      </c>
      <c r="U95" s="167">
        <v>7.25</v>
      </c>
      <c r="V95" s="168">
        <v>6.5</v>
      </c>
      <c r="W95" s="167"/>
      <c r="X95" s="168">
        <v>11.5</v>
      </c>
      <c r="Y95" s="167">
        <v>20.5</v>
      </c>
      <c r="Z95" s="538" t="e">
        <f t="shared" si="0"/>
        <v>#N/A</v>
      </c>
      <c r="AI95" s="771"/>
      <c r="AJ95" s="771"/>
      <c r="AK95" s="771"/>
      <c r="AL95" s="771"/>
      <c r="AM95" s="771"/>
      <c r="AN95" s="771"/>
      <c r="AO95" s="771"/>
      <c r="AP95" s="771"/>
      <c r="AQ95" s="771"/>
      <c r="AR95" s="771"/>
      <c r="AS95" s="771"/>
      <c r="AT95" s="771"/>
      <c r="AU95" s="771"/>
      <c r="AV95" s="771"/>
      <c r="AW95" s="771"/>
      <c r="AX95" s="771"/>
    </row>
    <row r="96" spans="18:50" s="8" customFormat="1" x14ac:dyDescent="0.2">
      <c r="R96" s="567">
        <v>870</v>
      </c>
      <c r="S96" s="75">
        <v>745</v>
      </c>
      <c r="T96" s="168">
        <v>3.5</v>
      </c>
      <c r="U96" s="167">
        <v>7.25</v>
      </c>
      <c r="V96" s="168">
        <v>6.5</v>
      </c>
      <c r="W96" s="167"/>
      <c r="X96" s="168">
        <v>11.5</v>
      </c>
      <c r="Y96" s="167">
        <v>20.5</v>
      </c>
      <c r="Z96" s="538" t="e">
        <f t="shared" si="0"/>
        <v>#N/A</v>
      </c>
      <c r="AI96" s="771"/>
      <c r="AJ96" s="771"/>
      <c r="AK96" s="771"/>
      <c r="AL96" s="771"/>
      <c r="AM96" s="771"/>
      <c r="AN96" s="771"/>
      <c r="AO96" s="771"/>
      <c r="AP96" s="771"/>
      <c r="AQ96" s="771"/>
      <c r="AR96" s="771"/>
      <c r="AS96" s="771"/>
      <c r="AT96" s="771"/>
      <c r="AU96" s="771"/>
      <c r="AV96" s="771"/>
      <c r="AW96" s="771"/>
      <c r="AX96" s="771"/>
    </row>
    <row r="97" spans="1:50" s="8" customFormat="1" x14ac:dyDescent="0.2">
      <c r="R97" s="567">
        <v>880</v>
      </c>
      <c r="S97" s="75">
        <v>740</v>
      </c>
      <c r="T97" s="168">
        <v>3.5</v>
      </c>
      <c r="U97" s="167">
        <v>7.25</v>
      </c>
      <c r="V97" s="168">
        <v>6.5</v>
      </c>
      <c r="W97" s="167">
        <v>12.75</v>
      </c>
      <c r="X97" s="168">
        <v>11.75</v>
      </c>
      <c r="Y97" s="167">
        <v>20.75</v>
      </c>
      <c r="Z97" s="538" t="e">
        <f t="shared" si="0"/>
        <v>#N/A</v>
      </c>
      <c r="AI97" s="771"/>
      <c r="AJ97" s="771"/>
      <c r="AK97" s="771"/>
      <c r="AL97" s="771"/>
      <c r="AM97" s="771"/>
      <c r="AN97" s="771"/>
      <c r="AO97" s="771"/>
      <c r="AP97" s="771"/>
      <c r="AQ97" s="771"/>
      <c r="AR97" s="771"/>
      <c r="AS97" s="771"/>
      <c r="AT97" s="771"/>
      <c r="AU97" s="771"/>
      <c r="AV97" s="771"/>
      <c r="AW97" s="771"/>
      <c r="AX97" s="771"/>
    </row>
    <row r="98" spans="1:50" s="8" customFormat="1" x14ac:dyDescent="0.2">
      <c r="R98" s="567">
        <v>890</v>
      </c>
      <c r="S98" s="75">
        <v>735</v>
      </c>
      <c r="T98" s="168">
        <v>3.5</v>
      </c>
      <c r="U98" s="167">
        <v>7.5</v>
      </c>
      <c r="V98" s="168">
        <v>6.5</v>
      </c>
      <c r="W98" s="167">
        <v>13</v>
      </c>
      <c r="X98" s="168">
        <v>11.75</v>
      </c>
      <c r="Y98" s="167">
        <v>20.75</v>
      </c>
      <c r="Z98" s="538" t="e">
        <f t="shared" si="0"/>
        <v>#N/A</v>
      </c>
      <c r="AI98" s="771"/>
      <c r="AJ98" s="771"/>
      <c r="AK98" s="771"/>
      <c r="AL98" s="771"/>
      <c r="AM98" s="771"/>
      <c r="AN98" s="771"/>
      <c r="AO98" s="771"/>
      <c r="AP98" s="771"/>
      <c r="AQ98" s="771"/>
      <c r="AR98" s="771"/>
      <c r="AS98" s="771"/>
      <c r="AT98" s="771"/>
      <c r="AU98" s="771"/>
      <c r="AV98" s="771"/>
      <c r="AW98" s="771"/>
      <c r="AX98" s="771"/>
    </row>
    <row r="99" spans="1:50" s="8" customFormat="1" x14ac:dyDescent="0.2">
      <c r="R99" s="567">
        <v>900</v>
      </c>
      <c r="S99" s="75">
        <v>730</v>
      </c>
      <c r="T99" s="168">
        <v>3.5</v>
      </c>
      <c r="U99" s="167">
        <v>7.5</v>
      </c>
      <c r="V99" s="168">
        <v>6.75</v>
      </c>
      <c r="W99" s="167"/>
      <c r="X99" s="168">
        <v>11.75</v>
      </c>
      <c r="Y99" s="167">
        <v>21</v>
      </c>
      <c r="Z99" s="538" t="e">
        <f t="shared" si="0"/>
        <v>#N/A</v>
      </c>
      <c r="AI99" s="771"/>
      <c r="AJ99" s="771"/>
      <c r="AK99" s="771"/>
      <c r="AL99" s="771"/>
      <c r="AM99" s="771"/>
      <c r="AN99" s="771"/>
      <c r="AO99" s="771"/>
      <c r="AP99" s="771"/>
      <c r="AQ99" s="771"/>
      <c r="AR99" s="771"/>
      <c r="AS99" s="771"/>
      <c r="AT99" s="771"/>
      <c r="AU99" s="771"/>
      <c r="AV99" s="771"/>
      <c r="AW99" s="771"/>
      <c r="AX99" s="771"/>
    </row>
    <row r="100" spans="1:50" s="8" customFormat="1" x14ac:dyDescent="0.2">
      <c r="R100" s="567">
        <v>910</v>
      </c>
      <c r="S100" s="75">
        <v>725</v>
      </c>
      <c r="T100" s="168">
        <v>3.5</v>
      </c>
      <c r="U100" s="167">
        <v>7.5</v>
      </c>
      <c r="V100" s="168">
        <v>6.75</v>
      </c>
      <c r="W100" s="167"/>
      <c r="X100" s="168">
        <v>12</v>
      </c>
      <c r="Y100" s="167">
        <v>21</v>
      </c>
      <c r="Z100" s="538" t="e">
        <f t="shared" si="0"/>
        <v>#N/A</v>
      </c>
      <c r="AI100" s="771"/>
      <c r="AJ100" s="771"/>
      <c r="AK100" s="771"/>
      <c r="AL100" s="771"/>
      <c r="AM100" s="771"/>
      <c r="AN100" s="771"/>
      <c r="AO100" s="771"/>
      <c r="AP100" s="771"/>
      <c r="AQ100" s="771"/>
      <c r="AR100" s="771"/>
      <c r="AS100" s="771"/>
      <c r="AT100" s="771"/>
      <c r="AU100" s="771"/>
      <c r="AV100" s="771"/>
      <c r="AW100" s="771"/>
      <c r="AX100" s="771"/>
    </row>
    <row r="101" spans="1:50" s="8" customFormat="1" x14ac:dyDescent="0.2">
      <c r="R101" s="567">
        <v>920</v>
      </c>
      <c r="S101" s="75">
        <v>720</v>
      </c>
      <c r="T101" s="168">
        <v>3.5</v>
      </c>
      <c r="U101" s="167">
        <v>7.5</v>
      </c>
      <c r="V101" s="168">
        <v>6.75</v>
      </c>
      <c r="W101" s="167"/>
      <c r="X101" s="168">
        <v>12</v>
      </c>
      <c r="Y101" s="167">
        <v>21.25</v>
      </c>
      <c r="Z101" s="538" t="e">
        <f t="shared" si="0"/>
        <v>#N/A</v>
      </c>
      <c r="AI101" s="771"/>
      <c r="AJ101" s="771"/>
      <c r="AK101" s="771"/>
      <c r="AL101" s="771"/>
      <c r="AM101" s="771"/>
      <c r="AN101" s="771"/>
      <c r="AO101" s="771"/>
      <c r="AP101" s="771"/>
      <c r="AQ101" s="771"/>
      <c r="AR101" s="771"/>
      <c r="AS101" s="771"/>
      <c r="AT101" s="771"/>
      <c r="AU101" s="771"/>
      <c r="AV101" s="771"/>
      <c r="AW101" s="771"/>
      <c r="AX101" s="771"/>
    </row>
    <row r="102" spans="1:50" s="8" customFormat="1" x14ac:dyDescent="0.2">
      <c r="R102" s="567">
        <v>930</v>
      </c>
      <c r="S102" s="75">
        <v>715</v>
      </c>
      <c r="T102" s="168">
        <v>3.5</v>
      </c>
      <c r="U102" s="167">
        <v>7.5</v>
      </c>
      <c r="V102" s="168">
        <v>6.75</v>
      </c>
      <c r="W102" s="167">
        <v>13</v>
      </c>
      <c r="X102" s="168">
        <v>12</v>
      </c>
      <c r="Y102" s="167">
        <v>21.25</v>
      </c>
      <c r="Z102" s="538" t="e">
        <f t="shared" si="0"/>
        <v>#N/A</v>
      </c>
      <c r="AI102" s="771"/>
      <c r="AJ102" s="771"/>
      <c r="AK102" s="771"/>
      <c r="AL102" s="771"/>
      <c r="AM102" s="771"/>
      <c r="AN102" s="771"/>
      <c r="AO102" s="771"/>
      <c r="AP102" s="771"/>
      <c r="AQ102" s="771"/>
      <c r="AR102" s="771"/>
      <c r="AS102" s="771"/>
      <c r="AT102" s="771"/>
      <c r="AU102" s="771"/>
      <c r="AV102" s="771"/>
      <c r="AW102" s="771"/>
      <c r="AX102" s="771"/>
    </row>
    <row r="103" spans="1:50" s="8" customFormat="1" x14ac:dyDescent="0.2">
      <c r="R103" s="567">
        <v>940</v>
      </c>
      <c r="S103" s="75">
        <v>710</v>
      </c>
      <c r="T103" s="168">
        <v>3.5</v>
      </c>
      <c r="U103" s="167">
        <v>7.75</v>
      </c>
      <c r="V103" s="168">
        <v>6.75</v>
      </c>
      <c r="W103" s="167">
        <v>13.25</v>
      </c>
      <c r="X103" s="168">
        <v>12.25</v>
      </c>
      <c r="Y103" s="167">
        <v>21.25</v>
      </c>
      <c r="Z103" s="538" t="e">
        <f t="shared" si="0"/>
        <v>#N/A</v>
      </c>
      <c r="AI103" s="771"/>
      <c r="AJ103" s="771"/>
      <c r="AK103" s="771"/>
      <c r="AL103" s="771"/>
      <c r="AM103" s="771"/>
      <c r="AN103" s="771"/>
      <c r="AO103" s="771"/>
      <c r="AP103" s="771"/>
      <c r="AQ103" s="771"/>
      <c r="AR103" s="771"/>
      <c r="AS103" s="771"/>
      <c r="AT103" s="771"/>
      <c r="AU103" s="771"/>
      <c r="AV103" s="771"/>
      <c r="AW103" s="771"/>
      <c r="AX103" s="771"/>
    </row>
    <row r="104" spans="1:50" s="8" customFormat="1" x14ac:dyDescent="0.2">
      <c r="R104" s="567">
        <v>950</v>
      </c>
      <c r="S104" s="75">
        <v>705</v>
      </c>
      <c r="T104" s="168">
        <v>3.5</v>
      </c>
      <c r="U104" s="167">
        <v>7.75</v>
      </c>
      <c r="V104" s="168">
        <v>6.75</v>
      </c>
      <c r="W104" s="167"/>
      <c r="X104" s="168">
        <v>12.25</v>
      </c>
      <c r="Y104" s="167">
        <v>21.5</v>
      </c>
      <c r="Z104" s="538" t="e">
        <f t="shared" si="0"/>
        <v>#N/A</v>
      </c>
      <c r="AI104" s="771"/>
      <c r="AJ104" s="771"/>
      <c r="AK104" s="771"/>
      <c r="AL104" s="771"/>
      <c r="AM104" s="771"/>
      <c r="AN104" s="771"/>
      <c r="AO104" s="771"/>
      <c r="AP104" s="771"/>
      <c r="AQ104" s="771"/>
      <c r="AR104" s="771"/>
      <c r="AS104" s="771"/>
      <c r="AT104" s="771"/>
      <c r="AU104" s="771"/>
      <c r="AV104" s="771"/>
      <c r="AW104" s="771"/>
      <c r="AX104" s="771"/>
    </row>
    <row r="105" spans="1:50" s="8" customFormat="1" x14ac:dyDescent="0.2">
      <c r="R105" s="567">
        <v>960</v>
      </c>
      <c r="S105" s="75">
        <v>700</v>
      </c>
      <c r="T105" s="168">
        <v>3.5</v>
      </c>
      <c r="U105" s="167">
        <v>7.75</v>
      </c>
      <c r="V105" s="168">
        <v>6.75</v>
      </c>
      <c r="W105" s="167"/>
      <c r="X105" s="168">
        <v>12.5</v>
      </c>
      <c r="Y105" s="167">
        <v>21.5</v>
      </c>
      <c r="Z105" s="538" t="e">
        <f t="shared" si="0"/>
        <v>#N/A</v>
      </c>
      <c r="AI105" s="771"/>
      <c r="AJ105" s="771"/>
      <c r="AK105" s="771"/>
      <c r="AL105" s="771"/>
      <c r="AM105" s="771"/>
      <c r="AN105" s="771"/>
      <c r="AO105" s="771"/>
      <c r="AP105" s="771"/>
      <c r="AQ105" s="771"/>
      <c r="AR105" s="771"/>
      <c r="AS105" s="771"/>
      <c r="AT105" s="771"/>
      <c r="AU105" s="771"/>
      <c r="AV105" s="771"/>
      <c r="AW105" s="771"/>
      <c r="AX105" s="771"/>
    </row>
    <row r="106" spans="1:50" s="8" customFormat="1" x14ac:dyDescent="0.2">
      <c r="R106" s="567">
        <v>970</v>
      </c>
      <c r="S106" s="75">
        <v>695</v>
      </c>
      <c r="T106" s="168">
        <v>3.5</v>
      </c>
      <c r="U106" s="167">
        <v>7.75</v>
      </c>
      <c r="V106" s="168">
        <v>6.75</v>
      </c>
      <c r="W106" s="167"/>
      <c r="X106" s="168">
        <v>12.5</v>
      </c>
      <c r="Y106" s="167">
        <v>21.5</v>
      </c>
      <c r="Z106" s="538" t="e">
        <f t="shared" si="0"/>
        <v>#N/A</v>
      </c>
      <c r="AI106" s="771"/>
      <c r="AJ106" s="771"/>
      <c r="AK106" s="771"/>
      <c r="AL106" s="771"/>
      <c r="AM106" s="771"/>
      <c r="AN106" s="771"/>
      <c r="AO106" s="771"/>
      <c r="AP106" s="771"/>
      <c r="AQ106" s="771"/>
      <c r="AR106" s="771"/>
      <c r="AS106" s="771"/>
      <c r="AT106" s="771"/>
      <c r="AU106" s="771"/>
      <c r="AV106" s="771"/>
      <c r="AW106" s="771"/>
      <c r="AX106" s="771"/>
    </row>
    <row r="107" spans="1:50" x14ac:dyDescent="0.2">
      <c r="A107" s="814"/>
      <c r="R107" s="567">
        <v>980</v>
      </c>
      <c r="S107" s="75">
        <v>690</v>
      </c>
      <c r="T107" s="168">
        <v>3.5</v>
      </c>
      <c r="U107" s="167">
        <v>7.75</v>
      </c>
      <c r="V107" s="168">
        <v>6.75</v>
      </c>
      <c r="W107" s="167"/>
      <c r="X107" s="168">
        <v>12.75</v>
      </c>
      <c r="Y107" s="167">
        <v>21.5</v>
      </c>
      <c r="Z107" s="538" t="e">
        <f t="shared" si="0"/>
        <v>#N/A</v>
      </c>
      <c r="AF107" s="8"/>
      <c r="AI107" s="771"/>
      <c r="AJ107" s="771"/>
      <c r="AK107" s="771"/>
      <c r="AL107" s="771"/>
      <c r="AM107" s="771"/>
      <c r="AN107" s="771"/>
      <c r="AO107" s="771"/>
      <c r="AP107" s="771"/>
      <c r="AQ107" s="771"/>
      <c r="AR107" s="771"/>
      <c r="AS107" s="771"/>
      <c r="AT107" s="771"/>
      <c r="AU107" s="771"/>
      <c r="AV107" s="771"/>
      <c r="AW107" s="771"/>
      <c r="AX107" s="771"/>
    </row>
    <row r="108" spans="1:50" x14ac:dyDescent="0.2">
      <c r="A108" s="814"/>
      <c r="R108" s="567">
        <v>990</v>
      </c>
      <c r="S108" s="75">
        <v>685</v>
      </c>
      <c r="T108" s="168">
        <v>3.5</v>
      </c>
      <c r="U108" s="167">
        <v>8</v>
      </c>
      <c r="V108" s="168">
        <v>7</v>
      </c>
      <c r="W108" s="167">
        <v>13.25</v>
      </c>
      <c r="X108" s="168">
        <v>12.75</v>
      </c>
      <c r="Y108" s="167">
        <v>21.5</v>
      </c>
      <c r="Z108" s="538" t="e">
        <f t="shared" si="0"/>
        <v>#N/A</v>
      </c>
      <c r="AF108" s="8"/>
      <c r="AI108" s="771"/>
      <c r="AJ108" s="771"/>
      <c r="AK108" s="771"/>
      <c r="AL108" s="771"/>
      <c r="AM108" s="771"/>
      <c r="AN108" s="771"/>
      <c r="AO108" s="771"/>
      <c r="AP108" s="771"/>
      <c r="AQ108" s="771"/>
      <c r="AR108" s="771"/>
      <c r="AS108" s="771"/>
      <c r="AT108" s="771"/>
      <c r="AU108" s="771"/>
      <c r="AV108" s="771"/>
      <c r="AW108" s="771"/>
      <c r="AX108" s="771"/>
    </row>
    <row r="109" spans="1:50" x14ac:dyDescent="0.2">
      <c r="A109" s="814"/>
      <c r="R109" s="567">
        <v>1000</v>
      </c>
      <c r="S109" s="75">
        <v>680</v>
      </c>
      <c r="T109" s="168">
        <v>3.5</v>
      </c>
      <c r="U109" s="167">
        <v>8</v>
      </c>
      <c r="V109" s="168">
        <v>7</v>
      </c>
      <c r="W109" s="167">
        <v>13.5</v>
      </c>
      <c r="X109" s="168">
        <v>13</v>
      </c>
      <c r="Y109" s="167">
        <v>21.5</v>
      </c>
      <c r="Z109" s="538" t="e">
        <f t="shared" si="0"/>
        <v>#N/A</v>
      </c>
      <c r="AF109" s="8"/>
      <c r="AI109" s="771"/>
      <c r="AJ109" s="771"/>
      <c r="AK109" s="771"/>
      <c r="AL109" s="771"/>
      <c r="AM109" s="771"/>
      <c r="AN109" s="771"/>
      <c r="AO109" s="771"/>
      <c r="AP109" s="771"/>
      <c r="AQ109" s="771"/>
      <c r="AR109" s="771"/>
      <c r="AS109" s="771"/>
      <c r="AT109" s="771"/>
      <c r="AU109" s="771"/>
      <c r="AV109" s="771"/>
      <c r="AW109" s="771"/>
      <c r="AX109" s="771"/>
    </row>
    <row r="110" spans="1:50" x14ac:dyDescent="0.2">
      <c r="A110" s="814"/>
      <c r="R110" s="567">
        <v>1010</v>
      </c>
      <c r="S110" s="75">
        <v>676</v>
      </c>
      <c r="T110" s="540">
        <v>3.5</v>
      </c>
      <c r="U110" s="171">
        <v>8</v>
      </c>
      <c r="V110" s="540">
        <v>7</v>
      </c>
      <c r="W110" s="171">
        <v>13.5</v>
      </c>
      <c r="X110" s="540">
        <v>13</v>
      </c>
      <c r="Y110" s="171">
        <v>21.5</v>
      </c>
      <c r="Z110" s="538" t="e">
        <f t="shared" si="0"/>
        <v>#N/A</v>
      </c>
      <c r="AF110" s="8"/>
      <c r="AI110" s="771"/>
      <c r="AJ110" s="771"/>
      <c r="AK110" s="771"/>
      <c r="AL110" s="771"/>
      <c r="AM110" s="771"/>
      <c r="AN110" s="771"/>
      <c r="AO110" s="771"/>
      <c r="AP110" s="771"/>
      <c r="AQ110" s="771"/>
      <c r="AR110" s="771"/>
      <c r="AS110" s="771"/>
      <c r="AT110" s="771"/>
      <c r="AU110" s="771"/>
      <c r="AV110" s="771"/>
      <c r="AW110" s="771"/>
      <c r="AX110" s="771"/>
    </row>
    <row r="111" spans="1:50" x14ac:dyDescent="0.2">
      <c r="A111" s="814"/>
      <c r="R111" s="567">
        <v>1020</v>
      </c>
      <c r="S111" s="88"/>
      <c r="T111" s="88" t="s">
        <v>1335</v>
      </c>
      <c r="U111" s="88" t="s">
        <v>1335</v>
      </c>
      <c r="V111" s="88" t="s">
        <v>1345</v>
      </c>
      <c r="W111" s="88" t="s">
        <v>1345</v>
      </c>
      <c r="X111" s="88" t="s">
        <v>1346</v>
      </c>
      <c r="Y111" s="88" t="s">
        <v>1346</v>
      </c>
      <c r="Z111" s="541"/>
      <c r="AF111" s="8"/>
      <c r="AI111" s="771"/>
      <c r="AJ111" s="771"/>
      <c r="AK111" s="771"/>
      <c r="AL111" s="771"/>
      <c r="AM111" s="771"/>
      <c r="AN111" s="771"/>
      <c r="AO111" s="771"/>
      <c r="AP111" s="771"/>
      <c r="AQ111" s="771"/>
      <c r="AR111" s="771"/>
      <c r="AS111" s="771"/>
      <c r="AT111" s="771"/>
      <c r="AU111" s="771"/>
      <c r="AV111" s="771"/>
      <c r="AW111" s="771"/>
      <c r="AX111" s="771"/>
    </row>
    <row r="112" spans="1:50" x14ac:dyDescent="0.2">
      <c r="A112" s="814"/>
      <c r="R112" s="567">
        <v>1030</v>
      </c>
      <c r="S112" s="75">
        <v>675</v>
      </c>
      <c r="T112" s="539">
        <v>3</v>
      </c>
      <c r="U112" s="166">
        <v>5.25</v>
      </c>
      <c r="V112" s="539">
        <v>5</v>
      </c>
      <c r="W112" s="166">
        <v>11</v>
      </c>
      <c r="X112" s="539">
        <v>9.75</v>
      </c>
      <c r="Y112" s="166">
        <v>19</v>
      </c>
      <c r="Z112" s="538" t="e">
        <f t="shared" ref="Z112:Z142" si="1">IF($I$10&lt;V112,$U$111,IF($I$10&lt;X112,$W$111,$Y$111))</f>
        <v>#N/A</v>
      </c>
      <c r="AF112" s="8"/>
      <c r="AI112" s="771"/>
      <c r="AJ112" s="771"/>
      <c r="AK112" s="771"/>
      <c r="AL112" s="771"/>
      <c r="AM112" s="771"/>
      <c r="AN112" s="771"/>
      <c r="AO112" s="771"/>
      <c r="AP112" s="771"/>
      <c r="AQ112" s="771"/>
      <c r="AR112" s="771"/>
      <c r="AS112" s="771"/>
      <c r="AT112" s="771"/>
      <c r="AU112" s="771"/>
      <c r="AV112" s="771"/>
      <c r="AW112" s="771"/>
      <c r="AX112" s="771"/>
    </row>
    <row r="113" spans="1:50" ht="13.5" thickBot="1" x14ac:dyDescent="0.25">
      <c r="A113" s="814"/>
      <c r="R113" s="568">
        <v>1040</v>
      </c>
      <c r="S113" s="75">
        <v>670</v>
      </c>
      <c r="T113" s="168">
        <v>3</v>
      </c>
      <c r="U113" s="167">
        <v>5.25</v>
      </c>
      <c r="V113" s="168">
        <v>5</v>
      </c>
      <c r="W113" s="167">
        <v>11</v>
      </c>
      <c r="X113" s="168">
        <v>9.75</v>
      </c>
      <c r="Y113" s="167">
        <v>19</v>
      </c>
      <c r="Z113" s="538" t="e">
        <f t="shared" si="1"/>
        <v>#N/A</v>
      </c>
      <c r="AF113" s="8"/>
      <c r="AI113" s="771"/>
      <c r="AJ113" s="771"/>
      <c r="AK113" s="771"/>
      <c r="AL113" s="771"/>
      <c r="AM113" s="771"/>
      <c r="AN113" s="771"/>
      <c r="AO113" s="771"/>
      <c r="AP113" s="771"/>
      <c r="AQ113" s="771"/>
      <c r="AR113" s="771"/>
      <c r="AS113" s="771"/>
      <c r="AT113" s="771"/>
      <c r="AU113" s="771"/>
      <c r="AV113" s="771"/>
      <c r="AW113" s="771"/>
      <c r="AX113" s="771"/>
    </row>
    <row r="114" spans="1:50" x14ac:dyDescent="0.2">
      <c r="A114" s="814"/>
      <c r="S114" s="440">
        <v>665</v>
      </c>
      <c r="T114" s="168">
        <v>3</v>
      </c>
      <c r="U114" s="167">
        <v>5.25</v>
      </c>
      <c r="V114" s="168">
        <v>5</v>
      </c>
      <c r="W114" s="167">
        <v>11</v>
      </c>
      <c r="X114" s="168">
        <v>9.75</v>
      </c>
      <c r="Y114" s="167">
        <v>19</v>
      </c>
      <c r="Z114" s="538" t="e">
        <f t="shared" si="1"/>
        <v>#N/A</v>
      </c>
      <c r="AF114" s="8"/>
      <c r="AI114" s="771"/>
      <c r="AJ114" s="771"/>
      <c r="AK114" s="771"/>
      <c r="AL114" s="771"/>
      <c r="AM114" s="771"/>
      <c r="AN114" s="771"/>
      <c r="AO114" s="771"/>
      <c r="AP114" s="771"/>
      <c r="AQ114" s="771"/>
      <c r="AR114" s="771"/>
      <c r="AS114" s="771"/>
      <c r="AT114" s="771"/>
      <c r="AU114" s="771"/>
      <c r="AV114" s="771"/>
      <c r="AW114" s="771"/>
      <c r="AX114" s="771"/>
    </row>
    <row r="115" spans="1:50" x14ac:dyDescent="0.2">
      <c r="A115" s="814"/>
      <c r="S115" s="440">
        <v>660</v>
      </c>
      <c r="T115" s="168">
        <v>3</v>
      </c>
      <c r="U115" s="167">
        <v>5.5</v>
      </c>
      <c r="V115" s="168">
        <v>5.25</v>
      </c>
      <c r="W115" s="167">
        <v>11.25</v>
      </c>
      <c r="X115" s="168">
        <v>10</v>
      </c>
      <c r="Y115" s="167">
        <v>19</v>
      </c>
      <c r="Z115" s="538" t="e">
        <f t="shared" si="1"/>
        <v>#N/A</v>
      </c>
      <c r="AF115" s="8"/>
      <c r="AI115" s="771"/>
      <c r="AJ115" s="771"/>
      <c r="AK115" s="771"/>
      <c r="AL115" s="771"/>
      <c r="AM115" s="771"/>
      <c r="AN115" s="771"/>
      <c r="AO115" s="771"/>
      <c r="AP115" s="771"/>
      <c r="AQ115" s="771"/>
      <c r="AR115" s="771"/>
      <c r="AS115" s="771"/>
      <c r="AT115" s="771"/>
      <c r="AU115" s="771"/>
      <c r="AV115" s="771"/>
      <c r="AW115" s="771"/>
      <c r="AX115" s="771"/>
    </row>
    <row r="116" spans="1:50" x14ac:dyDescent="0.2">
      <c r="A116" s="814"/>
      <c r="S116" s="440">
        <v>655</v>
      </c>
      <c r="T116" s="168">
        <v>3</v>
      </c>
      <c r="U116" s="167">
        <v>5.5</v>
      </c>
      <c r="V116" s="168">
        <v>5.25</v>
      </c>
      <c r="W116" s="167">
        <v>11.25</v>
      </c>
      <c r="X116" s="168">
        <v>10</v>
      </c>
      <c r="Y116" s="167">
        <v>19</v>
      </c>
      <c r="Z116" s="538" t="e">
        <f t="shared" si="1"/>
        <v>#N/A</v>
      </c>
      <c r="AF116" s="8"/>
      <c r="AI116" s="771"/>
      <c r="AJ116" s="771"/>
      <c r="AK116" s="771"/>
      <c r="AL116" s="771"/>
      <c r="AM116" s="771"/>
      <c r="AN116" s="771"/>
      <c r="AO116" s="771"/>
      <c r="AP116" s="771"/>
      <c r="AQ116" s="771"/>
      <c r="AR116" s="771"/>
      <c r="AS116" s="771"/>
      <c r="AT116" s="771"/>
      <c r="AU116" s="771"/>
      <c r="AV116" s="771"/>
      <c r="AW116" s="771"/>
      <c r="AX116" s="771"/>
    </row>
    <row r="117" spans="1:50" x14ac:dyDescent="0.2">
      <c r="A117" s="814"/>
      <c r="S117" s="440">
        <v>650</v>
      </c>
      <c r="T117" s="168">
        <v>3</v>
      </c>
      <c r="U117" s="167">
        <v>5.5</v>
      </c>
      <c r="V117" s="168">
        <v>5.25</v>
      </c>
      <c r="W117" s="167">
        <v>11.25</v>
      </c>
      <c r="X117" s="168">
        <v>10</v>
      </c>
      <c r="Y117" s="167">
        <v>19</v>
      </c>
      <c r="Z117" s="538" t="e">
        <f t="shared" si="1"/>
        <v>#N/A</v>
      </c>
      <c r="AF117" s="8"/>
      <c r="AI117" s="771"/>
      <c r="AJ117" s="771"/>
      <c r="AK117" s="771"/>
      <c r="AL117" s="771"/>
      <c r="AM117" s="771"/>
      <c r="AN117" s="771"/>
      <c r="AO117" s="771"/>
      <c r="AP117" s="771"/>
      <c r="AQ117" s="771"/>
      <c r="AR117" s="771"/>
      <c r="AS117" s="771"/>
      <c r="AT117" s="771"/>
      <c r="AU117" s="771"/>
      <c r="AV117" s="771"/>
      <c r="AW117" s="771"/>
      <c r="AX117" s="771"/>
    </row>
    <row r="118" spans="1:50" x14ac:dyDescent="0.2">
      <c r="A118" s="814"/>
      <c r="S118" s="440">
        <v>645</v>
      </c>
      <c r="T118" s="168">
        <v>3</v>
      </c>
      <c r="U118" s="167">
        <v>5.5</v>
      </c>
      <c r="V118" s="168">
        <v>5.25</v>
      </c>
      <c r="W118" s="167">
        <v>11.25</v>
      </c>
      <c r="X118" s="168">
        <v>10</v>
      </c>
      <c r="Y118" s="167">
        <v>18.75</v>
      </c>
      <c r="Z118" s="538" t="e">
        <f t="shared" si="1"/>
        <v>#N/A</v>
      </c>
      <c r="AF118" s="8"/>
      <c r="AI118" s="771"/>
      <c r="AJ118" s="771"/>
      <c r="AK118" s="771"/>
      <c r="AL118" s="771"/>
      <c r="AM118" s="771"/>
      <c r="AN118" s="771"/>
      <c r="AO118" s="771"/>
      <c r="AP118" s="771"/>
      <c r="AQ118" s="771"/>
      <c r="AR118" s="771"/>
      <c r="AS118" s="771"/>
      <c r="AT118" s="771"/>
      <c r="AU118" s="771"/>
      <c r="AV118" s="771"/>
      <c r="AW118" s="771"/>
      <c r="AX118" s="771"/>
    </row>
    <row r="119" spans="1:50" x14ac:dyDescent="0.2">
      <c r="A119" s="814"/>
      <c r="S119" s="440">
        <v>640</v>
      </c>
      <c r="T119" s="168">
        <v>3</v>
      </c>
      <c r="U119" s="167">
        <v>5.5</v>
      </c>
      <c r="V119" s="168">
        <v>5.25</v>
      </c>
      <c r="W119" s="167">
        <v>11.25</v>
      </c>
      <c r="X119" s="168">
        <v>10</v>
      </c>
      <c r="Y119" s="167">
        <v>18.75</v>
      </c>
      <c r="Z119" s="538" t="e">
        <f t="shared" si="1"/>
        <v>#N/A</v>
      </c>
      <c r="AF119" s="8"/>
      <c r="AI119" s="771"/>
      <c r="AJ119" s="771"/>
      <c r="AK119" s="771"/>
      <c r="AL119" s="771"/>
      <c r="AM119" s="771"/>
      <c r="AN119" s="771"/>
      <c r="AO119" s="771"/>
      <c r="AP119" s="771"/>
      <c r="AQ119" s="771"/>
      <c r="AR119" s="771"/>
      <c r="AS119" s="771"/>
      <c r="AT119" s="771"/>
      <c r="AU119" s="771"/>
      <c r="AV119" s="771"/>
      <c r="AW119" s="771"/>
      <c r="AX119" s="771"/>
    </row>
    <row r="120" spans="1:50" x14ac:dyDescent="0.2">
      <c r="A120" s="814"/>
      <c r="S120" s="440">
        <v>635</v>
      </c>
      <c r="T120" s="168">
        <v>3</v>
      </c>
      <c r="U120" s="167">
        <v>5.5</v>
      </c>
      <c r="V120" s="168">
        <v>5.25</v>
      </c>
      <c r="W120" s="167">
        <v>11.5</v>
      </c>
      <c r="X120" s="168">
        <v>10.25</v>
      </c>
      <c r="Y120" s="167">
        <v>18.75</v>
      </c>
      <c r="Z120" s="538" t="e">
        <f t="shared" si="1"/>
        <v>#N/A</v>
      </c>
      <c r="AF120" s="8"/>
      <c r="AI120" s="771"/>
      <c r="AJ120" s="771"/>
      <c r="AK120" s="771"/>
      <c r="AL120" s="771"/>
      <c r="AM120" s="771"/>
      <c r="AN120" s="771"/>
      <c r="AO120" s="771"/>
      <c r="AP120" s="771"/>
      <c r="AQ120" s="771"/>
      <c r="AR120" s="771"/>
      <c r="AS120" s="771"/>
      <c r="AT120" s="771"/>
      <c r="AU120" s="771"/>
      <c r="AV120" s="771"/>
      <c r="AW120" s="771"/>
      <c r="AX120" s="771"/>
    </row>
    <row r="121" spans="1:50" x14ac:dyDescent="0.2">
      <c r="A121" s="814"/>
      <c r="S121" s="440">
        <v>630</v>
      </c>
      <c r="T121" s="168">
        <v>3</v>
      </c>
      <c r="U121" s="167">
        <v>5.75</v>
      </c>
      <c r="V121" s="168">
        <v>5.5</v>
      </c>
      <c r="W121" s="167">
        <v>11.5</v>
      </c>
      <c r="X121" s="168">
        <v>10.25</v>
      </c>
      <c r="Y121" s="167">
        <v>18.75</v>
      </c>
      <c r="Z121" s="538" t="e">
        <f t="shared" si="1"/>
        <v>#N/A</v>
      </c>
      <c r="AF121" s="8"/>
      <c r="AI121" s="771"/>
      <c r="AJ121" s="771"/>
      <c r="AK121" s="771"/>
      <c r="AL121" s="771"/>
      <c r="AM121" s="771"/>
      <c r="AN121" s="771"/>
      <c r="AO121" s="771"/>
      <c r="AP121" s="771"/>
      <c r="AQ121" s="771"/>
      <c r="AR121" s="771"/>
      <c r="AS121" s="771"/>
      <c r="AT121" s="771"/>
      <c r="AU121" s="771"/>
      <c r="AV121" s="771"/>
      <c r="AW121" s="771"/>
      <c r="AX121" s="771"/>
    </row>
    <row r="122" spans="1:50" x14ac:dyDescent="0.2">
      <c r="A122" s="814"/>
      <c r="S122" s="440">
        <v>625</v>
      </c>
      <c r="T122" s="168">
        <v>3</v>
      </c>
      <c r="U122" s="167">
        <v>5.75</v>
      </c>
      <c r="V122" s="168">
        <v>5.5</v>
      </c>
      <c r="W122" s="167">
        <v>11.5</v>
      </c>
      <c r="X122" s="168">
        <v>10.25</v>
      </c>
      <c r="Y122" s="167">
        <v>18.75</v>
      </c>
      <c r="Z122" s="538" t="e">
        <f t="shared" si="1"/>
        <v>#N/A</v>
      </c>
      <c r="AF122" s="8"/>
      <c r="AI122" s="771"/>
      <c r="AJ122" s="771"/>
      <c r="AK122" s="771"/>
      <c r="AL122" s="771"/>
      <c r="AM122" s="771"/>
      <c r="AN122" s="771"/>
      <c r="AO122" s="771"/>
      <c r="AP122" s="771"/>
      <c r="AQ122" s="771"/>
      <c r="AR122" s="771"/>
      <c r="AS122" s="771"/>
      <c r="AT122" s="771"/>
      <c r="AU122" s="771"/>
      <c r="AV122" s="771"/>
      <c r="AW122" s="771"/>
      <c r="AX122" s="771"/>
    </row>
    <row r="123" spans="1:50" x14ac:dyDescent="0.2">
      <c r="A123" s="814"/>
      <c r="S123" s="440">
        <v>620</v>
      </c>
      <c r="T123" s="168">
        <v>3</v>
      </c>
      <c r="U123" s="167">
        <v>5.75</v>
      </c>
      <c r="V123" s="168">
        <v>5.5</v>
      </c>
      <c r="W123" s="167">
        <v>11.5</v>
      </c>
      <c r="X123" s="168">
        <v>10.25</v>
      </c>
      <c r="Y123" s="167">
        <v>18.75</v>
      </c>
      <c r="Z123" s="538" t="e">
        <f t="shared" si="1"/>
        <v>#N/A</v>
      </c>
      <c r="AF123" s="8"/>
      <c r="AI123" s="771"/>
      <c r="AJ123" s="771"/>
      <c r="AK123" s="771"/>
      <c r="AL123" s="771"/>
      <c r="AM123" s="771"/>
      <c r="AN123" s="771"/>
      <c r="AO123" s="771"/>
      <c r="AP123" s="771"/>
      <c r="AQ123" s="771"/>
      <c r="AR123" s="771"/>
      <c r="AS123" s="771"/>
      <c r="AT123" s="771"/>
      <c r="AU123" s="771"/>
      <c r="AV123" s="771"/>
      <c r="AW123" s="771"/>
      <c r="AX123" s="771"/>
    </row>
    <row r="124" spans="1:50" x14ac:dyDescent="0.2">
      <c r="A124" s="814"/>
      <c r="S124" s="440">
        <v>615</v>
      </c>
      <c r="T124" s="168">
        <v>3</v>
      </c>
      <c r="U124" s="167">
        <v>5.75</v>
      </c>
      <c r="V124" s="168">
        <v>5.5</v>
      </c>
      <c r="W124" s="167">
        <v>11.5</v>
      </c>
      <c r="X124" s="168">
        <v>10.25</v>
      </c>
      <c r="Y124" s="167">
        <v>18.75</v>
      </c>
      <c r="Z124" s="538" t="e">
        <f t="shared" si="1"/>
        <v>#N/A</v>
      </c>
      <c r="AF124" s="8"/>
      <c r="AI124" s="771"/>
      <c r="AJ124" s="771"/>
      <c r="AK124" s="771"/>
      <c r="AL124" s="771"/>
      <c r="AM124" s="771"/>
      <c r="AN124" s="771"/>
      <c r="AO124" s="771"/>
      <c r="AP124" s="771"/>
      <c r="AQ124" s="771"/>
      <c r="AR124" s="771"/>
      <c r="AS124" s="771"/>
      <c r="AT124" s="771"/>
      <c r="AU124" s="771"/>
      <c r="AV124" s="771"/>
      <c r="AW124" s="771"/>
      <c r="AX124" s="771"/>
    </row>
    <row r="125" spans="1:50" x14ac:dyDescent="0.2">
      <c r="A125" s="814"/>
      <c r="S125" s="440">
        <v>610</v>
      </c>
      <c r="T125" s="168">
        <v>3</v>
      </c>
      <c r="U125" s="167">
        <v>6</v>
      </c>
      <c r="V125" s="168">
        <v>5.5</v>
      </c>
      <c r="W125" s="167">
        <v>11.75</v>
      </c>
      <c r="X125" s="168">
        <v>10.5</v>
      </c>
      <c r="Y125" s="167">
        <v>18.5</v>
      </c>
      <c r="Z125" s="538" t="e">
        <f t="shared" si="1"/>
        <v>#N/A</v>
      </c>
      <c r="AF125" s="8"/>
      <c r="AI125" s="771"/>
      <c r="AJ125" s="771"/>
      <c r="AK125" s="771"/>
      <c r="AL125" s="771"/>
      <c r="AM125" s="771"/>
      <c r="AN125" s="771"/>
      <c r="AO125" s="771"/>
      <c r="AP125" s="771"/>
      <c r="AQ125" s="771"/>
      <c r="AR125" s="771"/>
      <c r="AS125" s="771"/>
      <c r="AT125" s="771"/>
      <c r="AU125" s="771"/>
      <c r="AV125" s="771"/>
      <c r="AW125" s="771"/>
      <c r="AX125" s="771"/>
    </row>
    <row r="126" spans="1:50" x14ac:dyDescent="0.2">
      <c r="A126" s="814"/>
      <c r="S126" s="440">
        <v>605</v>
      </c>
      <c r="T126" s="168">
        <v>3</v>
      </c>
      <c r="U126" s="167">
        <v>6</v>
      </c>
      <c r="V126" s="168">
        <v>5.5</v>
      </c>
      <c r="W126" s="167">
        <v>11.75</v>
      </c>
      <c r="X126" s="168">
        <v>10.5</v>
      </c>
      <c r="Y126" s="167">
        <v>18.5</v>
      </c>
      <c r="Z126" s="538" t="e">
        <f t="shared" si="1"/>
        <v>#N/A</v>
      </c>
      <c r="AF126" s="8"/>
      <c r="AI126" s="771"/>
      <c r="AJ126" s="771"/>
      <c r="AK126" s="771"/>
      <c r="AL126" s="771"/>
      <c r="AM126" s="771"/>
      <c r="AN126" s="771"/>
      <c r="AO126" s="771"/>
      <c r="AP126" s="771"/>
      <c r="AQ126" s="771"/>
      <c r="AR126" s="771"/>
      <c r="AS126" s="771"/>
      <c r="AT126" s="771"/>
      <c r="AU126" s="771"/>
      <c r="AV126" s="771"/>
      <c r="AW126" s="771"/>
      <c r="AX126" s="771"/>
    </row>
    <row r="127" spans="1:50" x14ac:dyDescent="0.2">
      <c r="A127" s="814"/>
      <c r="S127" s="440">
        <v>600</v>
      </c>
      <c r="T127" s="168">
        <v>3</v>
      </c>
      <c r="U127" s="167">
        <v>6</v>
      </c>
      <c r="V127" s="168">
        <v>5.5</v>
      </c>
      <c r="W127" s="167">
        <v>11.75</v>
      </c>
      <c r="X127" s="168">
        <v>10.5</v>
      </c>
      <c r="Y127" s="167">
        <v>18.5</v>
      </c>
      <c r="Z127" s="538" t="e">
        <f t="shared" si="1"/>
        <v>#N/A</v>
      </c>
      <c r="AF127" s="8"/>
      <c r="AI127" s="771"/>
      <c r="AJ127" s="771"/>
      <c r="AK127" s="771"/>
      <c r="AL127" s="771"/>
      <c r="AM127" s="771"/>
      <c r="AN127" s="771"/>
      <c r="AO127" s="771"/>
      <c r="AP127" s="771"/>
      <c r="AQ127" s="771"/>
      <c r="AR127" s="771"/>
      <c r="AS127" s="771"/>
      <c r="AT127" s="771"/>
      <c r="AU127" s="771"/>
      <c r="AV127" s="771"/>
      <c r="AW127" s="771"/>
      <c r="AX127" s="771"/>
    </row>
    <row r="128" spans="1:50" x14ac:dyDescent="0.2">
      <c r="A128" s="814"/>
      <c r="S128" s="440">
        <v>595</v>
      </c>
      <c r="T128" s="168">
        <v>3</v>
      </c>
      <c r="U128" s="167">
        <v>6</v>
      </c>
      <c r="V128" s="168">
        <v>5.5</v>
      </c>
      <c r="W128" s="167">
        <v>11.75</v>
      </c>
      <c r="X128" s="168">
        <v>10.5</v>
      </c>
      <c r="Y128" s="167">
        <v>18.5</v>
      </c>
      <c r="Z128" s="538" t="e">
        <f t="shared" si="1"/>
        <v>#N/A</v>
      </c>
      <c r="AF128" s="8"/>
      <c r="AI128" s="771"/>
      <c r="AJ128" s="771"/>
      <c r="AK128" s="771"/>
      <c r="AL128" s="771"/>
      <c r="AM128" s="771"/>
      <c r="AN128" s="771"/>
      <c r="AO128" s="771"/>
      <c r="AP128" s="771"/>
      <c r="AQ128" s="771"/>
      <c r="AR128" s="771"/>
      <c r="AS128" s="771"/>
      <c r="AT128" s="771"/>
      <c r="AU128" s="771"/>
      <c r="AV128" s="771"/>
      <c r="AW128" s="771"/>
      <c r="AX128" s="771"/>
    </row>
    <row r="129" spans="1:50" x14ac:dyDescent="0.2">
      <c r="A129" s="814"/>
      <c r="S129" s="440">
        <v>590</v>
      </c>
      <c r="T129" s="168">
        <v>3</v>
      </c>
      <c r="U129" s="167">
        <v>6</v>
      </c>
      <c r="V129" s="168">
        <v>5.5</v>
      </c>
      <c r="W129" s="167">
        <v>12</v>
      </c>
      <c r="X129" s="168">
        <v>10.75</v>
      </c>
      <c r="Y129" s="167">
        <v>18.25</v>
      </c>
      <c r="Z129" s="538" t="e">
        <f t="shared" si="1"/>
        <v>#N/A</v>
      </c>
      <c r="AF129" s="8"/>
      <c r="AI129" s="771"/>
      <c r="AJ129" s="771"/>
      <c r="AK129" s="771"/>
      <c r="AL129" s="771"/>
      <c r="AM129" s="771"/>
      <c r="AN129" s="771"/>
      <c r="AO129" s="771"/>
      <c r="AP129" s="771"/>
      <c r="AQ129" s="771"/>
      <c r="AR129" s="771"/>
      <c r="AS129" s="771"/>
      <c r="AT129" s="771"/>
      <c r="AU129" s="771"/>
      <c r="AV129" s="771"/>
      <c r="AW129" s="771"/>
      <c r="AX129" s="771"/>
    </row>
    <row r="130" spans="1:50" x14ac:dyDescent="0.2">
      <c r="A130" s="814"/>
      <c r="S130" s="440">
        <v>585</v>
      </c>
      <c r="T130" s="168">
        <v>3</v>
      </c>
      <c r="U130" s="167">
        <v>6.25</v>
      </c>
      <c r="V130" s="168">
        <v>5.75</v>
      </c>
      <c r="W130" s="167">
        <v>12</v>
      </c>
      <c r="X130" s="168">
        <v>10.75</v>
      </c>
      <c r="Y130" s="167">
        <v>18.25</v>
      </c>
      <c r="Z130" s="538" t="e">
        <f t="shared" si="1"/>
        <v>#N/A</v>
      </c>
      <c r="AF130" s="8"/>
      <c r="AI130" s="771"/>
      <c r="AJ130" s="771"/>
      <c r="AK130" s="771"/>
      <c r="AL130" s="771"/>
      <c r="AM130" s="771"/>
      <c r="AN130" s="771"/>
      <c r="AO130" s="771"/>
      <c r="AP130" s="771"/>
      <c r="AQ130" s="771"/>
      <c r="AR130" s="771"/>
      <c r="AS130" s="771"/>
      <c r="AT130" s="771"/>
      <c r="AU130" s="771"/>
      <c r="AV130" s="771"/>
      <c r="AW130" s="771"/>
      <c r="AX130" s="771"/>
    </row>
    <row r="131" spans="1:50" x14ac:dyDescent="0.2">
      <c r="A131" s="814"/>
      <c r="S131" s="440">
        <v>580</v>
      </c>
      <c r="T131" s="168">
        <v>3</v>
      </c>
      <c r="U131" s="167">
        <v>6.25</v>
      </c>
      <c r="V131" s="168">
        <v>5.75</v>
      </c>
      <c r="W131" s="167">
        <v>12</v>
      </c>
      <c r="X131" s="168">
        <v>11</v>
      </c>
      <c r="Y131" s="167">
        <v>18</v>
      </c>
      <c r="Z131" s="538" t="e">
        <f t="shared" si="1"/>
        <v>#N/A</v>
      </c>
      <c r="AF131" s="8"/>
      <c r="AI131" s="771"/>
      <c r="AJ131" s="771"/>
      <c r="AK131" s="771"/>
      <c r="AL131" s="771"/>
      <c r="AM131" s="771"/>
      <c r="AN131" s="771"/>
      <c r="AO131" s="771"/>
      <c r="AP131" s="771"/>
      <c r="AQ131" s="771"/>
      <c r="AR131" s="771"/>
      <c r="AS131" s="771"/>
      <c r="AT131" s="771"/>
      <c r="AU131" s="771"/>
      <c r="AV131" s="771"/>
      <c r="AW131" s="771"/>
      <c r="AX131" s="771"/>
    </row>
    <row r="132" spans="1:50" x14ac:dyDescent="0.2">
      <c r="A132" s="814"/>
      <c r="S132" s="440">
        <v>575</v>
      </c>
      <c r="T132" s="168">
        <v>3</v>
      </c>
      <c r="U132" s="167">
        <v>6.25</v>
      </c>
      <c r="V132" s="168">
        <v>5.75</v>
      </c>
      <c r="W132" s="167">
        <v>12</v>
      </c>
      <c r="X132" s="168">
        <v>11</v>
      </c>
      <c r="Y132" s="167">
        <v>18</v>
      </c>
      <c r="Z132" s="538" t="e">
        <f t="shared" si="1"/>
        <v>#N/A</v>
      </c>
      <c r="AF132" s="8"/>
      <c r="AI132" s="771"/>
      <c r="AJ132" s="771"/>
      <c r="AK132" s="771"/>
      <c r="AL132" s="771"/>
      <c r="AM132" s="771"/>
      <c r="AN132" s="771"/>
      <c r="AO132" s="771"/>
      <c r="AP132" s="771"/>
      <c r="AQ132" s="771"/>
      <c r="AR132" s="771"/>
      <c r="AS132" s="771"/>
      <c r="AT132" s="771"/>
      <c r="AU132" s="771"/>
      <c r="AV132" s="771"/>
      <c r="AW132" s="771"/>
      <c r="AX132" s="771"/>
    </row>
    <row r="133" spans="1:50" x14ac:dyDescent="0.2">
      <c r="A133" s="814"/>
      <c r="S133" s="440">
        <v>570</v>
      </c>
      <c r="T133" s="168">
        <v>3</v>
      </c>
      <c r="U133" s="167">
        <v>6.25</v>
      </c>
      <c r="V133" s="168">
        <v>5.75</v>
      </c>
      <c r="W133" s="167">
        <v>12.25</v>
      </c>
      <c r="X133" s="168">
        <v>11.25</v>
      </c>
      <c r="Y133" s="167">
        <v>17.75</v>
      </c>
      <c r="Z133" s="538" t="e">
        <f t="shared" si="1"/>
        <v>#N/A</v>
      </c>
      <c r="AF133" s="8"/>
      <c r="AI133" s="771"/>
      <c r="AJ133" s="771"/>
      <c r="AK133" s="771"/>
      <c r="AL133" s="771"/>
      <c r="AM133" s="771"/>
      <c r="AN133" s="771"/>
      <c r="AO133" s="771"/>
      <c r="AP133" s="771"/>
      <c r="AQ133" s="771"/>
      <c r="AR133" s="771"/>
      <c r="AS133" s="771"/>
      <c r="AT133" s="771"/>
      <c r="AU133" s="771"/>
      <c r="AV133" s="771"/>
      <c r="AW133" s="771"/>
      <c r="AX133" s="771"/>
    </row>
    <row r="134" spans="1:50" x14ac:dyDescent="0.2">
      <c r="A134" s="814"/>
      <c r="S134" s="440">
        <v>565</v>
      </c>
      <c r="T134" s="168">
        <v>3</v>
      </c>
      <c r="U134" s="167">
        <v>6.25</v>
      </c>
      <c r="V134" s="168">
        <v>5.75</v>
      </c>
      <c r="W134" s="167">
        <v>12.25</v>
      </c>
      <c r="X134" s="168">
        <v>11.25</v>
      </c>
      <c r="Y134" s="167">
        <v>17.75</v>
      </c>
      <c r="Z134" s="538" t="e">
        <f t="shared" si="1"/>
        <v>#N/A</v>
      </c>
      <c r="AF134" s="8"/>
      <c r="AI134" s="771"/>
      <c r="AJ134" s="771"/>
      <c r="AK134" s="771"/>
      <c r="AL134" s="771"/>
      <c r="AM134" s="771"/>
      <c r="AN134" s="771"/>
      <c r="AO134" s="771"/>
      <c r="AP134" s="771"/>
      <c r="AQ134" s="771"/>
      <c r="AR134" s="771"/>
      <c r="AS134" s="771"/>
      <c r="AT134" s="771"/>
      <c r="AU134" s="771"/>
      <c r="AV134" s="771"/>
      <c r="AW134" s="771"/>
      <c r="AX134" s="771"/>
    </row>
    <row r="135" spans="1:50" x14ac:dyDescent="0.2">
      <c r="A135" s="814"/>
      <c r="S135" s="440">
        <v>560</v>
      </c>
      <c r="T135" s="168">
        <v>3</v>
      </c>
      <c r="U135" s="167">
        <v>6.5</v>
      </c>
      <c r="V135" s="168">
        <v>6</v>
      </c>
      <c r="W135" s="167">
        <v>12.25</v>
      </c>
      <c r="X135" s="168">
        <v>11.25</v>
      </c>
      <c r="Y135" s="167">
        <v>17.5</v>
      </c>
      <c r="Z135" s="538" t="e">
        <f t="shared" si="1"/>
        <v>#N/A</v>
      </c>
      <c r="AF135" s="8"/>
      <c r="AI135" s="771"/>
      <c r="AJ135" s="771"/>
      <c r="AK135" s="771"/>
      <c r="AL135" s="771"/>
      <c r="AM135" s="771"/>
      <c r="AN135" s="771"/>
      <c r="AO135" s="771"/>
      <c r="AP135" s="771"/>
      <c r="AQ135" s="771"/>
      <c r="AR135" s="771"/>
      <c r="AS135" s="771"/>
      <c r="AT135" s="771"/>
      <c r="AU135" s="771"/>
      <c r="AV135" s="771"/>
      <c r="AW135" s="771"/>
      <c r="AX135" s="771"/>
    </row>
    <row r="136" spans="1:50" x14ac:dyDescent="0.2">
      <c r="A136" s="814"/>
      <c r="S136" s="440">
        <v>555</v>
      </c>
      <c r="T136" s="168">
        <v>3</v>
      </c>
      <c r="U136" s="167">
        <v>6.5</v>
      </c>
      <c r="V136" s="168">
        <v>6</v>
      </c>
      <c r="W136" s="167">
        <v>12.5</v>
      </c>
      <c r="X136" s="168">
        <v>11.5</v>
      </c>
      <c r="Y136" s="167">
        <v>17.5</v>
      </c>
      <c r="Z136" s="538" t="e">
        <f t="shared" si="1"/>
        <v>#N/A</v>
      </c>
      <c r="AF136" s="8"/>
      <c r="AI136" s="771"/>
      <c r="AJ136" s="771"/>
      <c r="AK136" s="771"/>
      <c r="AL136" s="771"/>
      <c r="AM136" s="771"/>
      <c r="AN136" s="771"/>
      <c r="AO136" s="771"/>
      <c r="AP136" s="771"/>
      <c r="AQ136" s="771"/>
      <c r="AR136" s="771"/>
      <c r="AS136" s="771"/>
      <c r="AT136" s="771"/>
      <c r="AU136" s="771"/>
      <c r="AV136" s="771"/>
      <c r="AW136" s="771"/>
      <c r="AX136" s="771"/>
    </row>
    <row r="137" spans="1:50" x14ac:dyDescent="0.2">
      <c r="A137" s="814"/>
      <c r="S137" s="440">
        <v>550</v>
      </c>
      <c r="T137" s="168">
        <v>3</v>
      </c>
      <c r="U137" s="167">
        <v>6.5</v>
      </c>
      <c r="V137" s="168">
        <v>6</v>
      </c>
      <c r="W137" s="167">
        <v>12.5</v>
      </c>
      <c r="X137" s="168">
        <v>11.5</v>
      </c>
      <c r="Y137" s="167">
        <v>17.25</v>
      </c>
      <c r="Z137" s="538" t="e">
        <f t="shared" si="1"/>
        <v>#N/A</v>
      </c>
      <c r="AF137" s="8"/>
      <c r="AI137" s="771"/>
      <c r="AJ137" s="771"/>
      <c r="AK137" s="771"/>
      <c r="AL137" s="771"/>
      <c r="AM137" s="771"/>
      <c r="AN137" s="771"/>
      <c r="AO137" s="771"/>
      <c r="AP137" s="771"/>
      <c r="AQ137" s="771"/>
      <c r="AR137" s="771"/>
      <c r="AS137" s="771"/>
      <c r="AT137" s="771"/>
      <c r="AU137" s="771"/>
      <c r="AV137" s="771"/>
      <c r="AW137" s="771"/>
      <c r="AX137" s="771"/>
    </row>
    <row r="138" spans="1:50" x14ac:dyDescent="0.2">
      <c r="A138" s="814"/>
      <c r="S138" s="440">
        <v>545</v>
      </c>
      <c r="T138" s="168">
        <v>3</v>
      </c>
      <c r="U138" s="167">
        <v>6.5</v>
      </c>
      <c r="V138" s="168">
        <v>6</v>
      </c>
      <c r="W138" s="167">
        <v>12.5</v>
      </c>
      <c r="X138" s="168">
        <v>11.5</v>
      </c>
      <c r="Y138" s="167">
        <v>17.25</v>
      </c>
      <c r="Z138" s="538" t="e">
        <f t="shared" si="1"/>
        <v>#N/A</v>
      </c>
      <c r="AF138" s="8"/>
      <c r="AI138" s="771"/>
      <c r="AJ138" s="771"/>
      <c r="AK138" s="771"/>
      <c r="AL138" s="771"/>
      <c r="AM138" s="771"/>
      <c r="AN138" s="771"/>
      <c r="AO138" s="771"/>
      <c r="AP138" s="771"/>
      <c r="AQ138" s="771"/>
      <c r="AR138" s="771"/>
      <c r="AS138" s="771"/>
      <c r="AT138" s="771"/>
      <c r="AU138" s="771"/>
      <c r="AV138" s="771"/>
      <c r="AW138" s="771"/>
      <c r="AX138" s="771"/>
    </row>
    <row r="139" spans="1:50" x14ac:dyDescent="0.2">
      <c r="A139" s="814"/>
      <c r="S139" s="440">
        <v>540</v>
      </c>
      <c r="T139" s="168">
        <v>3</v>
      </c>
      <c r="U139" s="167">
        <v>6.5</v>
      </c>
      <c r="V139" s="168">
        <v>6</v>
      </c>
      <c r="W139" s="167">
        <v>12.75</v>
      </c>
      <c r="X139" s="168">
        <v>11.75</v>
      </c>
      <c r="Y139" s="167">
        <v>17</v>
      </c>
      <c r="Z139" s="538" t="e">
        <f t="shared" si="1"/>
        <v>#N/A</v>
      </c>
      <c r="AF139" s="8"/>
      <c r="AI139" s="771"/>
      <c r="AJ139" s="771"/>
      <c r="AK139" s="771"/>
      <c r="AL139" s="771"/>
      <c r="AM139" s="771"/>
      <c r="AN139" s="771"/>
      <c r="AO139" s="771"/>
      <c r="AP139" s="771"/>
      <c r="AQ139" s="771"/>
      <c r="AR139" s="771"/>
      <c r="AS139" s="771"/>
      <c r="AT139" s="771"/>
      <c r="AU139" s="771"/>
      <c r="AV139" s="771"/>
      <c r="AW139" s="771"/>
      <c r="AX139" s="771"/>
    </row>
    <row r="140" spans="1:50" x14ac:dyDescent="0.2">
      <c r="A140" s="814"/>
      <c r="S140" s="440">
        <v>535</v>
      </c>
      <c r="T140" s="168">
        <v>3</v>
      </c>
      <c r="U140" s="167">
        <v>6.75</v>
      </c>
      <c r="V140" s="168">
        <v>6.25</v>
      </c>
      <c r="W140" s="167">
        <v>12.75</v>
      </c>
      <c r="X140" s="168">
        <v>11.75</v>
      </c>
      <c r="Y140" s="167">
        <v>16.75</v>
      </c>
      <c r="Z140" s="538" t="e">
        <f t="shared" si="1"/>
        <v>#N/A</v>
      </c>
      <c r="AF140" s="8"/>
      <c r="AI140" s="771"/>
      <c r="AJ140" s="771"/>
      <c r="AK140" s="771"/>
      <c r="AL140" s="771"/>
      <c r="AM140" s="771"/>
      <c r="AN140" s="771"/>
      <c r="AO140" s="771"/>
      <c r="AP140" s="771"/>
      <c r="AQ140" s="771"/>
      <c r="AR140" s="771"/>
      <c r="AS140" s="771"/>
      <c r="AT140" s="771"/>
      <c r="AU140" s="771"/>
      <c r="AV140" s="771"/>
      <c r="AW140" s="771"/>
      <c r="AX140" s="771"/>
    </row>
    <row r="141" spans="1:50" x14ac:dyDescent="0.2">
      <c r="A141" s="814"/>
      <c r="S141" s="440">
        <v>530</v>
      </c>
      <c r="T141" s="168">
        <v>3</v>
      </c>
      <c r="U141" s="167">
        <v>6.75</v>
      </c>
      <c r="V141" s="168">
        <v>6.25</v>
      </c>
      <c r="W141" s="167">
        <v>12.75</v>
      </c>
      <c r="X141" s="168">
        <v>11.75</v>
      </c>
      <c r="Y141" s="167">
        <v>16.75</v>
      </c>
      <c r="Z141" s="538" t="e">
        <f t="shared" si="1"/>
        <v>#N/A</v>
      </c>
      <c r="AF141" s="8"/>
      <c r="AI141" s="771"/>
      <c r="AJ141" s="771"/>
      <c r="AK141" s="771"/>
      <c r="AL141" s="771"/>
      <c r="AM141" s="771"/>
      <c r="AN141" s="771"/>
      <c r="AO141" s="771"/>
      <c r="AP141" s="771"/>
      <c r="AQ141" s="771"/>
      <c r="AR141" s="771"/>
      <c r="AS141" s="771"/>
      <c r="AT141" s="771"/>
      <c r="AU141" s="771"/>
      <c r="AV141" s="771"/>
      <c r="AW141" s="771"/>
      <c r="AX141" s="771"/>
    </row>
    <row r="142" spans="1:50" x14ac:dyDescent="0.2">
      <c r="A142" s="814"/>
      <c r="S142" s="440">
        <v>526</v>
      </c>
      <c r="T142" s="540">
        <v>3</v>
      </c>
      <c r="U142" s="171">
        <v>6.75</v>
      </c>
      <c r="V142" s="540">
        <v>6.25</v>
      </c>
      <c r="W142" s="171">
        <v>13</v>
      </c>
      <c r="X142" s="540">
        <v>12</v>
      </c>
      <c r="Y142" s="171">
        <v>16.5</v>
      </c>
      <c r="Z142" s="538" t="e">
        <f t="shared" si="1"/>
        <v>#N/A</v>
      </c>
      <c r="AF142" s="8"/>
      <c r="AI142" s="771"/>
      <c r="AJ142" s="771"/>
      <c r="AK142" s="771"/>
      <c r="AL142" s="771"/>
      <c r="AM142" s="771"/>
      <c r="AN142" s="771"/>
      <c r="AO142" s="771"/>
      <c r="AP142" s="771"/>
      <c r="AQ142" s="771"/>
      <c r="AR142" s="771"/>
      <c r="AS142" s="771"/>
      <c r="AT142" s="771"/>
      <c r="AU142" s="771"/>
      <c r="AV142" s="771"/>
      <c r="AW142" s="771"/>
      <c r="AX142" s="771"/>
    </row>
    <row r="143" spans="1:50" x14ac:dyDescent="0.2">
      <c r="A143" s="814"/>
      <c r="S143" s="378"/>
      <c r="T143" s="88" t="s">
        <v>362</v>
      </c>
      <c r="U143" s="88" t="s">
        <v>362</v>
      </c>
      <c r="V143" s="88" t="s">
        <v>1334</v>
      </c>
      <c r="W143" s="88" t="s">
        <v>1334</v>
      </c>
      <c r="X143" s="88" t="s">
        <v>1334</v>
      </c>
      <c r="Y143" s="88" t="s">
        <v>1334</v>
      </c>
      <c r="Z143" s="541"/>
      <c r="AF143" s="8"/>
      <c r="AI143" s="771"/>
      <c r="AJ143" s="771"/>
      <c r="AK143" s="771"/>
      <c r="AL143" s="771"/>
      <c r="AM143" s="771"/>
      <c r="AN143" s="771"/>
      <c r="AO143" s="771"/>
      <c r="AP143" s="771"/>
      <c r="AQ143" s="771"/>
      <c r="AR143" s="771"/>
      <c r="AS143" s="771"/>
      <c r="AT143" s="771"/>
      <c r="AU143" s="771"/>
      <c r="AV143" s="771"/>
      <c r="AW143" s="771"/>
      <c r="AX143" s="771"/>
    </row>
    <row r="144" spans="1:50" x14ac:dyDescent="0.2">
      <c r="A144" s="814"/>
      <c r="S144" s="440">
        <v>525</v>
      </c>
      <c r="T144" s="539">
        <v>2.5</v>
      </c>
      <c r="U144" s="166">
        <v>4</v>
      </c>
      <c r="V144" s="539">
        <v>3.25</v>
      </c>
      <c r="W144" s="166">
        <v>7.5</v>
      </c>
      <c r="X144" s="539">
        <v>7.25</v>
      </c>
      <c r="Y144" s="166">
        <v>15</v>
      </c>
      <c r="Z144" s="538" t="e">
        <f t="shared" ref="Z144:Z179" si="2">IF($I$10&lt;V144,$U$143,IF($I$10&lt;X144,$W$143,$Y$143))</f>
        <v>#N/A</v>
      </c>
      <c r="AF144" s="8"/>
      <c r="AI144" s="771"/>
      <c r="AJ144" s="771"/>
      <c r="AK144" s="771"/>
      <c r="AL144" s="771"/>
      <c r="AM144" s="771"/>
      <c r="AN144" s="771"/>
      <c r="AO144" s="771"/>
      <c r="AP144" s="771"/>
      <c r="AQ144" s="771"/>
      <c r="AR144" s="771"/>
      <c r="AS144" s="771"/>
      <c r="AT144" s="771"/>
      <c r="AU144" s="771"/>
      <c r="AV144" s="771"/>
      <c r="AW144" s="771"/>
      <c r="AX144" s="771"/>
    </row>
    <row r="145" spans="1:50" x14ac:dyDescent="0.2">
      <c r="A145" s="814"/>
      <c r="S145" s="440">
        <v>520</v>
      </c>
      <c r="T145" s="168">
        <v>2.5</v>
      </c>
      <c r="U145" s="167">
        <v>4</v>
      </c>
      <c r="V145" s="168">
        <v>3.5</v>
      </c>
      <c r="W145" s="167">
        <v>7.5</v>
      </c>
      <c r="X145" s="168">
        <v>7.25</v>
      </c>
      <c r="Y145" s="167">
        <v>15</v>
      </c>
      <c r="Z145" s="538" t="e">
        <f t="shared" si="2"/>
        <v>#N/A</v>
      </c>
      <c r="AF145" s="8"/>
      <c r="AI145" s="771"/>
      <c r="AJ145" s="771"/>
      <c r="AK145" s="771"/>
      <c r="AL145" s="771"/>
      <c r="AM145" s="771"/>
      <c r="AN145" s="771"/>
      <c r="AO145" s="771"/>
      <c r="AP145" s="771"/>
      <c r="AQ145" s="771"/>
      <c r="AR145" s="771"/>
      <c r="AS145" s="771"/>
      <c r="AT145" s="771"/>
      <c r="AU145" s="771"/>
      <c r="AV145" s="771"/>
      <c r="AW145" s="771"/>
      <c r="AX145" s="771"/>
    </row>
    <row r="146" spans="1:50" x14ac:dyDescent="0.2">
      <c r="A146" s="814"/>
      <c r="S146" s="440">
        <v>515</v>
      </c>
      <c r="T146" s="168">
        <v>2.5</v>
      </c>
      <c r="U146" s="167">
        <v>4</v>
      </c>
      <c r="V146" s="168">
        <v>3.5</v>
      </c>
      <c r="W146" s="167">
        <v>7.5</v>
      </c>
      <c r="X146" s="168">
        <v>7.25</v>
      </c>
      <c r="Y146" s="167">
        <v>14.75</v>
      </c>
      <c r="Z146" s="538" t="e">
        <f t="shared" si="2"/>
        <v>#N/A</v>
      </c>
      <c r="AF146" s="8"/>
      <c r="AI146" s="771"/>
      <c r="AJ146" s="771"/>
      <c r="AK146" s="771"/>
      <c r="AL146" s="771"/>
      <c r="AM146" s="771"/>
      <c r="AN146" s="771"/>
      <c r="AO146" s="771"/>
      <c r="AP146" s="771"/>
      <c r="AQ146" s="771"/>
      <c r="AR146" s="771"/>
      <c r="AS146" s="771"/>
      <c r="AT146" s="771"/>
      <c r="AU146" s="771"/>
      <c r="AV146" s="771"/>
      <c r="AW146" s="771"/>
      <c r="AX146" s="771"/>
    </row>
    <row r="147" spans="1:50" x14ac:dyDescent="0.2">
      <c r="A147" s="814"/>
      <c r="S147" s="440">
        <v>510</v>
      </c>
      <c r="T147" s="168">
        <v>2.5</v>
      </c>
      <c r="U147" s="167">
        <v>4</v>
      </c>
      <c r="V147" s="168">
        <v>3.5</v>
      </c>
      <c r="W147" s="167">
        <v>7.75</v>
      </c>
      <c r="X147" s="168">
        <v>7.5</v>
      </c>
      <c r="Y147" s="167">
        <v>14.75</v>
      </c>
      <c r="Z147" s="538" t="e">
        <f t="shared" si="2"/>
        <v>#N/A</v>
      </c>
      <c r="AF147" s="8"/>
      <c r="AI147" s="771"/>
      <c r="AJ147" s="771"/>
      <c r="AK147" s="771"/>
      <c r="AL147" s="771"/>
      <c r="AM147" s="771"/>
      <c r="AN147" s="771"/>
      <c r="AO147" s="771"/>
      <c r="AP147" s="771"/>
      <c r="AQ147" s="771"/>
      <c r="AR147" s="771"/>
      <c r="AS147" s="771"/>
      <c r="AT147" s="771"/>
      <c r="AU147" s="771"/>
      <c r="AV147" s="771"/>
      <c r="AW147" s="771"/>
      <c r="AX147" s="771"/>
    </row>
    <row r="148" spans="1:50" x14ac:dyDescent="0.2">
      <c r="A148" s="814"/>
      <c r="S148" s="440">
        <v>505</v>
      </c>
      <c r="T148" s="168">
        <v>2.5</v>
      </c>
      <c r="U148" s="167">
        <v>4</v>
      </c>
      <c r="V148" s="168">
        <v>3.5</v>
      </c>
      <c r="W148" s="167">
        <v>7.75</v>
      </c>
      <c r="X148" s="168">
        <v>7.5</v>
      </c>
      <c r="Y148" s="167">
        <v>14.75</v>
      </c>
      <c r="Z148" s="538" t="e">
        <f t="shared" si="2"/>
        <v>#N/A</v>
      </c>
      <c r="AF148" s="8"/>
      <c r="AI148" s="771"/>
      <c r="AJ148" s="771"/>
      <c r="AK148" s="771"/>
      <c r="AL148" s="771"/>
      <c r="AM148" s="771"/>
      <c r="AN148" s="771"/>
      <c r="AO148" s="771"/>
      <c r="AP148" s="771"/>
      <c r="AQ148" s="771"/>
      <c r="AR148" s="771"/>
      <c r="AS148" s="771"/>
      <c r="AT148" s="771"/>
      <c r="AU148" s="771"/>
      <c r="AV148" s="771"/>
      <c r="AW148" s="771"/>
      <c r="AX148" s="771"/>
    </row>
    <row r="149" spans="1:50" x14ac:dyDescent="0.2">
      <c r="A149" s="814"/>
      <c r="S149" s="440">
        <v>500</v>
      </c>
      <c r="T149" s="168">
        <v>2.5</v>
      </c>
      <c r="U149" s="167">
        <v>4.25</v>
      </c>
      <c r="V149" s="168">
        <v>3.5</v>
      </c>
      <c r="W149" s="167">
        <v>7.75</v>
      </c>
      <c r="X149" s="168">
        <v>7.5</v>
      </c>
      <c r="Y149" s="167">
        <v>14.75</v>
      </c>
      <c r="Z149" s="538" t="e">
        <f t="shared" si="2"/>
        <v>#N/A</v>
      </c>
      <c r="AF149" s="8"/>
      <c r="AI149" s="771"/>
      <c r="AJ149" s="771"/>
      <c r="AK149" s="771"/>
      <c r="AL149" s="771"/>
      <c r="AM149" s="771"/>
      <c r="AN149" s="771"/>
      <c r="AO149" s="771"/>
      <c r="AP149" s="771"/>
      <c r="AQ149" s="771"/>
      <c r="AR149" s="771"/>
      <c r="AS149" s="771"/>
      <c r="AT149" s="771"/>
      <c r="AU149" s="771"/>
      <c r="AV149" s="771"/>
      <c r="AW149" s="771"/>
      <c r="AX149" s="771"/>
    </row>
    <row r="150" spans="1:50" x14ac:dyDescent="0.2">
      <c r="A150" s="814"/>
      <c r="S150" s="440">
        <v>495</v>
      </c>
      <c r="T150" s="168">
        <v>2.5</v>
      </c>
      <c r="U150" s="167">
        <v>4.25</v>
      </c>
      <c r="V150" s="168">
        <v>3.75</v>
      </c>
      <c r="W150" s="167">
        <v>7.75</v>
      </c>
      <c r="X150" s="168">
        <v>7.5</v>
      </c>
      <c r="Y150" s="167">
        <v>14.5</v>
      </c>
      <c r="Z150" s="538" t="e">
        <f t="shared" si="2"/>
        <v>#N/A</v>
      </c>
      <c r="AF150" s="8"/>
      <c r="AI150" s="771"/>
      <c r="AJ150" s="771"/>
      <c r="AK150" s="771"/>
      <c r="AL150" s="771"/>
      <c r="AM150" s="771"/>
      <c r="AN150" s="771"/>
      <c r="AO150" s="771"/>
      <c r="AP150" s="771"/>
      <c r="AQ150" s="771"/>
      <c r="AR150" s="771"/>
      <c r="AS150" s="771"/>
      <c r="AT150" s="771"/>
      <c r="AU150" s="771"/>
      <c r="AV150" s="771"/>
      <c r="AW150" s="771"/>
      <c r="AX150" s="771"/>
    </row>
    <row r="151" spans="1:50" x14ac:dyDescent="0.2">
      <c r="A151" s="814"/>
      <c r="S151" s="440">
        <v>490</v>
      </c>
      <c r="T151" s="168">
        <v>2.5</v>
      </c>
      <c r="U151" s="167">
        <v>4.25</v>
      </c>
      <c r="V151" s="168">
        <v>3.75</v>
      </c>
      <c r="W151" s="167">
        <v>8</v>
      </c>
      <c r="X151" s="168">
        <v>7.75</v>
      </c>
      <c r="Y151" s="167">
        <v>14.5</v>
      </c>
      <c r="Z151" s="538" t="e">
        <f t="shared" si="2"/>
        <v>#N/A</v>
      </c>
      <c r="AF151" s="8"/>
      <c r="AI151" s="771"/>
      <c r="AJ151" s="771"/>
      <c r="AK151" s="771"/>
      <c r="AL151" s="771"/>
      <c r="AM151" s="771"/>
      <c r="AN151" s="771"/>
      <c r="AO151" s="771"/>
      <c r="AP151" s="771"/>
      <c r="AQ151" s="771"/>
      <c r="AR151" s="771"/>
      <c r="AS151" s="771"/>
      <c r="AT151" s="771"/>
      <c r="AU151" s="771"/>
      <c r="AV151" s="771"/>
      <c r="AW151" s="771"/>
      <c r="AX151" s="771"/>
    </row>
    <row r="152" spans="1:50" x14ac:dyDescent="0.2">
      <c r="A152" s="814"/>
      <c r="S152" s="440">
        <v>485</v>
      </c>
      <c r="T152" s="168">
        <v>2.5</v>
      </c>
      <c r="U152" s="167">
        <v>4.25</v>
      </c>
      <c r="V152" s="168">
        <v>3.75</v>
      </c>
      <c r="W152" s="167">
        <v>8</v>
      </c>
      <c r="X152" s="168">
        <v>7.75</v>
      </c>
      <c r="Y152" s="167">
        <v>14.25</v>
      </c>
      <c r="Z152" s="538" t="e">
        <f t="shared" si="2"/>
        <v>#N/A</v>
      </c>
      <c r="AF152" s="8"/>
      <c r="AI152" s="771"/>
      <c r="AJ152" s="771"/>
      <c r="AK152" s="771"/>
      <c r="AL152" s="771"/>
      <c r="AM152" s="771"/>
      <c r="AN152" s="771"/>
      <c r="AO152" s="771"/>
      <c r="AP152" s="771"/>
      <c r="AQ152" s="771"/>
      <c r="AR152" s="771"/>
      <c r="AS152" s="771"/>
      <c r="AT152" s="771"/>
      <c r="AU152" s="771"/>
      <c r="AV152" s="771"/>
      <c r="AW152" s="771"/>
      <c r="AX152" s="771"/>
    </row>
    <row r="153" spans="1:50" x14ac:dyDescent="0.2">
      <c r="A153" s="814"/>
      <c r="S153" s="440">
        <v>480</v>
      </c>
      <c r="T153" s="168">
        <v>2.5</v>
      </c>
      <c r="U153" s="167">
        <v>4.25</v>
      </c>
      <c r="V153" s="168">
        <v>3.75</v>
      </c>
      <c r="W153" s="167">
        <v>8</v>
      </c>
      <c r="X153" s="168">
        <v>7.75</v>
      </c>
      <c r="Y153" s="167">
        <v>14.25</v>
      </c>
      <c r="Z153" s="538" t="e">
        <f t="shared" si="2"/>
        <v>#N/A</v>
      </c>
      <c r="AF153" s="8"/>
      <c r="AI153" s="771"/>
      <c r="AJ153" s="771"/>
      <c r="AK153" s="771"/>
      <c r="AL153" s="771"/>
      <c r="AM153" s="771"/>
      <c r="AN153" s="771"/>
      <c r="AO153" s="771"/>
      <c r="AP153" s="771"/>
      <c r="AQ153" s="771"/>
      <c r="AR153" s="771"/>
      <c r="AS153" s="771"/>
      <c r="AT153" s="771"/>
      <c r="AU153" s="771"/>
      <c r="AV153" s="771"/>
      <c r="AW153" s="771"/>
      <c r="AX153" s="771"/>
    </row>
    <row r="154" spans="1:50" x14ac:dyDescent="0.2">
      <c r="A154" s="814"/>
      <c r="S154" s="440">
        <v>475</v>
      </c>
      <c r="T154" s="168">
        <v>2.5</v>
      </c>
      <c r="U154" s="167">
        <v>4.25</v>
      </c>
      <c r="V154" s="168">
        <v>3.75</v>
      </c>
      <c r="W154" s="167">
        <v>8</v>
      </c>
      <c r="X154" s="168">
        <v>7.75</v>
      </c>
      <c r="Y154" s="167">
        <v>14</v>
      </c>
      <c r="Z154" s="538" t="e">
        <f t="shared" si="2"/>
        <v>#N/A</v>
      </c>
      <c r="AF154" s="8"/>
      <c r="AI154" s="771"/>
      <c r="AJ154" s="771"/>
      <c r="AK154" s="771"/>
      <c r="AL154" s="771"/>
      <c r="AM154" s="771"/>
      <c r="AN154" s="771"/>
      <c r="AO154" s="771"/>
      <c r="AP154" s="771"/>
      <c r="AQ154" s="771"/>
      <c r="AR154" s="771"/>
      <c r="AS154" s="771"/>
      <c r="AT154" s="771"/>
      <c r="AU154" s="771"/>
      <c r="AV154" s="771"/>
      <c r="AW154" s="771"/>
      <c r="AX154" s="771"/>
    </row>
    <row r="155" spans="1:50" x14ac:dyDescent="0.2">
      <c r="A155" s="814"/>
      <c r="S155" s="440">
        <v>470</v>
      </c>
      <c r="T155" s="168">
        <v>2.5</v>
      </c>
      <c r="U155" s="167">
        <v>4.25</v>
      </c>
      <c r="V155" s="168">
        <v>4</v>
      </c>
      <c r="W155" s="167">
        <v>8.25</v>
      </c>
      <c r="X155" s="168">
        <v>8</v>
      </c>
      <c r="Y155" s="167">
        <v>14</v>
      </c>
      <c r="Z155" s="538" t="e">
        <f t="shared" si="2"/>
        <v>#N/A</v>
      </c>
      <c r="AF155" s="8"/>
      <c r="AI155" s="814"/>
      <c r="AJ155" s="814"/>
      <c r="AK155" s="814"/>
      <c r="AL155" s="814"/>
      <c r="AM155" s="814"/>
      <c r="AN155" s="814"/>
      <c r="AO155" s="814"/>
      <c r="AP155" s="814"/>
      <c r="AQ155" s="814"/>
      <c r="AR155" s="814"/>
      <c r="AS155" s="814"/>
    </row>
    <row r="156" spans="1:50" x14ac:dyDescent="0.2">
      <c r="A156" s="814"/>
      <c r="S156" s="440">
        <v>465</v>
      </c>
      <c r="T156" s="168">
        <v>2.25</v>
      </c>
      <c r="U156" s="167">
        <v>4.25</v>
      </c>
      <c r="V156" s="168">
        <v>4</v>
      </c>
      <c r="W156" s="167">
        <v>8.25</v>
      </c>
      <c r="X156" s="168">
        <v>8</v>
      </c>
      <c r="Y156" s="167">
        <v>13.75</v>
      </c>
      <c r="Z156" s="538" t="e">
        <f t="shared" si="2"/>
        <v>#N/A</v>
      </c>
      <c r="AF156" s="8"/>
      <c r="AI156" s="814"/>
      <c r="AJ156" s="814"/>
      <c r="AK156" s="814"/>
      <c r="AL156" s="814"/>
      <c r="AM156" s="814"/>
      <c r="AN156" s="814"/>
      <c r="AO156" s="814"/>
      <c r="AP156" s="814"/>
      <c r="AQ156" s="814"/>
      <c r="AR156" s="814"/>
      <c r="AS156" s="814"/>
    </row>
    <row r="157" spans="1:50" x14ac:dyDescent="0.2">
      <c r="A157" s="814"/>
      <c r="S157" s="440">
        <v>460</v>
      </c>
      <c r="T157" s="168">
        <v>2.25</v>
      </c>
      <c r="U157" s="167">
        <v>4.25</v>
      </c>
      <c r="V157" s="168">
        <v>4</v>
      </c>
      <c r="W157" s="167">
        <v>8.25</v>
      </c>
      <c r="X157" s="168">
        <v>8</v>
      </c>
      <c r="Y157" s="167">
        <v>13.75</v>
      </c>
      <c r="Z157" s="538" t="e">
        <f t="shared" si="2"/>
        <v>#N/A</v>
      </c>
      <c r="AF157" s="8"/>
      <c r="AI157" s="814"/>
      <c r="AJ157" s="814"/>
      <c r="AK157" s="814"/>
      <c r="AL157" s="814"/>
      <c r="AM157" s="814"/>
      <c r="AN157" s="814"/>
      <c r="AO157" s="814"/>
      <c r="AP157" s="814"/>
      <c r="AQ157" s="814"/>
      <c r="AR157" s="814"/>
      <c r="AS157" s="814"/>
    </row>
    <row r="158" spans="1:50" x14ac:dyDescent="0.2">
      <c r="A158" s="814"/>
      <c r="S158" s="440">
        <v>455</v>
      </c>
      <c r="T158" s="168">
        <v>2.25</v>
      </c>
      <c r="U158" s="167">
        <v>4.25</v>
      </c>
      <c r="V158" s="168">
        <v>4</v>
      </c>
      <c r="W158" s="167">
        <v>8.5</v>
      </c>
      <c r="X158" s="168">
        <v>8.25</v>
      </c>
      <c r="Y158" s="167">
        <v>13.5</v>
      </c>
      <c r="Z158" s="538" t="e">
        <f t="shared" si="2"/>
        <v>#N/A</v>
      </c>
      <c r="AF158" s="8"/>
      <c r="AI158" s="814"/>
      <c r="AJ158" s="814"/>
      <c r="AK158" s="814"/>
      <c r="AL158" s="814"/>
      <c r="AM158" s="814"/>
      <c r="AN158" s="814"/>
      <c r="AO158" s="814"/>
      <c r="AP158" s="814"/>
      <c r="AQ158" s="814"/>
      <c r="AR158" s="814"/>
      <c r="AS158" s="814"/>
    </row>
    <row r="159" spans="1:50" x14ac:dyDescent="0.2">
      <c r="A159" s="814"/>
      <c r="S159" s="440">
        <v>450</v>
      </c>
      <c r="T159" s="168">
        <v>2.25</v>
      </c>
      <c r="U159" s="167">
        <v>4.25</v>
      </c>
      <c r="V159" s="168">
        <v>4</v>
      </c>
      <c r="W159" s="167">
        <v>8.5</v>
      </c>
      <c r="X159" s="168">
        <v>8.25</v>
      </c>
      <c r="Y159" s="167">
        <v>13.5</v>
      </c>
      <c r="Z159" s="538" t="e">
        <f t="shared" si="2"/>
        <v>#N/A</v>
      </c>
      <c r="AF159" s="8"/>
      <c r="AI159" s="814"/>
      <c r="AJ159" s="814"/>
      <c r="AK159" s="814"/>
      <c r="AL159" s="814"/>
      <c r="AM159" s="814"/>
      <c r="AN159" s="814"/>
      <c r="AO159" s="814"/>
      <c r="AP159" s="814"/>
      <c r="AQ159" s="814"/>
      <c r="AR159" s="814"/>
      <c r="AS159" s="814"/>
    </row>
    <row r="160" spans="1:50" x14ac:dyDescent="0.2">
      <c r="A160" s="814"/>
      <c r="S160" s="440">
        <v>445</v>
      </c>
      <c r="T160" s="168">
        <v>2.25</v>
      </c>
      <c r="U160" s="167">
        <v>4.5</v>
      </c>
      <c r="V160" s="168">
        <v>4.25</v>
      </c>
      <c r="W160" s="167">
        <v>8.5</v>
      </c>
      <c r="X160" s="168">
        <v>8.25</v>
      </c>
      <c r="Y160" s="167">
        <v>13.25</v>
      </c>
      <c r="Z160" s="538" t="e">
        <f t="shared" si="2"/>
        <v>#N/A</v>
      </c>
      <c r="AF160" s="8"/>
      <c r="AI160" s="814"/>
      <c r="AJ160" s="814"/>
      <c r="AK160" s="814"/>
      <c r="AL160" s="814"/>
      <c r="AM160" s="814"/>
      <c r="AN160" s="814"/>
      <c r="AO160" s="814"/>
      <c r="AP160" s="814"/>
      <c r="AQ160" s="814"/>
      <c r="AR160" s="814"/>
      <c r="AS160" s="814"/>
    </row>
    <row r="161" spans="1:45" x14ac:dyDescent="0.2">
      <c r="A161" s="814"/>
      <c r="S161" s="440">
        <v>440</v>
      </c>
      <c r="T161" s="168">
        <v>2.25</v>
      </c>
      <c r="U161" s="167">
        <v>4.5</v>
      </c>
      <c r="V161" s="168">
        <v>4.25</v>
      </c>
      <c r="W161" s="167">
        <v>8.5</v>
      </c>
      <c r="X161" s="168">
        <v>8.25</v>
      </c>
      <c r="Y161" s="167">
        <v>13</v>
      </c>
      <c r="Z161" s="538" t="e">
        <f t="shared" si="2"/>
        <v>#N/A</v>
      </c>
      <c r="AF161" s="8"/>
      <c r="AI161" s="814"/>
      <c r="AJ161" s="814"/>
      <c r="AK161" s="814"/>
      <c r="AL161" s="814"/>
      <c r="AM161" s="814"/>
      <c r="AN161" s="814"/>
      <c r="AO161" s="814"/>
      <c r="AP161" s="814"/>
      <c r="AQ161" s="814"/>
      <c r="AR161" s="814"/>
      <c r="AS161" s="814"/>
    </row>
    <row r="162" spans="1:45" x14ac:dyDescent="0.2">
      <c r="A162" s="814"/>
      <c r="S162" s="440">
        <v>435</v>
      </c>
      <c r="T162" s="168">
        <v>2.25</v>
      </c>
      <c r="U162" s="167">
        <v>4.5</v>
      </c>
      <c r="V162" s="168">
        <v>4.25</v>
      </c>
      <c r="W162" s="167">
        <v>8.75</v>
      </c>
      <c r="X162" s="168">
        <v>8.5</v>
      </c>
      <c r="Y162" s="167">
        <v>13</v>
      </c>
      <c r="Z162" s="538" t="e">
        <f t="shared" si="2"/>
        <v>#N/A</v>
      </c>
      <c r="AF162" s="8"/>
      <c r="AI162" s="814"/>
      <c r="AJ162" s="814"/>
      <c r="AK162" s="814"/>
      <c r="AL162" s="814"/>
      <c r="AM162" s="814"/>
      <c r="AN162" s="814"/>
      <c r="AO162" s="814"/>
      <c r="AP162" s="814"/>
      <c r="AQ162" s="814"/>
      <c r="AR162" s="814"/>
      <c r="AS162" s="814"/>
    </row>
    <row r="163" spans="1:45" x14ac:dyDescent="0.2">
      <c r="A163" s="814"/>
      <c r="S163" s="440">
        <v>430</v>
      </c>
      <c r="T163" s="168">
        <v>2.25</v>
      </c>
      <c r="U163" s="167">
        <v>4.5</v>
      </c>
      <c r="V163" s="168">
        <v>4.25</v>
      </c>
      <c r="W163" s="167">
        <v>8.75</v>
      </c>
      <c r="X163" s="168">
        <v>8.5</v>
      </c>
      <c r="Y163" s="167">
        <v>12.75</v>
      </c>
      <c r="Z163" s="538" t="e">
        <f t="shared" si="2"/>
        <v>#N/A</v>
      </c>
      <c r="AF163" s="8"/>
      <c r="AI163" s="814"/>
      <c r="AJ163" s="814"/>
      <c r="AK163" s="814"/>
      <c r="AL163" s="814"/>
      <c r="AM163" s="814"/>
      <c r="AN163" s="814"/>
      <c r="AO163" s="814"/>
      <c r="AP163" s="814"/>
      <c r="AQ163" s="814"/>
      <c r="AR163" s="814"/>
      <c r="AS163" s="814"/>
    </row>
    <row r="164" spans="1:45" x14ac:dyDescent="0.2">
      <c r="A164" s="814"/>
      <c r="S164" s="440">
        <v>425</v>
      </c>
      <c r="T164" s="168">
        <v>2.25</v>
      </c>
      <c r="U164" s="167">
        <v>4.5</v>
      </c>
      <c r="V164" s="168">
        <v>4.25</v>
      </c>
      <c r="W164" s="167">
        <v>8.75</v>
      </c>
      <c r="X164" s="168">
        <v>8.5</v>
      </c>
      <c r="Y164" s="167">
        <v>12.75</v>
      </c>
      <c r="Z164" s="538" t="e">
        <f t="shared" si="2"/>
        <v>#N/A</v>
      </c>
      <c r="AF164" s="8"/>
      <c r="AI164" s="814"/>
      <c r="AJ164" s="814"/>
      <c r="AK164" s="814"/>
      <c r="AL164" s="814"/>
      <c r="AM164" s="814"/>
      <c r="AN164" s="814"/>
      <c r="AO164" s="814"/>
      <c r="AP164" s="814"/>
      <c r="AQ164" s="814"/>
      <c r="AR164" s="814"/>
      <c r="AS164" s="814"/>
    </row>
    <row r="165" spans="1:45" x14ac:dyDescent="0.2">
      <c r="A165" s="814"/>
      <c r="S165" s="440">
        <v>420</v>
      </c>
      <c r="T165" s="168">
        <v>2.25</v>
      </c>
      <c r="U165" s="167">
        <v>4.5</v>
      </c>
      <c r="V165" s="168">
        <v>4.25</v>
      </c>
      <c r="W165" s="167">
        <v>8.75</v>
      </c>
      <c r="X165" s="168">
        <v>8.5</v>
      </c>
      <c r="Y165" s="167">
        <v>12.5</v>
      </c>
      <c r="Z165" s="538" t="e">
        <f t="shared" si="2"/>
        <v>#N/A</v>
      </c>
      <c r="AF165" s="8"/>
      <c r="AI165" s="814"/>
      <c r="AJ165" s="814"/>
      <c r="AK165" s="814"/>
      <c r="AL165" s="814"/>
      <c r="AM165" s="814"/>
      <c r="AN165" s="814"/>
      <c r="AO165" s="814"/>
      <c r="AP165" s="814"/>
      <c r="AQ165" s="814"/>
      <c r="AR165" s="814"/>
      <c r="AS165" s="814"/>
    </row>
    <row r="166" spans="1:45" x14ac:dyDescent="0.2">
      <c r="A166" s="814"/>
      <c r="S166" s="440">
        <v>415</v>
      </c>
      <c r="T166" s="168">
        <v>2.25</v>
      </c>
      <c r="U166" s="167">
        <v>4.5</v>
      </c>
      <c r="V166" s="168">
        <v>4.25</v>
      </c>
      <c r="W166" s="167">
        <v>8.75</v>
      </c>
      <c r="X166" s="168">
        <v>8.5</v>
      </c>
      <c r="Y166" s="167">
        <v>12.5</v>
      </c>
      <c r="Z166" s="538" t="e">
        <f t="shared" si="2"/>
        <v>#N/A</v>
      </c>
      <c r="AF166" s="8"/>
      <c r="AI166" s="814"/>
      <c r="AJ166" s="814"/>
      <c r="AK166" s="814"/>
      <c r="AL166" s="814"/>
      <c r="AM166" s="814"/>
      <c r="AN166" s="814"/>
      <c r="AO166" s="814"/>
      <c r="AP166" s="814"/>
      <c r="AQ166" s="814"/>
      <c r="AR166" s="814"/>
      <c r="AS166" s="814"/>
    </row>
    <row r="167" spans="1:45" x14ac:dyDescent="0.2">
      <c r="A167" s="814"/>
      <c r="S167" s="440">
        <v>410</v>
      </c>
      <c r="T167" s="168">
        <v>2.25</v>
      </c>
      <c r="U167" s="167">
        <v>4.5</v>
      </c>
      <c r="V167" s="168">
        <v>4.25</v>
      </c>
      <c r="W167" s="167">
        <v>9</v>
      </c>
      <c r="X167" s="168">
        <v>8.75</v>
      </c>
      <c r="Y167" s="167">
        <v>12.25</v>
      </c>
      <c r="Z167" s="538" t="e">
        <f t="shared" si="2"/>
        <v>#N/A</v>
      </c>
      <c r="AF167" s="8"/>
      <c r="AI167" s="814"/>
      <c r="AJ167" s="814"/>
      <c r="AK167" s="814"/>
      <c r="AL167" s="814"/>
      <c r="AM167" s="814"/>
      <c r="AN167" s="814"/>
      <c r="AO167" s="814"/>
      <c r="AP167" s="814"/>
      <c r="AQ167" s="814"/>
      <c r="AR167" s="814"/>
      <c r="AS167" s="814"/>
    </row>
    <row r="168" spans="1:45" x14ac:dyDescent="0.2">
      <c r="A168" s="814"/>
      <c r="S168" s="440">
        <v>405</v>
      </c>
      <c r="T168" s="168">
        <v>2.25</v>
      </c>
      <c r="U168" s="167">
        <v>4.5</v>
      </c>
      <c r="V168" s="168">
        <v>4.25</v>
      </c>
      <c r="W168" s="167">
        <v>9</v>
      </c>
      <c r="X168" s="168">
        <v>8.75</v>
      </c>
      <c r="Y168" s="167">
        <v>12</v>
      </c>
      <c r="Z168" s="538" t="e">
        <f t="shared" si="2"/>
        <v>#N/A</v>
      </c>
      <c r="AF168" s="8"/>
      <c r="AI168" s="814"/>
      <c r="AJ168" s="814"/>
      <c r="AK168" s="814"/>
      <c r="AL168" s="814"/>
      <c r="AM168" s="814"/>
      <c r="AN168" s="814"/>
      <c r="AO168" s="814"/>
      <c r="AP168" s="814"/>
      <c r="AQ168" s="814"/>
      <c r="AR168" s="814"/>
      <c r="AS168" s="814"/>
    </row>
    <row r="169" spans="1:45" x14ac:dyDescent="0.2">
      <c r="A169" s="814"/>
      <c r="S169" s="440">
        <v>400</v>
      </c>
      <c r="T169" s="168">
        <v>2</v>
      </c>
      <c r="U169" s="167">
        <v>4.75</v>
      </c>
      <c r="V169" s="168">
        <v>4.25</v>
      </c>
      <c r="W169" s="167">
        <v>9</v>
      </c>
      <c r="X169" s="168">
        <v>8.75</v>
      </c>
      <c r="Y169" s="167">
        <v>12</v>
      </c>
      <c r="Z169" s="538" t="e">
        <f t="shared" si="2"/>
        <v>#N/A</v>
      </c>
      <c r="AF169" s="8"/>
      <c r="AI169" s="814"/>
      <c r="AJ169" s="814"/>
      <c r="AK169" s="814"/>
      <c r="AL169" s="814"/>
      <c r="AM169" s="814"/>
      <c r="AN169" s="814"/>
      <c r="AO169" s="814"/>
      <c r="AP169" s="814"/>
      <c r="AQ169" s="814"/>
      <c r="AR169" s="814"/>
      <c r="AS169" s="814"/>
    </row>
    <row r="170" spans="1:45" x14ac:dyDescent="0.2">
      <c r="A170" s="814"/>
      <c r="S170" s="440">
        <v>395</v>
      </c>
      <c r="T170" s="168">
        <v>2</v>
      </c>
      <c r="U170" s="167">
        <v>4.75</v>
      </c>
      <c r="V170" s="168">
        <v>4.5</v>
      </c>
      <c r="W170" s="167">
        <v>9</v>
      </c>
      <c r="X170" s="168">
        <v>8.75</v>
      </c>
      <c r="Y170" s="167">
        <v>11.75</v>
      </c>
      <c r="Z170" s="538" t="e">
        <f t="shared" si="2"/>
        <v>#N/A</v>
      </c>
      <c r="AF170" s="8"/>
      <c r="AI170" s="814"/>
      <c r="AJ170" s="814"/>
      <c r="AK170" s="814"/>
      <c r="AL170" s="814"/>
      <c r="AM170" s="814"/>
      <c r="AN170" s="814"/>
      <c r="AO170" s="814"/>
      <c r="AP170" s="814"/>
      <c r="AQ170" s="814"/>
      <c r="AR170" s="814"/>
      <c r="AS170" s="814"/>
    </row>
    <row r="171" spans="1:45" x14ac:dyDescent="0.2">
      <c r="A171" s="814"/>
      <c r="S171" s="440">
        <v>390</v>
      </c>
      <c r="T171" s="168">
        <v>2</v>
      </c>
      <c r="U171" s="167">
        <v>4.75</v>
      </c>
      <c r="V171" s="168">
        <v>4.5</v>
      </c>
      <c r="W171" s="167">
        <v>9</v>
      </c>
      <c r="X171" s="168">
        <v>8.75</v>
      </c>
      <c r="Y171" s="167">
        <v>11.5</v>
      </c>
      <c r="Z171" s="538" t="e">
        <f t="shared" si="2"/>
        <v>#N/A</v>
      </c>
      <c r="AF171" s="8"/>
      <c r="AI171" s="814"/>
      <c r="AJ171" s="814"/>
      <c r="AK171" s="814"/>
      <c r="AL171" s="814"/>
      <c r="AM171" s="814"/>
      <c r="AN171" s="814"/>
      <c r="AO171" s="814"/>
      <c r="AP171" s="814"/>
      <c r="AQ171" s="814"/>
      <c r="AR171" s="814"/>
      <c r="AS171" s="814"/>
    </row>
    <row r="172" spans="1:45" x14ac:dyDescent="0.2">
      <c r="A172" s="814"/>
      <c r="S172" s="440">
        <v>385</v>
      </c>
      <c r="T172" s="168">
        <v>2</v>
      </c>
      <c r="U172" s="167">
        <v>4.75</v>
      </c>
      <c r="V172" s="168">
        <v>4.5</v>
      </c>
      <c r="W172" s="167">
        <v>9.25</v>
      </c>
      <c r="X172" s="168">
        <v>9</v>
      </c>
      <c r="Y172" s="167">
        <v>11.5</v>
      </c>
      <c r="Z172" s="538" t="e">
        <f t="shared" si="2"/>
        <v>#N/A</v>
      </c>
      <c r="AF172" s="8"/>
      <c r="AI172" s="814"/>
      <c r="AJ172" s="814"/>
      <c r="AK172" s="814"/>
      <c r="AL172" s="814"/>
      <c r="AM172" s="814"/>
      <c r="AN172" s="814"/>
      <c r="AO172" s="814"/>
      <c r="AP172" s="814"/>
      <c r="AQ172" s="814"/>
      <c r="AR172" s="814"/>
      <c r="AS172" s="814"/>
    </row>
    <row r="173" spans="1:45" x14ac:dyDescent="0.2">
      <c r="A173" s="814"/>
      <c r="S173" s="440">
        <v>380</v>
      </c>
      <c r="T173" s="168">
        <v>2</v>
      </c>
      <c r="U173" s="167">
        <v>4.75</v>
      </c>
      <c r="V173" s="168">
        <v>4.5</v>
      </c>
      <c r="W173" s="167">
        <v>9.25</v>
      </c>
      <c r="X173" s="168">
        <v>9</v>
      </c>
      <c r="Y173" s="167">
        <v>11.25</v>
      </c>
      <c r="Z173" s="538" t="e">
        <f t="shared" si="2"/>
        <v>#N/A</v>
      </c>
      <c r="AF173" s="8"/>
      <c r="AI173" s="814"/>
      <c r="AJ173" s="814"/>
      <c r="AK173" s="814"/>
      <c r="AL173" s="814"/>
      <c r="AM173" s="814"/>
      <c r="AN173" s="814"/>
      <c r="AO173" s="814"/>
      <c r="AP173" s="814"/>
      <c r="AQ173" s="814"/>
      <c r="AR173" s="814"/>
      <c r="AS173" s="814"/>
    </row>
    <row r="174" spans="1:45" x14ac:dyDescent="0.2">
      <c r="A174" s="814"/>
      <c r="S174" s="440">
        <v>375</v>
      </c>
      <c r="T174" s="168">
        <v>2</v>
      </c>
      <c r="U174" s="167">
        <v>4.75</v>
      </c>
      <c r="V174" s="168">
        <v>4.5</v>
      </c>
      <c r="W174" s="167">
        <v>9.25</v>
      </c>
      <c r="X174" s="168">
        <v>9</v>
      </c>
      <c r="Y174" s="167">
        <v>11.25</v>
      </c>
      <c r="Z174" s="538" t="e">
        <f t="shared" si="2"/>
        <v>#N/A</v>
      </c>
      <c r="AF174" s="8"/>
      <c r="AI174" s="814"/>
      <c r="AJ174" s="814"/>
      <c r="AK174" s="814"/>
      <c r="AL174" s="814"/>
      <c r="AM174" s="814"/>
      <c r="AN174" s="814"/>
      <c r="AO174" s="814"/>
      <c r="AP174" s="814"/>
      <c r="AQ174" s="814"/>
      <c r="AR174" s="814"/>
      <c r="AS174" s="814"/>
    </row>
    <row r="175" spans="1:45" x14ac:dyDescent="0.2">
      <c r="A175" s="814"/>
      <c r="S175" s="440">
        <v>370</v>
      </c>
      <c r="T175" s="168">
        <v>2</v>
      </c>
      <c r="U175" s="167">
        <v>4.75</v>
      </c>
      <c r="V175" s="168">
        <v>4.5</v>
      </c>
      <c r="W175" s="167">
        <v>9.25</v>
      </c>
      <c r="X175" s="168">
        <v>9</v>
      </c>
      <c r="Y175" s="167">
        <v>11</v>
      </c>
      <c r="Z175" s="538" t="e">
        <f t="shared" si="2"/>
        <v>#N/A</v>
      </c>
      <c r="AF175" s="8"/>
      <c r="AI175" s="814"/>
      <c r="AJ175" s="814"/>
      <c r="AK175" s="814"/>
      <c r="AL175" s="814"/>
      <c r="AM175" s="814"/>
      <c r="AN175" s="814"/>
      <c r="AO175" s="814"/>
      <c r="AP175" s="814"/>
      <c r="AQ175" s="814"/>
      <c r="AR175" s="814"/>
      <c r="AS175" s="814"/>
    </row>
    <row r="176" spans="1:45" x14ac:dyDescent="0.2">
      <c r="A176" s="814"/>
      <c r="S176" s="440">
        <v>365</v>
      </c>
      <c r="T176" s="168">
        <v>2</v>
      </c>
      <c r="U176" s="167">
        <v>4.75</v>
      </c>
      <c r="V176" s="168">
        <v>4.5</v>
      </c>
      <c r="W176" s="167">
        <v>9.25</v>
      </c>
      <c r="X176" s="168">
        <v>9</v>
      </c>
      <c r="Y176" s="167">
        <v>11</v>
      </c>
      <c r="Z176" s="538" t="e">
        <f t="shared" si="2"/>
        <v>#N/A</v>
      </c>
      <c r="AF176" s="8"/>
      <c r="AI176" s="814"/>
      <c r="AJ176" s="814"/>
      <c r="AK176" s="814"/>
      <c r="AL176" s="814"/>
      <c r="AM176" s="814"/>
      <c r="AN176" s="814"/>
      <c r="AO176" s="814"/>
      <c r="AP176" s="814"/>
      <c r="AQ176" s="814"/>
      <c r="AR176" s="814"/>
      <c r="AS176" s="814"/>
    </row>
    <row r="177" spans="1:45" x14ac:dyDescent="0.2">
      <c r="A177" s="814"/>
      <c r="S177" s="440">
        <v>360</v>
      </c>
      <c r="T177" s="168">
        <v>2</v>
      </c>
      <c r="U177" s="167">
        <v>4.75</v>
      </c>
      <c r="V177" s="168">
        <v>4.5</v>
      </c>
      <c r="W177" s="167">
        <v>9.5</v>
      </c>
      <c r="X177" s="168">
        <v>9.25</v>
      </c>
      <c r="Y177" s="167">
        <v>10.75</v>
      </c>
      <c r="Z177" s="538" t="e">
        <f t="shared" si="2"/>
        <v>#N/A</v>
      </c>
      <c r="AF177" s="8"/>
      <c r="AI177" s="814"/>
      <c r="AJ177" s="814"/>
      <c r="AK177" s="814"/>
      <c r="AL177" s="814"/>
      <c r="AM177" s="814"/>
      <c r="AN177" s="814"/>
      <c r="AO177" s="814"/>
      <c r="AP177" s="814"/>
      <c r="AQ177" s="814"/>
      <c r="AR177" s="814"/>
      <c r="AS177" s="814"/>
    </row>
    <row r="178" spans="1:45" x14ac:dyDescent="0.2">
      <c r="A178" s="814"/>
      <c r="S178" s="440">
        <v>355</v>
      </c>
      <c r="T178" s="168">
        <v>2</v>
      </c>
      <c r="U178" s="167">
        <v>4.75</v>
      </c>
      <c r="V178" s="168">
        <v>4.5</v>
      </c>
      <c r="W178" s="167">
        <v>9.5</v>
      </c>
      <c r="X178" s="168">
        <v>9.25</v>
      </c>
      <c r="Y178" s="167">
        <v>10.5</v>
      </c>
      <c r="Z178" s="538" t="e">
        <f t="shared" si="2"/>
        <v>#N/A</v>
      </c>
      <c r="AF178" s="8"/>
      <c r="AI178" s="814"/>
      <c r="AJ178" s="814"/>
      <c r="AK178" s="814"/>
      <c r="AL178" s="814"/>
      <c r="AM178" s="814"/>
      <c r="AN178" s="814"/>
      <c r="AO178" s="814"/>
      <c r="AP178" s="814"/>
      <c r="AQ178" s="814"/>
      <c r="AR178" s="814"/>
      <c r="AS178" s="814"/>
    </row>
    <row r="179" spans="1:45" ht="13.5" thickBot="1" x14ac:dyDescent="0.25">
      <c r="A179" s="814"/>
      <c r="S179" s="554">
        <v>350</v>
      </c>
      <c r="T179" s="542">
        <v>2</v>
      </c>
      <c r="U179" s="543">
        <v>5</v>
      </c>
      <c r="V179" s="542">
        <v>4.5</v>
      </c>
      <c r="W179" s="543">
        <v>9.5</v>
      </c>
      <c r="X179" s="542">
        <v>9.25</v>
      </c>
      <c r="Y179" s="543">
        <v>10.5</v>
      </c>
      <c r="Z179" s="544" t="e">
        <f t="shared" si="2"/>
        <v>#N/A</v>
      </c>
      <c r="AF179" s="8"/>
      <c r="AI179" s="814"/>
      <c r="AJ179" s="814"/>
      <c r="AK179" s="814"/>
      <c r="AL179" s="814"/>
      <c r="AM179" s="814"/>
      <c r="AN179" s="814"/>
      <c r="AO179" s="814"/>
      <c r="AP179" s="814"/>
      <c r="AQ179" s="814"/>
      <c r="AR179" s="814"/>
      <c r="AS179" s="814"/>
    </row>
    <row r="182" spans="1:45" x14ac:dyDescent="0.2">
      <c r="S182" s="814" t="s">
        <v>3491</v>
      </c>
    </row>
  </sheetData>
  <protectedRanges>
    <protectedRange sqref="D7:H20" name="Диапазон1_1"/>
  </protectedRanges>
  <customSheetViews>
    <customSheetView guid="{788B8383-784A-4263-9D04-45657AC129FF}" hiddenColumns="1">
      <selection activeCell="AI27" sqref="AI27"/>
      <pageMargins left="0.75" right="0.75" top="1" bottom="1" header="0.5" footer="0.5"/>
      <pageSetup paperSize="9" orientation="portrait" r:id="rId1"/>
      <headerFooter alignWithMargins="0"/>
    </customSheetView>
  </customSheetViews>
  <mergeCells count="25">
    <mergeCell ref="AG30:AH30"/>
    <mergeCell ref="T31:AE31"/>
    <mergeCell ref="AH31:AH32"/>
    <mergeCell ref="B2:O2"/>
    <mergeCell ref="N4:N5"/>
    <mergeCell ref="O4:O5"/>
    <mergeCell ref="B4:B5"/>
    <mergeCell ref="C4:C5"/>
    <mergeCell ref="E4:J4"/>
    <mergeCell ref="AI24:AJ24"/>
    <mergeCell ref="B7:B8"/>
    <mergeCell ref="L7:L8"/>
    <mergeCell ref="S50:AE50"/>
    <mergeCell ref="S51:S52"/>
    <mergeCell ref="T51:AE51"/>
    <mergeCell ref="S31:S32"/>
    <mergeCell ref="D22:H22"/>
    <mergeCell ref="N22:O22"/>
    <mergeCell ref="K7:K8"/>
    <mergeCell ref="N7:N8"/>
    <mergeCell ref="O7:O8"/>
    <mergeCell ref="G7:G8"/>
    <mergeCell ref="D7:D8"/>
    <mergeCell ref="AG31:AG32"/>
    <mergeCell ref="S30:AE30"/>
  </mergeCells>
  <phoneticPr fontId="2" type="noConversion"/>
  <dataValidations count="11">
    <dataValidation type="list" allowBlank="1" showInputMessage="1" showErrorMessage="1" sqref="H7:H20" xr:uid="{00000000-0002-0000-1A00-000000000000}">
      <formula1>IF(E7="алюминий",$AG$47,$AG$33:$AG$41)</formula1>
    </dataValidation>
    <dataValidation type="list" allowBlank="1" showInputMessage="1" showErrorMessage="1" sqref="F14:F17 F19" xr:uid="{00000000-0002-0000-1A00-000001000000}">
      <formula1>IF(E14="алюминий",$S$53:$S$59,$R$29:$R$69)</formula1>
    </dataValidation>
    <dataValidation type="list" allowBlank="1" showInputMessage="1" showErrorMessage="1" sqref="E7:E20" xr:uid="{00000000-0002-0000-1A00-000002000000}">
      <formula1>$AG$43:$AG$45</formula1>
    </dataValidation>
    <dataValidation type="list" allowBlank="1" showInputMessage="1" showErrorMessage="1" sqref="F18" xr:uid="{00000000-0002-0000-1A00-000003000000}">
      <formula1>IF($E$18="алюминий",$S$53:$S$55,$R$29:$R$49)</formula1>
    </dataValidation>
    <dataValidation type="list" allowBlank="1" showInputMessage="1" showErrorMessage="1" sqref="G7 G10:G17 G19:G20" xr:uid="{00000000-0002-0000-1A00-000004000000}">
      <formula1>$T$32:$AE$32</formula1>
    </dataValidation>
    <dataValidation type="list" allowBlank="1" showInputMessage="1" showErrorMessage="1" sqref="F10:F11" xr:uid="{00000000-0002-0000-1A00-000005000000}">
      <formula1>IF($E$10="алюминий",$S$34:$S$43,$S$85:$S$179)</formula1>
    </dataValidation>
    <dataValidation type="list" allowBlank="1" showInputMessage="1" showErrorMessage="1" sqref="G18" xr:uid="{00000000-0002-0000-1A00-000006000000}">
      <formula1>$T$32:$AA$32</formula1>
    </dataValidation>
    <dataValidation type="list" allowBlank="1" showInputMessage="1" showErrorMessage="1" sqref="F7" xr:uid="{00000000-0002-0000-1A00-000007000000}">
      <formula1>IF($E$7="алюминий",$S$53:$S$68,$R$33:$R$113)</formula1>
    </dataValidation>
    <dataValidation type="list" allowBlank="1" showInputMessage="1" showErrorMessage="1" sqref="F8:F9" xr:uid="{00000000-0002-0000-1A00-000008000000}">
      <formula1>IF($E$8="алюминий",$S$53:$S$68,$R$33:$R$113)</formula1>
    </dataValidation>
    <dataValidation type="list" allowBlank="1" showInputMessage="1" showErrorMessage="1" sqref="F12:F13" xr:uid="{00000000-0002-0000-1A00-000009000000}">
      <formula1>IF($E$12="алюминий",$S$53:$S$59,$R$39:$R$69)</formula1>
    </dataValidation>
    <dataValidation type="list" allowBlank="1" showInputMessage="1" showErrorMessage="1" sqref="F20" xr:uid="{00000000-0002-0000-1A00-00000A000000}">
      <formula1>$R$33:$R$69</formula1>
    </dataValidation>
  </dataValidations>
  <hyperlinks>
    <hyperlink ref="AJ23" location="'5.2'!A1" display="AVS Servo-Drive" xr:uid="{00000000-0004-0000-1A00-000000000000}"/>
    <hyperlink ref="AI24" location="'8'!A1" display="Информация" xr:uid="{00000000-0004-0000-1A00-000001000000}"/>
    <hyperlink ref="AI23" location="'5.2'!A1" display="→" xr:uid="{00000000-0004-0000-1A00-000002000000}"/>
    <hyperlink ref="AJ22" location="'5.1'!A1" display="AVENTOS" xr:uid="{00000000-0004-0000-1A00-000003000000}"/>
    <hyperlink ref="AI22" location="'5.1'!A1" display="→" xr:uid="{00000000-0004-0000-1A00-000004000000}"/>
    <hyperlink ref="AI26:AK26" location="СОДЕРЖАНИЕ!A1" display="←" xr:uid="{00000000-0004-0000-1A00-000005000000}"/>
  </hyperlinks>
  <pageMargins left="0.75" right="0.75" top="1" bottom="1" header="0.5" footer="0.5"/>
  <pageSetup paperSize="9" orientation="portrait" r:id="rId2"/>
  <headerFooter alignWithMargins="0"/>
  <drawing r:id="rId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 codeName="Лист22"/>
  <dimension ref="A1:DS399"/>
  <sheetViews>
    <sheetView showGridLines="0" workbookViewId="0">
      <pane ySplit="6" topLeftCell="A195" activePane="bottomLeft" state="frozen"/>
      <selection pane="bottomLeft"/>
    </sheetView>
  </sheetViews>
  <sheetFormatPr defaultRowHeight="15" x14ac:dyDescent="0.2"/>
  <cols>
    <col min="1" max="1" width="2.85546875" style="314" customWidth="1"/>
    <col min="2" max="2" width="29.5703125" style="840" customWidth="1"/>
    <col min="3" max="3" width="9.140625" style="840" customWidth="1"/>
    <col min="4" max="4" width="40" style="840" customWidth="1"/>
    <col min="5" max="5" width="3.42578125" style="10" bestFit="1" customWidth="1"/>
    <col min="6" max="7" width="9.140625" style="1454" customWidth="1"/>
    <col min="8" max="8" width="8" style="6" customWidth="1"/>
    <col min="9" max="9" width="10.7109375" style="20" bestFit="1" customWidth="1"/>
    <col min="10" max="10" width="3.140625" style="771" customWidth="1"/>
    <col min="11" max="11" width="3.140625" style="771" hidden="1" customWidth="1"/>
    <col min="12" max="12" width="5.140625" style="8" hidden="1" customWidth="1"/>
    <col min="13" max="17" width="8.5703125" style="8" hidden="1" customWidth="1"/>
    <col min="18" max="18" width="27.42578125" style="8" hidden="1" customWidth="1"/>
    <col min="19" max="19" width="11.140625" style="8" hidden="1" customWidth="1"/>
    <col min="20" max="20" width="37" style="8" hidden="1" customWidth="1"/>
    <col min="21" max="21" width="9.5703125" style="8" hidden="1" customWidth="1"/>
    <col min="22" max="29" width="9.140625" style="8" hidden="1" customWidth="1"/>
    <col min="30" max="30" width="4" style="8" hidden="1" customWidth="1"/>
    <col min="31" max="32" width="9.140625" style="8" hidden="1" customWidth="1"/>
    <col min="33" max="38" width="9.140625" style="771" hidden="1" customWidth="1"/>
    <col min="39" max="39" width="4" style="771" hidden="1" customWidth="1"/>
    <col min="40" max="47" width="9.140625" style="771" hidden="1" customWidth="1"/>
    <col min="48" max="48" width="4" style="771" hidden="1" customWidth="1"/>
    <col min="49" max="58" width="9.140625" style="771" hidden="1" customWidth="1"/>
    <col min="59" max="59" width="25.140625" style="771" hidden="1" customWidth="1"/>
    <col min="60" max="83" width="9.140625" style="771" hidden="1" customWidth="1"/>
    <col min="84" max="84" width="9.140625" style="771" customWidth="1"/>
    <col min="85" max="85" width="9.140625" style="771"/>
    <col min="86" max="86" width="9.85546875" style="771" customWidth="1"/>
    <col min="87" max="89" width="9.5703125" style="771" customWidth="1"/>
    <col min="90" max="123" width="9.140625" style="771"/>
    <col min="124" max="16384" width="9.140625" style="840"/>
  </cols>
  <sheetData>
    <row r="1" spans="1:90" s="771" customFormat="1" ht="4.5" customHeight="1" x14ac:dyDescent="0.2">
      <c r="A1" s="889"/>
      <c r="E1" s="774"/>
      <c r="F1" s="1438"/>
      <c r="G1" s="1438"/>
      <c r="H1" s="801"/>
      <c r="I1" s="887"/>
      <c r="AA1" s="771">
        <v>270</v>
      </c>
    </row>
    <row r="2" spans="1:90" s="771" customFormat="1" ht="40.5" customHeight="1" x14ac:dyDescent="0.2">
      <c r="A2" s="2390" t="s">
        <v>2350</v>
      </c>
      <c r="B2" s="2390"/>
      <c r="C2" s="2390"/>
      <c r="D2" s="2390"/>
      <c r="E2" s="2390"/>
      <c r="F2" s="2390"/>
      <c r="G2" s="2390"/>
      <c r="H2" s="2390"/>
      <c r="I2" s="2390"/>
      <c r="AA2" s="771">
        <f>IF($D$3="Гавана Коричневый",350,300)</f>
        <v>300</v>
      </c>
      <c r="AB2" s="771">
        <f>IF(D3="Гавана Коричневый",500,450)</f>
        <v>450</v>
      </c>
    </row>
    <row r="3" spans="1:90" s="771" customFormat="1" ht="18.75" customHeight="1" x14ac:dyDescent="0.25">
      <c r="A3" s="843"/>
      <c r="B3" s="906" t="s">
        <v>2402</v>
      </c>
      <c r="C3" s="907" t="s">
        <v>2395</v>
      </c>
      <c r="D3" s="1512" t="s">
        <v>2398</v>
      </c>
      <c r="E3" s="774"/>
      <c r="F3" s="1438"/>
      <c r="G3" s="1438"/>
      <c r="H3" s="801"/>
      <c r="I3" s="887"/>
      <c r="V3" s="840" t="s">
        <v>4422</v>
      </c>
      <c r="X3" s="884" t="s">
        <v>2396</v>
      </c>
      <c r="AA3" s="771">
        <f>IF($D$3="Гавана Коричневый",400,350)</f>
        <v>350</v>
      </c>
      <c r="AB3" s="771">
        <f>IF(D3="Гавана Коричневый","",500)</f>
        <v>500</v>
      </c>
    </row>
    <row r="4" spans="1:90" s="771" customFormat="1" ht="15" customHeight="1" x14ac:dyDescent="0.25">
      <c r="A4" s="889"/>
      <c r="B4" s="890"/>
      <c r="D4" s="1513" t="s">
        <v>4421</v>
      </c>
      <c r="E4" s="774"/>
      <c r="F4" s="1438"/>
      <c r="G4" s="1438"/>
      <c r="H4" s="801"/>
      <c r="I4" s="887"/>
      <c r="V4" s="771" t="s">
        <v>4420</v>
      </c>
      <c r="X4" s="771" t="s">
        <v>2398</v>
      </c>
      <c r="AA4" s="771">
        <f>IF($D$3="Гавана Коричневый",450,400)</f>
        <v>400</v>
      </c>
    </row>
    <row r="5" spans="1:90" s="771" customFormat="1" ht="15" customHeight="1" x14ac:dyDescent="0.2">
      <c r="A5" s="889"/>
      <c r="E5" s="774"/>
      <c r="F5" s="1438"/>
      <c r="G5" s="1438"/>
      <c r="H5" s="801"/>
      <c r="I5" s="887"/>
      <c r="V5" s="840" t="s">
        <v>4421</v>
      </c>
      <c r="X5" s="771" t="s">
        <v>2397</v>
      </c>
      <c r="AA5" s="771">
        <f>IF($D$3="Гавана Коричневый",500,450)</f>
        <v>450</v>
      </c>
    </row>
    <row r="6" spans="1:90" s="771" customFormat="1" ht="5.25" customHeight="1" x14ac:dyDescent="0.2">
      <c r="A6" s="889"/>
      <c r="E6" s="774"/>
      <c r="F6" s="1438"/>
      <c r="G6" s="1438"/>
      <c r="H6" s="801"/>
      <c r="I6" s="887"/>
      <c r="X6" s="771" t="str">
        <f>IF(OR(D4="Торговая",D4="Индивидуальная"),"","Гавана Коричневый")</f>
        <v>Гавана Коричневый</v>
      </c>
      <c r="AA6" s="771">
        <f>IF($D$3="Гавана Коричневый",0,500)</f>
        <v>500</v>
      </c>
    </row>
    <row r="7" spans="1:90" s="771" customFormat="1" ht="15" customHeight="1" x14ac:dyDescent="0.2">
      <c r="A7" s="889"/>
      <c r="B7" s="908"/>
      <c r="C7" s="908"/>
      <c r="E7" s="774"/>
      <c r="F7" s="1438"/>
      <c r="G7" s="1438"/>
      <c r="H7" s="801"/>
      <c r="I7" s="887"/>
    </row>
    <row r="8" spans="1:90" ht="20.100000000000001" customHeight="1" x14ac:dyDescent="0.2">
      <c r="A8" s="2401"/>
      <c r="B8" s="2393" t="s">
        <v>2351</v>
      </c>
      <c r="C8" s="2394"/>
      <c r="D8" s="2394"/>
      <c r="E8" s="2394"/>
      <c r="F8" s="2394"/>
      <c r="G8" s="2394"/>
      <c r="H8" s="2395"/>
      <c r="I8" s="688"/>
      <c r="J8" s="782"/>
      <c r="K8" s="782"/>
    </row>
    <row r="9" spans="1:90" ht="20.100000000000001" customHeight="1" thickBot="1" x14ac:dyDescent="0.25">
      <c r="A9" s="2401"/>
      <c r="B9" s="2396"/>
      <c r="C9" s="2396"/>
      <c r="D9" s="2396"/>
      <c r="E9" s="2396"/>
      <c r="F9" s="2396"/>
      <c r="G9" s="2396"/>
      <c r="H9" s="2397"/>
      <c r="I9" s="1514" t="str">
        <f>CONCATENATE("N",$C$11,$D$3)</f>
        <v>N500БЕЛЫЙ ШЕЛК - матовый</v>
      </c>
      <c r="J9" s="782"/>
      <c r="K9" s="782"/>
    </row>
    <row r="10" spans="1:90" ht="12.75" customHeight="1" x14ac:dyDescent="0.2">
      <c r="A10" s="842"/>
      <c r="B10" s="1524" t="s">
        <v>7034</v>
      </c>
      <c r="C10" s="2391" t="str">
        <f>IFERROR(IF(D4="Индивидуальная",VLOOKUP(I9,Индивидуальная,2,FALSE),""),"")</f>
        <v/>
      </c>
      <c r="D10" s="2391"/>
      <c r="E10" s="691"/>
      <c r="F10" s="2134" t="s">
        <v>1182</v>
      </c>
      <c r="G10" s="2134"/>
      <c r="H10" s="2134"/>
      <c r="I10" s="2135"/>
      <c r="J10" s="782"/>
      <c r="K10" s="782"/>
    </row>
    <row r="11" spans="1:90" ht="15.75" customHeight="1" thickBot="1" x14ac:dyDescent="0.25">
      <c r="A11" s="842"/>
      <c r="B11" s="844" t="s">
        <v>1639</v>
      </c>
      <c r="C11" s="850">
        <v>500</v>
      </c>
      <c r="D11" s="845" t="s">
        <v>1689</v>
      </c>
      <c r="E11" s="846"/>
      <c r="F11" s="1439"/>
      <c r="G11" s="1439"/>
      <c r="H11" s="847"/>
      <c r="I11" s="2388" t="str">
        <f>IF(СОДЕРЖАНИЕ!P2=1,"EUR","RUB")</f>
        <v>RUB</v>
      </c>
      <c r="J11" s="782"/>
      <c r="K11" s="782"/>
      <c r="M11" s="2398" t="str">
        <f>$D$3</f>
        <v>БЕЛЫЙ ШЕЛК - матовый</v>
      </c>
      <c r="N11" s="2399"/>
      <c r="O11" s="2399"/>
      <c r="P11" s="2399"/>
      <c r="Q11" s="2399"/>
      <c r="R11" s="2399"/>
      <c r="S11" s="2399"/>
      <c r="T11" s="2400"/>
      <c r="V11" s="2404" t="s">
        <v>2357</v>
      </c>
      <c r="W11" s="2404"/>
      <c r="X11" s="2404"/>
      <c r="Y11" s="2404"/>
      <c r="Z11" s="2404"/>
      <c r="AA11" s="2404"/>
      <c r="AB11" s="2404"/>
      <c r="AC11" s="2404"/>
      <c r="AE11" s="2408" t="s">
        <v>2389</v>
      </c>
      <c r="AF11" s="2408"/>
      <c r="AG11" s="2408"/>
      <c r="AH11" s="2408"/>
      <c r="AI11" s="2408"/>
      <c r="AJ11" s="2408"/>
      <c r="AK11" s="2408"/>
      <c r="AL11" s="2408"/>
      <c r="AM11" s="8"/>
      <c r="AN11" s="2427" t="s">
        <v>2390</v>
      </c>
      <c r="AO11" s="2428"/>
      <c r="AP11" s="2428"/>
      <c r="AQ11" s="2428"/>
      <c r="AR11" s="2428"/>
      <c r="AS11" s="2428"/>
      <c r="AT11" s="2428"/>
      <c r="AU11" s="2428"/>
      <c r="AV11" s="8"/>
      <c r="AW11" s="2425" t="s">
        <v>3159</v>
      </c>
      <c r="AX11" s="2426"/>
      <c r="AY11" s="2426"/>
      <c r="AZ11" s="2426"/>
      <c r="BA11" s="2426"/>
      <c r="BB11" s="2426"/>
      <c r="BC11" s="2426"/>
      <c r="BD11" s="2426"/>
      <c r="BG11" s="771">
        <v>500</v>
      </c>
      <c r="BH11" s="1068" t="s">
        <v>1645</v>
      </c>
      <c r="BI11" s="1068" t="s">
        <v>1644</v>
      </c>
      <c r="BJ11" s="8" t="s">
        <v>1641</v>
      </c>
      <c r="BK11" s="8" t="s">
        <v>1642</v>
      </c>
      <c r="BL11" s="1068" t="s">
        <v>2393</v>
      </c>
      <c r="BM11" s="1068" t="s">
        <v>2394</v>
      </c>
      <c r="BN11" s="8" t="s">
        <v>2391</v>
      </c>
      <c r="BO11" s="8" t="s">
        <v>2392</v>
      </c>
      <c r="BQ11" s="2422" t="s">
        <v>4420</v>
      </c>
      <c r="BR11" s="2422"/>
      <c r="CK11" s="771" t="s">
        <v>3171</v>
      </c>
      <c r="CL11" s="771" t="s">
        <v>3171</v>
      </c>
    </row>
    <row r="12" spans="1:90" ht="9.9499999999999993" customHeight="1" x14ac:dyDescent="0.2">
      <c r="A12" s="2402"/>
      <c r="B12" s="2403"/>
      <c r="C12" s="1860" t="s">
        <v>1301</v>
      </c>
      <c r="D12" s="1861" t="s">
        <v>784</v>
      </c>
      <c r="E12" s="1862" t="s">
        <v>2117</v>
      </c>
      <c r="F12" s="1863" t="s">
        <v>4335</v>
      </c>
      <c r="G12" s="1863" t="s">
        <v>4335</v>
      </c>
      <c r="H12" s="1864" t="s">
        <v>2116</v>
      </c>
      <c r="I12" s="2389"/>
      <c r="J12" s="786"/>
      <c r="K12" s="786"/>
      <c r="V12" s="88"/>
    </row>
    <row r="13" spans="1:90" ht="12.75" customHeight="1" x14ac:dyDescent="0.2">
      <c r="A13" s="2402"/>
      <c r="B13" s="2403"/>
      <c r="C13" s="1865" t="s">
        <v>2376</v>
      </c>
      <c r="D13" s="1866" t="str">
        <f>VLOOKUP(C13,всецены,2,FALSE)</f>
        <v xml:space="preserve">LBX, Крепление фасада N, EXPANDO, симм  </v>
      </c>
      <c r="E13" s="1867">
        <v>2</v>
      </c>
      <c r="F13" s="1868">
        <f>VLOOKUP(C13,всецены,4,FALSE)</f>
        <v>52.858806000000008</v>
      </c>
      <c r="G13" s="1869">
        <f>IF($C$11=450,F13,IF($D$4="Индивидуальная",0,F13))</f>
        <v>52.858806000000008</v>
      </c>
      <c r="H13" s="1870">
        <f>G13*E13</f>
        <v>105.71761200000002</v>
      </c>
      <c r="I13" s="2385">
        <f>IF(C10="",SUM(H13:H21),VLOOKUP(C10,всецены,4,FALSE))</f>
        <v>2701.4915928000005</v>
      </c>
      <c r="J13" s="786"/>
      <c r="K13" s="786"/>
      <c r="L13" s="96" t="s">
        <v>1640</v>
      </c>
      <c r="M13" s="884" t="s">
        <v>2396</v>
      </c>
      <c r="N13" s="884" t="s">
        <v>2396</v>
      </c>
      <c r="Q13" s="884" t="s">
        <v>2396</v>
      </c>
      <c r="R13" s="884" t="s">
        <v>2396</v>
      </c>
      <c r="S13" s="884" t="s">
        <v>2396</v>
      </c>
      <c r="T13" s="884" t="s">
        <v>2396</v>
      </c>
      <c r="U13" s="96" t="s">
        <v>1640</v>
      </c>
      <c r="V13" s="884" t="s">
        <v>2396</v>
      </c>
      <c r="W13" s="884" t="s">
        <v>2396</v>
      </c>
      <c r="Z13" s="884" t="s">
        <v>2396</v>
      </c>
      <c r="AA13" s="884" t="s">
        <v>2396</v>
      </c>
      <c r="AB13" s="884" t="s">
        <v>2396</v>
      </c>
      <c r="AC13" s="884" t="s">
        <v>2396</v>
      </c>
      <c r="AD13" s="96" t="s">
        <v>1640</v>
      </c>
      <c r="AE13" s="771" t="s">
        <v>2398</v>
      </c>
      <c r="AF13" s="771" t="s">
        <v>2398</v>
      </c>
      <c r="AG13" s="8"/>
      <c r="AH13" s="8"/>
      <c r="AI13" s="771" t="s">
        <v>2398</v>
      </c>
      <c r="AJ13" s="771" t="s">
        <v>2398</v>
      </c>
      <c r="AK13" s="771" t="s">
        <v>2398</v>
      </c>
      <c r="AL13" s="771" t="s">
        <v>2398</v>
      </c>
      <c r="AM13" s="96" t="s">
        <v>1640</v>
      </c>
      <c r="AN13" s="771" t="s">
        <v>2397</v>
      </c>
      <c r="AO13" s="771" t="s">
        <v>2397</v>
      </c>
      <c r="AP13" s="8"/>
      <c r="AQ13" s="8"/>
      <c r="AR13" s="771" t="s">
        <v>2397</v>
      </c>
      <c r="AS13" s="771" t="s">
        <v>2397</v>
      </c>
      <c r="AT13" s="771" t="s">
        <v>2397</v>
      </c>
      <c r="AU13" s="771" t="s">
        <v>2397</v>
      </c>
      <c r="AV13" s="96" t="s">
        <v>1640</v>
      </c>
      <c r="AW13" s="771" t="s">
        <v>2397</v>
      </c>
      <c r="AX13" s="771" t="s">
        <v>2397</v>
      </c>
      <c r="AY13" s="8"/>
      <c r="AZ13" s="8"/>
      <c r="BA13" s="771" t="s">
        <v>2397</v>
      </c>
      <c r="BB13" s="771" t="s">
        <v>2397</v>
      </c>
      <c r="BC13" s="771" t="s">
        <v>2397</v>
      </c>
      <c r="BD13" s="771" t="s">
        <v>2397</v>
      </c>
      <c r="BG13" s="1090" t="s">
        <v>2396</v>
      </c>
      <c r="BH13" s="1084" t="str">
        <f>IF(D4="Торговая",BQ14,"3121421/")</f>
        <v>3121421/</v>
      </c>
      <c r="BI13" s="1084" t="str">
        <f>IF(D4="Торговая","","2935182/")</f>
        <v>2935182/</v>
      </c>
      <c r="BJ13" s="1085" t="s">
        <v>2307</v>
      </c>
      <c r="BK13" s="1085" t="s">
        <v>2302</v>
      </c>
      <c r="BL13" s="1091" t="s">
        <v>2370</v>
      </c>
      <c r="BM13" s="1078" t="s">
        <v>2311</v>
      </c>
      <c r="BN13" s="1084" t="s">
        <v>2375</v>
      </c>
      <c r="BO13" s="1084" t="s">
        <v>2359</v>
      </c>
      <c r="BQ13" s="1534" t="s">
        <v>3743</v>
      </c>
      <c r="BR13" s="1534" t="s">
        <v>3744</v>
      </c>
    </row>
    <row r="14" spans="1:90" ht="12.75" customHeight="1" x14ac:dyDescent="0.2">
      <c r="A14" s="2402"/>
      <c r="B14" s="2403"/>
      <c r="C14" s="1865" t="str">
        <f>S16</f>
        <v>4178362/</v>
      </c>
      <c r="D14" s="1866" t="str">
        <f>VLOOKUP(C14,всецены,2,FALSE)</f>
        <v xml:space="preserve">LBX, Держат. задн. ст, 78 мм, бел, лев  </v>
      </c>
      <c r="E14" s="1867">
        <v>1</v>
      </c>
      <c r="F14" s="1868">
        <f>VLOOKUP(C14,всецены,4,FALSE)</f>
        <v>36.594558000000006</v>
      </c>
      <c r="G14" s="1869">
        <f t="shared" ref="G14:G21" si="0">IF($C$11=450,F14,IF($D$4="Индивидуальная",0,F14))</f>
        <v>36.594558000000006</v>
      </c>
      <c r="H14" s="1870">
        <f t="shared" ref="H14:H21" si="1">G14*E14</f>
        <v>36.594558000000006</v>
      </c>
      <c r="I14" s="2386"/>
      <c r="J14" s="782"/>
      <c r="K14" s="782"/>
      <c r="M14" s="882" t="s">
        <v>1645</v>
      </c>
      <c r="N14" s="882" t="s">
        <v>1644</v>
      </c>
      <c r="O14" s="8" t="s">
        <v>1641</v>
      </c>
      <c r="P14" s="8" t="s">
        <v>1642</v>
      </c>
      <c r="Q14" s="882" t="s">
        <v>2393</v>
      </c>
      <c r="R14" s="882" t="s">
        <v>2394</v>
      </c>
      <c r="S14" s="8" t="s">
        <v>2391</v>
      </c>
      <c r="T14" s="8" t="s">
        <v>2392</v>
      </c>
      <c r="V14" s="841" t="s">
        <v>1645</v>
      </c>
      <c r="W14" s="841" t="s">
        <v>1644</v>
      </c>
      <c r="X14" s="8" t="s">
        <v>1641</v>
      </c>
      <c r="Y14" s="8" t="s">
        <v>1642</v>
      </c>
      <c r="Z14" s="880" t="s">
        <v>2393</v>
      </c>
      <c r="AA14" s="880" t="s">
        <v>2394</v>
      </c>
      <c r="AB14" s="8" t="s">
        <v>2391</v>
      </c>
      <c r="AC14" s="8" t="s">
        <v>2392</v>
      </c>
      <c r="AE14" s="880" t="s">
        <v>1645</v>
      </c>
      <c r="AF14" s="880" t="s">
        <v>1644</v>
      </c>
      <c r="AG14" s="8" t="s">
        <v>1641</v>
      </c>
      <c r="AH14" s="8" t="s">
        <v>1642</v>
      </c>
      <c r="AI14" s="880" t="s">
        <v>2393</v>
      </c>
      <c r="AJ14" s="880" t="s">
        <v>2394</v>
      </c>
      <c r="AK14" s="8" t="s">
        <v>2391</v>
      </c>
      <c r="AL14" s="8" t="s">
        <v>2392</v>
      </c>
      <c r="AM14" s="8"/>
      <c r="AN14" s="880" t="s">
        <v>1645</v>
      </c>
      <c r="AO14" s="880" t="s">
        <v>1644</v>
      </c>
      <c r="AP14" s="8" t="s">
        <v>1641</v>
      </c>
      <c r="AQ14" s="8" t="s">
        <v>1642</v>
      </c>
      <c r="AR14" s="880" t="s">
        <v>2393</v>
      </c>
      <c r="AS14" s="880" t="s">
        <v>2394</v>
      </c>
      <c r="AT14" s="8" t="s">
        <v>2391</v>
      </c>
      <c r="AU14" s="8" t="s">
        <v>2392</v>
      </c>
      <c r="AV14" s="8"/>
      <c r="AW14" s="1068" t="s">
        <v>1645</v>
      </c>
      <c r="AX14" s="1068" t="s">
        <v>1644</v>
      </c>
      <c r="AY14" s="8" t="s">
        <v>1641</v>
      </c>
      <c r="AZ14" s="8" t="s">
        <v>1642</v>
      </c>
      <c r="BA14" s="1068" t="s">
        <v>2393</v>
      </c>
      <c r="BB14" s="1068" t="s">
        <v>2394</v>
      </c>
      <c r="BC14" s="8" t="s">
        <v>2391</v>
      </c>
      <c r="BD14" s="8" t="s">
        <v>2392</v>
      </c>
      <c r="BG14" s="1088" t="s">
        <v>2398</v>
      </c>
      <c r="BH14" s="1084" t="str">
        <f>IF(D4="Торговая",BQ16,"3718725/")</f>
        <v>3718725/</v>
      </c>
      <c r="BI14" s="1084" t="str">
        <f>IF(D4="Торговая","","3474945/")</f>
        <v>3474945/</v>
      </c>
      <c r="BJ14" s="1085" t="s">
        <v>2307</v>
      </c>
      <c r="BK14" s="1085" t="s">
        <v>2302</v>
      </c>
      <c r="BL14" s="1088" t="s">
        <v>2361</v>
      </c>
      <c r="BM14" s="1088" t="s">
        <v>2330</v>
      </c>
      <c r="BN14" s="1088" t="s">
        <v>2371</v>
      </c>
      <c r="BO14" s="1088" t="s">
        <v>2374</v>
      </c>
      <c r="BQ14" s="1534" t="s">
        <v>4453</v>
      </c>
      <c r="BR14" s="1534" t="s">
        <v>4454</v>
      </c>
    </row>
    <row r="15" spans="1:90" ht="12.75" customHeight="1" x14ac:dyDescent="0.2">
      <c r="A15" s="2402"/>
      <c r="B15" s="2403"/>
      <c r="C15" s="1865" t="str">
        <f>T16</f>
        <v>5706475/</v>
      </c>
      <c r="D15" s="1866" t="str">
        <f>VLOOKUP(C15,всецены,2,FALSE)</f>
        <v xml:space="preserve">LBX, Держат. задн. ст, 78 мм, бел, прав </v>
      </c>
      <c r="E15" s="1867">
        <v>1</v>
      </c>
      <c r="F15" s="1868">
        <f>VLOOKUP(C15,всецены,4,FALSE)</f>
        <v>36.594558000000006</v>
      </c>
      <c r="G15" s="1869">
        <f t="shared" si="0"/>
        <v>36.594558000000006</v>
      </c>
      <c r="H15" s="1870">
        <f t="shared" si="1"/>
        <v>36.594558000000006</v>
      </c>
      <c r="I15" s="2386"/>
      <c r="J15" s="782"/>
      <c r="K15" s="782"/>
      <c r="L15" s="8">
        <v>450</v>
      </c>
      <c r="M15" s="892" t="str">
        <f>VLOOKUP($M$11,$BG$18:$BO$21,2,FALSE)</f>
        <v>9968111/</v>
      </c>
      <c r="N15" s="892">
        <f>VLOOKUP($M$11,$BG$18:$BO$21,3,FALSE)</f>
        <v>0</v>
      </c>
      <c r="O15" s="892" t="str">
        <f>VLOOKUP($M$11,$BG$18:$BO$21,4,FALSE)</f>
        <v>9337924/</v>
      </c>
      <c r="P15" s="892" t="str">
        <f>VLOOKUP($M$11,$BG$18:$BO$21,5,FALSE)</f>
        <v>9287449/</v>
      </c>
      <c r="Q15" s="164" t="s">
        <v>2370</v>
      </c>
      <c r="R15" s="43" t="s">
        <v>2311</v>
      </c>
      <c r="S15" s="138" t="s">
        <v>2375</v>
      </c>
      <c r="T15" s="138" t="s">
        <v>2359</v>
      </c>
      <c r="U15" s="8">
        <v>450</v>
      </c>
      <c r="V15" s="1854" t="s">
        <v>3743</v>
      </c>
      <c r="W15" s="2"/>
      <c r="X15" s="1088" t="s">
        <v>2993</v>
      </c>
      <c r="Y15" s="1088" t="s">
        <v>2992</v>
      </c>
      <c r="Z15" s="164" t="s">
        <v>2370</v>
      </c>
      <c r="AA15" s="43" t="s">
        <v>2486</v>
      </c>
      <c r="AB15" s="138" t="s">
        <v>2375</v>
      </c>
      <c r="AC15" s="138" t="s">
        <v>2359</v>
      </c>
      <c r="AD15" s="8">
        <v>450</v>
      </c>
      <c r="AE15" s="1852" t="s">
        <v>4079</v>
      </c>
      <c r="AF15" s="2"/>
      <c r="AG15" s="1088" t="s">
        <v>2993</v>
      </c>
      <c r="AH15" s="1088" t="s">
        <v>2992</v>
      </c>
      <c r="AI15" s="888" t="s">
        <v>2361</v>
      </c>
      <c r="AJ15" s="771" t="s">
        <v>2377</v>
      </c>
      <c r="AK15" s="888" t="s">
        <v>2371</v>
      </c>
      <c r="AL15" s="888" t="s">
        <v>2374</v>
      </c>
      <c r="AM15" s="8">
        <v>450</v>
      </c>
      <c r="AN15" s="1853" t="s">
        <v>4088</v>
      </c>
      <c r="AO15" s="2"/>
      <c r="AP15" s="1088" t="s">
        <v>2993</v>
      </c>
      <c r="AQ15" s="1088" t="s">
        <v>2992</v>
      </c>
      <c r="AR15" s="696" t="s">
        <v>2448</v>
      </c>
      <c r="AS15" s="696" t="s">
        <v>2342</v>
      </c>
      <c r="AT15" s="771" t="s">
        <v>2378</v>
      </c>
      <c r="AU15" s="771" t="s">
        <v>2379</v>
      </c>
      <c r="AV15" s="8">
        <v>450</v>
      </c>
      <c r="AW15" s="1084"/>
      <c r="AX15" s="1084"/>
      <c r="AY15" s="1085"/>
      <c r="AZ15" s="1085"/>
      <c r="BA15" s="1085"/>
      <c r="BB15" s="1085"/>
      <c r="BC15" s="1085"/>
      <c r="BD15" s="1085"/>
      <c r="BG15" s="1088" t="s">
        <v>2397</v>
      </c>
      <c r="BH15" s="1088" t="str">
        <f>IF(D4="Торговая",BQ18,"6322031/")</f>
        <v>6322031/</v>
      </c>
      <c r="BI15" s="1088" t="str">
        <f>IF(D4="Торговая","","6321792/")</f>
        <v>6321792/</v>
      </c>
      <c r="BJ15" s="1085" t="s">
        <v>2307</v>
      </c>
      <c r="BK15" s="1085" t="s">
        <v>2302</v>
      </c>
      <c r="BL15" s="1088" t="s">
        <v>2448</v>
      </c>
      <c r="BM15" s="1084" t="s">
        <v>2342</v>
      </c>
      <c r="BN15" s="1088" t="s">
        <v>2378</v>
      </c>
      <c r="BO15" s="1088" t="s">
        <v>2379</v>
      </c>
      <c r="BQ15" s="1534" t="s">
        <v>4079</v>
      </c>
      <c r="BR15" s="1534" t="s">
        <v>4467</v>
      </c>
    </row>
    <row r="16" spans="1:90" ht="12.75" customHeight="1" x14ac:dyDescent="0.2">
      <c r="A16" s="2402"/>
      <c r="B16" s="2403"/>
      <c r="C16" s="1871" t="str">
        <f>IF(C19=0,"",Q16)</f>
        <v>2539975/</v>
      </c>
      <c r="D16" s="1866" t="str">
        <f>IF(C16="","",VLOOKUP(C16,всецены,2,FALSE))</f>
        <v xml:space="preserve">LBX, ЗАГЛ, ВНУТР, БЕЛ, СИММ (N)         </v>
      </c>
      <c r="E16" s="1867">
        <f>IF(C16="",0,2)</f>
        <v>2</v>
      </c>
      <c r="F16" s="1868">
        <f>IF(C16="",0,VLOOKUP(C16,всецены,4,FALSE))</f>
        <v>8.9453364000000004</v>
      </c>
      <c r="G16" s="1869">
        <f t="shared" si="0"/>
        <v>8.9453364000000004</v>
      </c>
      <c r="H16" s="1870">
        <f t="shared" si="1"/>
        <v>17.890672800000001</v>
      </c>
      <c r="I16" s="2386"/>
      <c r="J16" s="782"/>
      <c r="K16" s="782"/>
      <c r="L16" s="8">
        <v>500</v>
      </c>
      <c r="M16" s="892" t="str">
        <f>VLOOKUP($M$11,$BG$13:$BO$16,2,FALSE)</f>
        <v>3718725/</v>
      </c>
      <c r="N16" s="892" t="str">
        <f>VLOOKUP($M$11,$BG$13:$BO$16,3,FALSE)</f>
        <v>3474945/</v>
      </c>
      <c r="O16" s="892" t="str">
        <f>VLOOKUP($M$11,$BG$13:$BO$16,4,FALSE)</f>
        <v>4922514/</v>
      </c>
      <c r="P16" s="892" t="str">
        <f>VLOOKUP($M$11,$BG$13:$BO$16,5,FALSE)</f>
        <v>4737284/</v>
      </c>
      <c r="Q16" s="892" t="str">
        <f>IF(D4="Торговая","",VLOOKUP($M$11,$BG$13:$BO$16,6,FALSE))</f>
        <v>2539975/</v>
      </c>
      <c r="R16" s="892" t="str">
        <f>IF(D4="Торговая","",VLOOKUP($M$11,$BG$13:$BO$16,7,FALSE))</f>
        <v>7747352/</v>
      </c>
      <c r="S16" s="892" t="str">
        <f>VLOOKUP($M$11,$BG$13:$BO$16,8,FALSE)</f>
        <v>4178362/</v>
      </c>
      <c r="T16" s="892" t="str">
        <f>VLOOKUP($M$11,$BG$13:$BO$16,9,FALSE)</f>
        <v>5706475/</v>
      </c>
      <c r="U16" s="8">
        <v>500</v>
      </c>
      <c r="V16" s="2" t="str">
        <f>IF(D4="Торговая",BQ14,"3121421/")</f>
        <v>3121421/</v>
      </c>
      <c r="W16" s="2" t="s">
        <v>2362</v>
      </c>
      <c r="X16" s="696" t="s">
        <v>2307</v>
      </c>
      <c r="Y16" s="696" t="s">
        <v>2302</v>
      </c>
      <c r="Z16" s="164" t="s">
        <v>2370</v>
      </c>
      <c r="AA16" s="43" t="s">
        <v>2486</v>
      </c>
      <c r="AB16" s="138" t="s">
        <v>2375</v>
      </c>
      <c r="AC16" s="138" t="s">
        <v>2359</v>
      </c>
      <c r="AD16" s="8">
        <v>500</v>
      </c>
      <c r="AE16" s="2" t="s">
        <v>2369</v>
      </c>
      <c r="AF16" s="2" t="s">
        <v>2368</v>
      </c>
      <c r="AG16" s="696" t="s">
        <v>2307</v>
      </c>
      <c r="AH16" s="696" t="s">
        <v>2302</v>
      </c>
      <c r="AI16" s="888" t="s">
        <v>2361</v>
      </c>
      <c r="AJ16" s="771" t="s">
        <v>2377</v>
      </c>
      <c r="AK16" s="888" t="s">
        <v>2371</v>
      </c>
      <c r="AL16" s="888" t="s">
        <v>2374</v>
      </c>
      <c r="AM16" s="8">
        <v>500</v>
      </c>
      <c r="AN16" s="771" t="s">
        <v>2492</v>
      </c>
      <c r="AO16" s="771" t="s">
        <v>2491</v>
      </c>
      <c r="AP16" s="696" t="s">
        <v>2307</v>
      </c>
      <c r="AQ16" s="696" t="s">
        <v>2302</v>
      </c>
      <c r="AR16" s="696" t="s">
        <v>2448</v>
      </c>
      <c r="AS16" s="696" t="s">
        <v>2342</v>
      </c>
      <c r="AT16" s="771" t="s">
        <v>2378</v>
      </c>
      <c r="AU16" s="771" t="s">
        <v>2379</v>
      </c>
      <c r="AV16" s="8">
        <v>500</v>
      </c>
      <c r="AW16" s="1086" t="s">
        <v>3062</v>
      </c>
      <c r="AX16" s="1086" t="s">
        <v>3061</v>
      </c>
      <c r="AY16" s="696" t="s">
        <v>2307</v>
      </c>
      <c r="AZ16" s="696" t="s">
        <v>2302</v>
      </c>
      <c r="BA16" s="1087" t="s">
        <v>3077</v>
      </c>
      <c r="BB16" s="1086" t="s">
        <v>2852</v>
      </c>
      <c r="BC16" s="1086" t="s">
        <v>3089</v>
      </c>
      <c r="BD16" s="1086" t="s">
        <v>3083</v>
      </c>
      <c r="BG16" s="1088" t="s">
        <v>3159</v>
      </c>
      <c r="BH16" s="1078" t="s">
        <v>3062</v>
      </c>
      <c r="BI16" s="1078" t="s">
        <v>3061</v>
      </c>
      <c r="BJ16" s="1085" t="s">
        <v>2307</v>
      </c>
      <c r="BK16" s="1085" t="s">
        <v>2302</v>
      </c>
      <c r="BL16" s="1078" t="s">
        <v>3077</v>
      </c>
      <c r="BM16" s="1078" t="s">
        <v>2852</v>
      </c>
      <c r="BN16" s="1078" t="s">
        <v>3089</v>
      </c>
      <c r="BO16" s="1078" t="s">
        <v>3083</v>
      </c>
      <c r="BQ16" s="1534" t="s">
        <v>4468</v>
      </c>
      <c r="BR16" s="1534" t="s">
        <v>4469</v>
      </c>
    </row>
    <row r="17" spans="1:123" ht="12.75" customHeight="1" x14ac:dyDescent="0.2">
      <c r="A17" s="843"/>
      <c r="B17" s="2403"/>
      <c r="C17" s="1871" t="str">
        <f>IF(C19=0,"",R16)</f>
        <v>7747352/</v>
      </c>
      <c r="D17" s="1866" t="str">
        <f>IF(C17="","",VLOOKUP(C17,всецены,2,FALSE))</f>
        <v xml:space="preserve">LBX, Загл, наружн, бел, симм            </v>
      </c>
      <c r="E17" s="1867">
        <f>IF(C17="",0,2)</f>
        <v>2</v>
      </c>
      <c r="F17" s="1868">
        <f>IF(C17="",0,VLOOKUP(C17,всецены,4,FALSE))</f>
        <v>7.3189116000000007</v>
      </c>
      <c r="G17" s="1869">
        <f t="shared" si="0"/>
        <v>7.3189116000000007</v>
      </c>
      <c r="H17" s="1870">
        <f t="shared" si="1"/>
        <v>14.637823200000001</v>
      </c>
      <c r="I17" s="2386"/>
      <c r="J17" s="782"/>
      <c r="K17" s="782"/>
      <c r="M17" s="8">
        <v>2</v>
      </c>
      <c r="N17" s="8">
        <v>3</v>
      </c>
      <c r="O17" s="8">
        <v>4</v>
      </c>
      <c r="P17" s="8">
        <v>5</v>
      </c>
      <c r="Q17" s="8">
        <v>6</v>
      </c>
      <c r="R17" s="8">
        <v>7</v>
      </c>
      <c r="S17" s="8">
        <v>8</v>
      </c>
      <c r="T17" s="8">
        <v>9</v>
      </c>
      <c r="BG17" s="771">
        <v>450</v>
      </c>
      <c r="BH17" s="1850" t="s">
        <v>1645</v>
      </c>
      <c r="BI17" s="1850" t="s">
        <v>1644</v>
      </c>
      <c r="BJ17" s="8" t="s">
        <v>1641</v>
      </c>
      <c r="BK17" s="8" t="s">
        <v>1642</v>
      </c>
      <c r="BL17" s="1850" t="s">
        <v>2393</v>
      </c>
      <c r="BM17" s="1850" t="s">
        <v>2394</v>
      </c>
      <c r="BN17" s="8" t="s">
        <v>2391</v>
      </c>
      <c r="BO17" s="8" t="s">
        <v>2392</v>
      </c>
      <c r="BQ17" s="1534" t="s">
        <v>4088</v>
      </c>
      <c r="BR17" s="1534" t="s">
        <v>4486</v>
      </c>
    </row>
    <row r="18" spans="1:123" s="879" customFormat="1" ht="12.75" customHeight="1" x14ac:dyDescent="0.2">
      <c r="A18" s="843"/>
      <c r="B18" s="2383"/>
      <c r="C18" s="1872" t="str">
        <f>VLOOKUP(C11,L15:P16,2,0)</f>
        <v>3718725/</v>
      </c>
      <c r="D18" s="1866" t="str">
        <f>IF(C18=0,0,VLOOKUP(C18,всецены,2,FALSE))</f>
        <v xml:space="preserve">LBX, Боковина N 66,3/500 мм, бел, лев   </v>
      </c>
      <c r="E18" s="1867">
        <v>1</v>
      </c>
      <c r="F18" s="1868">
        <f>VLOOKUP(C18,всецены,4,FALSE)</f>
        <v>574.12795440000002</v>
      </c>
      <c r="G18" s="1869">
        <f t="shared" si="0"/>
        <v>574.12795440000002</v>
      </c>
      <c r="H18" s="1870">
        <f t="shared" si="1"/>
        <v>574.12795440000002</v>
      </c>
      <c r="I18" s="2386"/>
      <c r="J18" s="782"/>
      <c r="K18" s="782"/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  <c r="AC18" s="8"/>
      <c r="AD18" s="8"/>
      <c r="AE18" s="8"/>
      <c r="AF18" s="8"/>
      <c r="AG18" s="771"/>
      <c r="AH18" s="771"/>
      <c r="AI18" s="771"/>
      <c r="AJ18" s="771"/>
      <c r="AK18" s="771"/>
      <c r="AL18" s="771"/>
      <c r="AM18" s="771"/>
      <c r="AN18" s="771"/>
      <c r="AO18" s="771"/>
      <c r="AP18" s="771"/>
      <c r="AQ18" s="771"/>
      <c r="AR18" s="771"/>
      <c r="AS18" s="771"/>
      <c r="AT18" s="771"/>
      <c r="AU18" s="771"/>
      <c r="AV18" s="771"/>
      <c r="AW18" s="771"/>
      <c r="AX18" s="771"/>
      <c r="AY18" s="771"/>
      <c r="AZ18" s="771"/>
      <c r="BA18" s="771"/>
      <c r="BB18" s="771"/>
      <c r="BC18" s="771"/>
      <c r="BD18" s="771"/>
      <c r="BE18" s="771"/>
      <c r="BF18" s="771"/>
      <c r="BG18" s="1090" t="s">
        <v>2396</v>
      </c>
      <c r="BH18" s="771" t="str">
        <f>IF($D$4="Торговая",BQ13,V15)</f>
        <v>9950830/</v>
      </c>
      <c r="BI18" s="771">
        <f>IF(D4="Торговая",BQ13,W15)</f>
        <v>0</v>
      </c>
      <c r="BJ18" s="771" t="s">
        <v>2993</v>
      </c>
      <c r="BK18" s="771" t="s">
        <v>2992</v>
      </c>
      <c r="BL18" s="1091" t="s">
        <v>2370</v>
      </c>
      <c r="BM18" s="1078" t="s">
        <v>2311</v>
      </c>
      <c r="BN18" s="1084" t="s">
        <v>2375</v>
      </c>
      <c r="BO18" s="1084" t="s">
        <v>2359</v>
      </c>
      <c r="BP18" s="771"/>
      <c r="BQ18" s="1534" t="s">
        <v>4487</v>
      </c>
      <c r="BR18" s="1534" t="s">
        <v>4488</v>
      </c>
      <c r="BS18" s="771"/>
      <c r="BT18" s="771"/>
      <c r="BU18" s="771"/>
      <c r="BV18" s="771"/>
      <c r="BW18" s="771"/>
      <c r="BX18" s="771"/>
      <c r="BY18" s="771"/>
      <c r="BZ18" s="771"/>
      <c r="CA18" s="771"/>
      <c r="CB18" s="771"/>
      <c r="CC18" s="771"/>
      <c r="CD18" s="771"/>
      <c r="CE18" s="771"/>
      <c r="CF18" s="771"/>
      <c r="CG18" s="771"/>
      <c r="CH18" s="771"/>
      <c r="CI18" s="771"/>
      <c r="CJ18" s="771"/>
      <c r="CK18" s="771"/>
      <c r="CL18" s="771"/>
      <c r="CM18" s="771"/>
      <c r="CN18" s="771"/>
      <c r="CO18" s="771"/>
      <c r="CP18" s="771"/>
      <c r="CQ18" s="771"/>
      <c r="CR18" s="771"/>
      <c r="CS18" s="771"/>
      <c r="CT18" s="771"/>
      <c r="CU18" s="771"/>
      <c r="CV18" s="771"/>
      <c r="CW18" s="771"/>
      <c r="CX18" s="771"/>
      <c r="CY18" s="771"/>
      <c r="CZ18" s="771"/>
      <c r="DA18" s="771"/>
      <c r="DB18" s="771"/>
      <c r="DC18" s="771"/>
      <c r="DD18" s="771"/>
      <c r="DE18" s="771"/>
      <c r="DF18" s="771"/>
      <c r="DG18" s="771"/>
      <c r="DH18" s="771"/>
      <c r="DI18" s="771"/>
      <c r="DJ18" s="771"/>
      <c r="DK18" s="771"/>
      <c r="DL18" s="771"/>
      <c r="DM18" s="771"/>
      <c r="DN18" s="771"/>
      <c r="DO18" s="771"/>
      <c r="DP18" s="771"/>
      <c r="DQ18" s="771"/>
      <c r="DR18" s="771"/>
      <c r="DS18" s="771"/>
    </row>
    <row r="19" spans="1:123" s="879" customFormat="1" ht="12.75" customHeight="1" x14ac:dyDescent="0.2">
      <c r="A19" s="843"/>
      <c r="B19" s="2383"/>
      <c r="C19" s="1872" t="str">
        <f>IF(OR(MID(D18,35,3)="кмп",MID(D18,35,3)=" км"),0,IFERROR(VLOOKUP(C11,L15:P16,3,0),""))</f>
        <v>3474945/</v>
      </c>
      <c r="D19" s="1866" t="str">
        <f>IF(C19=0,0,IF(C19="","",VLOOKUP(C19,всецены,2,FALSE)))</f>
        <v xml:space="preserve">LBX, Боковина N 66,3/500 мм, бел, прав  </v>
      </c>
      <c r="E19" s="1867">
        <f>IF(C19="",0,1)</f>
        <v>1</v>
      </c>
      <c r="F19" s="1868">
        <f>IF(D19=0,0,IF(C19="",0,VLOOKUP(C19,всецены,4,FALSE)))</f>
        <v>574.12795440000002</v>
      </c>
      <c r="G19" s="1869">
        <f t="shared" si="0"/>
        <v>574.12795440000002</v>
      </c>
      <c r="H19" s="1870">
        <f t="shared" si="1"/>
        <v>574.12795440000002</v>
      </c>
      <c r="I19" s="2386"/>
      <c r="J19" s="782"/>
      <c r="K19" s="782"/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  <c r="AC19" s="8"/>
      <c r="AD19" s="8"/>
      <c r="AE19" s="8"/>
      <c r="AF19" s="8"/>
      <c r="AG19" s="771"/>
      <c r="AH19" s="771"/>
      <c r="AI19" s="771"/>
      <c r="AJ19" s="771"/>
      <c r="AK19" s="771"/>
      <c r="AL19" s="771"/>
      <c r="AM19" s="771"/>
      <c r="AO19" s="771"/>
      <c r="AP19" s="771"/>
      <c r="AQ19" s="771"/>
      <c r="AR19" s="771"/>
      <c r="AS19" s="771"/>
      <c r="AT19" s="771"/>
      <c r="AU19" s="771"/>
      <c r="AV19" s="771"/>
      <c r="AW19" s="1067"/>
      <c r="AX19" s="771"/>
      <c r="AY19" s="771"/>
      <c r="AZ19" s="771"/>
      <c r="BA19" s="771"/>
      <c r="BB19" s="771"/>
      <c r="BC19" s="771"/>
      <c r="BD19" s="771"/>
      <c r="BE19" s="771"/>
      <c r="BF19" s="771"/>
      <c r="BG19" s="1088" t="s">
        <v>2398</v>
      </c>
      <c r="BH19" s="771" t="str">
        <f>IF($D$4="Торговая",$BQ$15,AE15)</f>
        <v>9968111/</v>
      </c>
      <c r="BI19" s="771">
        <f>IF($D$4="Торговая",$BQ$15,AF15)</f>
        <v>0</v>
      </c>
      <c r="BJ19" s="771" t="s">
        <v>2993</v>
      </c>
      <c r="BK19" s="771" t="s">
        <v>2992</v>
      </c>
      <c r="BL19" s="1088" t="s">
        <v>2361</v>
      </c>
      <c r="BM19" s="1088" t="s">
        <v>2330</v>
      </c>
      <c r="BN19" s="1088" t="s">
        <v>2371</v>
      </c>
      <c r="BO19" s="1088" t="s">
        <v>2374</v>
      </c>
      <c r="BP19" s="771"/>
      <c r="BQ19" s="771"/>
      <c r="BR19" s="771"/>
      <c r="BS19" s="771"/>
      <c r="BT19" s="771"/>
      <c r="BU19" s="771"/>
      <c r="BV19" s="771"/>
      <c r="BW19" s="771"/>
      <c r="BX19" s="771"/>
      <c r="BY19" s="771"/>
      <c r="BZ19" s="771"/>
      <c r="CA19" s="771"/>
      <c r="CB19" s="771"/>
      <c r="CC19" s="771"/>
      <c r="CD19" s="771"/>
      <c r="CE19" s="771"/>
      <c r="CF19" s="771"/>
      <c r="CG19" s="771"/>
      <c r="CH19" s="771"/>
      <c r="CI19" s="771"/>
      <c r="CJ19" s="771"/>
      <c r="CK19" s="771"/>
      <c r="CL19" s="771"/>
      <c r="CM19" s="771"/>
      <c r="CN19" s="771"/>
      <c r="CO19" s="771"/>
      <c r="CP19" s="771"/>
      <c r="CQ19" s="771"/>
      <c r="CR19" s="771"/>
      <c r="CS19" s="771"/>
      <c r="CT19" s="771"/>
      <c r="CU19" s="771"/>
      <c r="CV19" s="771"/>
      <c r="CW19" s="771"/>
      <c r="CX19" s="771"/>
      <c r="CY19" s="771"/>
      <c r="CZ19" s="771"/>
      <c r="DA19" s="771"/>
      <c r="DB19" s="771"/>
      <c r="DC19" s="771"/>
      <c r="DD19" s="771"/>
      <c r="DE19" s="771"/>
      <c r="DF19" s="771"/>
      <c r="DG19" s="771"/>
      <c r="DH19" s="771"/>
      <c r="DI19" s="771"/>
      <c r="DJ19" s="771"/>
      <c r="DK19" s="771"/>
      <c r="DL19" s="771"/>
      <c r="DM19" s="771"/>
      <c r="DN19" s="771"/>
      <c r="DO19" s="771"/>
      <c r="DP19" s="771"/>
      <c r="DQ19" s="771"/>
      <c r="DR19" s="771"/>
      <c r="DS19" s="771"/>
    </row>
    <row r="20" spans="1:123" s="879" customFormat="1" ht="12.75" customHeight="1" x14ac:dyDescent="0.2">
      <c r="A20" s="843"/>
      <c r="B20" s="2383"/>
      <c r="C20" s="703" t="str">
        <f>VLOOKUP(C11,L15:P16,4,0)</f>
        <v>4922514/</v>
      </c>
      <c r="D20" s="1866" t="str">
        <f>IF(C20=0,0,VLOOKUP(C20,всецены,2,FALSE))</f>
        <v xml:space="preserve">LBX, Направл. с BM, 40 кг, 500 мм, лев  </v>
      </c>
      <c r="E20" s="1867">
        <v>1</v>
      </c>
      <c r="F20" s="1868">
        <f>VLOOKUP(C20,всецены,4,FALSE)</f>
        <v>670.90023000000008</v>
      </c>
      <c r="G20" s="1869">
        <f t="shared" si="0"/>
        <v>670.90023000000008</v>
      </c>
      <c r="H20" s="1870">
        <f t="shared" si="1"/>
        <v>670.90023000000008</v>
      </c>
      <c r="I20" s="2386"/>
      <c r="J20" s="782"/>
      <c r="K20" s="782"/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  <c r="AC20" s="8"/>
      <c r="AD20" s="8"/>
      <c r="AE20" s="8"/>
      <c r="AF20" s="8"/>
      <c r="AG20" s="771"/>
      <c r="AH20" s="771"/>
      <c r="AI20" s="771"/>
      <c r="AJ20" s="771"/>
      <c r="AK20" s="771"/>
      <c r="AL20" s="771"/>
      <c r="AM20" s="771"/>
      <c r="AO20" s="771"/>
      <c r="AP20" s="771"/>
      <c r="AQ20" s="771"/>
      <c r="AR20" s="771"/>
      <c r="AS20" s="771"/>
      <c r="AT20" s="771"/>
      <c r="AU20" s="771"/>
      <c r="AV20" s="771"/>
      <c r="AW20" s="1067"/>
      <c r="AX20" s="771"/>
      <c r="AY20" s="771"/>
      <c r="AZ20" s="771"/>
      <c r="BA20" s="771"/>
      <c r="BB20" s="771"/>
      <c r="BC20" s="771"/>
      <c r="BD20" s="771"/>
      <c r="BE20" s="771"/>
      <c r="BF20" s="771"/>
      <c r="BG20" s="1088" t="s">
        <v>2397</v>
      </c>
      <c r="BH20" s="771" t="str">
        <f>IF($D$4="Торговая",$BQ$17,AN15)</f>
        <v>9976170/</v>
      </c>
      <c r="BI20" s="771">
        <f>IF($D$4="Торговая",$BQ$17,AO15)</f>
        <v>0</v>
      </c>
      <c r="BJ20" s="771" t="s">
        <v>2993</v>
      </c>
      <c r="BK20" s="771" t="s">
        <v>2992</v>
      </c>
      <c r="BL20" s="1088" t="s">
        <v>2448</v>
      </c>
      <c r="BM20" s="1084" t="s">
        <v>2342</v>
      </c>
      <c r="BN20" s="1088" t="s">
        <v>2378</v>
      </c>
      <c r="BO20" s="1088" t="s">
        <v>2379</v>
      </c>
      <c r="BP20" s="771"/>
      <c r="BQ20" s="771"/>
      <c r="BR20" s="771"/>
      <c r="BS20" s="771"/>
      <c r="BT20" s="771"/>
      <c r="BU20" s="771"/>
      <c r="BV20" s="771"/>
      <c r="BW20" s="771"/>
      <c r="BX20" s="771"/>
      <c r="BY20" s="771"/>
      <c r="BZ20" s="771"/>
      <c r="CA20" s="771"/>
      <c r="CB20" s="771"/>
      <c r="CC20" s="771"/>
      <c r="CD20" s="771"/>
      <c r="CE20" s="771"/>
      <c r="CF20" s="771"/>
      <c r="CG20" s="771"/>
      <c r="CH20" s="771"/>
      <c r="CI20" s="771"/>
      <c r="CJ20" s="771"/>
      <c r="CK20" s="771"/>
      <c r="CL20" s="771"/>
      <c r="CM20" s="771"/>
      <c r="CN20" s="771"/>
      <c r="CO20" s="771"/>
      <c r="CP20" s="771"/>
      <c r="CQ20" s="771"/>
      <c r="CR20" s="771"/>
      <c r="CS20" s="771"/>
      <c r="CT20" s="771"/>
      <c r="CU20" s="771"/>
      <c r="CV20" s="771"/>
      <c r="CW20" s="771"/>
      <c r="CX20" s="771"/>
      <c r="CY20" s="771"/>
      <c r="CZ20" s="771"/>
      <c r="DA20" s="771"/>
      <c r="DB20" s="771"/>
      <c r="DC20" s="771"/>
      <c r="DD20" s="771"/>
      <c r="DE20" s="771"/>
      <c r="DF20" s="771"/>
      <c r="DG20" s="771"/>
      <c r="DH20" s="771"/>
      <c r="DI20" s="771"/>
      <c r="DJ20" s="771"/>
      <c r="DK20" s="771"/>
      <c r="DL20" s="771"/>
      <c r="DM20" s="771"/>
      <c r="DN20" s="771"/>
      <c r="DO20" s="771"/>
      <c r="DP20" s="771"/>
      <c r="DQ20" s="771"/>
      <c r="DR20" s="771"/>
      <c r="DS20" s="771"/>
    </row>
    <row r="21" spans="1:123" ht="12.75" customHeight="1" thickBot="1" x14ac:dyDescent="0.25">
      <c r="B21" s="2133"/>
      <c r="C21" s="1873" t="str">
        <f>VLOOKUP(C11,L15:P16,5,0)</f>
        <v>4737284/</v>
      </c>
      <c r="D21" s="1874" t="str">
        <f>IF(C21=0,0,VLOOKUP(C21,всецены,2,FALSE))</f>
        <v xml:space="preserve">LBX, Направл. с BM, 40 кг, 500 мм, прав </v>
      </c>
      <c r="E21" s="1875">
        <v>1</v>
      </c>
      <c r="F21" s="1876">
        <f>VLOOKUP(C21,всецены,4,FALSE)</f>
        <v>670.90023000000008</v>
      </c>
      <c r="G21" s="1877">
        <f t="shared" si="0"/>
        <v>670.90023000000008</v>
      </c>
      <c r="H21" s="1878">
        <f t="shared" si="1"/>
        <v>670.90023000000008</v>
      </c>
      <c r="I21" s="2387"/>
      <c r="BG21" s="1088" t="s">
        <v>3159</v>
      </c>
    </row>
    <row r="22" spans="1:123" ht="8.1" customHeight="1" x14ac:dyDescent="0.2">
      <c r="B22" s="28"/>
      <c r="C22" s="8"/>
      <c r="D22" s="8"/>
      <c r="E22" s="841"/>
      <c r="F22" s="1441"/>
      <c r="G22" s="1441"/>
      <c r="H22" s="37"/>
      <c r="I22" s="35"/>
      <c r="J22" s="782"/>
      <c r="K22" s="782"/>
      <c r="L22" s="771"/>
      <c r="M22" s="771"/>
      <c r="N22" s="771"/>
      <c r="O22" s="771"/>
      <c r="P22" s="771"/>
      <c r="Q22" s="771"/>
      <c r="R22" s="771"/>
      <c r="S22" s="771"/>
      <c r="T22" s="771"/>
      <c r="U22" s="771"/>
      <c r="V22" s="771"/>
      <c r="W22" s="771"/>
      <c r="X22" s="771"/>
      <c r="Y22" s="771"/>
      <c r="Z22" s="771"/>
      <c r="AA22" s="771"/>
      <c r="AB22" s="771"/>
      <c r="AC22" s="771"/>
      <c r="AD22" s="771"/>
      <c r="AE22" s="771"/>
      <c r="AF22" s="771"/>
    </row>
    <row r="23" spans="1:123" ht="20.100000000000001" customHeight="1" x14ac:dyDescent="0.2">
      <c r="A23" s="848"/>
      <c r="B23" s="2393" t="s">
        <v>2352</v>
      </c>
      <c r="C23" s="2394"/>
      <c r="D23" s="2394"/>
      <c r="E23" s="2394"/>
      <c r="F23" s="2394"/>
      <c r="G23" s="2394"/>
      <c r="H23" s="2395"/>
      <c r="I23" s="611"/>
      <c r="J23" s="782"/>
      <c r="K23" s="782"/>
    </row>
    <row r="24" spans="1:123" ht="20.100000000000001" customHeight="1" thickBot="1" x14ac:dyDescent="0.25">
      <c r="A24" s="848"/>
      <c r="B24" s="2394"/>
      <c r="C24" s="2394"/>
      <c r="D24" s="2394"/>
      <c r="E24" s="2394"/>
      <c r="F24" s="2394"/>
      <c r="G24" s="2394"/>
      <c r="H24" s="2395"/>
      <c r="I24" s="688" t="str">
        <f>CONCATENATE("M",$C$26,$D$3)</f>
        <v>M500БЕЛЫЙ ШЕЛК - матовый</v>
      </c>
      <c r="J24" s="782"/>
      <c r="K24" s="782"/>
    </row>
    <row r="25" spans="1:123" ht="15" customHeight="1" x14ac:dyDescent="0.2">
      <c r="A25" s="849"/>
      <c r="B25" s="1524" t="str">
        <f>IF($D$3="Гавана Коричневый","270,350,400,450,500мм","270,300,350,400,450,500мм")</f>
        <v>270,300,350,400,450,500мм</v>
      </c>
      <c r="C25" s="1858" t="str">
        <f>IF(D4="Индивидуальная",IFERROR(VLOOKUP(I24,Индивидуальная,2,FALSE),""),"")</f>
        <v/>
      </c>
      <c r="D25" s="1525"/>
      <c r="E25" s="1525"/>
      <c r="F25" s="1525"/>
      <c r="G25" s="1525"/>
      <c r="H25" s="1526"/>
      <c r="I25" s="699"/>
      <c r="J25" s="782"/>
      <c r="K25" s="782"/>
    </row>
    <row r="26" spans="1:123" ht="15.75" customHeight="1" thickBot="1" x14ac:dyDescent="0.25">
      <c r="A26" s="849"/>
      <c r="B26" s="844" t="s">
        <v>1639</v>
      </c>
      <c r="C26" s="850">
        <v>500</v>
      </c>
      <c r="D26" s="852" t="s">
        <v>1689</v>
      </c>
      <c r="E26" s="852"/>
      <c r="F26" s="1442"/>
      <c r="G26" s="1442"/>
      <c r="H26" s="853"/>
      <c r="I26" s="2388" t="str">
        <f>IF(СОДЕРЖАНИЕ!P2=1,"EUR","RUB")</f>
        <v>RUB</v>
      </c>
      <c r="J26" s="782"/>
      <c r="K26" s="782"/>
      <c r="M26" s="2398" t="str">
        <f>$D$3</f>
        <v>БЕЛЫЙ ШЕЛК - матовый</v>
      </c>
      <c r="N26" s="2399"/>
      <c r="O26" s="2399"/>
      <c r="P26" s="2399"/>
      <c r="Q26" s="2399"/>
      <c r="R26" s="2399"/>
      <c r="S26" s="2399"/>
      <c r="T26" s="2400"/>
      <c r="V26" s="2409" t="s">
        <v>2396</v>
      </c>
      <c r="W26" s="2410"/>
      <c r="X26" s="2410"/>
      <c r="Y26" s="2410"/>
      <c r="Z26" s="2410"/>
      <c r="AA26" s="2410"/>
      <c r="AB26" s="2410"/>
      <c r="AC26" s="2411"/>
      <c r="AE26" s="2408" t="s">
        <v>2398</v>
      </c>
      <c r="AF26" s="2408"/>
      <c r="AG26" s="2408"/>
      <c r="AH26" s="2408"/>
      <c r="AI26" s="2408"/>
      <c r="AJ26" s="2408"/>
      <c r="AK26" s="2408"/>
      <c r="AL26" s="2408"/>
      <c r="AM26" s="8"/>
      <c r="AN26" s="2429" t="s">
        <v>2397</v>
      </c>
      <c r="AO26" s="2429"/>
      <c r="AP26" s="2429"/>
      <c r="AQ26" s="2429"/>
      <c r="AR26" s="2429"/>
      <c r="AS26" s="2429"/>
      <c r="AT26" s="2429"/>
      <c r="AU26" s="2429"/>
      <c r="AV26" s="8"/>
      <c r="AW26" s="2425" t="s">
        <v>3159</v>
      </c>
      <c r="AX26" s="2426"/>
      <c r="AY26" s="2426"/>
      <c r="AZ26" s="2426"/>
      <c r="BA26" s="2426"/>
      <c r="BB26" s="2426"/>
      <c r="BC26" s="2426"/>
      <c r="BD26" s="2426"/>
      <c r="BX26" s="1528" t="s">
        <v>4420</v>
      </c>
      <c r="BY26" s="1528"/>
    </row>
    <row r="27" spans="1:123" ht="9.9499999999999993" customHeight="1" x14ac:dyDescent="0.2">
      <c r="A27" s="2412"/>
      <c r="B27" s="2383"/>
      <c r="C27" s="172" t="s">
        <v>1301</v>
      </c>
      <c r="D27" s="1895" t="s">
        <v>784</v>
      </c>
      <c r="E27" s="1862" t="s">
        <v>2117</v>
      </c>
      <c r="F27" s="1896"/>
      <c r="G27" s="1863" t="s">
        <v>4335</v>
      </c>
      <c r="H27" s="1897" t="s">
        <v>2116</v>
      </c>
      <c r="I27" s="2389"/>
      <c r="J27" s="786"/>
      <c r="K27" s="786"/>
      <c r="M27" s="88"/>
      <c r="V27" s="88"/>
      <c r="AE27" s="88"/>
      <c r="AG27" s="8"/>
      <c r="AH27" s="8"/>
      <c r="AI27" s="8"/>
      <c r="AJ27" s="8"/>
      <c r="AK27" s="8"/>
      <c r="AL27" s="8"/>
      <c r="AM27" s="8"/>
      <c r="AN27" s="88"/>
      <c r="AO27" s="8"/>
      <c r="AP27" s="8"/>
      <c r="AQ27" s="8"/>
      <c r="AV27" s="8"/>
      <c r="AW27" s="88"/>
      <c r="AX27" s="8"/>
      <c r="AY27" s="8"/>
      <c r="AZ27" s="8"/>
    </row>
    <row r="28" spans="1:123" ht="12.75" customHeight="1" x14ac:dyDescent="0.2">
      <c r="A28" s="2412"/>
      <c r="B28" s="2073"/>
      <c r="C28" s="1899" t="s">
        <v>2329</v>
      </c>
      <c r="D28" s="1899" t="str">
        <f t="shared" ref="D28:D33" si="2">VLOOKUP(C28,всецены,2,FALSE)</f>
        <v xml:space="preserve">LBX, Крепление фасада M, EXPANDO, симм  </v>
      </c>
      <c r="E28" s="1900">
        <v>2</v>
      </c>
      <c r="F28" s="1901">
        <f t="shared" ref="F28:F35" si="3">VLOOKUP(C28,всецены,4,FALSE)</f>
        <v>24.396372</v>
      </c>
      <c r="G28" s="1902">
        <f t="shared" ref="G28:G36" si="4">IF(AND($D$4="Индивидуальная",$C$25&lt;&gt;""),0,F28)</f>
        <v>24.396372</v>
      </c>
      <c r="H28" s="1903">
        <f>G28*E28</f>
        <v>48.792743999999999</v>
      </c>
      <c r="I28" s="2413">
        <f>IF(C25="",SUM(H28:H36),VLOOKUP(C25,всецены,4,FALSE))</f>
        <v>2444.5164744000003</v>
      </c>
      <c r="J28" s="782"/>
      <c r="K28" s="782">
        <v>1</v>
      </c>
      <c r="L28" s="895" t="s">
        <v>1646</v>
      </c>
      <c r="M28" s="894" t="str">
        <f>$M$26</f>
        <v>БЕЛЫЙ ШЕЛК - матовый</v>
      </c>
      <c r="N28" s="894" t="str">
        <f t="shared" ref="N28:T28" si="5">$M$26</f>
        <v>БЕЛЫЙ ШЕЛК - матовый</v>
      </c>
      <c r="O28" s="894" t="str">
        <f t="shared" si="5"/>
        <v>БЕЛЫЙ ШЕЛК - матовый</v>
      </c>
      <c r="P28" s="894" t="str">
        <f t="shared" si="5"/>
        <v>БЕЛЫЙ ШЕЛК - матовый</v>
      </c>
      <c r="Q28" s="894" t="str">
        <f t="shared" si="5"/>
        <v>БЕЛЫЙ ШЕЛК - матовый</v>
      </c>
      <c r="R28" s="894" t="str">
        <f t="shared" si="5"/>
        <v>БЕЛЫЙ ШЕЛК - матовый</v>
      </c>
      <c r="S28" s="894" t="str">
        <f t="shared" si="5"/>
        <v>БЕЛЫЙ ШЕЛК - матовый</v>
      </c>
      <c r="T28" s="894" t="str">
        <f t="shared" si="5"/>
        <v>БЕЛЫЙ ШЕЛК - матовый</v>
      </c>
      <c r="U28" s="96" t="s">
        <v>1646</v>
      </c>
      <c r="V28" s="884" t="s">
        <v>2396</v>
      </c>
      <c r="W28" s="884" t="s">
        <v>2396</v>
      </c>
      <c r="Z28" s="884" t="s">
        <v>2396</v>
      </c>
      <c r="AA28" s="884" t="s">
        <v>2396</v>
      </c>
      <c r="AB28" s="884" t="s">
        <v>2396</v>
      </c>
      <c r="AC28" s="884" t="s">
        <v>2396</v>
      </c>
      <c r="AD28" s="96" t="s">
        <v>1646</v>
      </c>
      <c r="AE28" s="771" t="s">
        <v>2398</v>
      </c>
      <c r="AF28" s="771" t="s">
        <v>2398</v>
      </c>
      <c r="AG28" s="8"/>
      <c r="AH28" s="8"/>
      <c r="AI28" s="771" t="s">
        <v>2398</v>
      </c>
      <c r="AJ28" s="771" t="s">
        <v>2398</v>
      </c>
      <c r="AK28" s="771" t="s">
        <v>2398</v>
      </c>
      <c r="AL28" s="771" t="s">
        <v>2398</v>
      </c>
      <c r="AM28" s="96" t="s">
        <v>1646</v>
      </c>
      <c r="AN28" s="771" t="s">
        <v>2397</v>
      </c>
      <c r="AO28" s="771" t="s">
        <v>2397</v>
      </c>
      <c r="AP28" s="8"/>
      <c r="AQ28" s="8"/>
      <c r="AR28" s="771" t="s">
        <v>2397</v>
      </c>
      <c r="AS28" s="771" t="s">
        <v>2397</v>
      </c>
      <c r="AT28" s="771" t="s">
        <v>2397</v>
      </c>
      <c r="AU28" s="771" t="s">
        <v>2397</v>
      </c>
      <c r="AV28" s="96" t="s">
        <v>1646</v>
      </c>
      <c r="AW28" s="771" t="s">
        <v>2397</v>
      </c>
      <c r="AX28" s="771" t="s">
        <v>2397</v>
      </c>
      <c r="AY28" s="8"/>
      <c r="AZ28" s="8"/>
      <c r="BA28" s="771" t="s">
        <v>2397</v>
      </c>
      <c r="BB28" s="771" t="s">
        <v>2397</v>
      </c>
      <c r="BC28" s="771" t="s">
        <v>2397</v>
      </c>
      <c r="BD28" s="771" t="s">
        <v>2397</v>
      </c>
      <c r="BG28" s="771" t="s">
        <v>1333</v>
      </c>
      <c r="BP28" s="771" t="s">
        <v>1183</v>
      </c>
      <c r="BX28" s="1530" t="s">
        <v>4489</v>
      </c>
      <c r="BY28" s="1530"/>
    </row>
    <row r="29" spans="1:123" ht="12.75" customHeight="1" thickBot="1" x14ac:dyDescent="0.25">
      <c r="A29" s="2412"/>
      <c r="B29" s="2073"/>
      <c r="C29" s="1899" t="str">
        <f>VLOOKUP($D$3,LBX.M,8,FALSE)</f>
        <v>4738450/</v>
      </c>
      <c r="D29" s="1899" t="str">
        <f t="shared" si="2"/>
        <v>LBX, Держат. задн. ст, 102 мм, бел, лев.</v>
      </c>
      <c r="E29" s="1900">
        <v>1</v>
      </c>
      <c r="F29" s="1901">
        <f t="shared" si="3"/>
        <v>35.781345600000002</v>
      </c>
      <c r="G29" s="1902">
        <f t="shared" si="4"/>
        <v>35.781345600000002</v>
      </c>
      <c r="H29" s="1904">
        <f t="shared" ref="H29:H35" si="6">G29*E29</f>
        <v>35.781345600000002</v>
      </c>
      <c r="I29" s="2413"/>
      <c r="J29" s="782"/>
      <c r="K29" s="782">
        <v>2</v>
      </c>
      <c r="L29" s="893"/>
      <c r="M29" s="895" t="s">
        <v>1645</v>
      </c>
      <c r="N29" s="895" t="s">
        <v>1644</v>
      </c>
      <c r="O29" s="893" t="s">
        <v>1641</v>
      </c>
      <c r="P29" s="893" t="s">
        <v>1642</v>
      </c>
      <c r="Q29" s="895" t="s">
        <v>2393</v>
      </c>
      <c r="R29" s="895" t="s">
        <v>2394</v>
      </c>
      <c r="S29" s="893" t="s">
        <v>2391</v>
      </c>
      <c r="T29" s="893" t="s">
        <v>2392</v>
      </c>
      <c r="V29" s="841" t="s">
        <v>1645</v>
      </c>
      <c r="W29" s="841" t="s">
        <v>1644</v>
      </c>
      <c r="X29" s="8" t="s">
        <v>1641</v>
      </c>
      <c r="Y29" s="8" t="s">
        <v>1642</v>
      </c>
      <c r="Z29" s="880" t="s">
        <v>2393</v>
      </c>
      <c r="AA29" s="880" t="s">
        <v>2394</v>
      </c>
      <c r="AB29" s="8" t="s">
        <v>2391</v>
      </c>
      <c r="AC29" s="8" t="s">
        <v>2392</v>
      </c>
      <c r="AE29" s="880" t="s">
        <v>1645</v>
      </c>
      <c r="AF29" s="880" t="s">
        <v>1644</v>
      </c>
      <c r="AG29" s="8" t="s">
        <v>1641</v>
      </c>
      <c r="AH29" s="8" t="s">
        <v>1642</v>
      </c>
      <c r="AI29" s="880" t="s">
        <v>2393</v>
      </c>
      <c r="AJ29" s="880" t="s">
        <v>2394</v>
      </c>
      <c r="AK29" s="8" t="s">
        <v>2391</v>
      </c>
      <c r="AL29" s="8" t="s">
        <v>2392</v>
      </c>
      <c r="AM29" s="8"/>
      <c r="AN29" s="880" t="s">
        <v>1645</v>
      </c>
      <c r="AO29" s="880" t="s">
        <v>1644</v>
      </c>
      <c r="AP29" s="8" t="s">
        <v>1641</v>
      </c>
      <c r="AQ29" s="8" t="s">
        <v>1642</v>
      </c>
      <c r="AR29" s="880" t="s">
        <v>2393</v>
      </c>
      <c r="AS29" s="880" t="s">
        <v>2394</v>
      </c>
      <c r="AT29" s="8" t="s">
        <v>2391</v>
      </c>
      <c r="AU29" s="8" t="s">
        <v>2392</v>
      </c>
      <c r="AV29" s="8"/>
      <c r="AW29" s="1068" t="s">
        <v>1645</v>
      </c>
      <c r="AX29" s="1068" t="s">
        <v>1644</v>
      </c>
      <c r="AY29" s="8" t="s">
        <v>1641</v>
      </c>
      <c r="AZ29" s="8" t="s">
        <v>1642</v>
      </c>
      <c r="BA29" s="1068" t="s">
        <v>2393</v>
      </c>
      <c r="BB29" s="1068" t="s">
        <v>2394</v>
      </c>
      <c r="BC29" s="8" t="s">
        <v>2391</v>
      </c>
      <c r="BD29" s="8" t="s">
        <v>2392</v>
      </c>
      <c r="BG29" s="771">
        <f>C26</f>
        <v>500</v>
      </c>
      <c r="BH29" s="1068" t="s">
        <v>1645</v>
      </c>
      <c r="BI29" s="1068" t="s">
        <v>1644</v>
      </c>
      <c r="BJ29" s="8" t="s">
        <v>1641</v>
      </c>
      <c r="BK29" s="8" t="s">
        <v>1642</v>
      </c>
      <c r="BL29" s="1068" t="s">
        <v>2393</v>
      </c>
      <c r="BM29" s="1068" t="s">
        <v>2394</v>
      </c>
      <c r="BN29" s="8" t="s">
        <v>2391</v>
      </c>
      <c r="BO29" s="8" t="s">
        <v>2392</v>
      </c>
      <c r="BP29" s="885" t="s">
        <v>3169</v>
      </c>
      <c r="BQ29" s="885" t="s">
        <v>3170</v>
      </c>
      <c r="BR29" s="885" t="s">
        <v>3168</v>
      </c>
      <c r="BX29" s="1528">
        <v>270</v>
      </c>
      <c r="BY29" s="1528">
        <v>300</v>
      </c>
      <c r="BZ29" s="1528">
        <v>350</v>
      </c>
      <c r="CA29" s="1528">
        <v>400</v>
      </c>
      <c r="CB29" s="1528">
        <v>450</v>
      </c>
      <c r="CC29" s="1528">
        <v>500</v>
      </c>
    </row>
    <row r="30" spans="1:123" ht="12.75" customHeight="1" x14ac:dyDescent="0.2">
      <c r="A30" s="2412"/>
      <c r="B30" s="2073"/>
      <c r="C30" s="1899" t="str">
        <f>VLOOKUP($D$3,LBX.M,9,FALSE)</f>
        <v>9780599/</v>
      </c>
      <c r="D30" s="1899" t="str">
        <f t="shared" si="2"/>
        <v>LBX, Держат. задн. ст, 102 мм, бел, прав</v>
      </c>
      <c r="E30" s="1900">
        <v>1</v>
      </c>
      <c r="F30" s="1901">
        <f t="shared" si="3"/>
        <v>35.781345600000002</v>
      </c>
      <c r="G30" s="1902">
        <f t="shared" si="4"/>
        <v>35.781345600000002</v>
      </c>
      <c r="H30" s="1904">
        <f t="shared" si="6"/>
        <v>35.781345600000002</v>
      </c>
      <c r="I30" s="2413"/>
      <c r="J30" s="782"/>
      <c r="K30" s="782">
        <v>3</v>
      </c>
      <c r="L30" s="893">
        <v>270</v>
      </c>
      <c r="M30" s="892" t="str">
        <f t="shared" ref="M30:T35" si="7">IF($M$26=$V$26,VLOOKUP($L30,$U$30:$AC$35,V$36,0),IF($M$26=$AE$26,VLOOKUP($L30,$AD$30:$AL$35,AE$36,0),IF($M$26=$AN$26,VLOOKUP($L30,$AM$30:$AU$35,AN$36,0),VLOOKUP($L30,$AV$30:$BD$35,AW$36,0))))</f>
        <v>3460154/</v>
      </c>
      <c r="N30" s="892" t="str">
        <f t="shared" si="7"/>
        <v>3398923/</v>
      </c>
      <c r="O30" s="892" t="str">
        <f t="shared" si="7"/>
        <v>4539613/</v>
      </c>
      <c r="P30" s="892" t="str">
        <f t="shared" si="7"/>
        <v>4459332/</v>
      </c>
      <c r="Q30" s="892" t="str">
        <f t="shared" si="7"/>
        <v>8322157/</v>
      </c>
      <c r="R30" s="892" t="str">
        <f t="shared" si="7"/>
        <v>7944577/</v>
      </c>
      <c r="S30" s="892" t="str">
        <f t="shared" si="7"/>
        <v>4738450/</v>
      </c>
      <c r="T30" s="892" t="str">
        <f t="shared" si="7"/>
        <v>9780599/</v>
      </c>
      <c r="U30" s="8">
        <v>270</v>
      </c>
      <c r="V30" s="696" t="s">
        <v>3319</v>
      </c>
      <c r="W30" s="696" t="s">
        <v>3318</v>
      </c>
      <c r="X30" s="2" t="s">
        <v>3316</v>
      </c>
      <c r="Y30" s="2" t="s">
        <v>3315</v>
      </c>
      <c r="Z30" s="164" t="s">
        <v>2282</v>
      </c>
      <c r="AA30" s="43" t="s">
        <v>2486</v>
      </c>
      <c r="AB30" s="701" t="s">
        <v>2340</v>
      </c>
      <c r="AC30" s="164" t="s">
        <v>2288</v>
      </c>
      <c r="AD30" s="8">
        <v>270</v>
      </c>
      <c r="AE30" s="696" t="s">
        <v>3654</v>
      </c>
      <c r="AF30" s="696" t="s">
        <v>3653</v>
      </c>
      <c r="AG30" s="2" t="s">
        <v>3316</v>
      </c>
      <c r="AH30" s="2" t="s">
        <v>3315</v>
      </c>
      <c r="AI30" s="891" t="s">
        <v>2336</v>
      </c>
      <c r="AJ30" s="891" t="s">
        <v>2377</v>
      </c>
      <c r="AK30" s="891" t="s">
        <v>2303</v>
      </c>
      <c r="AL30" s="891" t="s">
        <v>2346</v>
      </c>
      <c r="AM30" s="8">
        <v>270</v>
      </c>
      <c r="AN30" s="696" t="s">
        <v>3697</v>
      </c>
      <c r="AO30" s="696" t="s">
        <v>3696</v>
      </c>
      <c r="AP30" s="2" t="s">
        <v>3316</v>
      </c>
      <c r="AQ30" s="2" t="s">
        <v>3315</v>
      </c>
      <c r="AR30" s="892" t="s">
        <v>2319</v>
      </c>
      <c r="AS30" s="892" t="s">
        <v>2342</v>
      </c>
      <c r="AT30" s="891" t="s">
        <v>2322</v>
      </c>
      <c r="AU30" s="891" t="s">
        <v>2338</v>
      </c>
      <c r="AV30" s="8">
        <v>270</v>
      </c>
      <c r="AW30" s="1085" t="s">
        <v>3324</v>
      </c>
      <c r="AX30" s="1085" t="s">
        <v>3323</v>
      </c>
      <c r="AY30" s="1084" t="s">
        <v>3316</v>
      </c>
      <c r="AZ30" s="1084" t="s">
        <v>3315</v>
      </c>
      <c r="BA30" s="1085" t="s">
        <v>2850</v>
      </c>
      <c r="BB30" s="1085" t="s">
        <v>2852</v>
      </c>
      <c r="BC30" s="1088" t="s">
        <v>2848</v>
      </c>
      <c r="BD30" s="1088" t="s">
        <v>2854</v>
      </c>
      <c r="BG30" s="1098" t="s">
        <v>2396</v>
      </c>
      <c r="BH30" s="1099" t="str">
        <f>IF(D4="Торговая",VLOOKUP(BG30,$BT$30:$BU$33,2,FALSE),IF(D4="Индивидуальная",VLOOKUP(BG30,$BT$30:$BU$33,2,FALSE),VLOOKUP($BG$29,$U$30:$AC$35,2,FALSE)))</f>
        <v>6431292/</v>
      </c>
      <c r="BI30" s="1099" t="str">
        <f>IF(D4="Торговая","",VLOOKUP($BG$29,$U$30:$AC$35,3,FALSE))</f>
        <v>6410289/</v>
      </c>
      <c r="BJ30" s="1099" t="str">
        <f>VLOOKUP($BG$29,$U$30:$AC$35,4,FALSE)</f>
        <v>4922514/</v>
      </c>
      <c r="BK30" s="1099" t="str">
        <f>VLOOKUP($BG$29,$U$30:$AC$35,5,FALSE)</f>
        <v>4737284/</v>
      </c>
      <c r="BL30" s="1099" t="str">
        <f>VLOOKUP($BG$29,$U$30:$AC$35,6,FALSE)</f>
        <v>2550380/</v>
      </c>
      <c r="BM30" s="1099" t="str">
        <f>VLOOKUP($BG$29,$U$30:$AC$35,7,FALSE)</f>
        <v>5820744/</v>
      </c>
      <c r="BN30" s="1099" t="str">
        <f>VLOOKUP($BG$29,$U$30:$AC$35,8,FALSE)</f>
        <v>8650259/</v>
      </c>
      <c r="BO30" s="1107" t="str">
        <f>VLOOKUP($BG$29,$U$30:$AC$35,9,FALSE)</f>
        <v>3168711/</v>
      </c>
      <c r="BP30" s="1111" t="s">
        <v>2300</v>
      </c>
      <c r="BQ30" s="1112" t="s">
        <v>2335</v>
      </c>
      <c r="BR30" s="1100" t="s">
        <v>3162</v>
      </c>
      <c r="BT30" s="1534" t="s">
        <v>2396</v>
      </c>
      <c r="BU30" s="1534" t="str">
        <f>VLOOKUP($BG$29,$BK$40:$BO$45,2,FALSE)</f>
        <v>8477460/</v>
      </c>
      <c r="BX30" s="1529" t="s">
        <v>4442</v>
      </c>
      <c r="BY30" s="1529" t="s">
        <v>4443</v>
      </c>
      <c r="BZ30" s="1529" t="s">
        <v>4444</v>
      </c>
      <c r="CA30" s="1529" t="s">
        <v>4445</v>
      </c>
      <c r="CB30" s="1529" t="s">
        <v>3646</v>
      </c>
      <c r="CC30" s="1529" t="s">
        <v>4446</v>
      </c>
    </row>
    <row r="31" spans="1:123" ht="12.75" customHeight="1" x14ac:dyDescent="0.2">
      <c r="A31" s="2412"/>
      <c r="B31" s="2073"/>
      <c r="C31" s="1899" t="str">
        <f>IF(C36="","",IF(AND($D$3=$AE$26,$C$26=300),$AI$30,IF($D$4="Торговая","",VLOOKUP($D$3,LBX.M,6,FALSE))))</f>
        <v>8322157/</v>
      </c>
      <c r="D31" s="1905" t="str">
        <f>IF(OR(C31="",C31=0),"",VLOOKUP(C31,всецены,2,FALSE))</f>
        <v xml:space="preserve">LBX, Загл, внутр, бел, симм (М,С,F)     </v>
      </c>
      <c r="E31" s="1906">
        <f>IF(C31="",0,2)</f>
        <v>2</v>
      </c>
      <c r="F31" s="1907">
        <f>IF(C31="",0,VLOOKUP(C31,всецены,4,FALSE))</f>
        <v>8.9453364000000004</v>
      </c>
      <c r="G31" s="1902">
        <f t="shared" si="4"/>
        <v>8.9453364000000004</v>
      </c>
      <c r="H31" s="1904">
        <f>IF(C31=0,0,G31*E31)</f>
        <v>17.890672800000001</v>
      </c>
      <c r="I31" s="2413"/>
      <c r="J31" s="782"/>
      <c r="K31" s="782"/>
      <c r="L31" s="1866">
        <v>300</v>
      </c>
      <c r="M31" s="892" t="str">
        <f t="shared" si="7"/>
        <v>6864175/</v>
      </c>
      <c r="N31" s="892" t="str">
        <f t="shared" si="7"/>
        <v>6800992/</v>
      </c>
      <c r="O31" s="892" t="str">
        <f t="shared" si="7"/>
        <v>4380902/</v>
      </c>
      <c r="P31" s="892" t="str">
        <f t="shared" si="7"/>
        <v>4283251/</v>
      </c>
      <c r="Q31" s="892" t="str">
        <f t="shared" si="7"/>
        <v>8322157/</v>
      </c>
      <c r="R31" s="892" t="str">
        <f t="shared" si="7"/>
        <v>7944577/</v>
      </c>
      <c r="S31" s="892" t="str">
        <f t="shared" si="7"/>
        <v>4738450/</v>
      </c>
      <c r="T31" s="892" t="str">
        <f t="shared" si="7"/>
        <v>9780599/</v>
      </c>
      <c r="U31" s="1866">
        <v>300</v>
      </c>
      <c r="V31" s="1872" t="s">
        <v>4443</v>
      </c>
      <c r="W31" s="1872"/>
      <c r="X31" s="1859" t="s">
        <v>4589</v>
      </c>
      <c r="Y31" s="1859" t="s">
        <v>4587</v>
      </c>
      <c r="Z31" s="1871"/>
      <c r="AA31" s="1866"/>
      <c r="AB31" s="701" t="s">
        <v>2340</v>
      </c>
      <c r="AC31" s="164" t="s">
        <v>2288</v>
      </c>
      <c r="AD31" s="1866">
        <v>300</v>
      </c>
      <c r="AE31" s="1872" t="s">
        <v>4607</v>
      </c>
      <c r="AF31" s="1872" t="s">
        <v>4606</v>
      </c>
      <c r="AG31" s="1859" t="s">
        <v>4589</v>
      </c>
      <c r="AH31" s="1859" t="s">
        <v>4587</v>
      </c>
      <c r="AI31" s="891" t="s">
        <v>2336</v>
      </c>
      <c r="AJ31" s="891" t="s">
        <v>2377</v>
      </c>
      <c r="AK31" s="891" t="s">
        <v>2303</v>
      </c>
      <c r="AL31" s="891" t="s">
        <v>2346</v>
      </c>
      <c r="AM31" s="1866">
        <v>300</v>
      </c>
      <c r="AN31" s="1872" t="s">
        <v>6783</v>
      </c>
      <c r="AO31" s="1872"/>
      <c r="AP31" s="1859" t="s">
        <v>4589</v>
      </c>
      <c r="AQ31" s="1859" t="s">
        <v>4587</v>
      </c>
      <c r="AR31" s="1872"/>
      <c r="AS31" s="1872"/>
      <c r="AT31" s="891" t="s">
        <v>2322</v>
      </c>
      <c r="AU31" s="891" t="s">
        <v>2338</v>
      </c>
      <c r="AV31" s="1866">
        <v>300</v>
      </c>
      <c r="AW31" s="1872"/>
      <c r="AX31" s="1872"/>
      <c r="AY31" s="1859"/>
      <c r="AZ31" s="88"/>
      <c r="BA31" s="1872"/>
      <c r="BB31" s="1872"/>
      <c r="BC31" s="1889"/>
      <c r="BD31" s="1889"/>
      <c r="BG31" s="1890"/>
      <c r="BH31" s="1031"/>
      <c r="BI31" s="1031"/>
      <c r="BJ31" s="1031"/>
      <c r="BK31" s="1031"/>
      <c r="BL31" s="1031"/>
      <c r="BM31" s="1031"/>
      <c r="BN31" s="1031"/>
      <c r="BO31" s="1891"/>
      <c r="BP31" s="1892"/>
      <c r="BQ31" s="738"/>
      <c r="BR31" s="1404"/>
      <c r="BT31" s="1534" t="s">
        <v>2398</v>
      </c>
      <c r="BU31" s="1534" t="str">
        <f>VLOOKUP($BG$29,$BK$40:$BO$45,3,FALSE)</f>
        <v>8505699/</v>
      </c>
      <c r="BX31" s="1534" t="s">
        <v>4455</v>
      </c>
      <c r="BY31" s="1534"/>
      <c r="BZ31" s="1534" t="s">
        <v>4456</v>
      </c>
      <c r="CA31" s="1534" t="s">
        <v>4457</v>
      </c>
      <c r="CB31" s="1534" t="s">
        <v>4458</v>
      </c>
      <c r="CC31" s="1534" t="s">
        <v>4459</v>
      </c>
    </row>
    <row r="32" spans="1:123" ht="12.75" customHeight="1" x14ac:dyDescent="0.2">
      <c r="A32" s="2412"/>
      <c r="B32" s="2073"/>
      <c r="C32" s="1899" t="str">
        <f>IF(C36="","",IF(AND($D$3=$AE$26,$C$26=300),$AJ$30,IF($D$4="Торговая","",VLOOKUP($D$3,LBX.M,7,FALSE))))</f>
        <v>7944577/</v>
      </c>
      <c r="D32" s="1905" t="str">
        <f>IF(OR(C32="",C32=0),"",VLOOKUP(C32,всецены,2,FALSE))</f>
        <v xml:space="preserve">LBX, Загл, наружн, бел, симм с лого     </v>
      </c>
      <c r="E32" s="1906">
        <f>IF(C32="",0,2)</f>
        <v>2</v>
      </c>
      <c r="F32" s="1907">
        <f>IF(C32="",0,VLOOKUP(C32,всецены,4,FALSE))</f>
        <v>14.637823200000001</v>
      </c>
      <c r="G32" s="1902">
        <f t="shared" si="4"/>
        <v>14.637823200000001</v>
      </c>
      <c r="H32" s="1904">
        <f>IF(C32=0,0,G32*E32)</f>
        <v>29.275646400000003</v>
      </c>
      <c r="I32" s="2413"/>
      <c r="J32" s="782"/>
      <c r="K32" s="782">
        <v>4</v>
      </c>
      <c r="L32" s="893">
        <v>350</v>
      </c>
      <c r="M32" s="892" t="str">
        <f t="shared" si="7"/>
        <v>9223539/</v>
      </c>
      <c r="N32" s="892" t="str">
        <f t="shared" si="7"/>
        <v>9149803/</v>
      </c>
      <c r="O32" s="892" t="str">
        <f t="shared" si="7"/>
        <v>4682185/</v>
      </c>
      <c r="P32" s="892" t="str">
        <f t="shared" si="7"/>
        <v>4657978/</v>
      </c>
      <c r="Q32" s="892" t="str">
        <f t="shared" si="7"/>
        <v>8322157/</v>
      </c>
      <c r="R32" s="892" t="str">
        <f t="shared" si="7"/>
        <v>7944577/</v>
      </c>
      <c r="S32" s="892" t="str">
        <f t="shared" si="7"/>
        <v>4738450/</v>
      </c>
      <c r="T32" s="892" t="str">
        <f t="shared" si="7"/>
        <v>9780599/</v>
      </c>
      <c r="U32" s="8">
        <v>350</v>
      </c>
      <c r="V32" s="891" t="s">
        <v>2364</v>
      </c>
      <c r="W32" s="1088" t="s">
        <v>2363</v>
      </c>
      <c r="X32" s="1088" t="s">
        <v>2373</v>
      </c>
      <c r="Y32" s="1088" t="s">
        <v>2372</v>
      </c>
      <c r="Z32" s="164" t="s">
        <v>2282</v>
      </c>
      <c r="AA32" s="43" t="s">
        <v>2486</v>
      </c>
      <c r="AB32" s="701" t="s">
        <v>2340</v>
      </c>
      <c r="AC32" s="164" t="s">
        <v>2288</v>
      </c>
      <c r="AD32" s="8">
        <v>350</v>
      </c>
      <c r="AE32" s="1088" t="s">
        <v>2384</v>
      </c>
      <c r="AF32" s="1088" t="s">
        <v>2383</v>
      </c>
      <c r="AG32" s="1088" t="s">
        <v>2373</v>
      </c>
      <c r="AH32" s="1088" t="s">
        <v>2372</v>
      </c>
      <c r="AI32" s="891" t="s">
        <v>2336</v>
      </c>
      <c r="AJ32" s="891" t="s">
        <v>2377</v>
      </c>
      <c r="AK32" s="891" t="s">
        <v>2303</v>
      </c>
      <c r="AL32" s="891" t="s">
        <v>2346</v>
      </c>
      <c r="AM32" s="8">
        <v>350</v>
      </c>
      <c r="AN32" s="696" t="s">
        <v>2386</v>
      </c>
      <c r="AO32" s="696" t="s">
        <v>2385</v>
      </c>
      <c r="AP32" s="1088" t="s">
        <v>2373</v>
      </c>
      <c r="AQ32" s="1088" t="s">
        <v>2372</v>
      </c>
      <c r="AR32" s="892" t="s">
        <v>2319</v>
      </c>
      <c r="AS32" s="892" t="s">
        <v>2342</v>
      </c>
      <c r="AT32" s="891" t="s">
        <v>2322</v>
      </c>
      <c r="AU32" s="891" t="s">
        <v>2338</v>
      </c>
      <c r="AV32" s="8">
        <v>350</v>
      </c>
      <c r="AW32" s="1087" t="s">
        <v>2857</v>
      </c>
      <c r="AX32" s="1087" t="s">
        <v>2856</v>
      </c>
      <c r="AY32" s="1088" t="s">
        <v>2373</v>
      </c>
      <c r="AZ32" s="771" t="s">
        <v>2372</v>
      </c>
      <c r="BA32" s="1087" t="s">
        <v>2850</v>
      </c>
      <c r="BB32" s="1087" t="s">
        <v>2852</v>
      </c>
      <c r="BC32" s="1088" t="s">
        <v>2848</v>
      </c>
      <c r="BD32" s="1088" t="s">
        <v>2854</v>
      </c>
      <c r="BG32" s="1101" t="s">
        <v>2398</v>
      </c>
      <c r="BH32" s="1102" t="str">
        <f>IF(D4="Торговая",VLOOKUP(BG32,BT30:BU33,2,FALSE),IF(D4="Индивидуальная",VLOOKUP(BG32,BT30:BU33,2,FALSE),VLOOKUP($BG$29,$AD$30:$AL$35,2,FALSE)))</f>
        <v>2533671/</v>
      </c>
      <c r="BI32" s="1102" t="str">
        <f>IF(D4="Торговая","",VLOOKUP($BG$29,$AD$30:$AL$35,3,FALSE))</f>
        <v>2511810/</v>
      </c>
      <c r="BJ32" s="1102" t="str">
        <f>VLOOKUP($BG$29,$AD$30:$AL$35,4,FALSE)</f>
        <v>4922514/</v>
      </c>
      <c r="BK32" s="1102" t="str">
        <f>VLOOKUP($BG$29,$AD$30:$AL$35,5,FALSE)</f>
        <v>4737284/</v>
      </c>
      <c r="BL32" s="1102" t="str">
        <f>VLOOKUP($BG$29,$AD$30:$AL$35,6,FALSE)</f>
        <v>8322157/</v>
      </c>
      <c r="BM32" s="1102" t="str">
        <f>VLOOKUP($BG$29,$AD$30:$AL$35,7,FALSE)</f>
        <v>7944577/</v>
      </c>
      <c r="BN32" s="1102" t="str">
        <f>VLOOKUP($BG$29,$AD$30:$AL$35,8,FALSE)</f>
        <v>4738450/</v>
      </c>
      <c r="BO32" s="1108" t="str">
        <f>VLOOKUP($BG$29,$AD$30:$AL$35,9,FALSE)</f>
        <v>9780599/</v>
      </c>
      <c r="BP32" s="1113" t="s">
        <v>2301</v>
      </c>
      <c r="BQ32" s="1110" t="s">
        <v>2344</v>
      </c>
      <c r="BR32" s="1103" t="s">
        <v>3041</v>
      </c>
      <c r="BT32" s="1534" t="s">
        <v>2397</v>
      </c>
      <c r="BU32" s="1534" t="str">
        <f>VLOOKUP($BG$29,$BK$40:$BO$45,4,FALSE)</f>
        <v>8577103/</v>
      </c>
      <c r="BX32" s="1534" t="s">
        <v>4470</v>
      </c>
      <c r="BY32" s="1534"/>
      <c r="BZ32" s="1534" t="s">
        <v>4471</v>
      </c>
      <c r="CA32" s="1534" t="s">
        <v>4472</v>
      </c>
      <c r="CB32" s="1534" t="s">
        <v>3709</v>
      </c>
      <c r="CC32" s="1534" t="s">
        <v>4473</v>
      </c>
    </row>
    <row r="33" spans="1:123" ht="12.75" customHeight="1" x14ac:dyDescent="0.2">
      <c r="A33" s="2412"/>
      <c r="B33" s="2073"/>
      <c r="C33" s="1899" t="str">
        <f>VLOOKUP($D$3,LBX.M,4,FALSE)</f>
        <v>4922514/</v>
      </c>
      <c r="D33" s="1899" t="str">
        <f t="shared" si="2"/>
        <v xml:space="preserve">LBX, Направл. с BM, 40 кг, 500 мм, лев  </v>
      </c>
      <c r="E33" s="1900">
        <v>1</v>
      </c>
      <c r="F33" s="1901">
        <f t="shared" si="3"/>
        <v>670.90023000000008</v>
      </c>
      <c r="G33" s="1902">
        <f t="shared" si="4"/>
        <v>670.90023000000008</v>
      </c>
      <c r="H33" s="1904">
        <f t="shared" si="6"/>
        <v>670.90023000000008</v>
      </c>
      <c r="I33" s="2413"/>
      <c r="J33" s="782"/>
      <c r="K33" s="782">
        <v>5</v>
      </c>
      <c r="L33" s="893">
        <v>400</v>
      </c>
      <c r="M33" s="892" t="str">
        <f t="shared" si="7"/>
        <v>8432288/</v>
      </c>
      <c r="N33" s="892" t="str">
        <f t="shared" si="7"/>
        <v>8360372/</v>
      </c>
      <c r="O33" s="892" t="str">
        <f t="shared" si="7"/>
        <v>4636718/</v>
      </c>
      <c r="P33" s="892" t="str">
        <f t="shared" si="7"/>
        <v>4423390/</v>
      </c>
      <c r="Q33" s="892" t="str">
        <f t="shared" si="7"/>
        <v>8322157/</v>
      </c>
      <c r="R33" s="892" t="str">
        <f t="shared" si="7"/>
        <v>7944577/</v>
      </c>
      <c r="S33" s="892" t="str">
        <f t="shared" si="7"/>
        <v>4738450/</v>
      </c>
      <c r="T33" s="892" t="str">
        <f t="shared" si="7"/>
        <v>9780599/</v>
      </c>
      <c r="U33" s="8">
        <v>400</v>
      </c>
      <c r="V33" s="696" t="s">
        <v>4074</v>
      </c>
      <c r="W33" s="1085" t="s">
        <v>4073</v>
      </c>
      <c r="X33" s="1088" t="s">
        <v>2988</v>
      </c>
      <c r="Y33" s="1088" t="s">
        <v>2987</v>
      </c>
      <c r="Z33" s="164" t="s">
        <v>2282</v>
      </c>
      <c r="AA33" s="43" t="s">
        <v>2486</v>
      </c>
      <c r="AB33" s="701" t="s">
        <v>2340</v>
      </c>
      <c r="AC33" s="164" t="s">
        <v>2288</v>
      </c>
      <c r="AD33" s="8">
        <v>400</v>
      </c>
      <c r="AE33" s="771" t="s">
        <v>3045</v>
      </c>
      <c r="AF33" s="771" t="s">
        <v>3044</v>
      </c>
      <c r="AG33" s="1088" t="s">
        <v>2988</v>
      </c>
      <c r="AH33" s="1088" t="s">
        <v>2987</v>
      </c>
      <c r="AI33" s="891" t="s">
        <v>2336</v>
      </c>
      <c r="AJ33" s="891" t="s">
        <v>2377</v>
      </c>
      <c r="AK33" s="891" t="s">
        <v>2303</v>
      </c>
      <c r="AL33" s="891" t="s">
        <v>2346</v>
      </c>
      <c r="AM33" s="8">
        <v>400</v>
      </c>
      <c r="AN33" s="1392" t="s">
        <v>4087</v>
      </c>
      <c r="AO33" s="1392" t="s">
        <v>4086</v>
      </c>
      <c r="AP33" s="1088" t="s">
        <v>2988</v>
      </c>
      <c r="AQ33" s="1088" t="s">
        <v>2987</v>
      </c>
      <c r="AR33" s="892" t="s">
        <v>2319</v>
      </c>
      <c r="AS33" s="892" t="s">
        <v>2342</v>
      </c>
      <c r="AT33" s="891" t="s">
        <v>2322</v>
      </c>
      <c r="AU33" s="891" t="s">
        <v>2338</v>
      </c>
      <c r="AV33" s="8">
        <v>400</v>
      </c>
      <c r="AX33" s="1085"/>
      <c r="AY33" s="771" t="s">
        <v>2988</v>
      </c>
      <c r="AZ33" s="771" t="s">
        <v>2987</v>
      </c>
      <c r="BA33" s="1085" t="s">
        <v>2850</v>
      </c>
      <c r="BB33" s="1085" t="s">
        <v>2852</v>
      </c>
      <c r="BC33" s="1088" t="s">
        <v>2848</v>
      </c>
      <c r="BD33" s="1088" t="s">
        <v>2854</v>
      </c>
      <c r="BG33" s="1101" t="s">
        <v>2397</v>
      </c>
      <c r="BH33" s="1102" t="str">
        <f>IF(D4="Торговая",VLOOKUP(BG33,BT30:BU33,2,FALSE),IF(D4="Индивидуальная",VLOOKUP(BG33,BT30:BU33,2,FALSE),VLOOKUP($BG$29,$AM$30:$AU$35,2,FALSE)))</f>
        <v>5430289/</v>
      </c>
      <c r="BI33" s="1102" t="str">
        <f>IF(D4="Торговая","",VLOOKUP($BG$29,$AM$30:$AU$35,3,FALSE))</f>
        <v>5417931/</v>
      </c>
      <c r="BJ33" s="1102" t="str">
        <f>VLOOKUP($BG$29,$AM$30:$AU$35,4,FALSE)</f>
        <v>4922514/</v>
      </c>
      <c r="BK33" s="1102" t="str">
        <f>VLOOKUP($BG$29,$AM$30:$AU$35,5,FALSE)</f>
        <v>4737284/</v>
      </c>
      <c r="BL33" s="1102" t="str">
        <f>VLOOKUP($BG$29,$AM$30:$AU$35,6,FALSE)</f>
        <v>5806987/</v>
      </c>
      <c r="BM33" s="1102" t="str">
        <f>VLOOKUP($BG$29,$AM$30:$AU$35,7,FALSE)</f>
        <v>9207744/</v>
      </c>
      <c r="BN33" s="1102" t="str">
        <f>VLOOKUP($BG$29,$AM$30:$AU$35,8,FALSE)</f>
        <v>5959595/</v>
      </c>
      <c r="BO33" s="1108" t="str">
        <f>VLOOKUP($BG$29,$AM$30:$AU$35,9,FALSE)</f>
        <v>8627853/</v>
      </c>
      <c r="BP33" s="1101" t="s">
        <v>3056</v>
      </c>
      <c r="BQ33" s="1102" t="s">
        <v>3058</v>
      </c>
      <c r="BR33" s="1103" t="s">
        <v>3167</v>
      </c>
      <c r="BT33" s="1534" t="s">
        <v>3159</v>
      </c>
      <c r="BU33" s="1534">
        <f>VLOOKUP($BG$29,$BK$40:$BO$45,5,FALSE)</f>
        <v>0</v>
      </c>
      <c r="BX33" s="1529"/>
      <c r="BY33" s="1529"/>
      <c r="BZ33" s="1529"/>
      <c r="CA33" s="1529"/>
      <c r="CB33" s="1529"/>
      <c r="CC33" s="1529"/>
    </row>
    <row r="34" spans="1:123" ht="12.75" customHeight="1" thickBot="1" x14ac:dyDescent="0.25">
      <c r="A34" s="2412"/>
      <c r="B34" s="2073"/>
      <c r="C34" s="1899" t="str">
        <f>VLOOKUP($D$3,LBX.M,5,FALSE)</f>
        <v>4737284/</v>
      </c>
      <c r="D34" s="1899" t="str">
        <f>VLOOKUP(C34,всецены,2,FALSE)</f>
        <v xml:space="preserve">LBX, Направл. с BM, 40 кг, 500 мм, прав </v>
      </c>
      <c r="E34" s="1900">
        <v>1</v>
      </c>
      <c r="F34" s="1901">
        <f t="shared" si="3"/>
        <v>670.90023000000008</v>
      </c>
      <c r="G34" s="1902">
        <f t="shared" si="4"/>
        <v>670.90023000000008</v>
      </c>
      <c r="H34" s="1904">
        <f t="shared" si="6"/>
        <v>670.90023000000008</v>
      </c>
      <c r="I34" s="2413"/>
      <c r="J34" s="782"/>
      <c r="K34" s="782">
        <v>6</v>
      </c>
      <c r="L34" s="893">
        <v>450</v>
      </c>
      <c r="M34" s="892" t="str">
        <f t="shared" si="7"/>
        <v>3635214/</v>
      </c>
      <c r="N34" s="892" t="str">
        <f t="shared" si="7"/>
        <v>3623792/</v>
      </c>
      <c r="O34" s="892" t="str">
        <f t="shared" si="7"/>
        <v>9337924/</v>
      </c>
      <c r="P34" s="892" t="str">
        <f t="shared" si="7"/>
        <v>9287449/</v>
      </c>
      <c r="Q34" s="892" t="str">
        <f t="shared" si="7"/>
        <v>8322157/</v>
      </c>
      <c r="R34" s="892" t="str">
        <f t="shared" si="7"/>
        <v>7944577/</v>
      </c>
      <c r="S34" s="892" t="str">
        <f t="shared" si="7"/>
        <v>4738450/</v>
      </c>
      <c r="T34" s="892" t="str">
        <f t="shared" si="7"/>
        <v>9780599/</v>
      </c>
      <c r="U34" s="8">
        <v>450</v>
      </c>
      <c r="V34" s="1392" t="s">
        <v>5230</v>
      </c>
      <c r="W34" s="1087" t="s">
        <v>5231</v>
      </c>
      <c r="X34" s="1088" t="s">
        <v>2993</v>
      </c>
      <c r="Y34" s="1088" t="s">
        <v>2992</v>
      </c>
      <c r="Z34" s="164" t="s">
        <v>2282</v>
      </c>
      <c r="AA34" s="43" t="s">
        <v>2486</v>
      </c>
      <c r="AB34" s="701" t="s">
        <v>2340</v>
      </c>
      <c r="AC34" s="164" t="s">
        <v>2288</v>
      </c>
      <c r="AD34" s="8">
        <v>450</v>
      </c>
      <c r="AE34" s="771" t="s">
        <v>3028</v>
      </c>
      <c r="AF34" s="771" t="s">
        <v>3027</v>
      </c>
      <c r="AG34" s="1088" t="s">
        <v>2993</v>
      </c>
      <c r="AH34" s="1088" t="s">
        <v>2992</v>
      </c>
      <c r="AI34" s="891" t="s">
        <v>2336</v>
      </c>
      <c r="AJ34" s="891" t="s">
        <v>2377</v>
      </c>
      <c r="AK34" s="891" t="s">
        <v>2303</v>
      </c>
      <c r="AL34" s="891" t="s">
        <v>2346</v>
      </c>
      <c r="AM34" s="8">
        <v>450</v>
      </c>
      <c r="AN34" s="696" t="s">
        <v>3699</v>
      </c>
      <c r="AO34" s="696" t="s">
        <v>3698</v>
      </c>
      <c r="AP34" s="1088" t="s">
        <v>2993</v>
      </c>
      <c r="AQ34" s="1088" t="s">
        <v>2992</v>
      </c>
      <c r="AR34" s="892" t="s">
        <v>2319</v>
      </c>
      <c r="AS34" s="892" t="s">
        <v>2342</v>
      </c>
      <c r="AT34" s="891" t="s">
        <v>2322</v>
      </c>
      <c r="AU34" s="891" t="s">
        <v>2338</v>
      </c>
      <c r="AV34" s="8">
        <v>450</v>
      </c>
      <c r="AW34" s="1087" t="s">
        <v>4623</v>
      </c>
      <c r="AX34" s="1087" t="s">
        <v>4622</v>
      </c>
      <c r="AY34" s="771" t="s">
        <v>2993</v>
      </c>
      <c r="AZ34" s="771" t="s">
        <v>2992</v>
      </c>
      <c r="BA34" s="1085" t="s">
        <v>2850</v>
      </c>
      <c r="BB34" s="1085" t="s">
        <v>2852</v>
      </c>
      <c r="BC34" s="1088" t="s">
        <v>2848</v>
      </c>
      <c r="BD34" s="1088" t="s">
        <v>2854</v>
      </c>
      <c r="BG34" s="1104" t="s">
        <v>3159</v>
      </c>
      <c r="BH34" s="1105" t="str">
        <f>IF(D4="Торговая",VLOOKUP(BG34,BT30:BU33,2,FALSE),VLOOKUP($BG$29,$AV$30:$BD$35,2,FALSE))</f>
        <v>3653292/</v>
      </c>
      <c r="BI34" s="1105" t="str">
        <f>IF(D4="Торговая","",VLOOKUP($BG$29,$AV$30:$BD$35,3,FALSE))</f>
        <v>3722189/</v>
      </c>
      <c r="BJ34" s="1105" t="str">
        <f>VLOOKUP($BG$29,$AV$30:$BD$35,4,FALSE)</f>
        <v>4922514/</v>
      </c>
      <c r="BK34" s="1105" t="str">
        <f>VLOOKUP($BG$29,$AV$30:$BD$35,5,FALSE)</f>
        <v>4737284/</v>
      </c>
      <c r="BL34" s="1105" t="str">
        <f>VLOOKUP($BG$29,$AV$30:$BD$35,6,FALSE)</f>
        <v>2113518/</v>
      </c>
      <c r="BM34" s="1105" t="str">
        <f>VLOOKUP($BG$29,$AV$30:$BD$35,7,FALSE)</f>
        <v>2215958/</v>
      </c>
      <c r="BN34" s="1105" t="str">
        <f>VLOOKUP($BG$29,$AV$30:$BD$35,8,FALSE)</f>
        <v>1329408/</v>
      </c>
      <c r="BO34" s="1109" t="str">
        <f>VLOOKUP($BG$29,$AV$30:$BD$35,9,FALSE)</f>
        <v>2795908/</v>
      </c>
      <c r="BP34" s="1104" t="s">
        <v>2853</v>
      </c>
      <c r="BQ34" s="1105" t="s">
        <v>2864</v>
      </c>
      <c r="BR34" s="1106" t="s">
        <v>3076</v>
      </c>
    </row>
    <row r="35" spans="1:123" ht="12.75" customHeight="1" x14ac:dyDescent="0.2">
      <c r="A35" s="2412"/>
      <c r="B35" s="2073"/>
      <c r="C35" s="1899" t="str">
        <f>IF(VLOOKUP($D$3,LBX.M,2,FALSE)="z",$AE$31,VLOOKUP($D$3,LBX.M,2,FALSE))</f>
        <v>2533671/</v>
      </c>
      <c r="D35" s="1899" t="str">
        <f>IF(C35=0,0,VLOOKUP(C35,всецены,2,FALSE))</f>
        <v xml:space="preserve">LBX, Боковина M 90,3/500 мм, бел, лев   </v>
      </c>
      <c r="E35" s="1900">
        <v>1</v>
      </c>
      <c r="F35" s="1901">
        <f t="shared" si="3"/>
        <v>467.59712999999999</v>
      </c>
      <c r="G35" s="1902">
        <f t="shared" si="4"/>
        <v>467.59712999999999</v>
      </c>
      <c r="H35" s="1904">
        <f t="shared" si="6"/>
        <v>467.59712999999999</v>
      </c>
      <c r="I35" s="2385"/>
      <c r="J35" s="782"/>
      <c r="K35" s="782">
        <v>7</v>
      </c>
      <c r="L35" s="893">
        <v>500</v>
      </c>
      <c r="M35" s="892" t="str">
        <f t="shared" si="7"/>
        <v>2533671/</v>
      </c>
      <c r="N35" s="892" t="str">
        <f t="shared" si="7"/>
        <v>2511810/</v>
      </c>
      <c r="O35" s="892" t="str">
        <f t="shared" si="7"/>
        <v>4922514/</v>
      </c>
      <c r="P35" s="892" t="str">
        <f t="shared" si="7"/>
        <v>4737284/</v>
      </c>
      <c r="Q35" s="892" t="str">
        <f t="shared" si="7"/>
        <v>8322157/</v>
      </c>
      <c r="R35" s="892" t="str">
        <f t="shared" si="7"/>
        <v>7944577/</v>
      </c>
      <c r="S35" s="892" t="str">
        <f t="shared" si="7"/>
        <v>4738450/</v>
      </c>
      <c r="T35" s="892" t="str">
        <f t="shared" si="7"/>
        <v>9780599/</v>
      </c>
      <c r="U35" s="8">
        <v>500</v>
      </c>
      <c r="V35" s="1392" t="s">
        <v>5232</v>
      </c>
      <c r="W35" s="1089" t="s">
        <v>5233</v>
      </c>
      <c r="X35" s="696" t="s">
        <v>2307</v>
      </c>
      <c r="Y35" s="696" t="s">
        <v>2302</v>
      </c>
      <c r="Z35" s="164" t="s">
        <v>2282</v>
      </c>
      <c r="AA35" s="43" t="s">
        <v>2486</v>
      </c>
      <c r="AB35" s="701" t="s">
        <v>2340</v>
      </c>
      <c r="AC35" s="164" t="s">
        <v>2288</v>
      </c>
      <c r="AD35" s="8">
        <v>500</v>
      </c>
      <c r="AE35" s="696" t="s">
        <v>2281</v>
      </c>
      <c r="AF35" s="703" t="s">
        <v>2280</v>
      </c>
      <c r="AG35" s="696" t="s">
        <v>2307</v>
      </c>
      <c r="AH35" s="696" t="s">
        <v>2302</v>
      </c>
      <c r="AI35" s="891" t="s">
        <v>2336</v>
      </c>
      <c r="AJ35" s="891" t="s">
        <v>2377</v>
      </c>
      <c r="AK35" s="891" t="s">
        <v>2303</v>
      </c>
      <c r="AL35" s="891" t="s">
        <v>2346</v>
      </c>
      <c r="AM35" s="8">
        <v>500</v>
      </c>
      <c r="AN35" s="696" t="s">
        <v>2317</v>
      </c>
      <c r="AO35" s="703" t="s">
        <v>2316</v>
      </c>
      <c r="AP35" s="696" t="s">
        <v>2307</v>
      </c>
      <c r="AQ35" s="696" t="s">
        <v>2302</v>
      </c>
      <c r="AR35" s="892" t="s">
        <v>2319</v>
      </c>
      <c r="AS35" s="892" t="s">
        <v>2342</v>
      </c>
      <c r="AT35" s="891" t="s">
        <v>2322</v>
      </c>
      <c r="AU35" s="891" t="s">
        <v>2338</v>
      </c>
      <c r="AV35" s="8">
        <v>500</v>
      </c>
      <c r="AW35" s="1087" t="s">
        <v>2858</v>
      </c>
      <c r="AX35" s="1089" t="s">
        <v>2859</v>
      </c>
      <c r="AY35" s="1085" t="s">
        <v>2307</v>
      </c>
      <c r="AZ35" s="1085" t="s">
        <v>2302</v>
      </c>
      <c r="BA35" s="1087" t="s">
        <v>2850</v>
      </c>
      <c r="BB35" s="1087" t="s">
        <v>2852</v>
      </c>
      <c r="BC35" s="1088" t="s">
        <v>2848</v>
      </c>
      <c r="BD35" s="1088" t="s">
        <v>2854</v>
      </c>
      <c r="BH35" s="771">
        <v>2</v>
      </c>
      <c r="BI35" s="771">
        <v>3</v>
      </c>
      <c r="BJ35" s="771">
        <v>4</v>
      </c>
      <c r="BK35" s="771">
        <v>5</v>
      </c>
      <c r="BL35" s="771">
        <v>6</v>
      </c>
      <c r="BM35" s="771">
        <v>7</v>
      </c>
      <c r="BN35" s="771">
        <v>8</v>
      </c>
      <c r="BO35" s="771">
        <v>9</v>
      </c>
      <c r="BP35" s="771">
        <v>10</v>
      </c>
      <c r="BQ35" s="771">
        <v>11</v>
      </c>
      <c r="BR35" s="771">
        <v>12</v>
      </c>
    </row>
    <row r="36" spans="1:123" ht="12.75" customHeight="1" thickBot="1" x14ac:dyDescent="0.25">
      <c r="A36" s="2412"/>
      <c r="B36" s="2074"/>
      <c r="C36" s="1885" t="str">
        <f>IF(OR(MID($D$35,35,3)="кмп",MID($D$35,35,3)=" км"),"",IF(VLOOKUP($D$3,LBX.M,2,FALSE)="z",$AF$31,VLOOKUP($D$3,LBX.M,3,FALSE)))</f>
        <v>2511810/</v>
      </c>
      <c r="D36" s="1874" t="str">
        <f>IF(OR(C36="",C36=0),"",VLOOKUP(C36,всецены,2,FALSE))</f>
        <v xml:space="preserve">LBX, Боковина M 90,3/500 мм, бел, прав  </v>
      </c>
      <c r="E36" s="1886">
        <f>IF(C36="",0,1)</f>
        <v>1</v>
      </c>
      <c r="F36" s="1876">
        <f>IF(C36="",0,VLOOKUP(C36,всецены,4,FALSE))</f>
        <v>467.59712999999999</v>
      </c>
      <c r="G36" s="1877">
        <f t="shared" si="4"/>
        <v>467.59712999999999</v>
      </c>
      <c r="H36" s="1894">
        <f>IF(C36=0,0,G36*E36)</f>
        <v>467.59712999999999</v>
      </c>
      <c r="I36" s="2414"/>
      <c r="J36" s="782"/>
      <c r="K36" s="782"/>
      <c r="M36" s="8">
        <v>2</v>
      </c>
      <c r="N36" s="8">
        <v>3</v>
      </c>
      <c r="O36" s="8">
        <v>4</v>
      </c>
      <c r="P36" s="8">
        <v>5</v>
      </c>
      <c r="Q36" s="8">
        <v>6</v>
      </c>
      <c r="R36" s="8">
        <v>7</v>
      </c>
      <c r="S36" s="8">
        <v>8</v>
      </c>
      <c r="T36" s="8">
        <v>9</v>
      </c>
      <c r="V36" s="875">
        <v>2</v>
      </c>
      <c r="W36" s="875">
        <v>3</v>
      </c>
      <c r="X36" s="875">
        <v>4</v>
      </c>
      <c r="Y36" s="875">
        <v>5</v>
      </c>
      <c r="Z36" s="875">
        <v>6</v>
      </c>
      <c r="AA36" s="875">
        <v>7</v>
      </c>
      <c r="AB36" s="875">
        <v>8</v>
      </c>
      <c r="AC36" s="875">
        <v>9</v>
      </c>
      <c r="AD36" s="875"/>
      <c r="AE36" s="875">
        <v>2</v>
      </c>
      <c r="AF36" s="875">
        <v>3</v>
      </c>
      <c r="AG36" s="875">
        <v>4</v>
      </c>
      <c r="AH36" s="875">
        <v>5</v>
      </c>
      <c r="AI36" s="875">
        <v>6</v>
      </c>
      <c r="AJ36" s="875">
        <v>7</v>
      </c>
      <c r="AK36" s="875">
        <v>8</v>
      </c>
      <c r="AL36" s="875">
        <v>9</v>
      </c>
      <c r="AN36" s="875">
        <v>2</v>
      </c>
      <c r="AO36" s="875">
        <v>3</v>
      </c>
      <c r="AP36" s="875">
        <v>4</v>
      </c>
      <c r="AQ36" s="875">
        <v>5</v>
      </c>
      <c r="AR36" s="875">
        <v>6</v>
      </c>
      <c r="AS36" s="875">
        <v>7</v>
      </c>
      <c r="AT36" s="875">
        <v>8</v>
      </c>
      <c r="AU36" s="875">
        <v>9</v>
      </c>
      <c r="AW36" s="875">
        <v>2</v>
      </c>
      <c r="AX36" s="875">
        <v>3</v>
      </c>
      <c r="AY36" s="875">
        <v>4</v>
      </c>
      <c r="AZ36" s="875">
        <v>5</v>
      </c>
      <c r="BA36" s="875">
        <v>6</v>
      </c>
      <c r="BB36" s="875">
        <v>7</v>
      </c>
      <c r="BC36" s="875">
        <v>8</v>
      </c>
      <c r="BD36" s="875">
        <v>9</v>
      </c>
      <c r="CN36" s="1542"/>
    </row>
    <row r="37" spans="1:123" ht="9" customHeight="1" thickBot="1" x14ac:dyDescent="0.25">
      <c r="A37" s="849"/>
      <c r="B37" s="854"/>
      <c r="C37" s="855"/>
      <c r="D37" s="856"/>
      <c r="E37" s="857"/>
      <c r="F37" s="1443"/>
      <c r="G37" s="1443"/>
      <c r="H37" s="859"/>
      <c r="I37" s="876"/>
      <c r="J37" s="782"/>
      <c r="K37" s="782"/>
    </row>
    <row r="38" spans="1:123" ht="12.75" customHeight="1" x14ac:dyDescent="0.2">
      <c r="A38" s="849"/>
      <c r="B38" s="1524" t="str">
        <f>IF($D$3="БЕЛЫЙ ШЕЛК - матовый","270,300,350,400,450,500мм","270,350,400,450,500мм")</f>
        <v>270,300,350,400,450,500мм</v>
      </c>
      <c r="C38" s="698"/>
      <c r="D38" s="833"/>
      <c r="E38" s="833"/>
      <c r="F38" s="2128" t="s">
        <v>1183</v>
      </c>
      <c r="G38" s="2128"/>
      <c r="H38" s="2128"/>
      <c r="I38" s="2139"/>
      <c r="J38" s="782"/>
      <c r="K38" s="782"/>
      <c r="BK38" s="771" t="s">
        <v>7039</v>
      </c>
      <c r="BT38" s="8"/>
    </row>
    <row r="39" spans="1:123" ht="12.75" customHeight="1" x14ac:dyDescent="0.2">
      <c r="A39" s="849"/>
      <c r="B39" s="844"/>
      <c r="C39" s="1881"/>
      <c r="D39" s="852"/>
      <c r="E39" s="852"/>
      <c r="F39" s="1442"/>
      <c r="G39" s="1442"/>
      <c r="H39" s="853"/>
      <c r="I39" s="1857" t="str">
        <f>IF(СОДЕРЖАНИЕ!P2=1,"EUR","RUB")</f>
        <v>RUB</v>
      </c>
      <c r="J39" s="782"/>
      <c r="K39" s="782"/>
      <c r="BG39" s="884"/>
      <c r="BL39" s="771" t="s">
        <v>2396</v>
      </c>
      <c r="BM39" s="771" t="s">
        <v>2398</v>
      </c>
      <c r="BN39" s="771" t="s">
        <v>2397</v>
      </c>
      <c r="BO39" s="771" t="s">
        <v>3159</v>
      </c>
      <c r="BT39" s="8"/>
    </row>
    <row r="40" spans="1:123" s="878" customFormat="1" ht="12.75" customHeight="1" x14ac:dyDescent="0.2">
      <c r="A40" s="896"/>
      <c r="B40" s="2383"/>
      <c r="C40" s="1899" t="s">
        <v>2984</v>
      </c>
      <c r="D40" s="1899" t="str">
        <f t="shared" ref="D40:D51" si="8">VLOOKUP(C40,всецены,2,FALSE)</f>
        <v xml:space="preserve">LBX, Держ п/п, лев, ZI7.0M01.01         </v>
      </c>
      <c r="E40" s="1900">
        <v>1</v>
      </c>
      <c r="F40" s="1901">
        <f t="shared" ref="F40:F51" si="9">VLOOKUP(C40,всецены,4,FALSE)</f>
        <v>247.21656959999999</v>
      </c>
      <c r="G40" s="1901">
        <f>F40</f>
        <v>247.21656959999999</v>
      </c>
      <c r="H40" s="1904">
        <f>G40*E40</f>
        <v>247.21656959999999</v>
      </c>
      <c r="I40" s="2385">
        <f>SUM(H40:H52)</f>
        <v>4326.289968</v>
      </c>
      <c r="J40" s="782"/>
      <c r="K40" s="782"/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  <c r="AC40" s="8"/>
      <c r="AD40" s="8"/>
      <c r="AE40" s="8"/>
      <c r="AF40" s="8"/>
      <c r="AG40" s="771"/>
      <c r="AH40" s="771"/>
      <c r="AI40" s="771"/>
      <c r="AJ40" s="771"/>
      <c r="AK40" s="771"/>
      <c r="AL40" s="771"/>
      <c r="AM40" s="771"/>
      <c r="AN40" s="771"/>
      <c r="AO40" s="771"/>
      <c r="AP40" s="771"/>
      <c r="AQ40" s="771"/>
      <c r="AR40" s="771"/>
      <c r="AS40" s="771"/>
      <c r="AT40" s="771"/>
      <c r="AU40" s="771"/>
      <c r="AV40" s="771"/>
      <c r="AW40" s="771"/>
      <c r="AX40" s="771"/>
      <c r="AY40" s="771"/>
      <c r="AZ40" s="771"/>
      <c r="BA40" s="771"/>
      <c r="BB40" s="771"/>
      <c r="BC40" s="771"/>
      <c r="BD40" s="771"/>
      <c r="BE40" s="771"/>
      <c r="BF40" s="771"/>
      <c r="BG40" s="771"/>
      <c r="BH40" s="771"/>
      <c r="BI40" s="771"/>
      <c r="BJ40" s="771"/>
      <c r="BK40" s="1528">
        <v>270</v>
      </c>
      <c r="BL40" s="1529" t="s">
        <v>4442</v>
      </c>
      <c r="BM40" s="1534" t="s">
        <v>4455</v>
      </c>
      <c r="BN40" s="1534" t="s">
        <v>4470</v>
      </c>
      <c r="BO40" s="1529"/>
      <c r="BP40" s="771"/>
      <c r="BQ40" s="771"/>
      <c r="BR40" s="771"/>
      <c r="BS40" s="771"/>
      <c r="BT40" s="8"/>
      <c r="BU40" s="771"/>
      <c r="BV40" s="771"/>
      <c r="BW40" s="771"/>
      <c r="BX40" s="771"/>
      <c r="BY40" s="771"/>
      <c r="BZ40" s="771"/>
      <c r="CA40" s="771"/>
      <c r="CB40" s="771"/>
      <c r="CC40" s="771"/>
      <c r="CD40" s="771"/>
      <c r="CE40" s="771"/>
      <c r="CF40" s="771"/>
      <c r="CG40" s="771"/>
      <c r="CH40" s="771"/>
      <c r="CI40" s="771"/>
      <c r="CJ40" s="771"/>
      <c r="CK40" s="771"/>
      <c r="CL40" s="771"/>
      <c r="CM40" s="771"/>
      <c r="CN40" s="771"/>
      <c r="CO40" s="771"/>
      <c r="CP40" s="771"/>
      <c r="CQ40" s="771"/>
      <c r="CR40" s="771"/>
      <c r="CS40" s="771"/>
      <c r="CT40" s="771"/>
      <c r="CU40" s="771"/>
      <c r="CV40" s="771"/>
      <c r="CW40" s="771"/>
      <c r="CX40" s="771"/>
      <c r="CY40" s="771"/>
      <c r="CZ40" s="771"/>
      <c r="DA40" s="771"/>
      <c r="DB40" s="771"/>
      <c r="DC40" s="771"/>
      <c r="DD40" s="771"/>
      <c r="DE40" s="771"/>
      <c r="DF40" s="771"/>
      <c r="DG40" s="771"/>
      <c r="DH40" s="771"/>
      <c r="DI40" s="771"/>
      <c r="DJ40" s="771"/>
      <c r="DK40" s="771"/>
      <c r="DL40" s="771"/>
      <c r="DM40" s="771"/>
      <c r="DN40" s="771"/>
      <c r="DO40" s="771"/>
      <c r="DP40" s="771"/>
      <c r="DQ40" s="771"/>
      <c r="DR40" s="771"/>
      <c r="DS40" s="771"/>
    </row>
    <row r="41" spans="1:123" s="878" customFormat="1" ht="12.75" customHeight="1" x14ac:dyDescent="0.2">
      <c r="A41" s="896"/>
      <c r="B41" s="2073"/>
      <c r="C41" s="1899" t="s">
        <v>2990</v>
      </c>
      <c r="D41" s="738" t="str">
        <f t="shared" si="8"/>
        <v xml:space="preserve">LBX, Держ п/п, прав, ZI7.0M01.01        </v>
      </c>
      <c r="E41" s="739">
        <v>1</v>
      </c>
      <c r="F41" s="1458">
        <f t="shared" si="9"/>
        <v>247.21656959999999</v>
      </c>
      <c r="G41" s="1901">
        <f t="shared" ref="G41:G52" si="10">F41</f>
        <v>247.21656959999999</v>
      </c>
      <c r="H41" s="1893">
        <f t="shared" ref="H41:H51" si="11">G41*E41</f>
        <v>247.21656959999999</v>
      </c>
      <c r="I41" s="2386"/>
      <c r="J41" s="782"/>
      <c r="K41" s="782"/>
      <c r="L41" s="8"/>
      <c r="M41" s="8"/>
      <c r="N41" s="8"/>
      <c r="O41" s="8"/>
      <c r="P41" s="8"/>
      <c r="Q41" s="8"/>
      <c r="R41" s="8"/>
      <c r="S41" s="8"/>
      <c r="T41" s="8"/>
      <c r="U41" s="8"/>
      <c r="V41" s="1418"/>
      <c r="W41" s="1418"/>
      <c r="X41" s="1418"/>
      <c r="Y41" s="1418"/>
      <c r="Z41" s="8"/>
      <c r="AA41" s="8"/>
      <c r="AB41" s="8"/>
      <c r="AC41" s="8"/>
      <c r="AD41" s="8"/>
      <c r="AE41" s="8"/>
      <c r="AF41" s="8"/>
      <c r="AG41" s="1418"/>
      <c r="AH41" s="771"/>
      <c r="AI41" s="771"/>
      <c r="AJ41" s="771"/>
      <c r="AL41" s="771"/>
      <c r="AM41" s="771"/>
      <c r="AN41" s="771"/>
      <c r="AO41" s="771"/>
      <c r="AP41" s="771"/>
      <c r="AQ41" s="771"/>
      <c r="AR41" s="771"/>
      <c r="AS41" s="771"/>
      <c r="AT41" s="771"/>
      <c r="AU41" s="771"/>
      <c r="AV41" s="771"/>
      <c r="AW41" s="771"/>
      <c r="AX41" s="771"/>
      <c r="AY41" s="771"/>
      <c r="AZ41" s="771"/>
      <c r="BA41" s="771"/>
      <c r="BB41" s="771"/>
      <c r="BC41" s="771"/>
      <c r="BD41" s="771"/>
      <c r="BE41" s="771"/>
      <c r="BF41" s="771"/>
      <c r="BG41" s="771"/>
      <c r="BK41" s="1528">
        <v>300</v>
      </c>
      <c r="BL41" s="1529" t="s">
        <v>4443</v>
      </c>
      <c r="BM41" s="1534" t="s">
        <v>7035</v>
      </c>
      <c r="BN41" s="1534" t="s">
        <v>6783</v>
      </c>
      <c r="BO41" s="1529"/>
      <c r="BQ41" s="771"/>
      <c r="BR41" s="771"/>
      <c r="BS41" s="771"/>
      <c r="BT41" s="8"/>
      <c r="BU41" s="771"/>
      <c r="BV41" s="771"/>
      <c r="BW41" s="771"/>
      <c r="BX41" s="771"/>
      <c r="BY41" s="771"/>
      <c r="BZ41" s="771"/>
      <c r="CA41" s="771"/>
      <c r="CB41" s="771"/>
      <c r="CC41" s="771"/>
      <c r="CD41" s="771"/>
      <c r="CE41" s="771"/>
      <c r="CF41" s="771"/>
      <c r="CG41" s="771"/>
      <c r="CH41" s="771"/>
      <c r="CI41" s="771"/>
      <c r="CJ41" s="771"/>
      <c r="CK41" s="771"/>
      <c r="CL41" s="771"/>
      <c r="CM41" s="771"/>
      <c r="CN41" s="771"/>
      <c r="CO41" s="771"/>
      <c r="CP41" s="771"/>
      <c r="CQ41" s="771"/>
      <c r="CR41" s="771"/>
      <c r="CS41" s="771"/>
      <c r="CT41" s="771"/>
      <c r="CU41" s="771"/>
      <c r="CV41" s="771"/>
      <c r="CW41" s="771"/>
      <c r="CX41" s="771"/>
      <c r="CY41" s="771"/>
      <c r="CZ41" s="771"/>
      <c r="DA41" s="771"/>
      <c r="DB41" s="771"/>
      <c r="DC41" s="771"/>
      <c r="DD41" s="771"/>
      <c r="DE41" s="771"/>
      <c r="DF41" s="771"/>
      <c r="DG41" s="771"/>
      <c r="DH41" s="771"/>
      <c r="DI41" s="771"/>
      <c r="DJ41" s="771"/>
      <c r="DK41" s="771"/>
      <c r="DL41" s="771"/>
      <c r="DM41" s="771"/>
      <c r="DN41" s="771"/>
      <c r="DO41" s="771"/>
      <c r="DP41" s="771"/>
      <c r="DQ41" s="771"/>
      <c r="DR41" s="771"/>
      <c r="DS41" s="771"/>
    </row>
    <row r="42" spans="1:123" s="878" customFormat="1" ht="12.75" customHeight="1" x14ac:dyDescent="0.2">
      <c r="A42" s="896"/>
      <c r="B42" s="2073"/>
      <c r="C42" s="1899" t="str">
        <f>VLOOKUP($D$3,LBX.M,10,FALSE)</f>
        <v>4735001/</v>
      </c>
      <c r="D42" s="738" t="str">
        <f t="shared" si="8"/>
        <v>LBX, Загл держ п/п M, бел , лев ZI7.0MS3</v>
      </c>
      <c r="E42" s="739">
        <v>1</v>
      </c>
      <c r="F42" s="1458">
        <f t="shared" si="9"/>
        <v>91.079788800000017</v>
      </c>
      <c r="G42" s="1901">
        <f t="shared" si="10"/>
        <v>91.079788800000017</v>
      </c>
      <c r="H42" s="1893">
        <f t="shared" si="11"/>
        <v>91.079788800000017</v>
      </c>
      <c r="I42" s="2386"/>
      <c r="J42" s="782"/>
      <c r="K42" s="782"/>
      <c r="L42" s="8"/>
      <c r="M42" s="8"/>
      <c r="N42" s="8"/>
      <c r="O42" s="8"/>
      <c r="P42" s="8"/>
      <c r="Q42" s="8"/>
      <c r="R42" s="8"/>
      <c r="S42" s="8"/>
      <c r="T42" s="8"/>
      <c r="U42" s="8"/>
      <c r="V42" s="1418"/>
      <c r="W42" s="1418"/>
      <c r="X42" s="1418"/>
      <c r="Y42" s="1418"/>
      <c r="Z42" s="8"/>
      <c r="AB42" s="8"/>
      <c r="AC42" s="8"/>
      <c r="AD42" s="8"/>
      <c r="AE42" s="8"/>
      <c r="AF42" s="8"/>
      <c r="AG42" s="771"/>
      <c r="AH42" s="771"/>
      <c r="AI42" s="771"/>
      <c r="AJ42" s="771"/>
      <c r="AL42" s="771"/>
      <c r="AM42" s="771"/>
      <c r="AN42" s="771"/>
      <c r="AO42" s="771"/>
      <c r="AP42" s="771"/>
      <c r="AQ42" s="771"/>
      <c r="AR42" s="771"/>
      <c r="AS42" s="771"/>
      <c r="AT42" s="771"/>
      <c r="AU42" s="771"/>
      <c r="AV42" s="771"/>
      <c r="AW42" s="771"/>
      <c r="AX42" s="771"/>
      <c r="AY42" s="771"/>
      <c r="AZ42" s="771"/>
      <c r="BA42" s="771"/>
      <c r="BB42" s="771"/>
      <c r="BC42" s="771"/>
      <c r="BD42" s="771"/>
      <c r="BE42" s="771"/>
      <c r="BF42" s="771"/>
      <c r="BG42" s="771"/>
      <c r="BH42" s="771"/>
      <c r="BI42" s="771"/>
      <c r="BJ42" s="771"/>
      <c r="BK42" s="1528">
        <v>350</v>
      </c>
      <c r="BL42" s="1529" t="s">
        <v>4444</v>
      </c>
      <c r="BM42" s="1534" t="s">
        <v>4456</v>
      </c>
      <c r="BN42" s="1534" t="s">
        <v>4471</v>
      </c>
      <c r="BO42" s="1529"/>
      <c r="BQ42" s="771"/>
      <c r="BR42" s="771"/>
      <c r="BS42" s="771"/>
      <c r="BT42" s="8"/>
      <c r="BU42" s="771"/>
      <c r="BV42" s="771"/>
      <c r="BW42" s="771"/>
      <c r="BX42" s="771"/>
      <c r="BY42" s="771"/>
      <c r="BZ42" s="771"/>
      <c r="CA42" s="771"/>
      <c r="CB42" s="771"/>
      <c r="CC42" s="771"/>
      <c r="CD42" s="771"/>
      <c r="CE42" s="771"/>
      <c r="CF42" s="771"/>
      <c r="CG42" s="771"/>
      <c r="CH42" s="771"/>
      <c r="CI42" s="771"/>
      <c r="CJ42" s="771"/>
      <c r="CK42" s="771"/>
      <c r="CL42" s="771"/>
      <c r="CM42" s="771"/>
      <c r="CN42" s="771"/>
      <c r="CO42" s="771"/>
      <c r="CP42" s="771"/>
      <c r="CQ42" s="771"/>
      <c r="CR42" s="771"/>
      <c r="CS42" s="771"/>
      <c r="CT42" s="771"/>
      <c r="CU42" s="771"/>
      <c r="CV42" s="771"/>
      <c r="CW42" s="771"/>
      <c r="CX42" s="771"/>
      <c r="CY42" s="771"/>
      <c r="CZ42" s="771"/>
      <c r="DA42" s="771"/>
      <c r="DB42" s="771"/>
      <c r="DC42" s="771"/>
      <c r="DD42" s="771"/>
      <c r="DE42" s="771"/>
      <c r="DF42" s="771"/>
      <c r="DG42" s="771"/>
      <c r="DH42" s="771"/>
      <c r="DI42" s="771"/>
      <c r="DJ42" s="771"/>
      <c r="DK42" s="771"/>
      <c r="DL42" s="771"/>
      <c r="DM42" s="771"/>
      <c r="DN42" s="771"/>
      <c r="DO42" s="771"/>
      <c r="DP42" s="771"/>
      <c r="DQ42" s="771"/>
      <c r="DR42" s="771"/>
      <c r="DS42" s="771"/>
    </row>
    <row r="43" spans="1:123" s="878" customFormat="1" ht="12.75" customHeight="1" x14ac:dyDescent="0.2">
      <c r="A43" s="896"/>
      <c r="B43" s="2073"/>
      <c r="C43" s="1899" t="str">
        <f>VLOOKUP($D$3,LBX.M,11,FALSE)</f>
        <v>9653821/</v>
      </c>
      <c r="D43" s="738" t="str">
        <f t="shared" si="8"/>
        <v>LBX, Загл держ п/п M, бел, прав ZI7.0MS3</v>
      </c>
      <c r="E43" s="739">
        <v>1</v>
      </c>
      <c r="F43" s="1458">
        <f t="shared" si="9"/>
        <v>91.079788800000017</v>
      </c>
      <c r="G43" s="1901">
        <f t="shared" si="10"/>
        <v>91.079788800000017</v>
      </c>
      <c r="H43" s="1893">
        <f t="shared" si="11"/>
        <v>91.079788800000017</v>
      </c>
      <c r="I43" s="2386"/>
      <c r="J43" s="782"/>
      <c r="K43" s="782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B43" s="8"/>
      <c r="AC43" s="8"/>
      <c r="AD43" s="8"/>
      <c r="AE43" s="8"/>
      <c r="AF43" s="8"/>
      <c r="AG43" s="771"/>
      <c r="AH43" s="771"/>
      <c r="AI43" s="771"/>
      <c r="AJ43" s="771"/>
      <c r="AL43" s="771"/>
      <c r="AM43" s="771"/>
      <c r="AN43" s="771"/>
      <c r="AO43" s="771"/>
      <c r="AP43" s="771"/>
      <c r="AQ43" s="771"/>
      <c r="AR43" s="771"/>
      <c r="AS43" s="771"/>
      <c r="AT43" s="771"/>
      <c r="AU43" s="771"/>
      <c r="AV43" s="771"/>
      <c r="AW43" s="771"/>
      <c r="AX43" s="771"/>
      <c r="AY43" s="771"/>
      <c r="AZ43" s="771"/>
      <c r="BA43" s="771"/>
      <c r="BB43" s="771"/>
      <c r="BC43" s="771"/>
      <c r="BD43" s="771"/>
      <c r="BE43" s="771"/>
      <c r="BF43" s="771"/>
      <c r="BG43" s="771"/>
      <c r="BH43" s="771"/>
      <c r="BI43" s="771"/>
      <c r="BJ43" s="771"/>
      <c r="BK43" s="1528">
        <v>400</v>
      </c>
      <c r="BL43" s="1529" t="s">
        <v>4445</v>
      </c>
      <c r="BM43" s="1534" t="s">
        <v>4457</v>
      </c>
      <c r="BN43" s="1534" t="s">
        <v>4472</v>
      </c>
      <c r="BO43" s="1529"/>
      <c r="BP43" s="771"/>
      <c r="BQ43" s="771"/>
      <c r="BR43" s="771"/>
      <c r="BS43" s="771"/>
      <c r="BT43" s="8"/>
      <c r="BU43" s="771"/>
      <c r="BV43" s="771"/>
      <c r="BW43" s="771"/>
      <c r="BX43" s="771"/>
      <c r="BY43" s="771"/>
      <c r="BZ43" s="771"/>
      <c r="CA43" s="771"/>
      <c r="CB43" s="771"/>
      <c r="CC43" s="771"/>
      <c r="CD43" s="771"/>
      <c r="CE43" s="771"/>
      <c r="CF43" s="771"/>
      <c r="CG43" s="771"/>
      <c r="CH43" s="771"/>
      <c r="CI43" s="771"/>
      <c r="CJ43" s="771"/>
      <c r="CK43" s="771"/>
      <c r="CL43" s="771"/>
      <c r="CM43" s="771"/>
      <c r="CN43" s="771"/>
      <c r="CO43" s="771"/>
      <c r="CP43" s="771"/>
      <c r="CQ43" s="771"/>
      <c r="CR43" s="771"/>
      <c r="CS43" s="771"/>
      <c r="CT43" s="771"/>
      <c r="CU43" s="771"/>
      <c r="CV43" s="771"/>
      <c r="CW43" s="771"/>
      <c r="CX43" s="771"/>
      <c r="CY43" s="771"/>
      <c r="CZ43" s="771"/>
      <c r="DA43" s="771"/>
      <c r="DB43" s="771"/>
      <c r="DC43" s="771"/>
      <c r="DD43" s="771"/>
      <c r="DE43" s="771"/>
      <c r="DF43" s="771"/>
      <c r="DG43" s="771"/>
      <c r="DH43" s="771"/>
      <c r="DI43" s="771"/>
      <c r="DJ43" s="771"/>
      <c r="DK43" s="771"/>
      <c r="DL43" s="771"/>
      <c r="DM43" s="771"/>
      <c r="DN43" s="771"/>
      <c r="DO43" s="771"/>
      <c r="DP43" s="771"/>
      <c r="DQ43" s="771"/>
      <c r="DR43" s="771"/>
      <c r="DS43" s="771"/>
    </row>
    <row r="44" spans="1:123" s="878" customFormat="1" ht="12.75" customHeight="1" x14ac:dyDescent="0.2">
      <c r="A44" s="896"/>
      <c r="B44" s="2073"/>
      <c r="C44" s="1899" t="str">
        <f>VLOOKUP($D$3,LBX.M,12,FALSE)</f>
        <v>7731476/</v>
      </c>
      <c r="D44" s="738" t="str">
        <f t="shared" si="8"/>
        <v xml:space="preserve">LBX, Пп б/п п/раскр, бел ZV7.1043C01    </v>
      </c>
      <c r="E44" s="739">
        <v>1</v>
      </c>
      <c r="F44" s="1458">
        <f t="shared" si="9"/>
        <v>1253.9735208</v>
      </c>
      <c r="G44" s="1901">
        <f t="shared" si="10"/>
        <v>1253.9735208</v>
      </c>
      <c r="H44" s="1893">
        <f t="shared" si="11"/>
        <v>1253.9735208</v>
      </c>
      <c r="I44" s="2386"/>
      <c r="J44" s="782"/>
      <c r="K44" s="782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  <c r="AC44" s="8"/>
      <c r="AD44" s="8"/>
      <c r="AE44" s="8"/>
      <c r="AF44" s="8"/>
      <c r="AG44" s="771"/>
      <c r="AH44" s="771"/>
      <c r="AI44" s="771"/>
      <c r="AJ44" s="771"/>
      <c r="AL44" s="771"/>
      <c r="AM44" s="771"/>
      <c r="AN44" s="771"/>
      <c r="AO44" s="771"/>
      <c r="AP44" s="771"/>
      <c r="AQ44" s="771"/>
      <c r="AR44" s="771"/>
      <c r="AS44" s="771"/>
      <c r="AT44" s="771"/>
      <c r="AU44" s="771"/>
      <c r="AV44" s="771"/>
      <c r="AW44" s="771"/>
      <c r="AX44" s="771"/>
      <c r="AY44" s="771"/>
      <c r="AZ44" s="771"/>
      <c r="BA44" s="771"/>
      <c r="BB44" s="771"/>
      <c r="BC44" s="771"/>
      <c r="BD44" s="771"/>
      <c r="BE44" s="771"/>
      <c r="BF44" s="771"/>
      <c r="BG44" s="771"/>
      <c r="BH44" s="771"/>
      <c r="BI44" s="771"/>
      <c r="BJ44" s="771"/>
      <c r="BK44" s="1528">
        <v>450</v>
      </c>
      <c r="BL44" s="1529" t="s">
        <v>3646</v>
      </c>
      <c r="BM44" s="1534" t="s">
        <v>4458</v>
      </c>
      <c r="BN44" s="1534" t="s">
        <v>3709</v>
      </c>
      <c r="BO44" s="1529"/>
      <c r="BP44" s="771"/>
      <c r="BQ44" s="771"/>
      <c r="BR44" s="771"/>
      <c r="BS44" s="771"/>
      <c r="BT44" s="771"/>
      <c r="BU44" s="771"/>
      <c r="BV44" s="771"/>
      <c r="BW44" s="771"/>
      <c r="BX44" s="771"/>
      <c r="BY44" s="771"/>
      <c r="BZ44" s="771"/>
      <c r="CA44" s="771"/>
      <c r="CB44" s="771"/>
      <c r="CC44" s="771"/>
      <c r="CD44" s="771"/>
      <c r="CE44" s="771"/>
      <c r="CF44" s="771"/>
      <c r="CG44" s="771"/>
      <c r="CH44" s="771"/>
      <c r="CI44" s="771"/>
      <c r="CJ44" s="771"/>
      <c r="CK44" s="771"/>
      <c r="CL44" s="771"/>
      <c r="CM44" s="771"/>
      <c r="CN44" s="771"/>
      <c r="CO44" s="771"/>
      <c r="CP44" s="771"/>
      <c r="CQ44" s="771"/>
      <c r="CR44" s="771"/>
      <c r="CS44" s="771"/>
      <c r="CT44" s="771"/>
      <c r="CU44" s="771"/>
      <c r="CV44" s="771"/>
      <c r="CW44" s="771"/>
      <c r="CX44" s="771"/>
      <c r="CY44" s="771"/>
      <c r="CZ44" s="771"/>
      <c r="DA44" s="771"/>
      <c r="DB44" s="771"/>
      <c r="DC44" s="771"/>
      <c r="DD44" s="771"/>
      <c r="DE44" s="771"/>
      <c r="DF44" s="771"/>
      <c r="DG44" s="771"/>
      <c r="DH44" s="771"/>
      <c r="DI44" s="771"/>
      <c r="DJ44" s="771"/>
      <c r="DK44" s="771"/>
      <c r="DL44" s="771"/>
      <c r="DM44" s="771"/>
      <c r="DN44" s="771"/>
      <c r="DO44" s="771"/>
      <c r="DP44" s="771"/>
      <c r="DQ44" s="771"/>
      <c r="DR44" s="771"/>
      <c r="DS44" s="771"/>
    </row>
    <row r="45" spans="1:123" ht="12.75" customHeight="1" x14ac:dyDescent="0.2">
      <c r="A45" s="896"/>
      <c r="B45" s="2073"/>
      <c r="C45" s="1899" t="str">
        <f>VLOOKUP($D$3,LBX.M,8,FALSE)</f>
        <v>4738450/</v>
      </c>
      <c r="D45" s="738" t="str">
        <f t="shared" si="8"/>
        <v>LBX, Держат. задн. ст, 102 мм, бел, лев.</v>
      </c>
      <c r="E45" s="739">
        <v>1</v>
      </c>
      <c r="F45" s="1458">
        <f t="shared" si="9"/>
        <v>35.781345600000002</v>
      </c>
      <c r="G45" s="1901">
        <f t="shared" si="10"/>
        <v>35.781345600000002</v>
      </c>
      <c r="H45" s="1893">
        <f t="shared" si="11"/>
        <v>35.781345600000002</v>
      </c>
      <c r="I45" s="2386"/>
      <c r="J45" s="782"/>
      <c r="K45" s="782"/>
      <c r="L45" s="878"/>
      <c r="M45" s="878"/>
      <c r="N45" s="878"/>
      <c r="O45" s="878"/>
      <c r="V45" s="1418"/>
      <c r="W45" s="1418"/>
      <c r="X45" s="1418"/>
      <c r="Y45" s="1418"/>
      <c r="AE45" s="878"/>
      <c r="AF45" s="878"/>
      <c r="AG45" s="878"/>
      <c r="AH45" s="878"/>
      <c r="AK45" s="878"/>
      <c r="BK45" s="1528">
        <v>500</v>
      </c>
      <c r="BL45" s="1529" t="s">
        <v>4446</v>
      </c>
      <c r="BM45" s="1534" t="s">
        <v>4459</v>
      </c>
      <c r="BN45" s="1534" t="s">
        <v>4473</v>
      </c>
      <c r="BO45" s="1529"/>
    </row>
    <row r="46" spans="1:123" ht="12.75" customHeight="1" x14ac:dyDescent="0.2">
      <c r="A46" s="896"/>
      <c r="B46" s="2073"/>
      <c r="C46" s="1899" t="str">
        <f>VLOOKUP($D$3,LBX.M,9,FALSE)</f>
        <v>9780599/</v>
      </c>
      <c r="D46" s="1899" t="str">
        <f t="shared" si="8"/>
        <v>LBX, Держат. задн. ст, 102 мм, бел, прав</v>
      </c>
      <c r="E46" s="1900">
        <v>1</v>
      </c>
      <c r="F46" s="1901">
        <f t="shared" si="9"/>
        <v>35.781345600000002</v>
      </c>
      <c r="G46" s="1901">
        <f t="shared" si="10"/>
        <v>35.781345600000002</v>
      </c>
      <c r="H46" s="1913">
        <f t="shared" si="11"/>
        <v>35.781345600000002</v>
      </c>
      <c r="I46" s="2386"/>
      <c r="J46" s="782"/>
      <c r="K46" s="782"/>
    </row>
    <row r="47" spans="1:123" ht="12.75" customHeight="1" x14ac:dyDescent="0.2">
      <c r="A47" s="896"/>
      <c r="B47" s="2073"/>
      <c r="C47" s="1899" t="str">
        <f>IF(C52="","",IF(AND($D$3=$AE$26,$C$26=300),$AI$30,IF($D$4="Торговая","",VLOOKUP($D$3,LBX.M,6,FALSE))))</f>
        <v>8322157/</v>
      </c>
      <c r="D47" s="1905" t="str">
        <f>IF(OR(C47="",C47=0),"",VLOOKUP(C47,всецены,2,FALSE))</f>
        <v xml:space="preserve">LBX, Загл, внутр, бел, симм (М,С,F)     </v>
      </c>
      <c r="E47" s="1906">
        <f>IF(C47="",0,2)</f>
        <v>2</v>
      </c>
      <c r="F47" s="1907">
        <f>IF(C47="",0,VLOOKUP(C47,всецены,4,FALSE))</f>
        <v>8.9453364000000004</v>
      </c>
      <c r="G47" s="1901">
        <f t="shared" si="10"/>
        <v>8.9453364000000004</v>
      </c>
      <c r="H47" s="1904">
        <f>IF(C47=0,0,G47*E47)</f>
        <v>17.890672800000001</v>
      </c>
      <c r="I47" s="2386"/>
      <c r="J47" s="782"/>
      <c r="K47" s="782"/>
      <c r="BT47" s="1067"/>
      <c r="BU47" s="1067"/>
      <c r="BV47" s="1386"/>
      <c r="BW47" s="1511"/>
      <c r="BX47" s="1386"/>
      <c r="BY47" s="1386"/>
      <c r="BZ47" s="1386"/>
      <c r="CA47" s="1386"/>
      <c r="CB47" s="1386"/>
      <c r="CC47" s="1386"/>
      <c r="CD47" s="1067"/>
    </row>
    <row r="48" spans="1:123" ht="12.75" customHeight="1" x14ac:dyDescent="0.2">
      <c r="A48" s="896"/>
      <c r="B48" s="2073"/>
      <c r="C48" s="1899" t="str">
        <f>IF(C52="","",IF(AND($D$3=$AE$26,$C$26=300),$AJ$30,IF($D$4="Торговая","",VLOOKUP($D$3,LBX.M,7,FALSE))))</f>
        <v>7944577/</v>
      </c>
      <c r="D48" s="1905" t="str">
        <f>IF(OR(C48="",C48=0),"",VLOOKUP(C48,всецены,2,FALSE))</f>
        <v xml:space="preserve">LBX, Загл, наружн, бел, симм с лого     </v>
      </c>
      <c r="E48" s="1906">
        <f>IF(C48="",0,2)</f>
        <v>2</v>
      </c>
      <c r="F48" s="1907">
        <f>IF(C48="",0,VLOOKUP(C48,всецены,4,FALSE))</f>
        <v>14.637823200000001</v>
      </c>
      <c r="G48" s="1901">
        <f t="shared" si="10"/>
        <v>14.637823200000001</v>
      </c>
      <c r="H48" s="1904">
        <f>IF(C48=0,0,G48*E48)</f>
        <v>29.275646400000003</v>
      </c>
      <c r="I48" s="2386"/>
      <c r="J48" s="782"/>
      <c r="K48" s="782"/>
      <c r="AI48" s="840"/>
      <c r="AJ48" s="840"/>
      <c r="AK48" s="840"/>
      <c r="AL48" s="840"/>
      <c r="AM48" s="840"/>
      <c r="AR48" s="840"/>
      <c r="AS48" s="840"/>
      <c r="AT48" s="840"/>
      <c r="AU48" s="840"/>
      <c r="AV48" s="1067"/>
      <c r="AW48" s="1067"/>
      <c r="AX48" s="1067"/>
      <c r="AY48" s="1067"/>
      <c r="AZ48" s="1067"/>
      <c r="BA48" s="1067"/>
      <c r="BB48" s="1067"/>
      <c r="BC48" s="1067"/>
      <c r="BD48" s="1067"/>
      <c r="BE48" s="1067"/>
      <c r="BF48" s="1067"/>
      <c r="BG48" s="1067"/>
      <c r="BH48" s="1067"/>
      <c r="BI48" s="1067"/>
      <c r="BJ48" s="1067"/>
      <c r="BK48" s="1067"/>
      <c r="BL48" s="1067"/>
      <c r="BM48" s="1067"/>
      <c r="BN48" s="1067"/>
      <c r="BO48" s="1067"/>
      <c r="BP48" s="1067"/>
      <c r="BQ48" s="1067"/>
      <c r="BR48" s="1067"/>
      <c r="BS48" s="1067"/>
      <c r="BT48" s="1067"/>
      <c r="BU48" s="1067"/>
      <c r="BV48" s="1386"/>
      <c r="BW48" s="1511"/>
      <c r="BX48" s="1386"/>
      <c r="BY48" s="1386"/>
      <c r="BZ48" s="1386"/>
      <c r="CA48" s="1386"/>
      <c r="CB48" s="1386"/>
      <c r="CC48" s="1386"/>
      <c r="CD48" s="1067"/>
    </row>
    <row r="49" spans="1:123" ht="12.75" customHeight="1" x14ac:dyDescent="0.2">
      <c r="A49" s="896"/>
      <c r="B49" s="2073"/>
      <c r="C49" s="1899" t="str">
        <f>VLOOKUP($D$3,LBX.M,4,FALSE)</f>
        <v>4922514/</v>
      </c>
      <c r="D49" s="1899" t="str">
        <f t="shared" si="8"/>
        <v xml:space="preserve">LBX, Направл. с BM, 40 кг, 500 мм, лев  </v>
      </c>
      <c r="E49" s="1900">
        <v>1</v>
      </c>
      <c r="F49" s="1901">
        <f t="shared" si="9"/>
        <v>670.90023000000008</v>
      </c>
      <c r="G49" s="1901">
        <f t="shared" si="10"/>
        <v>670.90023000000008</v>
      </c>
      <c r="H49" s="1913">
        <f t="shared" si="11"/>
        <v>670.90023000000008</v>
      </c>
      <c r="I49" s="2386"/>
      <c r="J49" s="782"/>
      <c r="K49" s="782"/>
      <c r="AI49" s="840"/>
      <c r="AJ49" s="840"/>
      <c r="AK49" s="840"/>
      <c r="AL49" s="840"/>
      <c r="AM49" s="840"/>
      <c r="AR49" s="840"/>
      <c r="AS49" s="840"/>
      <c r="AT49" s="840"/>
      <c r="AU49" s="840"/>
      <c r="AV49" s="1067"/>
      <c r="AW49" s="1067"/>
      <c r="AX49" s="1067"/>
      <c r="AY49" s="1067"/>
      <c r="AZ49" s="1067"/>
      <c r="BA49" s="1067"/>
      <c r="BB49" s="1067"/>
      <c r="BC49" s="1067"/>
      <c r="BD49" s="1067"/>
      <c r="BE49" s="1067"/>
      <c r="BF49" s="1067"/>
      <c r="BG49" s="1067"/>
      <c r="BH49" s="1067"/>
      <c r="BI49" s="1067"/>
      <c r="BJ49" s="1067"/>
      <c r="BK49" s="1067"/>
      <c r="BL49" s="1067"/>
      <c r="BM49" s="1067"/>
      <c r="BN49" s="1067"/>
      <c r="BO49" s="1067"/>
      <c r="BP49" s="1067"/>
      <c r="BQ49" s="1067"/>
      <c r="BR49" s="1067"/>
      <c r="BS49" s="1067"/>
      <c r="BT49" s="1067"/>
      <c r="BU49" s="1067"/>
      <c r="BV49" s="1386"/>
      <c r="BW49" s="1511"/>
      <c r="BX49" s="1386"/>
      <c r="BY49" s="1386"/>
      <c r="BZ49" s="1386"/>
      <c r="CA49" s="1386"/>
      <c r="CB49" s="1386"/>
      <c r="CC49" s="1386"/>
      <c r="CD49" s="1067"/>
    </row>
    <row r="50" spans="1:123" ht="12.75" customHeight="1" x14ac:dyDescent="0.2">
      <c r="A50" s="896"/>
      <c r="B50" s="2073"/>
      <c r="C50" s="1899" t="str">
        <f>VLOOKUP($D$3,LBX.M,5,FALSE)</f>
        <v>4737284/</v>
      </c>
      <c r="D50" s="1899" t="str">
        <f t="shared" si="8"/>
        <v xml:space="preserve">LBX, Направл. с BM, 40 кг, 500 мм, прав </v>
      </c>
      <c r="E50" s="1900">
        <v>1</v>
      </c>
      <c r="F50" s="1901">
        <f t="shared" si="9"/>
        <v>670.90023000000008</v>
      </c>
      <c r="G50" s="1901">
        <f t="shared" si="10"/>
        <v>670.90023000000008</v>
      </c>
      <c r="H50" s="1913">
        <f t="shared" si="11"/>
        <v>670.90023000000008</v>
      </c>
      <c r="I50" s="2386"/>
      <c r="J50" s="782"/>
      <c r="K50" s="782"/>
      <c r="AI50" s="840"/>
      <c r="AJ50" s="840"/>
      <c r="AK50" s="840"/>
      <c r="AL50" s="840"/>
      <c r="AM50" s="840"/>
      <c r="AR50" s="840"/>
      <c r="AS50" s="840"/>
      <c r="AT50" s="840"/>
      <c r="AU50" s="840"/>
      <c r="AV50" s="1067"/>
      <c r="AW50" s="1067"/>
      <c r="AX50" s="1067"/>
      <c r="AY50" s="1067"/>
      <c r="AZ50" s="1067"/>
      <c r="BA50" s="1067"/>
      <c r="BB50" s="1067"/>
      <c r="BC50" s="1067"/>
      <c r="BD50" s="1067"/>
      <c r="BE50" s="1067"/>
      <c r="BF50" s="1067"/>
      <c r="BG50" s="1067"/>
      <c r="BH50" s="1067"/>
      <c r="BI50" s="1067"/>
      <c r="BJ50" s="1067"/>
      <c r="BK50" s="1067"/>
      <c r="BL50" s="1067"/>
      <c r="BM50" s="1067"/>
      <c r="BN50" s="1067"/>
      <c r="BO50" s="1067"/>
      <c r="BP50" s="1067"/>
      <c r="BQ50" s="1067"/>
      <c r="BR50" s="1067"/>
      <c r="BS50" s="1067"/>
      <c r="BT50" s="1067"/>
      <c r="BU50" s="1067"/>
      <c r="BV50" s="1386"/>
      <c r="BW50" s="1511"/>
      <c r="BX50" s="1386"/>
      <c r="BY50" s="1386"/>
      <c r="BZ50" s="1386"/>
      <c r="CA50" s="1386"/>
      <c r="CB50" s="1386"/>
      <c r="CC50" s="1386"/>
      <c r="CD50" s="1067"/>
    </row>
    <row r="51" spans="1:123" ht="12.75" customHeight="1" x14ac:dyDescent="0.2">
      <c r="A51" s="896"/>
      <c r="B51" s="2073"/>
      <c r="C51" s="1899" t="str">
        <f>IF(VLOOKUP($D$3,LBX.M,2,FALSE)="z",$AE$31,VLOOKUP($D$3,LBX.M,2,FALSE))</f>
        <v>2533671/</v>
      </c>
      <c r="D51" s="1899" t="str">
        <f t="shared" si="8"/>
        <v xml:space="preserve">LBX, Боковина M 90,3/500 мм, бел, лев   </v>
      </c>
      <c r="E51" s="1900">
        <v>1</v>
      </c>
      <c r="F51" s="1901">
        <f t="shared" si="9"/>
        <v>467.59712999999999</v>
      </c>
      <c r="G51" s="1901">
        <f t="shared" si="10"/>
        <v>467.59712999999999</v>
      </c>
      <c r="H51" s="1913">
        <f t="shared" si="11"/>
        <v>467.59712999999999</v>
      </c>
      <c r="I51" s="2386"/>
      <c r="J51" s="782"/>
      <c r="K51" s="782"/>
      <c r="AG51" s="840"/>
      <c r="AH51" s="840"/>
      <c r="AI51" s="840"/>
      <c r="AJ51" s="840"/>
      <c r="AK51" s="840"/>
      <c r="AL51" s="840"/>
      <c r="AM51" s="840"/>
      <c r="AR51" s="840"/>
      <c r="AS51" s="840"/>
      <c r="AT51" s="840"/>
      <c r="AU51" s="840"/>
      <c r="AV51" s="1067"/>
      <c r="AW51" s="1067"/>
      <c r="AX51" s="1067"/>
      <c r="AY51" s="1067"/>
      <c r="AZ51" s="1067"/>
      <c r="BA51" s="1067"/>
      <c r="BB51" s="1067"/>
      <c r="BC51" s="1067"/>
      <c r="BD51" s="1067"/>
      <c r="BE51" s="1067"/>
      <c r="BF51" s="1067"/>
      <c r="BG51" s="1067"/>
      <c r="BH51" s="1067"/>
      <c r="BI51" s="1067"/>
      <c r="BJ51" s="1067"/>
      <c r="BK51" s="1067"/>
      <c r="BL51" s="1067"/>
      <c r="BM51" s="1067"/>
      <c r="BN51" s="1067"/>
      <c r="BO51" s="1067"/>
      <c r="BP51" s="1067"/>
      <c r="BQ51" s="1067"/>
      <c r="BR51" s="1067"/>
      <c r="BS51" s="1067"/>
      <c r="BT51" s="1067"/>
      <c r="BU51" s="1067"/>
      <c r="BV51" s="1386"/>
      <c r="BW51" s="1511"/>
      <c r="BX51" s="1386"/>
      <c r="BY51" s="1386"/>
      <c r="BZ51" s="1386"/>
      <c r="CA51" s="1386"/>
      <c r="CB51" s="1386"/>
      <c r="CC51" s="1386"/>
      <c r="CD51" s="1067"/>
    </row>
    <row r="52" spans="1:123" ht="12.75" customHeight="1" thickBot="1" x14ac:dyDescent="0.25">
      <c r="A52" s="896"/>
      <c r="B52" s="2074"/>
      <c r="C52" s="1885" t="str">
        <f>IF(OR(MID($D$35,35,3)="кмп",MID($D$35,35,3)=" км"),"",IF(VLOOKUP($D$3,LBX.M,2,FALSE)="z",$AF$31,VLOOKUP($D$3,LBX.M,3,FALSE)))</f>
        <v>2511810/</v>
      </c>
      <c r="D52" s="1874" t="str">
        <f>IF(OR(C52="",C52=0),"",VLOOKUP(C52,всецены,2,FALSE))</f>
        <v xml:space="preserve">LBX, Боковина M 90,3/500 мм, бел, прав  </v>
      </c>
      <c r="E52" s="1886">
        <f>IF(C52="",0,1)</f>
        <v>1</v>
      </c>
      <c r="F52" s="1876">
        <f>IF(C52="",0,VLOOKUP(C52,всецены,4,FALSE))</f>
        <v>467.59712999999999</v>
      </c>
      <c r="G52" s="1898">
        <f t="shared" si="10"/>
        <v>467.59712999999999</v>
      </c>
      <c r="H52" s="1894">
        <f>IF(C52=0,0,G52*E52)</f>
        <v>467.59712999999999</v>
      </c>
      <c r="I52" s="2387"/>
      <c r="J52" s="782"/>
      <c r="K52" s="782"/>
      <c r="AG52" s="840"/>
      <c r="AH52" s="840"/>
      <c r="AI52" s="840"/>
      <c r="AJ52" s="840"/>
      <c r="AK52" s="840"/>
      <c r="AL52" s="840"/>
      <c r="AM52" s="840"/>
      <c r="AR52" s="840"/>
      <c r="AS52" s="840"/>
      <c r="AT52" s="840"/>
      <c r="AU52" s="840"/>
      <c r="AV52" s="1067"/>
      <c r="AW52" s="1067"/>
      <c r="AX52" s="1067"/>
      <c r="AY52" s="1067"/>
      <c r="AZ52" s="1067"/>
      <c r="BA52" s="1067"/>
      <c r="BB52" s="1067"/>
      <c r="BC52" s="1067"/>
      <c r="BD52" s="1067"/>
      <c r="BE52" s="1067"/>
      <c r="BF52" s="1067"/>
      <c r="BG52" s="1067"/>
      <c r="BH52" s="1067"/>
      <c r="BI52" s="1067"/>
      <c r="BJ52" s="1067"/>
      <c r="BK52" s="1067"/>
      <c r="BL52" s="1067"/>
      <c r="BM52" s="1067"/>
      <c r="BN52" s="1067"/>
      <c r="BO52" s="1067"/>
      <c r="BP52" s="1067"/>
      <c r="BQ52" s="1067"/>
      <c r="BR52" s="1067"/>
      <c r="BS52" s="1067"/>
      <c r="BT52" s="1067"/>
      <c r="BU52" s="1067"/>
      <c r="BV52" s="1386"/>
      <c r="BW52" s="1511"/>
      <c r="BX52" s="1386"/>
      <c r="BY52" s="1386"/>
      <c r="BZ52" s="1386"/>
      <c r="CA52" s="1386"/>
      <c r="CB52" s="1386"/>
      <c r="CC52" s="1386"/>
      <c r="CD52" s="1067"/>
    </row>
    <row r="53" spans="1:123" s="1581" customFormat="1" ht="12.75" customHeight="1" thickBot="1" x14ac:dyDescent="0.25">
      <c r="A53" s="1639"/>
      <c r="B53" s="1639"/>
      <c r="C53" s="1639"/>
      <c r="D53" s="1639"/>
      <c r="E53" s="1639"/>
      <c r="F53" s="1639"/>
      <c r="G53" s="1625"/>
      <c r="H53" s="1540"/>
      <c r="I53" s="618"/>
      <c r="J53" s="782"/>
      <c r="K53" s="782"/>
      <c r="L53" s="8"/>
      <c r="M53" s="8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  <c r="AA53" s="8"/>
      <c r="AB53" s="8"/>
      <c r="AC53" s="8"/>
      <c r="AD53" s="8"/>
      <c r="AE53" s="8"/>
      <c r="AF53" s="8"/>
      <c r="AG53" s="840"/>
      <c r="AH53" s="840"/>
      <c r="AI53" s="840"/>
      <c r="AJ53" s="840"/>
      <c r="AK53" s="840"/>
      <c r="AL53" s="840"/>
      <c r="AM53" s="840"/>
      <c r="AN53" s="840"/>
      <c r="AO53" s="840"/>
      <c r="AP53" s="840"/>
      <c r="AQ53" s="840"/>
      <c r="AR53" s="840"/>
      <c r="AS53" s="840"/>
      <c r="AT53" s="840"/>
      <c r="AU53" s="840"/>
      <c r="AV53" s="1067"/>
      <c r="AW53" s="1067"/>
      <c r="AX53" s="1067"/>
      <c r="AY53" s="1067"/>
      <c r="AZ53" s="1067"/>
      <c r="BA53" s="1067"/>
      <c r="BB53" s="1067"/>
      <c r="BC53" s="1067"/>
      <c r="BD53" s="1067"/>
      <c r="BE53" s="1067"/>
      <c r="BF53" s="1067"/>
      <c r="BG53" s="1067"/>
      <c r="BH53" s="1067"/>
      <c r="BI53" s="1067"/>
      <c r="BJ53" s="1067"/>
      <c r="BK53" s="1067"/>
      <c r="BL53" s="1067"/>
      <c r="BM53" s="1067"/>
      <c r="BN53" s="1067"/>
      <c r="BO53" s="1067"/>
      <c r="BP53" s="1067"/>
      <c r="BQ53" s="1067"/>
      <c r="BR53" s="1067"/>
      <c r="BS53" s="1067"/>
      <c r="CE53" s="771"/>
      <c r="CF53" s="771"/>
      <c r="CG53" s="771"/>
      <c r="CH53" s="771"/>
      <c r="CI53" s="771"/>
      <c r="CJ53" s="771"/>
      <c r="CK53" s="771"/>
      <c r="CL53" s="771"/>
      <c r="CM53" s="771"/>
      <c r="CN53" s="771"/>
      <c r="CO53" s="771"/>
      <c r="CP53" s="771"/>
      <c r="CQ53" s="771"/>
      <c r="CR53" s="771"/>
      <c r="CS53" s="771"/>
      <c r="CT53" s="771"/>
      <c r="CU53" s="771"/>
      <c r="CV53" s="771"/>
      <c r="CW53" s="771"/>
      <c r="CX53" s="771"/>
      <c r="CY53" s="771"/>
      <c r="CZ53" s="771"/>
      <c r="DA53" s="771"/>
      <c r="DB53" s="771"/>
      <c r="DC53" s="771"/>
      <c r="DD53" s="771"/>
      <c r="DE53" s="771"/>
      <c r="DF53" s="771"/>
      <c r="DG53" s="771"/>
      <c r="DH53" s="771"/>
      <c r="DI53" s="771"/>
      <c r="DJ53" s="771"/>
      <c r="DK53" s="771"/>
      <c r="DL53" s="771"/>
      <c r="DM53" s="771"/>
      <c r="DN53" s="771"/>
      <c r="DO53" s="771"/>
      <c r="DP53" s="771"/>
      <c r="DQ53" s="771"/>
      <c r="DR53" s="771"/>
      <c r="DS53" s="771"/>
    </row>
    <row r="54" spans="1:123" s="1581" customFormat="1" ht="12.75" customHeight="1" x14ac:dyDescent="0.2">
      <c r="A54" s="896"/>
      <c r="B54" s="1626"/>
      <c r="C54" s="1627"/>
      <c r="D54" s="2406" t="s">
        <v>1650</v>
      </c>
      <c r="E54" s="2406"/>
      <c r="F54" s="2406"/>
      <c r="G54" s="2406"/>
      <c r="H54" s="1628"/>
      <c r="I54" s="1629"/>
      <c r="J54" s="782"/>
      <c r="K54" s="782"/>
      <c r="L54" s="8"/>
      <c r="M54" s="8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  <c r="AC54" s="8"/>
      <c r="AD54" s="8"/>
      <c r="AE54" s="8"/>
      <c r="AF54" s="8"/>
      <c r="CE54" s="771"/>
      <c r="CF54" s="771"/>
      <c r="CG54" s="771"/>
      <c r="CH54" s="771"/>
      <c r="CI54" s="771"/>
      <c r="CJ54" s="771"/>
      <c r="CK54" s="771"/>
      <c r="CL54" s="771"/>
      <c r="CM54" s="771"/>
      <c r="CN54" s="771"/>
      <c r="CO54" s="771"/>
      <c r="CP54" s="771"/>
      <c r="CQ54" s="771"/>
      <c r="CR54" s="771"/>
      <c r="CS54" s="771"/>
      <c r="CT54" s="771"/>
      <c r="CU54" s="771"/>
      <c r="CV54" s="771"/>
      <c r="CW54" s="771"/>
      <c r="CX54" s="771"/>
      <c r="CY54" s="771"/>
      <c r="CZ54" s="771"/>
      <c r="DA54" s="771"/>
      <c r="DB54" s="771"/>
      <c r="DC54" s="771"/>
      <c r="DD54" s="771"/>
      <c r="DE54" s="771"/>
      <c r="DF54" s="771"/>
      <c r="DG54" s="771"/>
      <c r="DH54" s="771"/>
      <c r="DI54" s="771"/>
      <c r="DJ54" s="771"/>
      <c r="DK54" s="771"/>
      <c r="DL54" s="771"/>
      <c r="DM54" s="771"/>
      <c r="DN54" s="771"/>
      <c r="DO54" s="771"/>
      <c r="DP54" s="771"/>
      <c r="DQ54" s="771"/>
      <c r="DR54" s="771"/>
      <c r="DS54" s="771"/>
    </row>
    <row r="55" spans="1:123" s="1581" customFormat="1" ht="12.75" customHeight="1" x14ac:dyDescent="0.2">
      <c r="A55" s="896"/>
      <c r="B55" s="1621"/>
      <c r="C55" s="1566" t="s">
        <v>3320</v>
      </c>
      <c r="D55" s="1566" t="str">
        <f>VLOOKUP(C55,всецены,2,FALSE)</f>
        <v xml:space="preserve">LBX, Ручка с пов д/вн ящ, сер ZI7.0M07  </v>
      </c>
      <c r="E55" s="1631">
        <v>1</v>
      </c>
      <c r="F55" s="1632">
        <f>VLOOKUP(C55,всецены,4,FALSE)</f>
        <v>415.55153640000009</v>
      </c>
      <c r="G55" s="1632"/>
      <c r="H55" s="1633"/>
      <c r="I55" s="1634">
        <f>F55</f>
        <v>415.55153640000009</v>
      </c>
      <c r="J55" s="782"/>
      <c r="K55" s="782"/>
      <c r="L55" s="8"/>
      <c r="M55" s="8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  <c r="AC55" s="8"/>
      <c r="AD55" s="8"/>
      <c r="AE55" s="8"/>
      <c r="AF55" s="8"/>
      <c r="CE55" s="771"/>
      <c r="CF55" s="771"/>
      <c r="CG55" s="771"/>
      <c r="CH55" s="771"/>
      <c r="CI55" s="771"/>
      <c r="CJ55" s="771"/>
      <c r="CK55" s="771"/>
      <c r="CL55" s="771"/>
      <c r="CM55" s="771"/>
      <c r="CN55" s="771"/>
      <c r="CO55" s="771"/>
      <c r="CP55" s="771"/>
      <c r="CQ55" s="771"/>
      <c r="CR55" s="771"/>
      <c r="CS55" s="771"/>
      <c r="CT55" s="771"/>
      <c r="CU55" s="771"/>
      <c r="CV55" s="771"/>
      <c r="CW55" s="771"/>
      <c r="CX55" s="771"/>
      <c r="CY55" s="771"/>
      <c r="CZ55" s="771"/>
      <c r="DA55" s="771"/>
      <c r="DB55" s="771"/>
      <c r="DC55" s="771"/>
      <c r="DD55" s="771"/>
      <c r="DE55" s="771"/>
      <c r="DF55" s="771"/>
      <c r="DG55" s="771"/>
      <c r="DH55" s="771"/>
      <c r="DI55" s="771"/>
      <c r="DJ55" s="771"/>
      <c r="DK55" s="771"/>
      <c r="DL55" s="771"/>
      <c r="DM55" s="771"/>
      <c r="DN55" s="771"/>
      <c r="DO55" s="771"/>
      <c r="DP55" s="771"/>
      <c r="DQ55" s="771"/>
      <c r="DR55" s="771"/>
      <c r="DS55" s="771"/>
    </row>
    <row r="56" spans="1:123" s="1581" customFormat="1" ht="12.75" customHeight="1" x14ac:dyDescent="0.2">
      <c r="A56" s="1639"/>
      <c r="B56" s="1621"/>
      <c r="C56" s="1573" t="s">
        <v>3321</v>
      </c>
      <c r="D56" s="1566" t="str">
        <f>VLOOKUP(C56,всецены,2,FALSE)</f>
        <v xml:space="preserve">LBX, Ручка с пов д/вн ящ, бел ZI7.0M07  </v>
      </c>
      <c r="E56" s="1640">
        <v>1</v>
      </c>
      <c r="F56" s="1632">
        <f>VLOOKUP(C56,всецены,4,FALSE)</f>
        <v>415.55153640000009</v>
      </c>
      <c r="G56" s="1641"/>
      <c r="H56" s="1642"/>
      <c r="I56" s="1634">
        <f>F56</f>
        <v>415.55153640000009</v>
      </c>
      <c r="J56" s="782"/>
      <c r="K56" s="782"/>
      <c r="L56" s="8"/>
      <c r="M56" s="8"/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  <c r="AA56" s="8"/>
      <c r="AB56" s="8"/>
      <c r="AC56" s="8"/>
      <c r="AD56" s="8"/>
      <c r="AE56" s="8"/>
      <c r="AF56" s="8"/>
      <c r="CE56" s="771"/>
      <c r="CF56" s="771"/>
      <c r="CG56" s="771"/>
      <c r="CH56" s="771"/>
      <c r="CI56" s="771"/>
      <c r="CJ56" s="771"/>
      <c r="CK56" s="771"/>
      <c r="CL56" s="771"/>
      <c r="CM56" s="771"/>
      <c r="CN56" s="771"/>
      <c r="CO56" s="771"/>
      <c r="CP56" s="771"/>
      <c r="CQ56" s="771"/>
      <c r="CR56" s="771"/>
      <c r="CS56" s="771"/>
      <c r="CT56" s="771"/>
      <c r="CU56" s="771"/>
      <c r="CV56" s="771"/>
      <c r="CW56" s="771"/>
      <c r="CX56" s="771"/>
      <c r="CY56" s="771"/>
      <c r="CZ56" s="771"/>
      <c r="DA56" s="771"/>
      <c r="DB56" s="771"/>
      <c r="DC56" s="771"/>
      <c r="DD56" s="771"/>
      <c r="DE56" s="771"/>
      <c r="DF56" s="771"/>
      <c r="DG56" s="771"/>
      <c r="DH56" s="771"/>
      <c r="DI56" s="771"/>
      <c r="DJ56" s="771"/>
      <c r="DK56" s="771"/>
      <c r="DL56" s="771"/>
      <c r="DM56" s="771"/>
      <c r="DN56" s="771"/>
      <c r="DO56" s="771"/>
      <c r="DP56" s="771"/>
      <c r="DQ56" s="771"/>
      <c r="DR56" s="771"/>
      <c r="DS56" s="771"/>
    </row>
    <row r="57" spans="1:123" s="1581" customFormat="1" ht="12.75" customHeight="1" thickBot="1" x14ac:dyDescent="0.25">
      <c r="A57" s="1382"/>
      <c r="B57" s="1630"/>
      <c r="C57" s="1536" t="s">
        <v>3322</v>
      </c>
      <c r="D57" s="1536" t="str">
        <f>VLOOKUP(C57,всецены,2,FALSE)</f>
        <v xml:space="preserve">LBX, Ручка с пов д/вн ящ, черн ZI7.0M07 </v>
      </c>
      <c r="E57" s="1635">
        <v>1</v>
      </c>
      <c r="F57" s="1636">
        <f>VLOOKUP(C57,всецены,4,FALSE)</f>
        <v>415.55153640000009</v>
      </c>
      <c r="G57" s="1636"/>
      <c r="H57" s="1637"/>
      <c r="I57" s="1638">
        <f>F57</f>
        <v>415.55153640000009</v>
      </c>
      <c r="J57" s="782"/>
      <c r="K57" s="782"/>
      <c r="L57" s="8"/>
      <c r="M57" s="8"/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  <c r="AA57" s="8"/>
      <c r="AB57" s="8"/>
      <c r="AC57" s="8"/>
      <c r="AD57" s="8"/>
      <c r="AE57" s="8"/>
      <c r="AF57" s="8"/>
      <c r="CE57" s="771"/>
      <c r="CF57" s="771"/>
      <c r="CG57" s="771"/>
      <c r="CH57" s="771"/>
      <c r="CI57" s="771"/>
      <c r="CJ57" s="771"/>
      <c r="CK57" s="771"/>
      <c r="CL57" s="771"/>
      <c r="CM57" s="771"/>
      <c r="CN57" s="771"/>
      <c r="CO57" s="771"/>
      <c r="CP57" s="771"/>
      <c r="CQ57" s="771"/>
      <c r="CR57" s="771"/>
      <c r="CS57" s="771"/>
      <c r="CT57" s="771"/>
      <c r="CU57" s="771"/>
      <c r="CV57" s="771"/>
      <c r="CW57" s="771"/>
      <c r="CX57" s="771"/>
      <c r="CY57" s="771"/>
      <c r="CZ57" s="771"/>
      <c r="DA57" s="771"/>
      <c r="DB57" s="771"/>
      <c r="DC57" s="771"/>
      <c r="DD57" s="771"/>
      <c r="DE57" s="771"/>
      <c r="DF57" s="771"/>
      <c r="DG57" s="771"/>
      <c r="DH57" s="771"/>
      <c r="DI57" s="771"/>
      <c r="DJ57" s="771"/>
      <c r="DK57" s="771"/>
      <c r="DL57" s="771"/>
      <c r="DM57" s="771"/>
      <c r="DN57" s="771"/>
      <c r="DO57" s="771"/>
      <c r="DP57" s="771"/>
      <c r="DQ57" s="771"/>
      <c r="DR57" s="771"/>
      <c r="DS57" s="771"/>
    </row>
    <row r="58" spans="1:123" s="1581" customFormat="1" ht="12.75" customHeight="1" x14ac:dyDescent="0.2">
      <c r="A58" s="1382"/>
      <c r="B58" s="1580"/>
      <c r="C58" s="713"/>
      <c r="D58" s="713"/>
      <c r="E58" s="1590"/>
      <c r="F58" s="1624"/>
      <c r="G58" s="1625"/>
      <c r="H58" s="1540"/>
      <c r="I58" s="618"/>
      <c r="J58" s="782"/>
      <c r="K58" s="782"/>
      <c r="L58" s="8"/>
      <c r="M58" s="8"/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  <c r="AA58" s="8"/>
      <c r="AB58" s="8"/>
      <c r="AC58" s="8"/>
      <c r="AD58" s="8"/>
      <c r="AE58" s="8"/>
      <c r="AF58" s="8"/>
      <c r="CE58" s="771"/>
      <c r="CF58" s="771"/>
      <c r="CG58" s="771"/>
      <c r="CH58" s="771"/>
      <c r="CI58" s="771"/>
      <c r="CJ58" s="771"/>
      <c r="CK58" s="771"/>
      <c r="CL58" s="771"/>
      <c r="CM58" s="771"/>
      <c r="CN58" s="771"/>
      <c r="CO58" s="771"/>
      <c r="CP58" s="771"/>
      <c r="CQ58" s="771"/>
      <c r="CR58" s="771"/>
      <c r="CS58" s="771"/>
      <c r="CT58" s="771"/>
      <c r="CU58" s="771"/>
      <c r="CV58" s="771"/>
      <c r="CW58" s="771"/>
      <c r="CX58" s="771"/>
      <c r="CY58" s="771"/>
      <c r="CZ58" s="771"/>
      <c r="DA58" s="771"/>
      <c r="DB58" s="771"/>
      <c r="DC58" s="771"/>
      <c r="DD58" s="771"/>
      <c r="DE58" s="771"/>
      <c r="DF58" s="771"/>
      <c r="DG58" s="771"/>
      <c r="DH58" s="771"/>
      <c r="DI58" s="771"/>
      <c r="DJ58" s="771"/>
      <c r="DK58" s="771"/>
      <c r="DL58" s="771"/>
      <c r="DM58" s="771"/>
      <c r="DN58" s="771"/>
      <c r="DO58" s="771"/>
      <c r="DP58" s="771"/>
      <c r="DQ58" s="771"/>
      <c r="DR58" s="771"/>
      <c r="DS58" s="771"/>
    </row>
    <row r="59" spans="1:123" ht="8.1" customHeight="1" x14ac:dyDescent="0.2">
      <c r="B59" s="839"/>
      <c r="C59" s="712"/>
      <c r="D59" s="713"/>
      <c r="E59" s="235"/>
      <c r="F59" s="1444"/>
      <c r="G59" s="1444"/>
      <c r="H59" s="715"/>
      <c r="I59" s="19"/>
      <c r="J59" s="782"/>
      <c r="K59" s="782"/>
      <c r="AG59" s="1581"/>
      <c r="AH59" s="1581"/>
      <c r="AI59" s="1581"/>
      <c r="AJ59" s="1581"/>
      <c r="AK59" s="1581"/>
      <c r="AL59" s="1581"/>
      <c r="AM59" s="1581"/>
      <c r="AN59" s="1581"/>
      <c r="AO59" s="1581"/>
      <c r="AP59" s="1581"/>
      <c r="AQ59" s="1581"/>
      <c r="AR59" s="1581"/>
      <c r="AS59" s="1581"/>
      <c r="AT59" s="1581"/>
      <c r="AU59" s="1581"/>
      <c r="AV59" s="1581"/>
      <c r="AW59" s="1581"/>
      <c r="AX59" s="1581"/>
      <c r="AY59" s="1581"/>
      <c r="AZ59" s="1581"/>
      <c r="BA59" s="1581"/>
      <c r="BB59" s="1581"/>
      <c r="BC59" s="1581"/>
      <c r="BD59" s="1581"/>
      <c r="BE59" s="1581"/>
      <c r="BF59" s="1581"/>
      <c r="BG59" s="1581"/>
      <c r="BH59" s="1581"/>
      <c r="BI59" s="1581"/>
      <c r="BJ59" s="1581"/>
      <c r="BK59" s="1581"/>
      <c r="BL59" s="1581"/>
      <c r="BM59" s="1581"/>
      <c r="BN59" s="1581"/>
      <c r="BO59" s="1581"/>
      <c r="BP59" s="1581"/>
      <c r="BQ59" s="1581"/>
      <c r="BR59" s="1581"/>
      <c r="BS59" s="1581"/>
      <c r="BT59" s="1067"/>
      <c r="BU59" s="1067"/>
      <c r="BV59" s="1386"/>
      <c r="BW59" s="1511"/>
      <c r="BX59" s="1386"/>
      <c r="BY59" s="1386"/>
      <c r="BZ59" s="1386"/>
      <c r="CA59" s="1386"/>
      <c r="CB59" s="1386"/>
      <c r="CC59" s="1386"/>
      <c r="CD59" s="1067"/>
    </row>
    <row r="60" spans="1:123" ht="20.100000000000001" hidden="1" customHeight="1" x14ac:dyDescent="0.2">
      <c r="A60" s="843"/>
      <c r="B60" s="2393" t="s">
        <v>2354</v>
      </c>
      <c r="C60" s="2394"/>
      <c r="D60" s="2394"/>
      <c r="E60" s="2394"/>
      <c r="F60" s="2394"/>
      <c r="G60" s="2394"/>
      <c r="H60" s="2395"/>
      <c r="I60" s="611"/>
      <c r="J60" s="782"/>
      <c r="K60" s="782"/>
      <c r="AG60" s="840"/>
      <c r="AH60" s="840"/>
      <c r="AI60" s="840"/>
      <c r="AJ60" s="840"/>
      <c r="AK60" s="840"/>
      <c r="AL60" s="840"/>
      <c r="AM60" s="840"/>
      <c r="AN60" s="840"/>
      <c r="AO60" s="840"/>
      <c r="AP60" s="840"/>
      <c r="AQ60" s="840"/>
      <c r="AR60" s="840"/>
      <c r="AS60" s="840"/>
      <c r="AT60" s="840"/>
      <c r="AU60" s="840"/>
      <c r="AV60" s="1067"/>
      <c r="AW60" s="1067"/>
      <c r="AX60" s="1067"/>
      <c r="AY60" s="1067"/>
      <c r="AZ60" s="1067"/>
      <c r="BA60" s="1067"/>
      <c r="BB60" s="1067"/>
      <c r="BC60" s="1067"/>
      <c r="BD60" s="1067"/>
      <c r="BE60" s="1067"/>
      <c r="BF60" s="1067"/>
      <c r="BG60" s="1067"/>
      <c r="BH60" s="1067"/>
      <c r="BI60" s="1067"/>
      <c r="BJ60" s="1067"/>
      <c r="BK60" s="1067"/>
      <c r="BL60" s="1067"/>
      <c r="BM60" s="1067"/>
      <c r="BN60" s="1067"/>
      <c r="BO60" s="1067"/>
      <c r="BP60" s="1067"/>
      <c r="BQ60" s="1067"/>
      <c r="BR60" s="1067"/>
      <c r="BS60" s="1067"/>
      <c r="BT60" s="1067"/>
      <c r="BU60" s="1067"/>
      <c r="BV60" s="1386"/>
      <c r="BW60" s="1511"/>
      <c r="BX60" s="1386"/>
      <c r="BY60" s="1386"/>
      <c r="BZ60" s="1386"/>
      <c r="CA60" s="1386"/>
      <c r="CB60" s="1386"/>
      <c r="CC60" s="1386"/>
      <c r="CD60" s="1067"/>
    </row>
    <row r="61" spans="1:123" ht="20.100000000000001" hidden="1" customHeight="1" thickBot="1" x14ac:dyDescent="0.25">
      <c r="A61" s="843"/>
      <c r="B61" s="2396"/>
      <c r="C61" s="2396"/>
      <c r="D61" s="2396"/>
      <c r="E61" s="2396"/>
      <c r="F61" s="2396"/>
      <c r="G61" s="2396"/>
      <c r="H61" s="2397"/>
      <c r="I61" s="611"/>
      <c r="J61" s="782"/>
      <c r="K61" s="782"/>
      <c r="AG61" s="840"/>
      <c r="AH61" s="840"/>
      <c r="AI61" s="840"/>
      <c r="AJ61" s="840"/>
      <c r="AK61" s="840"/>
      <c r="AL61" s="840"/>
      <c r="AM61" s="840"/>
      <c r="AN61" s="840"/>
      <c r="AO61" s="840"/>
      <c r="AP61" s="840"/>
      <c r="AQ61" s="840"/>
      <c r="AR61" s="840"/>
      <c r="AS61" s="840"/>
      <c r="AT61" s="840"/>
      <c r="AU61" s="840"/>
      <c r="AV61" s="1067"/>
      <c r="AW61" s="1067"/>
      <c r="AX61" s="1067"/>
      <c r="AY61" s="1067"/>
      <c r="AZ61" s="1067"/>
      <c r="BA61" s="1067"/>
      <c r="BB61" s="1067"/>
      <c r="BC61" s="1067"/>
      <c r="BD61" s="1067"/>
      <c r="BE61" s="1067"/>
      <c r="BF61" s="1067"/>
      <c r="BG61" s="1067"/>
      <c r="BH61" s="1067"/>
      <c r="BI61" s="1067"/>
      <c r="BJ61" s="1067"/>
      <c r="BK61" s="1067"/>
      <c r="BL61" s="1067"/>
      <c r="BM61" s="1067"/>
      <c r="BN61" s="1067"/>
      <c r="BO61" s="1067"/>
      <c r="BP61" s="1067"/>
      <c r="BQ61" s="1067"/>
      <c r="BR61" s="1067"/>
      <c r="BS61" s="1067"/>
      <c r="BT61" s="1067"/>
      <c r="BU61" s="1067"/>
      <c r="BV61" s="1386"/>
      <c r="BW61" s="1511"/>
      <c r="BX61" s="1386"/>
      <c r="BY61" s="1386"/>
      <c r="BZ61" s="1386"/>
      <c r="CA61" s="1386"/>
      <c r="CB61" s="1386"/>
      <c r="CC61" s="1386"/>
      <c r="CD61" s="1067"/>
    </row>
    <row r="62" spans="1:123" ht="12.75" hidden="1" customHeight="1" x14ac:dyDescent="0.2">
      <c r="A62" s="843"/>
      <c r="B62" s="717"/>
      <c r="C62" s="718"/>
      <c r="D62" s="719"/>
      <c r="E62" s="719"/>
      <c r="F62" s="1445"/>
      <c r="G62" s="1445"/>
      <c r="H62" s="720"/>
      <c r="I62" s="721"/>
      <c r="J62" s="782"/>
      <c r="K62" s="782"/>
      <c r="V62" s="158"/>
      <c r="AG62" s="840"/>
      <c r="AH62" s="840"/>
      <c r="AI62" s="840"/>
      <c r="AJ62" s="840"/>
      <c r="AK62" s="840"/>
      <c r="AL62" s="840"/>
      <c r="AM62" s="840"/>
      <c r="AN62" s="840"/>
      <c r="AO62" s="840"/>
      <c r="AP62" s="840"/>
      <c r="AQ62" s="840"/>
      <c r="AR62" s="840"/>
      <c r="AS62" s="840"/>
      <c r="AT62" s="840"/>
      <c r="AU62" s="840"/>
      <c r="AV62" s="1067"/>
      <c r="AW62" s="1067"/>
      <c r="AX62" s="1067"/>
      <c r="AY62" s="1067"/>
      <c r="AZ62" s="1067"/>
      <c r="BA62" s="1067"/>
      <c r="BB62" s="1067"/>
      <c r="BC62" s="1067"/>
      <c r="BD62" s="1067"/>
      <c r="BE62" s="1067"/>
      <c r="BF62" s="1067"/>
      <c r="BG62" s="1067"/>
      <c r="BH62" s="1067"/>
      <c r="BI62" s="1067"/>
      <c r="BJ62" s="1067"/>
      <c r="BK62" s="1067"/>
      <c r="BL62" s="1067"/>
      <c r="BM62" s="1067"/>
      <c r="BN62" s="1067"/>
      <c r="BO62" s="1067"/>
      <c r="BP62" s="1067"/>
      <c r="BQ62" s="1067"/>
      <c r="BR62" s="1067"/>
      <c r="BS62" s="1067"/>
      <c r="BT62" s="1067"/>
      <c r="BU62" s="1067"/>
      <c r="BV62" s="1386"/>
      <c r="BW62" s="1511"/>
      <c r="BX62" s="1386"/>
      <c r="BY62" s="1386"/>
      <c r="BZ62" s="1386"/>
      <c r="CA62" s="1386"/>
      <c r="CB62" s="1386"/>
      <c r="CC62" s="1386"/>
      <c r="CD62" s="1067"/>
    </row>
    <row r="63" spans="1:123" ht="15.75" hidden="1" customHeight="1" thickBot="1" x14ac:dyDescent="0.25">
      <c r="A63" s="843"/>
      <c r="B63" s="844" t="s">
        <v>1639</v>
      </c>
      <c r="C63" s="850">
        <v>500</v>
      </c>
      <c r="D63" s="867" t="s">
        <v>1689</v>
      </c>
      <c r="E63" s="867"/>
      <c r="F63" s="1446"/>
      <c r="G63" s="1519"/>
      <c r="H63" s="868"/>
      <c r="I63" s="2388" t="s">
        <v>1850</v>
      </c>
      <c r="J63" s="782"/>
      <c r="K63" s="782"/>
      <c r="AG63" s="840"/>
      <c r="AH63" s="840"/>
      <c r="AI63" s="840"/>
      <c r="AJ63" s="840"/>
      <c r="AK63" s="840"/>
      <c r="AL63" s="840"/>
      <c r="AM63" s="840"/>
      <c r="AN63" s="840"/>
      <c r="AO63" s="840"/>
      <c r="AP63" s="840"/>
      <c r="AQ63" s="840"/>
      <c r="AR63" s="840"/>
      <c r="AS63" s="840"/>
      <c r="AT63" s="840"/>
      <c r="AU63" s="840"/>
      <c r="AV63" s="1067"/>
      <c r="AW63" s="1067"/>
      <c r="AX63" s="1067"/>
      <c r="AY63" s="1067"/>
      <c r="AZ63" s="1067"/>
      <c r="BA63" s="1067"/>
      <c r="BB63" s="1067"/>
      <c r="BC63" s="1067"/>
      <c r="BD63" s="1067"/>
      <c r="BE63" s="1067"/>
      <c r="BF63" s="1067"/>
      <c r="BG63" s="1067"/>
      <c r="BH63" s="1067"/>
      <c r="BI63" s="1067"/>
      <c r="BJ63" s="1067"/>
      <c r="BK63" s="1067"/>
      <c r="BL63" s="1067"/>
      <c r="BM63" s="1067"/>
      <c r="BN63" s="1067"/>
      <c r="BO63" s="1067"/>
      <c r="BP63" s="1067"/>
      <c r="BQ63" s="1067"/>
      <c r="BR63" s="1067"/>
      <c r="BS63" s="1067"/>
      <c r="BT63" s="1067"/>
      <c r="BU63" s="1067"/>
      <c r="BV63" s="1386"/>
      <c r="BW63" s="1511"/>
      <c r="BX63" s="1386"/>
      <c r="BY63" s="1386"/>
      <c r="BZ63" s="1386"/>
      <c r="CA63" s="1386"/>
      <c r="CB63" s="1386"/>
      <c r="CC63" s="1386"/>
      <c r="CD63" s="1067"/>
    </row>
    <row r="64" spans="1:123" ht="9.9499999999999993" hidden="1" customHeight="1" x14ac:dyDescent="0.2">
      <c r="A64" s="2384"/>
      <c r="B64" s="2072"/>
      <c r="C64" s="135" t="s">
        <v>1301</v>
      </c>
      <c r="D64" s="139" t="s">
        <v>784</v>
      </c>
      <c r="E64" s="140" t="s">
        <v>2117</v>
      </c>
      <c r="F64" s="1440"/>
      <c r="G64" s="1453"/>
      <c r="H64" s="178" t="s">
        <v>2116</v>
      </c>
      <c r="I64" s="2389"/>
      <c r="J64" s="786"/>
      <c r="K64" s="782"/>
      <c r="AG64" s="840"/>
      <c r="AH64" s="840"/>
      <c r="AI64" s="840"/>
      <c r="AJ64" s="840"/>
      <c r="AK64" s="840"/>
      <c r="AL64" s="840"/>
      <c r="AM64" s="840"/>
      <c r="AN64" s="840"/>
      <c r="AO64" s="840"/>
      <c r="AP64" s="840"/>
      <c r="AQ64" s="840"/>
      <c r="AR64" s="840"/>
      <c r="AS64" s="840"/>
      <c r="AT64" s="840"/>
      <c r="AU64" s="840"/>
      <c r="AV64" s="1067"/>
      <c r="AW64" s="1067"/>
      <c r="AX64" s="1067"/>
      <c r="AY64" s="1067"/>
      <c r="AZ64" s="1067"/>
      <c r="BA64" s="1067"/>
      <c r="BB64" s="1067"/>
      <c r="BC64" s="1067"/>
      <c r="BD64" s="1067"/>
      <c r="BE64" s="1067"/>
      <c r="BF64" s="1067"/>
      <c r="BG64" s="1067"/>
      <c r="BH64" s="1067"/>
      <c r="BI64" s="1067"/>
      <c r="BJ64" s="1067"/>
      <c r="BK64" s="1067"/>
      <c r="BL64" s="1067"/>
      <c r="BM64" s="1067"/>
      <c r="BN64" s="1067"/>
      <c r="BO64" s="1067"/>
      <c r="BP64" s="1067"/>
      <c r="BQ64" s="1067"/>
      <c r="BR64" s="1067"/>
      <c r="BS64" s="1067"/>
      <c r="BT64" s="1067"/>
      <c r="BU64" s="1067"/>
      <c r="BV64" s="1386"/>
      <c r="BW64" s="1511"/>
      <c r="BX64" s="1386"/>
      <c r="BY64" s="1386"/>
      <c r="BZ64" s="1386"/>
      <c r="CA64" s="1386"/>
      <c r="CB64" s="1386"/>
      <c r="CC64" s="1386"/>
      <c r="CD64" s="1067"/>
    </row>
    <row r="65" spans="1:82" ht="12.75" hidden="1" customHeight="1" x14ac:dyDescent="0.2">
      <c r="A65" s="2384"/>
      <c r="B65" s="2073"/>
      <c r="C65" s="701"/>
      <c r="D65" s="43" t="e">
        <f t="shared" ref="D65:D74" si="12">VLOOKUP(C65,всецены,2,FALSE)</f>
        <v>#N/A</v>
      </c>
      <c r="E65" s="80">
        <v>1</v>
      </c>
      <c r="F65" s="1447" t="e">
        <f t="shared" ref="F65:F74" si="13">VLOOKUP(C65,всецены,4,FALSE)</f>
        <v>#N/A</v>
      </c>
      <c r="G65" s="1520"/>
      <c r="H65" s="723" t="e">
        <f t="shared" ref="H65:H74" si="14">F65*E65</f>
        <v>#N/A</v>
      </c>
      <c r="I65" s="2405" t="e">
        <f>SUM(H65:H74)</f>
        <v>#N/A</v>
      </c>
      <c r="J65" s="782"/>
      <c r="K65" s="786"/>
      <c r="V65" s="88"/>
      <c r="AG65" s="840"/>
      <c r="AH65" s="840"/>
      <c r="AI65" s="840"/>
      <c r="AJ65" s="840"/>
      <c r="AK65" s="840"/>
      <c r="AL65" s="840"/>
      <c r="AM65" s="840"/>
      <c r="AN65" s="840"/>
      <c r="AO65" s="840"/>
      <c r="AP65" s="840"/>
      <c r="AQ65" s="840"/>
      <c r="AR65" s="840"/>
      <c r="AS65" s="840"/>
      <c r="AT65" s="840"/>
      <c r="AU65" s="840"/>
      <c r="AV65" s="1067"/>
      <c r="AW65" s="1067"/>
      <c r="AX65" s="1067"/>
      <c r="AY65" s="1067"/>
      <c r="AZ65" s="1067"/>
      <c r="BA65" s="1067"/>
      <c r="BB65" s="1067"/>
      <c r="BC65" s="1067"/>
      <c r="BD65" s="1067"/>
      <c r="BE65" s="1067"/>
      <c r="BF65" s="1067"/>
      <c r="BG65" s="1067"/>
      <c r="BH65" s="1067"/>
      <c r="BI65" s="1067"/>
      <c r="BJ65" s="1067"/>
      <c r="BK65" s="1067"/>
      <c r="BL65" s="1067"/>
      <c r="BM65" s="1067"/>
      <c r="BN65" s="1067"/>
      <c r="BO65" s="1067"/>
      <c r="BP65" s="1067"/>
      <c r="BQ65" s="1067"/>
      <c r="BR65" s="1067"/>
      <c r="BS65" s="1067"/>
      <c r="BT65" s="1067"/>
      <c r="BU65" s="1067"/>
      <c r="BV65" s="1386"/>
      <c r="BW65" s="1511"/>
      <c r="BX65" s="1386"/>
      <c r="BY65" s="1386"/>
      <c r="BZ65" s="1386"/>
      <c r="CA65" s="1386"/>
      <c r="CB65" s="1386"/>
      <c r="CC65" s="1386"/>
      <c r="CD65" s="1067"/>
    </row>
    <row r="66" spans="1:82" ht="12.75" hidden="1" customHeight="1" x14ac:dyDescent="0.2">
      <c r="A66" s="2384"/>
      <c r="B66" s="2073"/>
      <c r="C66" s="701"/>
      <c r="D66" s="43" t="e">
        <f t="shared" si="12"/>
        <v>#N/A</v>
      </c>
      <c r="E66" s="80">
        <v>1</v>
      </c>
      <c r="F66" s="1447" t="e">
        <f t="shared" si="13"/>
        <v>#N/A</v>
      </c>
      <c r="G66" s="1520"/>
      <c r="H66" s="723" t="e">
        <f t="shared" si="14"/>
        <v>#N/A</v>
      </c>
      <c r="I66" s="2386"/>
      <c r="J66" s="782"/>
      <c r="K66" s="782"/>
      <c r="L66" s="106"/>
      <c r="M66" s="106"/>
      <c r="N66" s="106"/>
      <c r="O66" s="106"/>
      <c r="P66" s="106"/>
      <c r="Q66" s="106"/>
      <c r="R66" s="106"/>
      <c r="S66" s="106"/>
      <c r="T66" s="106"/>
      <c r="U66" s="106" t="s">
        <v>2115</v>
      </c>
      <c r="AG66" s="840"/>
      <c r="AH66" s="840"/>
      <c r="AI66" s="840"/>
      <c r="AJ66" s="840"/>
      <c r="AK66" s="840"/>
      <c r="AL66" s="840"/>
      <c r="AM66" s="840"/>
      <c r="AN66" s="840"/>
      <c r="AO66" s="840"/>
      <c r="AP66" s="840"/>
      <c r="AQ66" s="840"/>
      <c r="AR66" s="840"/>
      <c r="AS66" s="840"/>
      <c r="AT66" s="840"/>
      <c r="AU66" s="840"/>
      <c r="AV66" s="1067"/>
      <c r="AW66" s="1067"/>
      <c r="AX66" s="1067"/>
      <c r="AY66" s="1067"/>
      <c r="AZ66" s="1067"/>
      <c r="BA66" s="1067"/>
      <c r="BB66" s="1067"/>
      <c r="BC66" s="1067"/>
      <c r="BD66" s="1067"/>
      <c r="BE66" s="1067"/>
      <c r="BF66" s="1067"/>
      <c r="BG66" s="1067"/>
      <c r="BH66" s="1067"/>
      <c r="BI66" s="1067"/>
      <c r="BJ66" s="1067"/>
      <c r="BK66" s="1067"/>
      <c r="BL66" s="1067"/>
      <c r="BM66" s="1067"/>
      <c r="BN66" s="1067"/>
      <c r="BO66" s="1067"/>
      <c r="BP66" s="1067"/>
      <c r="BQ66" s="1067"/>
      <c r="BR66" s="1067"/>
      <c r="BS66" s="1067"/>
      <c r="BT66" s="1067"/>
      <c r="BU66" s="1067"/>
      <c r="BV66" s="1386"/>
      <c r="BW66" s="1511"/>
      <c r="BX66" s="1386"/>
      <c r="BY66" s="1386"/>
      <c r="BZ66" s="1386"/>
      <c r="CA66" s="1386"/>
      <c r="CB66" s="1386"/>
      <c r="CC66" s="1386"/>
      <c r="CD66" s="1067"/>
    </row>
    <row r="67" spans="1:82" ht="12.75" hidden="1" customHeight="1" x14ac:dyDescent="0.2">
      <c r="A67" s="2384"/>
      <c r="B67" s="2073"/>
      <c r="C67" s="43"/>
      <c r="D67" s="43" t="e">
        <f t="shared" si="12"/>
        <v>#N/A</v>
      </c>
      <c r="E67" s="80">
        <v>1</v>
      </c>
      <c r="F67" s="1447" t="e">
        <f t="shared" si="13"/>
        <v>#N/A</v>
      </c>
      <c r="G67" s="1520"/>
      <c r="H67" s="723" t="e">
        <f t="shared" si="14"/>
        <v>#N/A</v>
      </c>
      <c r="I67" s="2386"/>
      <c r="J67" s="782"/>
      <c r="K67" s="782"/>
      <c r="V67" s="841" t="s">
        <v>1645</v>
      </c>
      <c r="W67" s="841" t="s">
        <v>1644</v>
      </c>
      <c r="X67" s="8" t="s">
        <v>1641</v>
      </c>
      <c r="Y67" s="8" t="s">
        <v>1642</v>
      </c>
      <c r="AF67" s="841"/>
      <c r="AG67" s="840"/>
      <c r="AH67" s="840"/>
      <c r="AI67" s="840"/>
      <c r="AJ67" s="840"/>
      <c r="AK67" s="840"/>
      <c r="AL67" s="840"/>
      <c r="AM67" s="840"/>
      <c r="AN67" s="840"/>
      <c r="AO67" s="840"/>
      <c r="AP67" s="840"/>
      <c r="AQ67" s="840"/>
      <c r="AR67" s="840"/>
      <c r="AS67" s="840"/>
      <c r="AT67" s="840"/>
      <c r="AU67" s="840"/>
      <c r="AV67" s="1067"/>
      <c r="AW67" s="1067"/>
      <c r="AX67" s="1067"/>
      <c r="AY67" s="1067"/>
      <c r="AZ67" s="1067"/>
      <c r="BA67" s="1067"/>
      <c r="BB67" s="1067"/>
      <c r="BC67" s="1067"/>
      <c r="BD67" s="1067"/>
      <c r="BE67" s="1067"/>
      <c r="BF67" s="1067"/>
      <c r="BG67" s="1067"/>
      <c r="BH67" s="1067"/>
      <c r="BI67" s="1067"/>
      <c r="BJ67" s="1067"/>
      <c r="BK67" s="1067"/>
      <c r="BL67" s="1067"/>
      <c r="BM67" s="1067"/>
      <c r="BN67" s="1067"/>
      <c r="BO67" s="1067"/>
      <c r="BP67" s="1067"/>
      <c r="BQ67" s="1067"/>
      <c r="BR67" s="1067"/>
      <c r="BS67" s="1067"/>
      <c r="BT67" s="1067"/>
      <c r="BU67" s="1067"/>
      <c r="BV67" s="1386"/>
      <c r="BW67" s="1511"/>
      <c r="BX67" s="1386"/>
      <c r="BY67" s="1386"/>
      <c r="BZ67" s="1386"/>
      <c r="CA67" s="1386"/>
      <c r="CB67" s="1386"/>
      <c r="CC67" s="1386"/>
      <c r="CD67" s="1067"/>
    </row>
    <row r="68" spans="1:82" ht="12.75" hidden="1" customHeight="1" x14ac:dyDescent="0.2">
      <c r="A68" s="2384"/>
      <c r="B68" s="2073"/>
      <c r="C68" s="43"/>
      <c r="D68" s="43" t="e">
        <f t="shared" si="12"/>
        <v>#N/A</v>
      </c>
      <c r="E68" s="80">
        <v>1</v>
      </c>
      <c r="F68" s="1447" t="e">
        <f t="shared" si="13"/>
        <v>#N/A</v>
      </c>
      <c r="G68" s="1520"/>
      <c r="H68" s="723" t="e">
        <f t="shared" si="14"/>
        <v>#N/A</v>
      </c>
      <c r="I68" s="2386"/>
      <c r="J68" s="782"/>
      <c r="K68" s="782"/>
      <c r="U68" s="8">
        <v>270</v>
      </c>
      <c r="V68" s="696"/>
      <c r="W68" s="696"/>
      <c r="X68" s="696"/>
      <c r="Y68" s="696"/>
      <c r="Z68" s="875"/>
      <c r="AA68" s="875"/>
      <c r="AB68" s="875"/>
      <c r="AC68" s="875"/>
      <c r="AD68" s="875"/>
      <c r="AE68" s="875"/>
      <c r="AF68" s="28"/>
      <c r="AG68" s="840"/>
      <c r="AH68" s="840"/>
      <c r="AI68" s="840"/>
      <c r="AJ68" s="840"/>
      <c r="AK68" s="840"/>
      <c r="AL68" s="840"/>
      <c r="AM68" s="840"/>
      <c r="AN68" s="840"/>
      <c r="AO68" s="840"/>
      <c r="AP68" s="840"/>
      <c r="AQ68" s="840"/>
      <c r="AR68" s="840"/>
      <c r="AS68" s="840"/>
      <c r="AT68" s="840"/>
      <c r="AU68" s="840"/>
      <c r="AV68" s="1067"/>
      <c r="AW68" s="1067"/>
      <c r="AX68" s="1067"/>
      <c r="AY68" s="1067"/>
      <c r="AZ68" s="1067"/>
      <c r="BA68" s="1067"/>
      <c r="BB68" s="1067"/>
      <c r="BC68" s="1067"/>
      <c r="BD68" s="1067"/>
      <c r="BE68" s="1067"/>
      <c r="BF68" s="1067"/>
      <c r="BG68" s="1067"/>
      <c r="BH68" s="1067"/>
      <c r="BI68" s="1067"/>
      <c r="BJ68" s="1067"/>
      <c r="BK68" s="1067"/>
      <c r="BL68" s="1067"/>
      <c r="BM68" s="1067"/>
      <c r="BN68" s="1067"/>
      <c r="BO68" s="1067"/>
      <c r="BP68" s="1067"/>
      <c r="BQ68" s="1067"/>
      <c r="BR68" s="1067"/>
      <c r="BS68" s="1067"/>
      <c r="BT68" s="1067"/>
      <c r="BU68" s="1067"/>
      <c r="BV68" s="1386"/>
      <c r="BW68" s="1511"/>
      <c r="BX68" s="1386"/>
      <c r="BY68" s="1386"/>
      <c r="BZ68" s="1386"/>
      <c r="CA68" s="1386"/>
      <c r="CB68" s="1386"/>
      <c r="CC68" s="1386"/>
      <c r="CD68" s="1067"/>
    </row>
    <row r="69" spans="1:82" ht="12.75" hidden="1" customHeight="1" x14ac:dyDescent="0.2">
      <c r="A69" s="2384"/>
      <c r="B69" s="2073"/>
      <c r="C69" s="164"/>
      <c r="D69" s="43" t="e">
        <f t="shared" si="12"/>
        <v>#N/A</v>
      </c>
      <c r="E69" s="80">
        <v>2</v>
      </c>
      <c r="F69" s="1447" t="e">
        <f t="shared" si="13"/>
        <v>#N/A</v>
      </c>
      <c r="G69" s="1520"/>
      <c r="H69" s="723" t="e">
        <f t="shared" si="14"/>
        <v>#N/A</v>
      </c>
      <c r="I69" s="2386"/>
      <c r="J69" s="782"/>
      <c r="K69" s="782"/>
      <c r="U69" s="8">
        <v>350</v>
      </c>
      <c r="V69" s="696"/>
      <c r="W69" s="696"/>
      <c r="X69" s="696"/>
      <c r="Y69" s="696"/>
      <c r="Z69" s="875"/>
      <c r="AA69" s="875"/>
      <c r="AB69" s="875"/>
      <c r="AC69" s="875"/>
      <c r="AD69" s="875"/>
      <c r="AE69" s="875"/>
      <c r="AF69" s="28"/>
      <c r="AG69" s="840"/>
      <c r="AH69" s="840"/>
      <c r="AI69" s="840"/>
      <c r="AJ69" s="840"/>
      <c r="AK69" s="840"/>
      <c r="AL69" s="840"/>
      <c r="AM69" s="840"/>
      <c r="AN69" s="840"/>
      <c r="AO69" s="840"/>
      <c r="AP69" s="840"/>
      <c r="AQ69" s="840"/>
      <c r="AR69" s="840"/>
      <c r="AS69" s="840"/>
      <c r="AT69" s="840"/>
      <c r="AU69" s="840"/>
      <c r="AV69" s="1067"/>
      <c r="AW69" s="1067"/>
      <c r="AX69" s="1067"/>
      <c r="AY69" s="1067"/>
      <c r="AZ69" s="1067"/>
      <c r="BA69" s="1067"/>
      <c r="BB69" s="1067"/>
      <c r="BC69" s="1067"/>
      <c r="BD69" s="1067"/>
      <c r="BE69" s="1067"/>
      <c r="BF69" s="1067"/>
      <c r="BG69" s="1067"/>
      <c r="BH69" s="1067"/>
      <c r="BI69" s="1067"/>
      <c r="BJ69" s="1067"/>
      <c r="BK69" s="1067"/>
      <c r="BL69" s="1067"/>
      <c r="BM69" s="1067"/>
      <c r="BN69" s="1067"/>
      <c r="BO69" s="1067"/>
      <c r="BP69" s="1067"/>
      <c r="BQ69" s="1067"/>
      <c r="BR69" s="1067"/>
      <c r="BS69" s="1067"/>
      <c r="BT69" s="1067"/>
      <c r="BU69" s="1067"/>
      <c r="BV69" s="1386"/>
      <c r="BW69" s="1511"/>
      <c r="BX69" s="1386"/>
      <c r="BY69" s="1386"/>
      <c r="BZ69" s="1386"/>
      <c r="CA69" s="1386"/>
      <c r="CB69" s="1386"/>
      <c r="CC69" s="1386"/>
      <c r="CD69" s="1067"/>
    </row>
    <row r="70" spans="1:82" ht="12.75" hidden="1" customHeight="1" x14ac:dyDescent="0.2">
      <c r="A70" s="2384"/>
      <c r="B70" s="2073"/>
      <c r="C70" s="43"/>
      <c r="D70" s="43" t="e">
        <f t="shared" si="12"/>
        <v>#N/A</v>
      </c>
      <c r="E70" s="80">
        <v>2</v>
      </c>
      <c r="F70" s="1447" t="e">
        <f t="shared" si="13"/>
        <v>#N/A</v>
      </c>
      <c r="G70" s="1520"/>
      <c r="H70" s="723" t="e">
        <f t="shared" si="14"/>
        <v>#N/A</v>
      </c>
      <c r="I70" s="2386"/>
      <c r="J70" s="782"/>
      <c r="K70" s="782"/>
      <c r="U70" s="8">
        <v>400</v>
      </c>
      <c r="V70" s="696"/>
      <c r="W70" s="696"/>
      <c r="X70" s="696"/>
      <c r="Y70" s="696"/>
      <c r="Z70" s="875"/>
      <c r="AA70" s="875"/>
      <c r="AB70" s="875"/>
      <c r="AC70" s="875"/>
      <c r="AD70" s="875"/>
      <c r="AE70" s="875"/>
      <c r="AF70" s="28"/>
      <c r="AG70" s="840"/>
      <c r="AH70" s="840"/>
      <c r="AI70" s="840"/>
      <c r="AJ70" s="840"/>
      <c r="AK70" s="840"/>
      <c r="AL70" s="840"/>
      <c r="AM70" s="840"/>
      <c r="AN70" s="840"/>
      <c r="AO70" s="840"/>
      <c r="AP70" s="840"/>
      <c r="AQ70" s="840"/>
      <c r="AR70" s="840"/>
      <c r="AS70" s="840"/>
      <c r="AT70" s="840"/>
      <c r="AU70" s="840"/>
      <c r="AV70" s="1067"/>
      <c r="AW70" s="1067"/>
      <c r="AX70" s="1067"/>
      <c r="AY70" s="1067"/>
      <c r="AZ70" s="1067"/>
      <c r="BA70" s="1067"/>
      <c r="BB70" s="1067"/>
      <c r="BC70" s="1067"/>
      <c r="BD70" s="1067"/>
      <c r="BE70" s="1067"/>
      <c r="BF70" s="1067"/>
      <c r="BG70" s="1067"/>
      <c r="BH70" s="1067"/>
      <c r="BI70" s="1067"/>
      <c r="BJ70" s="1067"/>
      <c r="BK70" s="1067"/>
      <c r="BL70" s="1067"/>
      <c r="BM70" s="1067"/>
      <c r="BN70" s="1067"/>
      <c r="BO70" s="1067"/>
      <c r="BP70" s="1067"/>
      <c r="BQ70" s="1067"/>
      <c r="BR70" s="1067"/>
      <c r="BS70" s="1067"/>
      <c r="BT70" s="1067"/>
      <c r="BU70" s="1067"/>
      <c r="BV70" s="1386"/>
      <c r="BW70" s="1511"/>
      <c r="BX70" s="1386"/>
      <c r="BY70" s="1386"/>
      <c r="BZ70" s="1386"/>
      <c r="CA70" s="1386"/>
      <c r="CB70" s="1386"/>
      <c r="CC70" s="1386"/>
      <c r="CD70" s="1067"/>
    </row>
    <row r="71" spans="1:82" ht="12.75" hidden="1" customHeight="1" x14ac:dyDescent="0.2">
      <c r="A71" s="2384"/>
      <c r="B71" s="2073"/>
      <c r="C71" s="43"/>
      <c r="D71" s="43" t="e">
        <f>VLOOKUP(C71,всецены,2,FALSE)</f>
        <v>#N/A</v>
      </c>
      <c r="E71" s="80">
        <v>1</v>
      </c>
      <c r="F71" s="1447" t="e">
        <f t="shared" si="13"/>
        <v>#N/A</v>
      </c>
      <c r="G71" s="1520"/>
      <c r="H71" s="723" t="e">
        <f t="shared" si="14"/>
        <v>#N/A</v>
      </c>
      <c r="I71" s="2386"/>
      <c r="J71" s="782"/>
      <c r="K71" s="782"/>
      <c r="U71" s="8">
        <v>450</v>
      </c>
      <c r="V71" s="696"/>
      <c r="W71" s="696"/>
      <c r="X71" s="696"/>
      <c r="Y71" s="696"/>
      <c r="Z71" s="875"/>
      <c r="AA71" s="875"/>
      <c r="AB71" s="875"/>
      <c r="AC71" s="875"/>
      <c r="AD71" s="875"/>
      <c r="AE71" s="875"/>
      <c r="AF71" s="28"/>
      <c r="AG71" s="840"/>
      <c r="AH71" s="840"/>
      <c r="AI71" s="840"/>
      <c r="AJ71" s="840"/>
      <c r="AK71" s="840"/>
      <c r="AL71" s="840"/>
      <c r="AM71" s="840"/>
      <c r="AN71" s="840"/>
      <c r="AO71" s="840"/>
      <c r="AP71" s="840"/>
      <c r="AQ71" s="840"/>
      <c r="AR71" s="840"/>
      <c r="AS71" s="840"/>
      <c r="AT71" s="840"/>
      <c r="AU71" s="840"/>
      <c r="AV71" s="1067"/>
      <c r="AW71" s="1067"/>
      <c r="AX71" s="1067"/>
      <c r="AY71" s="1067"/>
      <c r="AZ71" s="1067"/>
      <c r="BA71" s="1067"/>
      <c r="BB71" s="1067"/>
      <c r="BC71" s="1067"/>
      <c r="BD71" s="1067"/>
      <c r="BE71" s="1067"/>
      <c r="BF71" s="1067"/>
      <c r="BG71" s="1067"/>
      <c r="BH71" s="1067"/>
      <c r="BI71" s="1067"/>
      <c r="BJ71" s="1067"/>
      <c r="BK71" s="1067"/>
      <c r="BL71" s="1067"/>
      <c r="BM71" s="1067"/>
      <c r="BN71" s="1067"/>
      <c r="BO71" s="1067"/>
      <c r="BP71" s="1067"/>
      <c r="BQ71" s="1067"/>
      <c r="BR71" s="1067"/>
      <c r="BS71" s="1067"/>
      <c r="BT71" s="1067"/>
      <c r="BU71" s="1067"/>
      <c r="BV71" s="1386"/>
      <c r="BW71" s="1511"/>
      <c r="BX71" s="1386"/>
      <c r="BY71" s="1386"/>
      <c r="BZ71" s="1386"/>
      <c r="CA71" s="1386"/>
      <c r="CB71" s="1386"/>
      <c r="CC71" s="1386"/>
      <c r="CD71" s="1067"/>
    </row>
    <row r="72" spans="1:82" ht="12.75" hidden="1" customHeight="1" x14ac:dyDescent="0.2">
      <c r="A72" s="2384"/>
      <c r="B72" s="2073"/>
      <c r="C72" s="43"/>
      <c r="D72" s="43" t="e">
        <f t="shared" si="12"/>
        <v>#N/A</v>
      </c>
      <c r="E72" s="80">
        <v>1</v>
      </c>
      <c r="F72" s="1447" t="e">
        <f t="shared" si="13"/>
        <v>#N/A</v>
      </c>
      <c r="G72" s="1520"/>
      <c r="H72" s="723" t="e">
        <f t="shared" si="14"/>
        <v>#N/A</v>
      </c>
      <c r="I72" s="2386"/>
      <c r="J72" s="782"/>
      <c r="K72" s="782"/>
      <c r="U72" s="8">
        <v>500</v>
      </c>
      <c r="V72" s="696"/>
      <c r="W72" s="696"/>
      <c r="X72" s="696" t="s">
        <v>2307</v>
      </c>
      <c r="Y72" s="696" t="s">
        <v>2302</v>
      </c>
      <c r="Z72" s="875"/>
      <c r="AA72" s="875"/>
      <c r="AB72" s="875"/>
      <c r="AC72" s="875"/>
      <c r="AD72" s="875"/>
      <c r="AE72" s="875"/>
      <c r="AF72" s="28"/>
      <c r="AG72" s="840"/>
      <c r="AH72" s="840"/>
      <c r="AI72" s="840"/>
      <c r="AJ72" s="840"/>
      <c r="AK72" s="840"/>
      <c r="AL72" s="840"/>
      <c r="AM72" s="840"/>
      <c r="AN72" s="840"/>
      <c r="AO72" s="840"/>
      <c r="AP72" s="840"/>
      <c r="AQ72" s="840"/>
      <c r="AR72" s="840"/>
      <c r="AS72" s="840"/>
      <c r="AT72" s="840"/>
      <c r="AU72" s="840"/>
      <c r="AV72" s="1067"/>
      <c r="AW72" s="1067"/>
      <c r="AX72" s="1067"/>
      <c r="AY72" s="1067"/>
      <c r="AZ72" s="1067"/>
      <c r="BA72" s="1067"/>
      <c r="BB72" s="1067"/>
      <c r="BC72" s="1067"/>
      <c r="BD72" s="1067"/>
      <c r="BE72" s="1067"/>
      <c r="BF72" s="1067"/>
      <c r="BG72" s="1067"/>
      <c r="BH72" s="1067"/>
      <c r="BI72" s="1067"/>
      <c r="BJ72" s="1067"/>
      <c r="BK72" s="1067"/>
      <c r="BL72" s="1067"/>
      <c r="BM72" s="1067"/>
      <c r="BN72" s="1067"/>
      <c r="BO72" s="1067"/>
      <c r="BP72" s="1067"/>
      <c r="BQ72" s="1067"/>
      <c r="BR72" s="1067"/>
      <c r="BS72" s="1067"/>
      <c r="BT72" s="1067"/>
      <c r="BU72" s="1067"/>
      <c r="BV72" s="1386"/>
      <c r="BW72" s="1511"/>
      <c r="BX72" s="1386"/>
      <c r="BY72" s="1386"/>
      <c r="BZ72" s="1386"/>
      <c r="CA72" s="1386"/>
      <c r="CB72" s="1386"/>
      <c r="CC72" s="1386"/>
      <c r="CD72" s="1067"/>
    </row>
    <row r="73" spans="1:82" ht="12.75" hidden="1" customHeight="1" x14ac:dyDescent="0.2">
      <c r="A73" s="2384"/>
      <c r="B73" s="2073"/>
      <c r="C73" s="724"/>
      <c r="D73" s="43" t="e">
        <f t="shared" si="12"/>
        <v>#N/A</v>
      </c>
      <c r="E73" s="80">
        <v>1</v>
      </c>
      <c r="F73" s="1447" t="e">
        <f t="shared" si="13"/>
        <v>#N/A</v>
      </c>
      <c r="G73" s="1520"/>
      <c r="H73" s="723" t="e">
        <f t="shared" si="14"/>
        <v>#N/A</v>
      </c>
      <c r="I73" s="2386"/>
      <c r="J73" s="782"/>
      <c r="K73" s="782"/>
      <c r="AG73" s="840"/>
      <c r="AH73" s="840"/>
      <c r="AI73" s="840"/>
      <c r="AJ73" s="840"/>
      <c r="AK73" s="840"/>
      <c r="AL73" s="840"/>
      <c r="AM73" s="840"/>
      <c r="AN73" s="840"/>
      <c r="AO73" s="840"/>
      <c r="AP73" s="840"/>
      <c r="AQ73" s="840"/>
      <c r="AR73" s="840"/>
      <c r="AS73" s="840"/>
      <c r="AT73" s="840"/>
      <c r="AU73" s="840"/>
      <c r="AV73" s="1067"/>
      <c r="AW73" s="1067"/>
      <c r="AX73" s="1067"/>
      <c r="AY73" s="1067"/>
      <c r="AZ73" s="1067"/>
      <c r="BA73" s="1067"/>
      <c r="BB73" s="1067"/>
      <c r="BC73" s="1067"/>
      <c r="BD73" s="1067"/>
      <c r="BE73" s="1067"/>
      <c r="BF73" s="1067"/>
      <c r="BG73" s="1067"/>
      <c r="BH73" s="1067"/>
      <c r="BI73" s="1067"/>
      <c r="BJ73" s="1067"/>
      <c r="BK73" s="1067"/>
      <c r="BL73" s="1067"/>
      <c r="BM73" s="1067"/>
      <c r="BN73" s="1067"/>
      <c r="BO73" s="1067"/>
      <c r="BP73" s="1067"/>
      <c r="BQ73" s="1067"/>
      <c r="BR73" s="1067"/>
      <c r="BS73" s="1067"/>
      <c r="BT73" s="1067"/>
      <c r="BU73" s="1067"/>
      <c r="BV73" s="1386"/>
      <c r="BW73" s="1511"/>
      <c r="BX73" s="1386"/>
      <c r="BY73" s="1386"/>
      <c r="BZ73" s="1386"/>
      <c r="CA73" s="1386"/>
      <c r="CB73" s="1386"/>
      <c r="CC73" s="1386"/>
      <c r="CD73" s="1067"/>
    </row>
    <row r="74" spans="1:82" ht="12.75" hidden="1" customHeight="1" thickBot="1" x14ac:dyDescent="0.25">
      <c r="A74" s="2384"/>
      <c r="B74" s="2074"/>
      <c r="C74" s="725"/>
      <c r="D74" s="404" t="e">
        <f t="shared" si="12"/>
        <v>#N/A</v>
      </c>
      <c r="E74" s="381">
        <v>1</v>
      </c>
      <c r="F74" s="1448" t="e">
        <f t="shared" si="13"/>
        <v>#N/A</v>
      </c>
      <c r="G74" s="1521"/>
      <c r="H74" s="726" t="e">
        <f t="shared" si="14"/>
        <v>#N/A</v>
      </c>
      <c r="I74" s="2387"/>
      <c r="J74" s="782"/>
      <c r="K74" s="782"/>
      <c r="AG74" s="840"/>
      <c r="AH74" s="840"/>
      <c r="AI74" s="840"/>
      <c r="AJ74" s="840"/>
      <c r="AK74" s="840"/>
      <c r="AL74" s="840"/>
      <c r="AM74" s="840"/>
      <c r="AN74" s="840"/>
      <c r="AO74" s="840"/>
      <c r="AP74" s="840"/>
      <c r="AQ74" s="840"/>
      <c r="AR74" s="840"/>
      <c r="AS74" s="840"/>
      <c r="AT74" s="840"/>
      <c r="AU74" s="840"/>
      <c r="AV74" s="1067"/>
      <c r="AW74" s="1067"/>
      <c r="AX74" s="1067"/>
      <c r="AY74" s="1067"/>
      <c r="AZ74" s="1067"/>
      <c r="BA74" s="1067"/>
      <c r="BB74" s="1067"/>
      <c r="BC74" s="1067"/>
      <c r="BD74" s="1067"/>
      <c r="BE74" s="1067"/>
      <c r="BF74" s="1067"/>
      <c r="BG74" s="1067"/>
      <c r="BH74" s="1067"/>
      <c r="BI74" s="1067"/>
      <c r="BJ74" s="1067"/>
      <c r="BK74" s="1067"/>
      <c r="BL74" s="1067"/>
      <c r="BM74" s="1067"/>
      <c r="BN74" s="1067"/>
      <c r="BO74" s="1067"/>
      <c r="BP74" s="1067"/>
      <c r="BQ74" s="1067"/>
      <c r="BR74" s="1067"/>
      <c r="BS74" s="1067"/>
      <c r="BT74" s="1067"/>
      <c r="BU74" s="1067"/>
      <c r="BV74" s="1386"/>
      <c r="BW74" s="1511"/>
      <c r="BX74" s="1386"/>
      <c r="BY74" s="1386"/>
      <c r="BZ74" s="1386"/>
      <c r="CA74" s="1386"/>
      <c r="CB74" s="1386"/>
      <c r="CC74" s="1386"/>
      <c r="CD74" s="1067"/>
    </row>
    <row r="75" spans="1:82" ht="9" hidden="1" customHeight="1" thickBot="1" x14ac:dyDescent="0.25">
      <c r="A75" s="843"/>
      <c r="B75" s="861"/>
      <c r="C75" s="862"/>
      <c r="D75" s="863"/>
      <c r="E75" s="864"/>
      <c r="F75" s="1449"/>
      <c r="G75" s="1449"/>
      <c r="H75" s="866"/>
      <c r="I75" s="872"/>
      <c r="J75" s="782"/>
      <c r="K75" s="782"/>
      <c r="AG75" s="840"/>
      <c r="AH75" s="840"/>
      <c r="AI75" s="840"/>
      <c r="AJ75" s="840"/>
      <c r="AK75" s="840"/>
      <c r="AL75" s="840"/>
      <c r="AM75" s="840"/>
      <c r="AN75" s="840"/>
      <c r="AO75" s="840"/>
      <c r="AP75" s="840"/>
      <c r="AQ75" s="840"/>
      <c r="AR75" s="840"/>
      <c r="AS75" s="840"/>
      <c r="AT75" s="840"/>
      <c r="AU75" s="840"/>
      <c r="AV75" s="1067"/>
      <c r="AW75" s="1067"/>
      <c r="AX75" s="1067"/>
      <c r="AY75" s="1067"/>
      <c r="AZ75" s="1067"/>
      <c r="BA75" s="1067"/>
      <c r="BB75" s="1067"/>
      <c r="BC75" s="1067"/>
      <c r="BD75" s="1067"/>
      <c r="BE75" s="1067"/>
      <c r="BF75" s="1067"/>
      <c r="BG75" s="1067"/>
      <c r="BH75" s="1067"/>
      <c r="BI75" s="1067"/>
      <c r="BJ75" s="1067"/>
      <c r="BK75" s="1067"/>
      <c r="BL75" s="1067"/>
      <c r="BM75" s="1067"/>
      <c r="BN75" s="1067"/>
      <c r="BO75" s="1067"/>
      <c r="BP75" s="1067"/>
      <c r="BQ75" s="1067"/>
      <c r="BR75" s="1067"/>
      <c r="BS75" s="1067"/>
      <c r="BT75" s="1067"/>
      <c r="BU75" s="1067"/>
      <c r="BV75" s="1386"/>
      <c r="BW75" s="1511"/>
      <c r="BX75" s="1386"/>
      <c r="BY75" s="1386"/>
      <c r="BZ75" s="1386"/>
      <c r="CA75" s="1386"/>
      <c r="CB75" s="1386"/>
      <c r="CC75" s="1386"/>
      <c r="CD75" s="1067"/>
    </row>
    <row r="76" spans="1:82" ht="12.75" hidden="1" customHeight="1" x14ac:dyDescent="0.2">
      <c r="A76" s="843"/>
      <c r="B76" s="729"/>
      <c r="C76" s="719"/>
      <c r="D76" s="2144" t="s">
        <v>1183</v>
      </c>
      <c r="E76" s="2144"/>
      <c r="F76" s="2144"/>
      <c r="G76" s="2144"/>
      <c r="H76" s="2144"/>
      <c r="I76" s="2145"/>
      <c r="J76" s="782"/>
      <c r="K76" s="782"/>
      <c r="AG76" s="840"/>
      <c r="AH76" s="840"/>
      <c r="AI76" s="840"/>
      <c r="AJ76" s="840"/>
      <c r="AK76" s="840"/>
      <c r="AL76" s="840"/>
      <c r="AM76" s="840"/>
      <c r="AN76" s="840"/>
      <c r="AO76" s="840"/>
      <c r="AP76" s="840"/>
      <c r="AQ76" s="840"/>
      <c r="AR76" s="840"/>
      <c r="AS76" s="840"/>
      <c r="AT76" s="840"/>
      <c r="AU76" s="840"/>
      <c r="AV76" s="1067"/>
      <c r="AW76" s="1067"/>
      <c r="AX76" s="1067"/>
      <c r="AY76" s="1067"/>
      <c r="AZ76" s="1067"/>
      <c r="BA76" s="1067"/>
      <c r="BB76" s="1067"/>
      <c r="BC76" s="1067"/>
      <c r="BD76" s="1067"/>
      <c r="BE76" s="1067"/>
      <c r="BF76" s="1067"/>
      <c r="BG76" s="1067"/>
      <c r="BH76" s="1067"/>
      <c r="BI76" s="1067"/>
      <c r="BJ76" s="1067"/>
      <c r="BK76" s="1067"/>
      <c r="BL76" s="1067"/>
      <c r="BM76" s="1067"/>
      <c r="BN76" s="1067"/>
      <c r="BO76" s="1067"/>
      <c r="BP76" s="1067"/>
      <c r="BQ76" s="1067"/>
      <c r="BR76" s="1067"/>
      <c r="BS76" s="1067"/>
      <c r="BT76" s="1067"/>
      <c r="BU76" s="1067"/>
      <c r="BV76" s="1386"/>
      <c r="BW76" s="1511"/>
      <c r="BX76" s="1386"/>
      <c r="BY76" s="1386"/>
      <c r="BZ76" s="1386"/>
      <c r="CA76" s="1386"/>
      <c r="CB76" s="1386"/>
      <c r="CC76" s="1386"/>
      <c r="CD76" s="1067"/>
    </row>
    <row r="77" spans="1:82" ht="15.75" hidden="1" customHeight="1" thickBot="1" x14ac:dyDescent="0.25">
      <c r="A77" s="843"/>
      <c r="B77" s="844" t="s">
        <v>1639</v>
      </c>
      <c r="C77" s="850">
        <v>500</v>
      </c>
      <c r="D77" s="867" t="s">
        <v>1689</v>
      </c>
      <c r="E77" s="869"/>
      <c r="F77" s="1450"/>
      <c r="G77" s="1522"/>
      <c r="H77" s="870"/>
      <c r="I77" s="2388" t="s">
        <v>1850</v>
      </c>
      <c r="J77" s="782"/>
      <c r="K77" s="782"/>
      <c r="AG77" s="840"/>
      <c r="AH77" s="840"/>
      <c r="AI77" s="840"/>
      <c r="AJ77" s="840"/>
      <c r="AK77" s="840"/>
      <c r="AL77" s="840"/>
      <c r="AM77" s="840"/>
      <c r="AN77" s="840"/>
      <c r="AO77" s="840"/>
      <c r="AP77" s="840"/>
      <c r="AQ77" s="840"/>
      <c r="AR77" s="840"/>
      <c r="AS77" s="840"/>
      <c r="AT77" s="840"/>
      <c r="AU77" s="840"/>
      <c r="AV77" s="1067"/>
      <c r="AW77" s="1067"/>
      <c r="AX77" s="1067"/>
      <c r="AY77" s="1067"/>
      <c r="AZ77" s="1067"/>
      <c r="BA77" s="1067"/>
      <c r="BB77" s="1067"/>
      <c r="BC77" s="1067"/>
      <c r="BD77" s="1067"/>
      <c r="BE77" s="1067"/>
      <c r="BF77" s="1067"/>
      <c r="BG77" s="1067"/>
      <c r="BH77" s="1067"/>
      <c r="BI77" s="1067"/>
      <c r="BJ77" s="1067"/>
      <c r="BK77" s="1067"/>
      <c r="BL77" s="1067"/>
      <c r="BM77" s="1067"/>
      <c r="BN77" s="1067"/>
      <c r="BO77" s="1067"/>
      <c r="BP77" s="1067"/>
      <c r="BQ77" s="1067"/>
      <c r="BR77" s="1067"/>
      <c r="BS77" s="1067"/>
      <c r="BT77" s="1067"/>
      <c r="BU77" s="1067"/>
      <c r="BV77" s="1386"/>
      <c r="BW77" s="1511"/>
      <c r="BX77" s="1386"/>
      <c r="BY77" s="1386"/>
      <c r="BZ77" s="1386"/>
      <c r="CA77" s="1386"/>
      <c r="CB77" s="1386"/>
      <c r="CC77" s="1386"/>
      <c r="CD77" s="1067"/>
    </row>
    <row r="78" spans="1:82" ht="9" hidden="1" customHeight="1" x14ac:dyDescent="0.2">
      <c r="A78" s="2384"/>
      <c r="B78" s="2072"/>
      <c r="C78" s="135" t="s">
        <v>1301</v>
      </c>
      <c r="D78" s="139" t="s">
        <v>784</v>
      </c>
      <c r="E78" s="140" t="s">
        <v>2117</v>
      </c>
      <c r="F78" s="1440"/>
      <c r="G78" s="1453"/>
      <c r="H78" s="178" t="s">
        <v>2116</v>
      </c>
      <c r="I78" s="2389"/>
      <c r="J78" s="782"/>
      <c r="K78" s="782"/>
      <c r="AG78" s="840"/>
      <c r="AH78" s="840"/>
      <c r="AI78" s="840"/>
      <c r="AJ78" s="840"/>
      <c r="AK78" s="840"/>
      <c r="AL78" s="840"/>
      <c r="AM78" s="840"/>
      <c r="AN78" s="840"/>
      <c r="AO78" s="840"/>
      <c r="AP78" s="840"/>
      <c r="AQ78" s="840"/>
      <c r="AR78" s="840"/>
      <c r="AS78" s="840"/>
      <c r="AT78" s="840"/>
      <c r="AU78" s="840"/>
      <c r="AV78" s="1067"/>
      <c r="AW78" s="1067"/>
      <c r="AX78" s="1067"/>
      <c r="AY78" s="1067"/>
      <c r="AZ78" s="1067"/>
      <c r="BA78" s="1067"/>
      <c r="BB78" s="1067"/>
      <c r="BC78" s="1067"/>
      <c r="BD78" s="1067"/>
      <c r="BE78" s="1067"/>
      <c r="BF78" s="1067"/>
      <c r="BG78" s="1067"/>
      <c r="BH78" s="1067"/>
      <c r="BI78" s="1067"/>
      <c r="BJ78" s="1067"/>
      <c r="BK78" s="1067"/>
      <c r="BL78" s="1067"/>
      <c r="BM78" s="1067"/>
      <c r="BN78" s="1067"/>
      <c r="BO78" s="1067"/>
      <c r="BP78" s="1067"/>
      <c r="BQ78" s="1067"/>
      <c r="BR78" s="1067"/>
      <c r="BS78" s="1067"/>
      <c r="BT78" s="1067"/>
      <c r="BU78" s="1067"/>
      <c r="BV78" s="1386"/>
      <c r="BW78" s="1511"/>
      <c r="BX78" s="1386"/>
      <c r="BY78" s="1386"/>
      <c r="BZ78" s="1386"/>
      <c r="CA78" s="1386"/>
      <c r="CB78" s="1386"/>
      <c r="CC78" s="1386"/>
      <c r="CD78" s="1067"/>
    </row>
    <row r="79" spans="1:82" ht="12.75" hidden="1" customHeight="1" x14ac:dyDescent="0.2">
      <c r="A79" s="2384"/>
      <c r="B79" s="2073"/>
      <c r="C79" s="701"/>
      <c r="D79" s="43" t="e">
        <f t="shared" ref="D79:D91" si="15">VLOOKUP(C79,всецены,2,FALSE)</f>
        <v>#N/A</v>
      </c>
      <c r="E79" s="80">
        <v>1</v>
      </c>
      <c r="F79" s="1447" t="e">
        <f t="shared" ref="F79:F91" si="16">VLOOKUP(C79,всецены,4,FALSE)</f>
        <v>#N/A</v>
      </c>
      <c r="G79" s="1520"/>
      <c r="H79" s="723" t="e">
        <f t="shared" ref="H79:H91" si="17">F79*E79</f>
        <v>#N/A</v>
      </c>
      <c r="I79" s="2415" t="e">
        <f>SUM(H79:H91)</f>
        <v>#N/A</v>
      </c>
      <c r="J79" s="782"/>
      <c r="K79" s="782"/>
      <c r="AG79" s="840"/>
      <c r="AH79" s="840"/>
      <c r="AI79" s="840"/>
      <c r="AJ79" s="840"/>
      <c r="AK79" s="840"/>
      <c r="AL79" s="840"/>
      <c r="AM79" s="840"/>
      <c r="AN79" s="840"/>
      <c r="AO79" s="840"/>
      <c r="AP79" s="840"/>
      <c r="AQ79" s="840"/>
      <c r="AR79" s="840"/>
      <c r="AS79" s="840"/>
      <c r="AT79" s="840"/>
      <c r="AU79" s="840"/>
      <c r="AV79" s="1067"/>
      <c r="AW79" s="1067"/>
      <c r="AX79" s="1067"/>
      <c r="AY79" s="1067"/>
      <c r="AZ79" s="1067"/>
      <c r="BA79" s="1067"/>
      <c r="BB79" s="1067"/>
      <c r="BC79" s="1067"/>
      <c r="BD79" s="1067"/>
      <c r="BE79" s="1067"/>
      <c r="BF79" s="1067"/>
      <c r="BG79" s="1067"/>
      <c r="BH79" s="1067"/>
      <c r="BI79" s="1067"/>
      <c r="BJ79" s="1067"/>
      <c r="BK79" s="1067"/>
      <c r="BL79" s="1067"/>
      <c r="BM79" s="1067"/>
      <c r="BN79" s="1067"/>
      <c r="BO79" s="1067"/>
      <c r="BP79" s="1067"/>
      <c r="BQ79" s="1067"/>
      <c r="BR79" s="1067"/>
      <c r="BS79" s="1067"/>
      <c r="BT79" s="1067"/>
      <c r="BU79" s="1067"/>
      <c r="BV79" s="1386"/>
      <c r="BW79" s="1511"/>
      <c r="BX79" s="1386"/>
      <c r="BY79" s="1386"/>
      <c r="BZ79" s="1386"/>
      <c r="CA79" s="1386"/>
      <c r="CB79" s="1386"/>
      <c r="CC79" s="1386"/>
      <c r="CD79" s="1067"/>
    </row>
    <row r="80" spans="1:82" ht="12.75" hidden="1" customHeight="1" x14ac:dyDescent="0.2">
      <c r="A80" s="2384"/>
      <c r="B80" s="2073"/>
      <c r="C80" s="701"/>
      <c r="D80" s="43" t="e">
        <f t="shared" si="15"/>
        <v>#N/A</v>
      </c>
      <c r="E80" s="80">
        <v>1</v>
      </c>
      <c r="F80" s="1447" t="e">
        <f t="shared" si="16"/>
        <v>#N/A</v>
      </c>
      <c r="G80" s="1520"/>
      <c r="H80" s="723" t="e">
        <f t="shared" si="17"/>
        <v>#N/A</v>
      </c>
      <c r="I80" s="2416"/>
      <c r="J80" s="782"/>
      <c r="K80" s="782"/>
      <c r="AG80" s="840"/>
      <c r="AH80" s="840"/>
      <c r="AI80" s="840"/>
      <c r="AJ80" s="840"/>
      <c r="AK80" s="840"/>
      <c r="AL80" s="840"/>
      <c r="AM80" s="840"/>
      <c r="AN80" s="840"/>
      <c r="AO80" s="840"/>
      <c r="AP80" s="840"/>
      <c r="AQ80" s="840"/>
      <c r="AR80" s="840"/>
      <c r="AS80" s="840"/>
      <c r="AT80" s="840"/>
      <c r="AU80" s="840"/>
      <c r="AV80" s="1067"/>
      <c r="AW80" s="1067"/>
      <c r="AX80" s="1067"/>
      <c r="AY80" s="1067"/>
      <c r="AZ80" s="1067"/>
      <c r="BA80" s="1067"/>
      <c r="BB80" s="1067"/>
      <c r="BC80" s="1067"/>
      <c r="BD80" s="1067"/>
      <c r="BE80" s="1067"/>
      <c r="BF80" s="1067"/>
      <c r="BG80" s="1067"/>
      <c r="BH80" s="1067"/>
      <c r="BI80" s="1067"/>
      <c r="BJ80" s="1067"/>
      <c r="BK80" s="1067"/>
      <c r="BL80" s="1067"/>
      <c r="BM80" s="1067"/>
      <c r="BN80" s="1067"/>
      <c r="BO80" s="1067"/>
      <c r="BP80" s="1067"/>
      <c r="BQ80" s="1067"/>
      <c r="BR80" s="1067"/>
      <c r="BS80" s="1067"/>
      <c r="BT80" s="1067"/>
      <c r="BU80" s="1067"/>
      <c r="BV80" s="1386"/>
      <c r="BW80" s="1511"/>
      <c r="BX80" s="1386"/>
      <c r="BY80" s="1386"/>
      <c r="BZ80" s="1386"/>
      <c r="CA80" s="1386"/>
      <c r="CB80" s="1386"/>
      <c r="CC80" s="1386"/>
      <c r="CD80" s="1067"/>
    </row>
    <row r="81" spans="1:82" ht="12.75" hidden="1" customHeight="1" x14ac:dyDescent="0.2">
      <c r="A81" s="2384"/>
      <c r="B81" s="2073"/>
      <c r="C81" s="43"/>
      <c r="D81" s="43" t="e">
        <f t="shared" si="15"/>
        <v>#N/A</v>
      </c>
      <c r="E81" s="80">
        <v>1</v>
      </c>
      <c r="F81" s="1447" t="e">
        <f t="shared" si="16"/>
        <v>#N/A</v>
      </c>
      <c r="G81" s="1520"/>
      <c r="H81" s="723" t="e">
        <f t="shared" si="17"/>
        <v>#N/A</v>
      </c>
      <c r="I81" s="2416"/>
      <c r="J81" s="782"/>
      <c r="K81" s="782"/>
      <c r="AG81" s="840"/>
      <c r="AH81" s="840"/>
      <c r="AI81" s="840"/>
      <c r="AJ81" s="840"/>
      <c r="AK81" s="840"/>
      <c r="AL81" s="840"/>
      <c r="AM81" s="840"/>
      <c r="AN81" s="840"/>
      <c r="AO81" s="840"/>
      <c r="AP81" s="840"/>
      <c r="AQ81" s="840"/>
      <c r="AR81" s="840"/>
      <c r="AS81" s="840"/>
      <c r="AT81" s="840"/>
      <c r="AU81" s="840"/>
      <c r="AV81" s="1067"/>
      <c r="AW81" s="1067"/>
      <c r="AX81" s="1067"/>
      <c r="AY81" s="1067"/>
      <c r="AZ81" s="1067"/>
      <c r="BA81" s="1067"/>
      <c r="BB81" s="1067"/>
      <c r="BC81" s="1067"/>
      <c r="BD81" s="1067"/>
      <c r="BE81" s="1067"/>
      <c r="BF81" s="1067"/>
      <c r="BG81" s="1067"/>
      <c r="BH81" s="1067"/>
      <c r="BI81" s="1067"/>
      <c r="BJ81" s="1067"/>
      <c r="BK81" s="1067"/>
      <c r="BL81" s="1067"/>
      <c r="BM81" s="1067"/>
      <c r="BN81" s="1067"/>
      <c r="BO81" s="1067"/>
      <c r="BP81" s="1067"/>
      <c r="BQ81" s="1067"/>
      <c r="BR81" s="1067"/>
      <c r="BS81" s="1067"/>
      <c r="BT81" s="1067"/>
      <c r="BU81" s="1067"/>
      <c r="BV81" s="1386"/>
      <c r="BW81" s="1511"/>
      <c r="BX81" s="1386"/>
      <c r="BY81" s="1386"/>
      <c r="BZ81" s="1386"/>
      <c r="CA81" s="1386"/>
      <c r="CB81" s="1386"/>
      <c r="CC81" s="1386"/>
      <c r="CD81" s="1067"/>
    </row>
    <row r="82" spans="1:82" ht="12.75" hidden="1" customHeight="1" x14ac:dyDescent="0.2">
      <c r="A82" s="2384"/>
      <c r="B82" s="2073"/>
      <c r="C82" s="43"/>
      <c r="D82" s="43" t="e">
        <f t="shared" si="15"/>
        <v>#N/A</v>
      </c>
      <c r="E82" s="80">
        <v>1</v>
      </c>
      <c r="F82" s="1447" t="e">
        <f t="shared" si="16"/>
        <v>#N/A</v>
      </c>
      <c r="G82" s="1520"/>
      <c r="H82" s="723" t="e">
        <f t="shared" si="17"/>
        <v>#N/A</v>
      </c>
      <c r="I82" s="2416"/>
      <c r="J82" s="782"/>
      <c r="K82" s="782"/>
      <c r="AG82" s="840"/>
      <c r="AH82" s="840"/>
      <c r="AI82" s="840"/>
      <c r="AJ82" s="840"/>
      <c r="AK82" s="840"/>
      <c r="AL82" s="840"/>
      <c r="AM82" s="840"/>
      <c r="AN82" s="840"/>
      <c r="AO82" s="840"/>
      <c r="AP82" s="840"/>
      <c r="AQ82" s="840"/>
      <c r="AR82" s="840"/>
      <c r="AS82" s="840"/>
      <c r="AT82" s="840"/>
      <c r="AU82" s="840"/>
      <c r="AV82" s="1067"/>
      <c r="AW82" s="1067"/>
      <c r="AX82" s="1067"/>
      <c r="AY82" s="1067"/>
      <c r="AZ82" s="1067"/>
      <c r="BA82" s="1067"/>
      <c r="BB82" s="1067"/>
      <c r="BC82" s="1067"/>
      <c r="BD82" s="1067"/>
      <c r="BE82" s="1067"/>
      <c r="BF82" s="1067"/>
      <c r="BG82" s="1067"/>
      <c r="BH82" s="1067"/>
      <c r="BI82" s="1067"/>
      <c r="BJ82" s="1067"/>
      <c r="BK82" s="1067"/>
      <c r="BL82" s="1067"/>
      <c r="BM82" s="1067"/>
      <c r="BN82" s="1067"/>
      <c r="BO82" s="1067"/>
      <c r="BP82" s="1067"/>
      <c r="BQ82" s="1067"/>
      <c r="BR82" s="1067"/>
      <c r="BS82" s="1067"/>
      <c r="BT82" s="1067"/>
      <c r="BU82" s="1067"/>
      <c r="BV82" s="1386"/>
      <c r="BW82" s="1511"/>
      <c r="BX82" s="1386"/>
      <c r="BY82" s="1386"/>
      <c r="BZ82" s="1386"/>
      <c r="CA82" s="1386"/>
      <c r="CB82" s="1386"/>
      <c r="CC82" s="1386"/>
      <c r="CD82" s="1067"/>
    </row>
    <row r="83" spans="1:82" ht="12.75" hidden="1" customHeight="1" x14ac:dyDescent="0.2">
      <c r="A83" s="2384"/>
      <c r="B83" s="2073"/>
      <c r="C83" s="43"/>
      <c r="D83" s="43" t="e">
        <f t="shared" si="15"/>
        <v>#N/A</v>
      </c>
      <c r="E83" s="80">
        <v>2</v>
      </c>
      <c r="F83" s="1447" t="e">
        <f t="shared" si="16"/>
        <v>#N/A</v>
      </c>
      <c r="G83" s="1520"/>
      <c r="H83" s="723" t="e">
        <f t="shared" si="17"/>
        <v>#N/A</v>
      </c>
      <c r="I83" s="2416"/>
      <c r="J83" s="782"/>
      <c r="K83" s="782"/>
      <c r="AG83" s="840"/>
      <c r="AH83" s="840"/>
      <c r="AI83" s="840"/>
      <c r="AJ83" s="840"/>
      <c r="AK83" s="840"/>
      <c r="AL83" s="840"/>
      <c r="AM83" s="840"/>
      <c r="AN83" s="840"/>
      <c r="AO83" s="840"/>
      <c r="AP83" s="840"/>
      <c r="AQ83" s="840"/>
      <c r="AR83" s="840"/>
      <c r="AS83" s="840"/>
      <c r="AT83" s="840"/>
      <c r="AU83" s="840"/>
      <c r="AV83" s="1067"/>
      <c r="AW83" s="1067"/>
      <c r="AX83" s="1067"/>
      <c r="AY83" s="1067"/>
      <c r="AZ83" s="1067"/>
      <c r="BA83" s="1067"/>
      <c r="BB83" s="1067"/>
      <c r="BC83" s="1067"/>
      <c r="BD83" s="1067"/>
      <c r="BE83" s="1067"/>
      <c r="BF83" s="1067"/>
      <c r="BG83" s="1067"/>
      <c r="BH83" s="1067"/>
      <c r="BI83" s="1067"/>
      <c r="BJ83" s="1067"/>
      <c r="BK83" s="1067"/>
      <c r="BL83" s="1067"/>
      <c r="BM83" s="1067"/>
      <c r="BN83" s="1067"/>
      <c r="BO83" s="1067"/>
      <c r="BP83" s="1067"/>
      <c r="BQ83" s="1067"/>
      <c r="BR83" s="1067"/>
      <c r="BS83" s="1067"/>
      <c r="BT83" s="1067"/>
      <c r="BU83" s="1067"/>
      <c r="BV83" s="1386"/>
      <c r="BW83" s="1511"/>
      <c r="BX83" s="1386"/>
      <c r="BY83" s="1386"/>
      <c r="BZ83" s="1386"/>
      <c r="CA83" s="1386"/>
      <c r="CB83" s="1386"/>
      <c r="CC83" s="1386"/>
      <c r="CD83" s="1067"/>
    </row>
    <row r="84" spans="1:82" ht="12.75" hidden="1" customHeight="1" x14ac:dyDescent="0.2">
      <c r="A84" s="2384"/>
      <c r="B84" s="2073"/>
      <c r="C84" s="724"/>
      <c r="D84" s="43" t="e">
        <f t="shared" si="15"/>
        <v>#N/A</v>
      </c>
      <c r="E84" s="80">
        <v>1</v>
      </c>
      <c r="F84" s="1447" t="e">
        <f t="shared" si="16"/>
        <v>#N/A</v>
      </c>
      <c r="G84" s="1520"/>
      <c r="H84" s="723" t="e">
        <f t="shared" si="17"/>
        <v>#N/A</v>
      </c>
      <c r="I84" s="2416"/>
      <c r="J84" s="782"/>
      <c r="K84" s="782"/>
      <c r="L84" s="881"/>
      <c r="M84" s="881"/>
      <c r="N84" s="881"/>
      <c r="O84" s="881"/>
      <c r="P84" s="881"/>
      <c r="Q84" s="881"/>
      <c r="R84" s="881"/>
      <c r="S84" s="881"/>
      <c r="T84" s="881"/>
      <c r="U84" s="840"/>
      <c r="V84" s="840"/>
      <c r="W84" s="840"/>
      <c r="X84" s="840"/>
      <c r="Y84" s="840"/>
      <c r="Z84" s="879"/>
      <c r="AA84" s="879"/>
      <c r="AB84" s="879"/>
      <c r="AC84" s="879"/>
      <c r="AD84" s="840"/>
      <c r="AE84" s="840"/>
      <c r="AF84" s="840"/>
      <c r="AG84" s="840"/>
      <c r="AH84" s="840"/>
      <c r="AI84" s="840"/>
      <c r="AJ84" s="840"/>
      <c r="AK84" s="840"/>
      <c r="AL84" s="840"/>
      <c r="AM84" s="840"/>
      <c r="AN84" s="840"/>
      <c r="AO84" s="840"/>
      <c r="AP84" s="840"/>
      <c r="AQ84" s="840"/>
      <c r="AR84" s="840"/>
      <c r="AS84" s="840"/>
      <c r="AT84" s="840"/>
      <c r="AU84" s="840"/>
      <c r="AV84" s="1067"/>
      <c r="AW84" s="1067"/>
      <c r="AX84" s="1067"/>
      <c r="AY84" s="1067"/>
      <c r="AZ84" s="1067"/>
      <c r="BA84" s="1067"/>
      <c r="BB84" s="1067"/>
      <c r="BC84" s="1067"/>
      <c r="BD84" s="1067"/>
      <c r="BE84" s="1067"/>
      <c r="BF84" s="1067"/>
      <c r="BG84" s="1067"/>
      <c r="BH84" s="1067"/>
      <c r="BI84" s="1067"/>
      <c r="BJ84" s="1067"/>
      <c r="BK84" s="1067"/>
      <c r="BL84" s="1067"/>
      <c r="BM84" s="1067"/>
      <c r="BN84" s="1067"/>
      <c r="BO84" s="1067"/>
      <c r="BP84" s="1067"/>
      <c r="BQ84" s="1067"/>
      <c r="BR84" s="1067"/>
      <c r="BS84" s="1067"/>
      <c r="BT84" s="1067"/>
      <c r="BU84" s="1067"/>
      <c r="BV84" s="1386"/>
      <c r="BW84" s="1511"/>
      <c r="BX84" s="1386"/>
      <c r="BY84" s="1386"/>
      <c r="BZ84" s="1386"/>
      <c r="CA84" s="1386"/>
      <c r="CB84" s="1386"/>
      <c r="CC84" s="1386"/>
      <c r="CD84" s="1067"/>
    </row>
    <row r="85" spans="1:82" ht="12.75" hidden="1" customHeight="1" x14ac:dyDescent="0.2">
      <c r="A85" s="2384"/>
      <c r="B85" s="2073"/>
      <c r="C85" s="724"/>
      <c r="D85" s="43" t="e">
        <f t="shared" si="15"/>
        <v>#N/A</v>
      </c>
      <c r="E85" s="80">
        <v>1</v>
      </c>
      <c r="F85" s="1447" t="e">
        <f t="shared" si="16"/>
        <v>#N/A</v>
      </c>
      <c r="G85" s="1520"/>
      <c r="H85" s="723" t="e">
        <f t="shared" si="17"/>
        <v>#N/A</v>
      </c>
      <c r="I85" s="2416"/>
      <c r="J85" s="782"/>
      <c r="K85" s="782"/>
      <c r="L85" s="881"/>
      <c r="M85" s="881"/>
      <c r="N85" s="881"/>
      <c r="O85" s="881"/>
      <c r="P85" s="881"/>
      <c r="Q85" s="881"/>
      <c r="R85" s="881"/>
      <c r="S85" s="881"/>
      <c r="T85" s="881"/>
      <c r="U85" s="840"/>
      <c r="V85" s="840"/>
      <c r="W85" s="840"/>
      <c r="X85" s="840"/>
      <c r="Y85" s="840"/>
      <c r="Z85" s="879"/>
      <c r="AA85" s="879"/>
      <c r="AB85" s="879"/>
      <c r="AC85" s="879"/>
      <c r="AD85" s="840"/>
      <c r="AE85" s="840"/>
      <c r="AF85" s="840"/>
      <c r="AG85" s="840"/>
      <c r="AH85" s="840"/>
      <c r="AI85" s="840"/>
      <c r="AJ85" s="840"/>
      <c r="AK85" s="840"/>
      <c r="AL85" s="840"/>
      <c r="AM85" s="840"/>
      <c r="AN85" s="840"/>
      <c r="AO85" s="840"/>
      <c r="AP85" s="840"/>
      <c r="AQ85" s="840"/>
      <c r="AR85" s="840"/>
      <c r="AS85" s="840"/>
      <c r="AT85" s="840"/>
      <c r="AU85" s="840"/>
      <c r="AV85" s="1067"/>
      <c r="AW85" s="1067"/>
      <c r="AX85" s="1067"/>
      <c r="AY85" s="1067"/>
      <c r="AZ85" s="1067"/>
      <c r="BA85" s="1067"/>
      <c r="BB85" s="1067"/>
      <c r="BC85" s="1067"/>
      <c r="BD85" s="1067"/>
      <c r="BE85" s="1067"/>
      <c r="BF85" s="1067"/>
      <c r="BG85" s="1067"/>
      <c r="BH85" s="1067"/>
      <c r="BI85" s="1067"/>
      <c r="BJ85" s="1067"/>
      <c r="BK85" s="1067"/>
      <c r="BL85" s="1067"/>
      <c r="BM85" s="1067"/>
      <c r="BN85" s="1067"/>
      <c r="BO85" s="1067"/>
      <c r="BP85" s="1067"/>
      <c r="BQ85" s="1067"/>
      <c r="BR85" s="1067"/>
      <c r="BS85" s="1067"/>
      <c r="BT85" s="1067"/>
      <c r="BU85" s="1067"/>
      <c r="BV85" s="1386"/>
      <c r="BW85" s="1511"/>
      <c r="BX85" s="1386"/>
      <c r="BY85" s="1386"/>
      <c r="BZ85" s="1386"/>
      <c r="CA85" s="1386"/>
      <c r="CB85" s="1386"/>
      <c r="CC85" s="1386"/>
      <c r="CD85" s="1067"/>
    </row>
    <row r="86" spans="1:82" ht="12.75" hidden="1" customHeight="1" x14ac:dyDescent="0.2">
      <c r="A86" s="2384"/>
      <c r="B86" s="2073"/>
      <c r="C86" s="43"/>
      <c r="D86" s="43" t="e">
        <f t="shared" si="15"/>
        <v>#N/A</v>
      </c>
      <c r="E86" s="80">
        <v>1</v>
      </c>
      <c r="F86" s="1447" t="e">
        <f t="shared" si="16"/>
        <v>#N/A</v>
      </c>
      <c r="G86" s="1520"/>
      <c r="H86" s="723" t="e">
        <f t="shared" si="17"/>
        <v>#N/A</v>
      </c>
      <c r="I86" s="2416"/>
      <c r="J86" s="782"/>
      <c r="K86" s="782"/>
      <c r="L86" s="881"/>
      <c r="M86" s="881"/>
      <c r="N86" s="881"/>
      <c r="O86" s="881"/>
      <c r="P86" s="881"/>
      <c r="Q86" s="881"/>
      <c r="R86" s="881"/>
      <c r="S86" s="881"/>
      <c r="T86" s="881"/>
      <c r="U86" s="840"/>
      <c r="V86" s="840"/>
      <c r="W86" s="840"/>
      <c r="X86" s="840"/>
      <c r="Y86" s="840"/>
      <c r="Z86" s="879"/>
      <c r="AA86" s="879"/>
      <c r="AB86" s="879"/>
      <c r="AC86" s="879"/>
      <c r="AD86" s="840"/>
      <c r="AE86" s="840"/>
      <c r="AF86" s="840"/>
      <c r="BE86" s="1067"/>
      <c r="BF86" s="1067"/>
      <c r="BG86" s="1067"/>
      <c r="BH86" s="1067"/>
      <c r="BI86" s="1067"/>
      <c r="BJ86" s="1067"/>
      <c r="BK86" s="1067"/>
      <c r="BL86" s="1067"/>
      <c r="BM86" s="1067"/>
      <c r="BN86" s="1067"/>
      <c r="BO86" s="1067"/>
      <c r="BP86" s="1067"/>
      <c r="BQ86" s="1067"/>
      <c r="BR86" s="1067"/>
      <c r="BS86" s="1067"/>
      <c r="BT86" s="1067"/>
      <c r="BU86" s="1067"/>
      <c r="BV86" s="1386"/>
      <c r="BW86" s="1511"/>
      <c r="BX86" s="1386"/>
      <c r="BY86" s="1386"/>
      <c r="BZ86" s="1386"/>
      <c r="CA86" s="1386"/>
      <c r="CB86" s="1386"/>
      <c r="CC86" s="1386"/>
      <c r="CD86" s="1067"/>
    </row>
    <row r="87" spans="1:82" ht="12.75" hidden="1" customHeight="1" x14ac:dyDescent="0.2">
      <c r="A87" s="2384"/>
      <c r="B87" s="2073"/>
      <c r="C87" s="43"/>
      <c r="D87" s="43" t="e">
        <f t="shared" si="15"/>
        <v>#N/A</v>
      </c>
      <c r="E87" s="80">
        <v>1</v>
      </c>
      <c r="F87" s="1447" t="e">
        <f t="shared" si="16"/>
        <v>#N/A</v>
      </c>
      <c r="G87" s="1520"/>
      <c r="H87" s="723" t="e">
        <f t="shared" si="17"/>
        <v>#N/A</v>
      </c>
      <c r="I87" s="2416"/>
      <c r="J87" s="782"/>
      <c r="K87" s="782"/>
      <c r="L87" s="881"/>
      <c r="M87" s="881"/>
      <c r="N87" s="881"/>
      <c r="O87" s="881"/>
      <c r="P87" s="881"/>
      <c r="Q87" s="881"/>
      <c r="R87" s="881"/>
      <c r="S87" s="881"/>
      <c r="T87" s="881"/>
      <c r="U87" s="840"/>
      <c r="V87" s="840"/>
      <c r="W87" s="840"/>
      <c r="X87" s="840"/>
      <c r="Y87" s="840"/>
      <c r="Z87" s="879"/>
      <c r="AA87" s="879"/>
      <c r="AB87" s="879"/>
      <c r="AC87" s="879"/>
      <c r="AD87" s="840"/>
      <c r="AE87" s="840"/>
      <c r="AF87" s="840"/>
      <c r="BE87" s="1067"/>
      <c r="BF87" s="1067"/>
      <c r="BG87" s="1067"/>
      <c r="BH87" s="1067"/>
      <c r="BI87" s="1067"/>
      <c r="BJ87" s="1067"/>
      <c r="BK87" s="1067"/>
      <c r="BL87" s="1067"/>
      <c r="BM87" s="1067"/>
      <c r="BN87" s="1067"/>
      <c r="BO87" s="1067"/>
      <c r="BP87" s="1067"/>
      <c r="BQ87" s="1067"/>
      <c r="BR87" s="1067"/>
      <c r="BS87" s="1067"/>
      <c r="BT87" s="1067"/>
      <c r="BU87" s="1067"/>
      <c r="BV87" s="1386"/>
      <c r="BW87" s="1511"/>
      <c r="BX87" s="1386"/>
      <c r="BY87" s="1386"/>
      <c r="BZ87" s="1386"/>
      <c r="CA87" s="1386"/>
      <c r="CB87" s="1386"/>
      <c r="CC87" s="1386"/>
      <c r="CD87" s="1067"/>
    </row>
    <row r="88" spans="1:82" ht="12.75" hidden="1" customHeight="1" x14ac:dyDescent="0.2">
      <c r="A88" s="2384"/>
      <c r="B88" s="2073"/>
      <c r="C88" s="724"/>
      <c r="D88" s="43" t="e">
        <f t="shared" si="15"/>
        <v>#N/A</v>
      </c>
      <c r="E88" s="80">
        <v>1</v>
      </c>
      <c r="F88" s="1447" t="e">
        <f t="shared" si="16"/>
        <v>#N/A</v>
      </c>
      <c r="G88" s="1520"/>
      <c r="H88" s="723" t="e">
        <f t="shared" si="17"/>
        <v>#N/A</v>
      </c>
      <c r="I88" s="2416"/>
      <c r="J88" s="782"/>
      <c r="K88" s="782"/>
      <c r="L88" s="881"/>
      <c r="M88" s="881"/>
      <c r="N88" s="881"/>
      <c r="O88" s="881"/>
      <c r="P88" s="881"/>
      <c r="Q88" s="881"/>
      <c r="R88" s="881"/>
      <c r="S88" s="881"/>
      <c r="T88" s="881"/>
      <c r="U88" s="840"/>
      <c r="V88" s="840"/>
      <c r="W88" s="840"/>
      <c r="X88" s="840"/>
      <c r="Y88" s="840"/>
      <c r="Z88" s="879"/>
      <c r="AA88" s="879"/>
      <c r="AB88" s="879"/>
      <c r="AC88" s="879"/>
      <c r="AD88" s="840"/>
      <c r="AE88" s="840"/>
      <c r="AF88" s="840"/>
      <c r="BE88" s="1067"/>
      <c r="BF88" s="1067"/>
      <c r="BG88" s="1067"/>
      <c r="BH88" s="1067"/>
      <c r="BI88" s="1067"/>
      <c r="BJ88" s="1067"/>
      <c r="BK88" s="1067"/>
      <c r="BL88" s="1067"/>
      <c r="BM88" s="1067"/>
      <c r="BN88" s="1067"/>
      <c r="BO88" s="1067"/>
      <c r="BP88" s="1067"/>
      <c r="BQ88" s="1067"/>
      <c r="BR88" s="1067"/>
      <c r="BS88" s="1067"/>
      <c r="BT88" s="1067"/>
      <c r="BU88" s="1067"/>
      <c r="BV88" s="1386"/>
      <c r="BW88" s="1511"/>
      <c r="BX88" s="1386"/>
      <c r="BY88" s="1386"/>
      <c r="BZ88" s="1386"/>
      <c r="CA88" s="1386"/>
      <c r="CB88" s="1386"/>
      <c r="CC88" s="1386"/>
      <c r="CD88" s="1067"/>
    </row>
    <row r="89" spans="1:82" ht="12.75" hidden="1" customHeight="1" x14ac:dyDescent="0.2">
      <c r="A89" s="860"/>
      <c r="B89" s="2073"/>
      <c r="C89" s="724"/>
      <c r="D89" s="43" t="e">
        <f t="shared" si="15"/>
        <v>#N/A</v>
      </c>
      <c r="E89" s="80">
        <v>1</v>
      </c>
      <c r="F89" s="1447" t="e">
        <f t="shared" si="16"/>
        <v>#N/A</v>
      </c>
      <c r="G89" s="1520"/>
      <c r="H89" s="723" t="e">
        <f t="shared" si="17"/>
        <v>#N/A</v>
      </c>
      <c r="I89" s="2416"/>
      <c r="J89" s="782"/>
      <c r="K89" s="782"/>
      <c r="L89" s="881"/>
      <c r="M89" s="881"/>
      <c r="N89" s="881"/>
      <c r="O89" s="881"/>
      <c r="P89" s="881"/>
      <c r="Q89" s="881"/>
      <c r="R89" s="881"/>
      <c r="S89" s="881"/>
      <c r="T89" s="881"/>
      <c r="U89" s="840"/>
      <c r="V89" s="840"/>
      <c r="W89" s="840"/>
      <c r="X89" s="840"/>
      <c r="Y89" s="840"/>
      <c r="Z89" s="879"/>
      <c r="AA89" s="879"/>
      <c r="AB89" s="879"/>
      <c r="AC89" s="879"/>
      <c r="AD89" s="840"/>
      <c r="AE89" s="840"/>
      <c r="AF89" s="840"/>
      <c r="BE89" s="1067"/>
      <c r="BF89" s="1067"/>
      <c r="BG89" s="1067"/>
      <c r="BH89" s="1067"/>
      <c r="BI89" s="1067"/>
      <c r="BJ89" s="1067"/>
      <c r="BK89" s="1067"/>
      <c r="BL89" s="1067"/>
      <c r="BM89" s="1067"/>
      <c r="BN89" s="1067"/>
      <c r="BO89" s="1067"/>
      <c r="BP89" s="1067"/>
      <c r="BQ89" s="1067"/>
      <c r="BR89" s="1067"/>
      <c r="BS89" s="1067"/>
      <c r="BT89" s="1067"/>
      <c r="BU89" s="1067"/>
      <c r="BV89" s="1386"/>
      <c r="BW89" s="1511"/>
      <c r="BX89" s="1386"/>
      <c r="BY89" s="1386"/>
      <c r="BZ89" s="1386"/>
      <c r="CA89" s="1386"/>
      <c r="CB89" s="1386"/>
      <c r="CC89" s="1386"/>
      <c r="CD89" s="1067"/>
    </row>
    <row r="90" spans="1:82" ht="12.75" hidden="1" customHeight="1" x14ac:dyDescent="0.2">
      <c r="A90" s="843"/>
      <c r="B90" s="2073"/>
      <c r="C90" s="71"/>
      <c r="D90" s="43" t="e">
        <f t="shared" si="15"/>
        <v>#N/A</v>
      </c>
      <c r="E90" s="80">
        <v>1</v>
      </c>
      <c r="F90" s="1447" t="e">
        <f t="shared" si="16"/>
        <v>#N/A</v>
      </c>
      <c r="G90" s="1520"/>
      <c r="H90" s="723" t="e">
        <f t="shared" si="17"/>
        <v>#N/A</v>
      </c>
      <c r="I90" s="2416"/>
      <c r="J90" s="782"/>
      <c r="K90" s="782"/>
      <c r="L90" s="881"/>
      <c r="M90" s="881"/>
      <c r="N90" s="881"/>
      <c r="O90" s="881"/>
      <c r="P90" s="881"/>
      <c r="Q90" s="881"/>
      <c r="R90" s="881"/>
      <c r="S90" s="881"/>
      <c r="T90" s="881"/>
      <c r="U90" s="840"/>
      <c r="V90" s="840"/>
      <c r="W90" s="840"/>
      <c r="X90" s="840"/>
      <c r="Y90" s="840"/>
      <c r="Z90" s="879"/>
      <c r="AA90" s="879"/>
      <c r="AB90" s="879"/>
      <c r="AC90" s="879"/>
      <c r="AD90" s="840"/>
      <c r="AE90" s="840"/>
      <c r="AF90" s="840"/>
      <c r="BE90" s="1067"/>
      <c r="BF90" s="1067"/>
      <c r="BG90" s="1067"/>
      <c r="BH90" s="1067"/>
      <c r="BI90" s="1067"/>
      <c r="BJ90" s="1067"/>
      <c r="BK90" s="1067"/>
      <c r="BL90" s="1067"/>
      <c r="BM90" s="1067"/>
      <c r="BN90" s="1067"/>
      <c r="BO90" s="1067"/>
      <c r="BP90" s="1067"/>
      <c r="BQ90" s="1067"/>
      <c r="BR90" s="1067"/>
      <c r="BS90" s="1067"/>
      <c r="BT90" s="1067"/>
      <c r="BU90" s="1067"/>
      <c r="BV90" s="1386"/>
      <c r="BW90" s="1511"/>
      <c r="BX90" s="1386"/>
      <c r="BY90" s="1386"/>
      <c r="BZ90" s="1386"/>
      <c r="CA90" s="1386"/>
      <c r="CB90" s="1386"/>
      <c r="CC90" s="1386"/>
      <c r="CD90" s="1067"/>
    </row>
    <row r="91" spans="1:82" ht="12.75" hidden="1" customHeight="1" thickBot="1" x14ac:dyDescent="0.25">
      <c r="B91" s="2074"/>
      <c r="C91" s="353"/>
      <c r="D91" s="404" t="e">
        <f t="shared" si="15"/>
        <v>#N/A</v>
      </c>
      <c r="E91" s="381">
        <v>1</v>
      </c>
      <c r="F91" s="1448" t="e">
        <f t="shared" si="16"/>
        <v>#N/A</v>
      </c>
      <c r="G91" s="1521"/>
      <c r="H91" s="726" t="e">
        <f t="shared" si="17"/>
        <v>#N/A</v>
      </c>
      <c r="I91" s="2417"/>
      <c r="J91" s="782"/>
      <c r="K91" s="782"/>
      <c r="L91" s="881"/>
      <c r="M91" s="881"/>
      <c r="N91" s="881"/>
      <c r="O91" s="881"/>
      <c r="P91" s="881"/>
      <c r="Q91" s="881"/>
      <c r="R91" s="881"/>
      <c r="S91" s="881"/>
      <c r="T91" s="881"/>
      <c r="U91" s="840"/>
      <c r="V91" s="840"/>
      <c r="W91" s="840"/>
      <c r="X91" s="840"/>
      <c r="Y91" s="840"/>
      <c r="Z91" s="879"/>
      <c r="AA91" s="879"/>
      <c r="AB91" s="879"/>
      <c r="AC91" s="879"/>
      <c r="AD91" s="840"/>
      <c r="AE91" s="840"/>
      <c r="AF91" s="840"/>
      <c r="BE91" s="1067"/>
      <c r="BF91" s="1067"/>
      <c r="BG91" s="1067"/>
      <c r="BH91" s="1067"/>
      <c r="BI91" s="1067"/>
      <c r="BJ91" s="1067"/>
      <c r="BK91" s="1067"/>
      <c r="BL91" s="1067"/>
      <c r="BM91" s="1067"/>
      <c r="BN91" s="1067"/>
      <c r="BO91" s="1067"/>
      <c r="BP91" s="1067"/>
      <c r="BQ91" s="1067"/>
      <c r="BR91" s="1067"/>
      <c r="BS91" s="1067"/>
      <c r="BT91" s="1067"/>
      <c r="BU91" s="1067"/>
      <c r="BV91" s="1386"/>
      <c r="BW91" s="1511"/>
      <c r="BX91" s="1386"/>
      <c r="BY91" s="1386"/>
      <c r="BZ91" s="1386"/>
      <c r="CA91" s="1386"/>
      <c r="CB91" s="1386"/>
      <c r="CC91" s="1386"/>
      <c r="CD91" s="1067"/>
    </row>
    <row r="92" spans="1:82" ht="8.1" hidden="1" customHeight="1" x14ac:dyDescent="0.2">
      <c r="B92" s="8"/>
      <c r="C92" s="8"/>
      <c r="D92" s="8"/>
      <c r="E92" s="841"/>
      <c r="F92" s="1441"/>
      <c r="G92" s="1441"/>
      <c r="H92" s="37"/>
      <c r="I92" s="35"/>
      <c r="K92" s="782"/>
      <c r="L92" s="881"/>
      <c r="M92" s="881"/>
      <c r="N92" s="881"/>
      <c r="O92" s="881"/>
      <c r="P92" s="881"/>
      <c r="Q92" s="881"/>
      <c r="R92" s="881"/>
      <c r="S92" s="881"/>
      <c r="T92" s="881"/>
      <c r="U92" s="840"/>
      <c r="V92" s="840"/>
      <c r="W92" s="840"/>
      <c r="X92" s="840"/>
      <c r="Y92" s="840"/>
      <c r="Z92" s="879"/>
      <c r="AA92" s="879"/>
      <c r="AB92" s="879"/>
      <c r="AC92" s="879"/>
      <c r="AD92" s="840"/>
      <c r="AE92" s="840"/>
      <c r="AF92" s="840"/>
      <c r="BE92" s="1067"/>
      <c r="BF92" s="1067"/>
      <c r="BG92" s="1067"/>
      <c r="BH92" s="1067"/>
      <c r="BI92" s="1067"/>
      <c r="BJ92" s="1067"/>
      <c r="BK92" s="1067"/>
      <c r="BL92" s="1067"/>
      <c r="BM92" s="1067"/>
      <c r="BN92" s="1067"/>
      <c r="BO92" s="1067"/>
      <c r="BP92" s="1067"/>
      <c r="BQ92" s="1067"/>
      <c r="BR92" s="1067"/>
      <c r="BS92" s="1067"/>
      <c r="BT92" s="1067"/>
      <c r="BU92" s="1067"/>
      <c r="BV92" s="1386"/>
      <c r="BW92" s="1511"/>
      <c r="BX92" s="1386"/>
      <c r="BY92" s="1386"/>
      <c r="BZ92" s="1386"/>
      <c r="CA92" s="1386"/>
      <c r="CB92" s="1386"/>
      <c r="CC92" s="1386"/>
      <c r="CD92" s="1067"/>
    </row>
    <row r="93" spans="1:82" ht="20.100000000000001" customHeight="1" x14ac:dyDescent="0.2">
      <c r="A93" s="843"/>
      <c r="B93" s="2393" t="s">
        <v>2353</v>
      </c>
      <c r="C93" s="2394"/>
      <c r="D93" s="2394"/>
      <c r="E93" s="2394"/>
      <c r="F93" s="2394"/>
      <c r="G93" s="2394"/>
      <c r="H93" s="2394"/>
      <c r="I93" s="1577"/>
      <c r="L93" s="881"/>
      <c r="M93" s="881"/>
      <c r="N93" s="881"/>
      <c r="O93" s="881"/>
      <c r="P93" s="881"/>
      <c r="Q93" s="881"/>
      <c r="R93" s="881"/>
      <c r="S93" s="881"/>
      <c r="T93" s="881"/>
      <c r="U93" s="840"/>
      <c r="V93" s="840"/>
      <c r="W93" s="840"/>
      <c r="X93" s="840"/>
      <c r="Y93" s="840"/>
      <c r="Z93" s="879"/>
      <c r="AA93" s="879"/>
      <c r="AB93" s="879"/>
      <c r="AC93" s="879"/>
      <c r="AD93" s="840"/>
      <c r="AE93" s="840"/>
      <c r="AF93" s="840"/>
      <c r="BE93" s="1067"/>
      <c r="BF93" s="1067"/>
      <c r="BG93" s="1067"/>
      <c r="BH93" s="1067"/>
      <c r="BI93" s="1067"/>
      <c r="BJ93" s="1067"/>
      <c r="BK93" s="1067"/>
      <c r="BL93" s="1067"/>
      <c r="BM93" s="1067"/>
      <c r="BN93" s="1067"/>
      <c r="BO93" s="1067"/>
      <c r="BP93" s="1067"/>
      <c r="BQ93" s="1067"/>
      <c r="BR93" s="1067"/>
      <c r="BS93" s="1067"/>
      <c r="BT93" s="1067"/>
      <c r="BU93" s="1067"/>
      <c r="BV93" s="1386"/>
      <c r="BW93" s="1511"/>
      <c r="BX93" s="1386"/>
      <c r="BY93" s="1386"/>
      <c r="BZ93" s="1386"/>
      <c r="CA93" s="1386"/>
      <c r="CB93" s="1386"/>
      <c r="CC93" s="1386"/>
      <c r="CD93" s="1067"/>
    </row>
    <row r="94" spans="1:82" ht="20.100000000000001" customHeight="1" thickBot="1" x14ac:dyDescent="0.25">
      <c r="A94" s="843"/>
      <c r="B94" s="2396"/>
      <c r="C94" s="2396"/>
      <c r="D94" s="2396"/>
      <c r="E94" s="2396"/>
      <c r="F94" s="2396"/>
      <c r="G94" s="2396"/>
      <c r="H94" s="2396"/>
      <c r="I94" s="688" t="str">
        <f>CONCATENATE("C",$C$96,$D$3)</f>
        <v>C500БЕЛЫЙ ШЕЛК - матовый</v>
      </c>
      <c r="L94" s="771"/>
      <c r="M94" s="771"/>
      <c r="N94" s="771"/>
      <c r="O94" s="771"/>
      <c r="P94" s="771"/>
      <c r="Q94" s="771"/>
      <c r="R94" s="771"/>
      <c r="S94" s="771"/>
      <c r="T94" s="771"/>
      <c r="U94" s="771"/>
      <c r="V94" s="771"/>
      <c r="W94" s="771"/>
      <c r="X94" s="771"/>
      <c r="Y94" s="771"/>
      <c r="Z94" s="771"/>
      <c r="AA94" s="771"/>
      <c r="AB94" s="771"/>
      <c r="AC94" s="771"/>
      <c r="AD94" s="771"/>
      <c r="AE94" s="771"/>
      <c r="AF94" s="771"/>
      <c r="BE94" s="1067"/>
      <c r="BF94" s="1067"/>
      <c r="BG94" s="1067"/>
      <c r="BH94" s="1067"/>
      <c r="BI94" s="1067"/>
      <c r="BJ94" s="1067"/>
      <c r="BK94" s="1067"/>
      <c r="BL94" s="1067"/>
      <c r="BM94" s="1067"/>
      <c r="BN94" s="1067"/>
      <c r="BO94" s="1067"/>
      <c r="BP94" s="1067"/>
      <c r="BQ94" s="1067"/>
      <c r="BR94" s="1067"/>
      <c r="BS94" s="1067"/>
      <c r="BT94" s="1067"/>
      <c r="BU94" s="1067"/>
      <c r="BV94" s="1386"/>
      <c r="BW94" s="1511"/>
      <c r="BX94" s="1386"/>
      <c r="BY94" s="1386"/>
      <c r="BZ94" s="1386"/>
      <c r="CA94" s="1386"/>
      <c r="CB94" s="1386"/>
      <c r="CC94" s="1386"/>
      <c r="CD94" s="1067"/>
    </row>
    <row r="95" spans="1:82" ht="15" customHeight="1" x14ac:dyDescent="0.2">
      <c r="A95" s="843"/>
      <c r="B95" s="1524" t="str">
        <f>IF($D$3="БЕЛЫЙ ШЕЛК - матовый","270,300,350,400,450,500мм","270,350,400,450,500мм")</f>
        <v>270,300,350,400,450,500мм</v>
      </c>
      <c r="C95" s="1535" t="str">
        <f>IF(OR(D4="Промышленная",D4="Торговая"),"",IFERROR(VLOOKUP(I94,Индивидуальная,2,FALSE),""))</f>
        <v/>
      </c>
      <c r="D95" s="1525"/>
      <c r="E95" s="719"/>
      <c r="F95" s="1445"/>
      <c r="G95" s="1445"/>
      <c r="H95" s="720"/>
      <c r="I95" s="721"/>
      <c r="L95" s="771"/>
      <c r="M95" s="771"/>
      <c r="N95" s="771"/>
      <c r="O95" s="771"/>
      <c r="P95" s="771"/>
      <c r="Q95" s="771"/>
      <c r="R95" s="771"/>
      <c r="S95" s="771"/>
      <c r="T95" s="771"/>
      <c r="U95" s="771"/>
      <c r="V95" s="771"/>
      <c r="W95" s="771"/>
      <c r="X95" s="771"/>
      <c r="Y95" s="771"/>
      <c r="Z95" s="771"/>
      <c r="AA95" s="771"/>
      <c r="AB95" s="771"/>
      <c r="AC95" s="771"/>
      <c r="AD95" s="771"/>
      <c r="AE95" s="771"/>
      <c r="AF95" s="771"/>
      <c r="BE95" s="1067"/>
      <c r="BF95" s="1067"/>
      <c r="BG95" s="1067"/>
      <c r="BH95" s="1067"/>
      <c r="BI95" s="1067"/>
      <c r="BJ95" s="1067"/>
      <c r="BK95" s="1067"/>
      <c r="BL95" s="1067"/>
      <c r="BM95" s="1067"/>
      <c r="BN95" s="1067"/>
      <c r="BO95" s="1067"/>
      <c r="BP95" s="1067"/>
      <c r="BQ95" s="1067"/>
      <c r="BR95" s="1067"/>
      <c r="BS95" s="1067"/>
      <c r="BT95" s="1855"/>
      <c r="BU95" s="1855"/>
      <c r="BV95" s="1855"/>
      <c r="BW95" s="1855"/>
      <c r="BX95" s="1855"/>
      <c r="BY95" s="1855"/>
      <c r="BZ95" s="1855"/>
      <c r="CA95" s="1855"/>
      <c r="CB95" s="1855"/>
      <c r="CC95" s="1855"/>
      <c r="CD95" s="1855"/>
    </row>
    <row r="96" spans="1:82" ht="15.75" customHeight="1" thickBot="1" x14ac:dyDescent="0.25">
      <c r="A96" s="843"/>
      <c r="B96" s="844" t="s">
        <v>1639</v>
      </c>
      <c r="C96" s="850">
        <v>500</v>
      </c>
      <c r="D96" s="867" t="s">
        <v>1689</v>
      </c>
      <c r="E96" s="867"/>
      <c r="F96" s="1446"/>
      <c r="G96" s="1519"/>
      <c r="H96" s="868"/>
      <c r="I96" s="2388" t="str">
        <f>IF(СОДЕРЖАНИЕ!P2=1,"EUR","RUB")</f>
        <v>RUB</v>
      </c>
      <c r="L96" s="771"/>
      <c r="M96" s="771"/>
      <c r="N96" s="771"/>
      <c r="O96" s="771"/>
      <c r="P96" s="771"/>
      <c r="Q96" s="771"/>
      <c r="R96" s="771"/>
      <c r="S96" s="771"/>
      <c r="T96" s="771"/>
      <c r="U96" s="771"/>
      <c r="V96" s="771"/>
      <c r="W96" s="771"/>
      <c r="X96" s="771"/>
      <c r="Y96" s="771"/>
      <c r="Z96" s="771"/>
      <c r="AA96" s="771"/>
      <c r="AB96" s="771"/>
      <c r="AC96" s="771"/>
      <c r="AD96" s="771"/>
      <c r="AE96" s="771"/>
      <c r="AF96" s="771"/>
      <c r="BE96" s="1067"/>
      <c r="BF96" s="1067"/>
      <c r="BG96" s="1067"/>
      <c r="BH96" s="1067"/>
      <c r="BI96" s="1067"/>
      <c r="BJ96" s="1067"/>
      <c r="BK96" s="1067"/>
      <c r="BL96" s="1067"/>
      <c r="BM96" s="1067"/>
      <c r="BN96" s="1067"/>
      <c r="BO96" s="1067"/>
      <c r="BP96" s="1067"/>
      <c r="BQ96" s="1067"/>
      <c r="BR96" s="1067"/>
      <c r="BS96" s="1067"/>
      <c r="BT96" s="1067"/>
      <c r="BU96" s="1067"/>
      <c r="BV96" s="1386"/>
      <c r="BW96" s="1511"/>
      <c r="BX96" s="1386"/>
      <c r="BY96" s="1386"/>
      <c r="BZ96" s="1386"/>
      <c r="CA96" s="1386"/>
      <c r="CB96" s="1386"/>
      <c r="CC96" s="1386"/>
      <c r="CD96" s="1067"/>
    </row>
    <row r="97" spans="1:82" ht="9" customHeight="1" x14ac:dyDescent="0.2">
      <c r="A97" s="843"/>
      <c r="B97" s="2072"/>
      <c r="C97" s="135" t="s">
        <v>1301</v>
      </c>
      <c r="D97" s="139" t="s">
        <v>784</v>
      </c>
      <c r="E97" s="140" t="s">
        <v>2117</v>
      </c>
      <c r="F97" s="1440"/>
      <c r="G97" s="1456" t="s">
        <v>4335</v>
      </c>
      <c r="H97" s="178" t="s">
        <v>2116</v>
      </c>
      <c r="I97" s="2389"/>
      <c r="L97" s="881"/>
      <c r="M97" s="2398" t="str">
        <f>$D$3</f>
        <v>БЕЛЫЙ ШЕЛК - матовый</v>
      </c>
      <c r="N97" s="2399"/>
      <c r="O97" s="2399"/>
      <c r="P97" s="2399"/>
      <c r="Q97" s="2399"/>
      <c r="R97" s="2399"/>
      <c r="S97" s="2399"/>
      <c r="T97" s="2400"/>
      <c r="U97" s="840"/>
      <c r="V97" s="2409" t="str">
        <f>V26</f>
        <v>ORION матово-серый</v>
      </c>
      <c r="W97" s="2410"/>
      <c r="X97" s="2410"/>
      <c r="Y97" s="2410"/>
      <c r="Z97" s="2410"/>
      <c r="AA97" s="2410"/>
      <c r="AB97" s="2410"/>
      <c r="AC97" s="2411"/>
      <c r="AE97" s="2408" t="str">
        <f>AE26</f>
        <v>БЕЛЫЙ ШЕЛК - матовый</v>
      </c>
      <c r="AF97" s="2408"/>
      <c r="AG97" s="2408"/>
      <c r="AH97" s="2408"/>
      <c r="AI97" s="2408"/>
      <c r="AJ97" s="2408"/>
      <c r="AK97" s="2408"/>
      <c r="AL97" s="2408"/>
      <c r="AM97" s="8"/>
      <c r="AN97" s="2427" t="str">
        <f>AN26</f>
        <v>ТЕРРА ЧЕРНЫЙ - матовый</v>
      </c>
      <c r="AO97" s="2428"/>
      <c r="AP97" s="2428"/>
      <c r="AQ97" s="2428"/>
      <c r="AR97" s="2428"/>
      <c r="AS97" s="2428"/>
      <c r="AT97" s="2428"/>
      <c r="AU97" s="2428"/>
      <c r="AV97" s="8"/>
      <c r="AW97" s="2425" t="str">
        <f>AW26</f>
        <v>Гавана Коричневый</v>
      </c>
      <c r="AX97" s="2426"/>
      <c r="AY97" s="2426"/>
      <c r="AZ97" s="2426"/>
      <c r="BA97" s="2426"/>
      <c r="BB97" s="2426"/>
      <c r="BC97" s="2426"/>
      <c r="BD97" s="2426"/>
      <c r="BE97" s="1067"/>
      <c r="BF97" s="1067"/>
      <c r="BG97" s="1067"/>
      <c r="BH97" s="1067"/>
      <c r="BI97" s="1067"/>
      <c r="BJ97" s="1067"/>
      <c r="BK97" s="1067"/>
      <c r="BL97" s="1067"/>
      <c r="BM97" s="1067"/>
      <c r="BN97" s="1067"/>
      <c r="BO97" s="1067"/>
      <c r="BP97" s="1067"/>
      <c r="BQ97" s="1067"/>
      <c r="BR97" s="1067"/>
      <c r="BS97" s="1067"/>
      <c r="BT97" s="1067"/>
      <c r="BU97" s="1067"/>
      <c r="BV97" s="1386"/>
      <c r="BW97" s="1511"/>
      <c r="BX97" s="1386"/>
      <c r="BY97" s="1386"/>
      <c r="BZ97" s="1386"/>
      <c r="CA97" s="1386"/>
      <c r="CB97" s="1386"/>
      <c r="CC97" s="1386"/>
      <c r="CD97" s="1067"/>
    </row>
    <row r="98" spans="1:82" ht="12.75" customHeight="1" x14ac:dyDescent="0.2">
      <c r="A98" s="2384"/>
      <c r="B98" s="2073"/>
      <c r="C98" s="701" t="s">
        <v>2327</v>
      </c>
      <c r="D98" s="43" t="str">
        <f t="shared" ref="D98:D100" si="18">VLOOKUP(C98,всецены,2,FALSE)</f>
        <v xml:space="preserve">LBX, Крепление фасада С, EXPANDO, симм  </v>
      </c>
      <c r="E98" s="80">
        <v>2</v>
      </c>
      <c r="F98" s="1459">
        <f t="shared" ref="F98:F105" si="19">VLOOKUP(C98,всецены,4,FALSE)</f>
        <v>51.232381200000006</v>
      </c>
      <c r="G98" s="1518">
        <f>F98</f>
        <v>51.232381200000006</v>
      </c>
      <c r="H98" s="1455">
        <f>G98*E98</f>
        <v>102.46476240000001</v>
      </c>
      <c r="I98" s="2405">
        <f>IF(C95="",SUM(H98:H106),VLOOKUP(C95,всецены,4,FALSE))</f>
        <v>3195.9247320000004</v>
      </c>
      <c r="L98" s="771"/>
      <c r="M98" s="771"/>
      <c r="N98" s="771"/>
      <c r="O98" s="771"/>
      <c r="P98" s="771"/>
      <c r="Q98" s="771"/>
      <c r="R98" s="771"/>
      <c r="S98" s="771"/>
      <c r="T98" s="771"/>
      <c r="U98" s="771"/>
      <c r="V98" s="771"/>
      <c r="W98" s="771"/>
      <c r="X98" s="771"/>
      <c r="Y98" s="771"/>
      <c r="Z98" s="771"/>
      <c r="AA98" s="771"/>
      <c r="AB98" s="771"/>
      <c r="AC98" s="771"/>
      <c r="AD98" s="771"/>
      <c r="AE98" s="771"/>
      <c r="AF98" s="771"/>
      <c r="BE98" s="1067"/>
      <c r="BF98" s="1067"/>
      <c r="BG98" s="1067"/>
      <c r="BH98" s="1067"/>
      <c r="BI98" s="1067"/>
      <c r="BJ98" s="1067"/>
      <c r="BK98" s="1067"/>
      <c r="BL98" s="1067"/>
      <c r="BM98" s="1067"/>
      <c r="BN98" s="1067"/>
      <c r="BO98" s="1067"/>
      <c r="BP98" s="1067"/>
      <c r="BQ98" s="1067"/>
      <c r="BR98" s="1067"/>
      <c r="BS98" s="1067"/>
      <c r="BT98" s="1067"/>
      <c r="BU98" s="1067"/>
      <c r="BV98" s="1386"/>
      <c r="BW98" s="1511"/>
      <c r="CD98" s="1067"/>
    </row>
    <row r="99" spans="1:82" ht="12.75" customHeight="1" x14ac:dyDescent="0.2">
      <c r="A99" s="2384"/>
      <c r="B99" s="2073"/>
      <c r="C99" s="1096" t="str">
        <f>VLOOKUP($D$3,LBX.C,8,FALSE)</f>
        <v>3326679/</v>
      </c>
      <c r="D99" s="43" t="str">
        <f t="shared" si="18"/>
        <v>LBX, Держат. задн. ст, 189 мм, бел, лев.</v>
      </c>
      <c r="E99" s="80">
        <v>1</v>
      </c>
      <c r="F99" s="1459">
        <f t="shared" si="19"/>
        <v>47.979531600000001</v>
      </c>
      <c r="G99" s="1518">
        <f t="shared" ref="G99:G106" si="20">F99</f>
        <v>47.979531600000001</v>
      </c>
      <c r="H99" s="723">
        <f t="shared" ref="H99:H106" si="21">G99*E99</f>
        <v>47.979531600000001</v>
      </c>
      <c r="I99" s="2386"/>
      <c r="L99" s="771"/>
      <c r="M99" s="771"/>
      <c r="N99" s="771"/>
      <c r="O99" s="771"/>
      <c r="P99" s="771"/>
      <c r="Q99" s="771"/>
      <c r="R99" s="771"/>
      <c r="S99" s="771"/>
      <c r="T99" s="771"/>
      <c r="U99" s="771"/>
      <c r="V99" s="771"/>
      <c r="W99" s="771"/>
      <c r="X99" s="771"/>
      <c r="Y99" s="771"/>
      <c r="Z99" s="771"/>
      <c r="AA99" s="771"/>
      <c r="AB99" s="771"/>
      <c r="AC99" s="771"/>
      <c r="AD99" s="771"/>
      <c r="AE99" s="771"/>
      <c r="AF99" s="771"/>
      <c r="BE99" s="1067"/>
      <c r="BF99" s="1067"/>
      <c r="BG99" s="1067"/>
      <c r="BH99" s="1067"/>
      <c r="BI99" s="1067"/>
      <c r="BJ99" s="1067"/>
      <c r="BK99" s="1067"/>
      <c r="BL99" s="1067"/>
      <c r="BM99" s="1067"/>
      <c r="BN99" s="1067"/>
      <c r="BO99" s="1067"/>
      <c r="BP99" s="1067"/>
      <c r="BQ99" s="1067"/>
      <c r="BR99" s="1067"/>
      <c r="BS99" s="1067"/>
      <c r="BT99" s="1067"/>
      <c r="BU99" s="1067"/>
      <c r="BV99" s="1386"/>
      <c r="BW99" s="1511"/>
      <c r="BX99" s="2423" t="s">
        <v>4420</v>
      </c>
      <c r="BY99" s="2423"/>
      <c r="CD99" s="1067"/>
    </row>
    <row r="100" spans="1:82" ht="12.75" customHeight="1" x14ac:dyDescent="0.2">
      <c r="A100" s="2384"/>
      <c r="B100" s="2073"/>
      <c r="C100" s="1096" t="str">
        <f>VLOOKUP($D$3,LBX.C,9,FALSE)</f>
        <v>4903108/</v>
      </c>
      <c r="D100" s="43" t="str">
        <f t="shared" si="18"/>
        <v>LBX, Держат. задн. ст, 189 мм, бел, прав</v>
      </c>
      <c r="E100" s="80">
        <v>1</v>
      </c>
      <c r="F100" s="1459">
        <f t="shared" si="19"/>
        <v>47.979531600000001</v>
      </c>
      <c r="G100" s="1518">
        <f t="shared" si="20"/>
        <v>47.979531600000001</v>
      </c>
      <c r="H100" s="723">
        <f t="shared" si="21"/>
        <v>47.979531600000001</v>
      </c>
      <c r="I100" s="2386"/>
      <c r="L100" s="106" t="s">
        <v>2355</v>
      </c>
      <c r="M100" s="884" t="s">
        <v>2396</v>
      </c>
      <c r="N100" s="884" t="s">
        <v>2396</v>
      </c>
      <c r="Q100" s="884" t="s">
        <v>2396</v>
      </c>
      <c r="R100" s="884" t="s">
        <v>2396</v>
      </c>
      <c r="S100" s="884" t="s">
        <v>2396</v>
      </c>
      <c r="T100" s="884" t="s">
        <v>2396</v>
      </c>
      <c r="U100" s="106" t="s">
        <v>2355</v>
      </c>
      <c r="V100" s="884" t="s">
        <v>2396</v>
      </c>
      <c r="W100" s="884" t="s">
        <v>2396</v>
      </c>
      <c r="Z100" s="884" t="s">
        <v>2396</v>
      </c>
      <c r="AA100" s="884" t="s">
        <v>2396</v>
      </c>
      <c r="AB100" s="884" t="s">
        <v>2396</v>
      </c>
      <c r="AC100" s="884" t="s">
        <v>2396</v>
      </c>
      <c r="AD100" s="106" t="s">
        <v>2355</v>
      </c>
      <c r="AE100" s="771" t="s">
        <v>2398</v>
      </c>
      <c r="AF100" s="771" t="s">
        <v>2398</v>
      </c>
      <c r="AG100" s="8"/>
      <c r="AH100" s="8"/>
      <c r="AI100" s="771" t="s">
        <v>2398</v>
      </c>
      <c r="AJ100" s="771" t="s">
        <v>2398</v>
      </c>
      <c r="AK100" s="771" t="s">
        <v>2398</v>
      </c>
      <c r="AL100" s="771" t="s">
        <v>2398</v>
      </c>
      <c r="AM100" s="106" t="s">
        <v>2355</v>
      </c>
      <c r="AN100" s="771" t="s">
        <v>2397</v>
      </c>
      <c r="AO100" s="771" t="s">
        <v>2397</v>
      </c>
      <c r="AP100" s="8"/>
      <c r="AQ100" s="8"/>
      <c r="AR100" s="771" t="s">
        <v>2397</v>
      </c>
      <c r="AS100" s="771" t="s">
        <v>2397</v>
      </c>
      <c r="AT100" s="771" t="s">
        <v>2397</v>
      </c>
      <c r="AU100" s="771" t="s">
        <v>2397</v>
      </c>
      <c r="AV100" s="106" t="s">
        <v>2355</v>
      </c>
      <c r="AW100" s="771" t="s">
        <v>2397</v>
      </c>
      <c r="AX100" s="771" t="s">
        <v>2397</v>
      </c>
      <c r="AY100" s="8"/>
      <c r="AZ100" s="8"/>
      <c r="BA100" s="771" t="s">
        <v>2397</v>
      </c>
      <c r="BB100" s="771" t="s">
        <v>2397</v>
      </c>
      <c r="BC100" s="771" t="s">
        <v>2397</v>
      </c>
      <c r="BD100" s="771" t="s">
        <v>2397</v>
      </c>
      <c r="BE100" s="1067"/>
      <c r="BF100" s="1067"/>
      <c r="BG100" s="771" t="s">
        <v>1344</v>
      </c>
      <c r="BP100" s="771" t="s">
        <v>3161</v>
      </c>
      <c r="BS100" s="1067"/>
      <c r="BT100" s="1067"/>
      <c r="BU100" s="1067"/>
      <c r="BV100" s="1386"/>
      <c r="BW100" s="1511"/>
      <c r="BX100" s="2424" t="s">
        <v>4489</v>
      </c>
      <c r="BY100" s="2424"/>
      <c r="CD100" s="1067"/>
    </row>
    <row r="101" spans="1:82" ht="12.75" customHeight="1" thickBot="1" x14ac:dyDescent="0.25">
      <c r="A101" s="2384"/>
      <c r="B101" s="2073"/>
      <c r="C101" s="1096" t="str">
        <f>IF(C106="","",IF(D4="торговая","",VLOOKUP($D$3,LBX.C,6,FALSE)))</f>
        <v>8322157/</v>
      </c>
      <c r="D101" s="43" t="str">
        <f>IF(C101="","",VLOOKUP(C101,всецены,2,FALSE))</f>
        <v xml:space="preserve">LBX, Загл, внутр, бел, симм (М,С,F)     </v>
      </c>
      <c r="E101" s="3">
        <f>IF(C101="",0,2)</f>
        <v>2</v>
      </c>
      <c r="F101" s="1457">
        <f>IF(C101="",0,VLOOKUP(C101,всецены,4,FALSE))</f>
        <v>8.9453364000000004</v>
      </c>
      <c r="G101" s="1518">
        <f t="shared" si="20"/>
        <v>8.9453364000000004</v>
      </c>
      <c r="H101" s="723">
        <f t="shared" si="21"/>
        <v>17.890672800000001</v>
      </c>
      <c r="I101" s="2386"/>
      <c r="M101" s="882" t="s">
        <v>1645</v>
      </c>
      <c r="N101" s="882" t="s">
        <v>1644</v>
      </c>
      <c r="O101" s="8" t="s">
        <v>1641</v>
      </c>
      <c r="P101" s="8" t="s">
        <v>1642</v>
      </c>
      <c r="Q101" s="882" t="s">
        <v>2393</v>
      </c>
      <c r="R101" s="882" t="s">
        <v>2394</v>
      </c>
      <c r="S101" s="8" t="s">
        <v>2391</v>
      </c>
      <c r="T101" s="8" t="s">
        <v>2392</v>
      </c>
      <c r="V101" s="841" t="s">
        <v>1645</v>
      </c>
      <c r="W101" s="841" t="s">
        <v>1644</v>
      </c>
      <c r="X101" s="8" t="s">
        <v>1641</v>
      </c>
      <c r="Y101" s="8" t="s">
        <v>1642</v>
      </c>
      <c r="Z101" s="880" t="s">
        <v>2393</v>
      </c>
      <c r="AA101" s="880" t="s">
        <v>2394</v>
      </c>
      <c r="AB101" s="8" t="s">
        <v>2391</v>
      </c>
      <c r="AC101" s="8" t="s">
        <v>2392</v>
      </c>
      <c r="AE101" s="880" t="s">
        <v>1645</v>
      </c>
      <c r="AF101" s="880" t="s">
        <v>1644</v>
      </c>
      <c r="AG101" s="8" t="s">
        <v>1641</v>
      </c>
      <c r="AH101" s="8" t="s">
        <v>1642</v>
      </c>
      <c r="AI101" s="880" t="s">
        <v>2393</v>
      </c>
      <c r="AJ101" s="880" t="s">
        <v>2394</v>
      </c>
      <c r="AK101" s="8" t="s">
        <v>2391</v>
      </c>
      <c r="AL101" s="8" t="s">
        <v>2392</v>
      </c>
      <c r="AM101" s="8"/>
      <c r="AN101" s="880" t="s">
        <v>1645</v>
      </c>
      <c r="AO101" s="880" t="s">
        <v>1644</v>
      </c>
      <c r="AP101" s="8" t="s">
        <v>1641</v>
      </c>
      <c r="AQ101" s="8" t="s">
        <v>1642</v>
      </c>
      <c r="AR101" s="882" t="s">
        <v>2393</v>
      </c>
      <c r="AS101" s="882" t="s">
        <v>2394</v>
      </c>
      <c r="AT101" s="8" t="s">
        <v>2391</v>
      </c>
      <c r="AU101" s="8" t="s">
        <v>2392</v>
      </c>
      <c r="AV101" s="8"/>
      <c r="AW101" s="1068" t="s">
        <v>1645</v>
      </c>
      <c r="AX101" s="1068" t="s">
        <v>1644</v>
      </c>
      <c r="AY101" s="8" t="s">
        <v>1641</v>
      </c>
      <c r="AZ101" s="8" t="s">
        <v>1642</v>
      </c>
      <c r="BA101" s="1068" t="s">
        <v>2393</v>
      </c>
      <c r="BB101" s="1068" t="s">
        <v>2394</v>
      </c>
      <c r="BC101" s="8" t="s">
        <v>2391</v>
      </c>
      <c r="BD101" s="8" t="s">
        <v>2392</v>
      </c>
      <c r="BE101" s="1067"/>
      <c r="BF101" s="1067"/>
      <c r="BG101" s="771">
        <f>C96</f>
        <v>500</v>
      </c>
      <c r="BH101" s="1070" t="s">
        <v>1645</v>
      </c>
      <c r="BI101" s="1070" t="s">
        <v>1644</v>
      </c>
      <c r="BJ101" s="8" t="s">
        <v>1641</v>
      </c>
      <c r="BK101" s="8" t="s">
        <v>1642</v>
      </c>
      <c r="BL101" s="1070" t="s">
        <v>2393</v>
      </c>
      <c r="BM101" s="1070" t="s">
        <v>2394</v>
      </c>
      <c r="BN101" s="8" t="s">
        <v>2391</v>
      </c>
      <c r="BO101" s="8" t="s">
        <v>2392</v>
      </c>
      <c r="BP101" s="885" t="s">
        <v>3163</v>
      </c>
      <c r="BQ101" s="885" t="s">
        <v>3164</v>
      </c>
      <c r="BR101" s="885" t="s">
        <v>3165</v>
      </c>
      <c r="BS101" s="885" t="s">
        <v>3166</v>
      </c>
      <c r="BT101" s="885" t="s">
        <v>3168</v>
      </c>
      <c r="BU101" s="885" t="s">
        <v>2839</v>
      </c>
      <c r="BV101" s="885"/>
      <c r="BW101" s="885"/>
      <c r="BX101" s="1528">
        <v>270</v>
      </c>
      <c r="BY101" s="1528">
        <v>300</v>
      </c>
      <c r="BZ101" s="1464">
        <v>350</v>
      </c>
      <c r="CA101" s="1464">
        <v>400</v>
      </c>
      <c r="CB101" s="1464">
        <v>450</v>
      </c>
      <c r="CC101" s="1464">
        <v>500</v>
      </c>
      <c r="CD101" s="1067"/>
    </row>
    <row r="102" spans="1:82" ht="12.75" customHeight="1" x14ac:dyDescent="0.2">
      <c r="A102" s="2384"/>
      <c r="B102" s="2073"/>
      <c r="C102" s="1914" t="str">
        <f>IF(C106="","",IF(D4="Торговая","",VLOOKUP($D$3,LBX.C,7,FALSE)))</f>
        <v>7944577/</v>
      </c>
      <c r="D102" s="43" t="str">
        <f>IF(C102="","",VLOOKUP(C102,всецены,2,FALSE))</f>
        <v xml:space="preserve">LBX, Загл, наружн, бел, симм с лого     </v>
      </c>
      <c r="E102" s="3">
        <f>IF(C102="",0,2)</f>
        <v>2</v>
      </c>
      <c r="F102" s="1457">
        <f>IF(C102="",0,VLOOKUP(C102,всецены,4,FALSE))</f>
        <v>14.637823200000001</v>
      </c>
      <c r="G102" s="1518">
        <f t="shared" si="20"/>
        <v>14.637823200000001</v>
      </c>
      <c r="H102" s="723">
        <f t="shared" si="21"/>
        <v>29.275646400000003</v>
      </c>
      <c r="I102" s="2386"/>
      <c r="L102" s="8">
        <v>270</v>
      </c>
      <c r="M102" s="892" t="str">
        <f t="shared" ref="M102:M103" si="22">IF($M$97=$V$97,VLOOKUP($L102,$U$102:$AC$107,V$108,0),IF($M$97=$AE$97,VLOOKUP($L102,$AD$102:$AL$107,AE$108,0),IF($M$97=$AN$97,VLOOKUP($L102,$AM$102:$AU$107,AN$108,0),VLOOKUP($L102,$AV$30:$BD$35,AW$36,0))))</f>
        <v>9583788/</v>
      </c>
      <c r="N102" s="892" t="str">
        <f t="shared" ref="N102:N107" si="23">IF($M$97=$V$97,VLOOKUP($L102,$U$102:$AC$107,W$108,0),IF($M$97=$AE$97,VLOOKUP($L102,$AD$102:$AL$107,AF$108,0),IF($M$97=$AN$97,VLOOKUP($L102,$AM$102:$AU$107,AO$108,0),VLOOKUP($L102,$AV$30:$BD$35,AX$36,0))))</f>
        <v>9345377/</v>
      </c>
      <c r="O102" s="892" t="str">
        <f t="shared" ref="O102:O107" si="24">IF($M$97=$V$97,VLOOKUP($L102,$U$102:$AC$107,X$108,0),IF($M$97=$AE$97,VLOOKUP($L102,$AD$102:$AL$107,AG$108,0),IF($M$97=$AN$97,VLOOKUP($L102,$AM$102:$AU$107,AP$108,0),VLOOKUP($L102,$AV$30:$BD$35,AY$36,0))))</f>
        <v>4539613/</v>
      </c>
      <c r="P102" s="892" t="str">
        <f t="shared" ref="P102:P107" si="25">IF($M$97=$V$97,VLOOKUP($L102,$U$102:$AC$107,Y$108,0),IF($M$97=$AE$97,VLOOKUP($L102,$AD$102:$AL$107,AH$108,0),IF($M$97=$AN$97,VLOOKUP($L102,$AM$102:$AU$107,AQ$108,0),VLOOKUP($L102,$AV$30:$BD$35,AZ$36,0))))</f>
        <v>4459332/</v>
      </c>
      <c r="Q102" s="892" t="str">
        <f t="shared" ref="Q102:Q107" si="26">IF($M$97=$V$97,VLOOKUP($L102,$U$102:$AC$107,Z$108,0),IF($M$97=$AE$97,VLOOKUP($L102,$AD$102:$AL$107,AI$108,0),IF($M$97=$AN$97,VLOOKUP($L102,$AM$102:$AU$107,AR$108,0),VLOOKUP($L102,$AV$30:$BD$35,BA$36,0))))</f>
        <v>8322157/</v>
      </c>
      <c r="R102" s="892" t="str">
        <f t="shared" ref="R102:R107" si="27">IF($M$97=$V$97,VLOOKUP($L102,$U$102:$AC$107,AA$108,0),IF($M$97=$AE$97,VLOOKUP($L102,$AD$102:$AL$107,AJ$108,0),IF($M$97=$AN$97,VLOOKUP($L102,$AM$102:$AU$107,AS$108,0),VLOOKUP($L102,$AV$30:$BD$35,BB$36,0))))</f>
        <v>7944577/</v>
      </c>
      <c r="S102" s="892" t="str">
        <f t="shared" ref="S102:S107" si="28">IF($M$97=$V$97,VLOOKUP($L102,$U$102:$AC$107,AB$108,0),IF($M$97=$AE$97,VLOOKUP($L102,$AD$102:$AL$107,AK$108,0),IF($M$97=$AN$97,VLOOKUP($L102,$AM$102:$AU$107,AT$108,0),VLOOKUP($L102,$AV$30:$BD$35,BC$36,0))))</f>
        <v>3326679/</v>
      </c>
      <c r="T102" s="892" t="str">
        <f t="shared" ref="T102:T107" si="29">IF($M$97=$V$97,VLOOKUP($L102,$U$102:$AC$107,AC$108,0),IF($M$97=$AE$97,VLOOKUP($L102,$AD$102:$AL$107,AL$108,0),IF($M$97=$AN$97,VLOOKUP($L102,$AM$102:$AU$107,AU$108,0),VLOOKUP($L102,$AV$30:$BD$35,BD$36,0))))</f>
        <v>4903108/</v>
      </c>
      <c r="U102" s="8">
        <v>270</v>
      </c>
      <c r="V102" s="696" t="s">
        <v>3619</v>
      </c>
      <c r="W102" s="696" t="s">
        <v>3620</v>
      </c>
      <c r="X102" s="696" t="s">
        <v>3316</v>
      </c>
      <c r="Y102" s="696" t="s">
        <v>3315</v>
      </c>
      <c r="Z102" s="164" t="s">
        <v>2282</v>
      </c>
      <c r="AA102" s="43" t="s">
        <v>2486</v>
      </c>
      <c r="AB102" s="701" t="s">
        <v>2274</v>
      </c>
      <c r="AC102" s="43" t="s">
        <v>2332</v>
      </c>
      <c r="AD102" s="8">
        <v>270</v>
      </c>
      <c r="AE102" s="696" t="s">
        <v>3676</v>
      </c>
      <c r="AF102" s="696" t="s">
        <v>3674</v>
      </c>
      <c r="AG102" s="696" t="s">
        <v>3316</v>
      </c>
      <c r="AH102" s="696" t="s">
        <v>3315</v>
      </c>
      <c r="AI102" s="891" t="s">
        <v>2336</v>
      </c>
      <c r="AJ102" s="891" t="s">
        <v>2377</v>
      </c>
      <c r="AK102" s="891" t="s">
        <v>2291</v>
      </c>
      <c r="AL102" s="891" t="s">
        <v>2305</v>
      </c>
      <c r="AM102" s="8">
        <v>270</v>
      </c>
      <c r="AN102" s="696" t="s">
        <v>3705</v>
      </c>
      <c r="AO102" s="696" t="s">
        <v>3703</v>
      </c>
      <c r="AP102" s="696" t="s">
        <v>3316</v>
      </c>
      <c r="AQ102" s="696" t="s">
        <v>3315</v>
      </c>
      <c r="AR102" s="891" t="s">
        <v>2319</v>
      </c>
      <c r="AS102" s="891" t="s">
        <v>2342</v>
      </c>
      <c r="AT102" s="891" t="s">
        <v>2343</v>
      </c>
      <c r="AU102" s="891" t="s">
        <v>2278</v>
      </c>
      <c r="AV102" s="8">
        <v>270</v>
      </c>
      <c r="AW102" s="1085" t="s">
        <v>3064</v>
      </c>
      <c r="AX102" s="1085" t="s">
        <v>3063</v>
      </c>
      <c r="AY102" s="1085" t="s">
        <v>3316</v>
      </c>
      <c r="AZ102" s="1085" t="s">
        <v>3315</v>
      </c>
      <c r="BA102" s="1088" t="s">
        <v>2850</v>
      </c>
      <c r="BB102" s="1088" t="s">
        <v>2852</v>
      </c>
      <c r="BC102" s="1088" t="s">
        <v>2865</v>
      </c>
      <c r="BD102" s="1088" t="s">
        <v>2846</v>
      </c>
      <c r="BG102" s="1098" t="s">
        <v>2396</v>
      </c>
      <c r="BH102" s="1099" t="str">
        <f>IF(D4="Торговая",VLOOKUP(BG102,BV102:BW105,2,FALSE),IF(D4="Индивидуальная",VLOOKUP(BG102,BV102:BW105,2,FALSE),VLOOKUP($BG$101,$U$102:$AC$107,BH106,FALSE)))</f>
        <v>8530390/</v>
      </c>
      <c r="BI102" s="1099" t="str">
        <f>IF(D4="торговая","",VLOOKUP($BG$101,$U$102:$AC$107,BI106,FALSE))</f>
        <v>2739732/</v>
      </c>
      <c r="BJ102" s="1099" t="str">
        <f t="shared" ref="BJ102:BO102" si="30">VLOOKUP($BG$101,$U$102:$AC$107,BJ106,FALSE)</f>
        <v>4922514/</v>
      </c>
      <c r="BK102" s="1099" t="str">
        <f t="shared" si="30"/>
        <v>4737284/</v>
      </c>
      <c r="BL102" s="1099" t="str">
        <f t="shared" si="30"/>
        <v>2550380/</v>
      </c>
      <c r="BM102" s="1099" t="str">
        <f t="shared" si="30"/>
        <v>5820744/</v>
      </c>
      <c r="BN102" s="1099" t="str">
        <f t="shared" si="30"/>
        <v>2260649/</v>
      </c>
      <c r="BO102" s="1107" t="str">
        <f t="shared" si="30"/>
        <v>8148550/</v>
      </c>
      <c r="BP102" s="1115" t="s">
        <v>2325</v>
      </c>
      <c r="BQ102" s="1099" t="s">
        <v>2345</v>
      </c>
      <c r="BR102" s="1099" t="s">
        <v>2308</v>
      </c>
      <c r="BS102" s="1099" t="s">
        <v>2334</v>
      </c>
      <c r="BT102" s="1099" t="s">
        <v>3162</v>
      </c>
      <c r="BU102" s="1100" t="s">
        <v>2293</v>
      </c>
      <c r="BV102" s="1533" t="s">
        <v>2396</v>
      </c>
      <c r="BW102" s="1533" t="str">
        <f>VLOOKUP($BG$101,$BX$110:$CA$115,2,FALSE)</f>
        <v>8962303/</v>
      </c>
      <c r="BX102" s="8" t="s">
        <v>4447</v>
      </c>
      <c r="BZ102" s="8" t="s">
        <v>4448</v>
      </c>
      <c r="CA102" s="8" t="s">
        <v>4449</v>
      </c>
      <c r="CB102" s="8" t="s">
        <v>3647</v>
      </c>
      <c r="CC102" s="8" t="s">
        <v>4450</v>
      </c>
    </row>
    <row r="103" spans="1:82" ht="12.75" customHeight="1" x14ac:dyDescent="0.2">
      <c r="A103" s="2384"/>
      <c r="B103" s="2073"/>
      <c r="C103" s="1096" t="str">
        <f>VLOOKUP($D$3,LBX.C,4,FALSE)</f>
        <v>4922514/</v>
      </c>
      <c r="D103" s="1880" t="str">
        <f>IF(C103=0,"",VLOOKUP(C103,всецены,2,FALSE))</f>
        <v xml:space="preserve">LBX, Направл. с BM, 40 кг, 500 мм, лев  </v>
      </c>
      <c r="E103" s="80">
        <v>1</v>
      </c>
      <c r="F103" s="1459">
        <f t="shared" si="19"/>
        <v>670.90023000000008</v>
      </c>
      <c r="G103" s="1518">
        <f t="shared" si="20"/>
        <v>670.90023000000008</v>
      </c>
      <c r="H103" s="723">
        <f t="shared" si="21"/>
        <v>670.90023000000008</v>
      </c>
      <c r="I103" s="2386"/>
      <c r="L103" s="8">
        <v>300</v>
      </c>
      <c r="M103" s="892" t="str">
        <f t="shared" si="22"/>
        <v>7627493/</v>
      </c>
      <c r="N103" s="892" t="str">
        <f t="shared" si="23"/>
        <v>7566189/</v>
      </c>
      <c r="O103" s="892" t="str">
        <f t="shared" si="24"/>
        <v>4380902/</v>
      </c>
      <c r="P103" s="892" t="str">
        <f t="shared" si="25"/>
        <v>4283251/</v>
      </c>
      <c r="Q103" s="892" t="str">
        <f t="shared" si="26"/>
        <v>8322157/</v>
      </c>
      <c r="R103" s="892" t="str">
        <f t="shared" si="27"/>
        <v>7944577/</v>
      </c>
      <c r="S103" s="892" t="str">
        <f t="shared" si="28"/>
        <v>3326679/</v>
      </c>
      <c r="T103" s="892" t="str">
        <f t="shared" si="29"/>
        <v>4903108/</v>
      </c>
      <c r="U103" s="8">
        <v>300</v>
      </c>
      <c r="V103" s="1411" t="s">
        <v>4600</v>
      </c>
      <c r="W103" s="875"/>
      <c r="X103" s="1859" t="s">
        <v>4589</v>
      </c>
      <c r="Y103" s="1859" t="s">
        <v>4587</v>
      </c>
      <c r="Z103" s="164" t="s">
        <v>2282</v>
      </c>
      <c r="AA103" s="43" t="s">
        <v>2486</v>
      </c>
      <c r="AB103" s="701" t="s">
        <v>2274</v>
      </c>
      <c r="AC103" s="43" t="s">
        <v>2332</v>
      </c>
      <c r="AD103" s="8">
        <v>300</v>
      </c>
      <c r="AE103" s="1411" t="s">
        <v>4609</v>
      </c>
      <c r="AF103" s="1411" t="s">
        <v>4608</v>
      </c>
      <c r="AG103" s="1859" t="s">
        <v>4589</v>
      </c>
      <c r="AH103" s="1859" t="s">
        <v>4587</v>
      </c>
      <c r="AI103" s="891" t="s">
        <v>2336</v>
      </c>
      <c r="AJ103" s="891" t="s">
        <v>2377</v>
      </c>
      <c r="AK103" s="891" t="s">
        <v>2291</v>
      </c>
      <c r="AL103" s="891" t="s">
        <v>2305</v>
      </c>
      <c r="AM103" s="8">
        <v>300</v>
      </c>
      <c r="AN103" s="875" t="s">
        <v>4476</v>
      </c>
      <c r="AO103" s="875"/>
      <c r="AP103" s="1859" t="s">
        <v>4589</v>
      </c>
      <c r="AQ103" s="1859" t="s">
        <v>4587</v>
      </c>
      <c r="AR103" s="891" t="s">
        <v>2319</v>
      </c>
      <c r="AS103" s="891" t="s">
        <v>2342</v>
      </c>
      <c r="AT103" s="891" t="s">
        <v>2343</v>
      </c>
      <c r="AU103" s="891" t="s">
        <v>2278</v>
      </c>
      <c r="AV103" s="8">
        <v>300</v>
      </c>
      <c r="AW103" s="875"/>
      <c r="AX103" s="875"/>
      <c r="AY103" s="1859" t="s">
        <v>4589</v>
      </c>
      <c r="AZ103" s="1859" t="s">
        <v>4587</v>
      </c>
      <c r="BA103" s="1088" t="s">
        <v>2850</v>
      </c>
      <c r="BB103" s="1088" t="s">
        <v>2852</v>
      </c>
      <c r="BC103" s="1088" t="s">
        <v>2865</v>
      </c>
      <c r="BD103" s="1088" t="s">
        <v>2846</v>
      </c>
      <c r="BG103" s="1101" t="s">
        <v>2398</v>
      </c>
      <c r="BH103" s="1102" t="str">
        <f>IF(D4="Торговая",VLOOKUP(BG103,BV102:BW105,2,FALSE),IF(D4="Индивидуальная",VLOOKUP(BG103,BV102:BW105,2,FALSE),VLOOKUP($BG$101,$AD$102:$AL$107,BH106,FALSE)))</f>
        <v>3217302/</v>
      </c>
      <c r="BI103" s="1102" t="str">
        <f>IF(D4="торговая","",VLOOKUP($BG$101,$AD$102:$AL$107,BI106,FALSE))</f>
        <v>3047850/</v>
      </c>
      <c r="BJ103" s="1102" t="str">
        <f t="shared" ref="BJ103:BO103" si="31">VLOOKUP($BG$101,$AD$102:$AL$107,BJ106,FALSE)</f>
        <v>4922514/</v>
      </c>
      <c r="BK103" s="1102" t="str">
        <f t="shared" si="31"/>
        <v>4737284/</v>
      </c>
      <c r="BL103" s="1102" t="str">
        <f t="shared" si="31"/>
        <v>8322157/</v>
      </c>
      <c r="BM103" s="1102" t="str">
        <f t="shared" si="31"/>
        <v>7944577/</v>
      </c>
      <c r="BN103" s="1102" t="str">
        <f t="shared" si="31"/>
        <v>3326679/</v>
      </c>
      <c r="BO103" s="1108" t="str">
        <f t="shared" si="31"/>
        <v>4903108/</v>
      </c>
      <c r="BP103" s="1101" t="s">
        <v>2337</v>
      </c>
      <c r="BQ103" s="1097" t="s">
        <v>2331</v>
      </c>
      <c r="BR103" s="1102" t="s">
        <v>2318</v>
      </c>
      <c r="BS103" s="1102" t="s">
        <v>2321</v>
      </c>
      <c r="BT103" s="1102" t="s">
        <v>3041</v>
      </c>
      <c r="BU103" s="1114" t="s">
        <v>2328</v>
      </c>
      <c r="BV103" s="1533" t="s">
        <v>2398</v>
      </c>
      <c r="BW103" s="1533" t="str">
        <f>VLOOKUP($BG$101,$BX$110:$CA$115,3,FALSE)</f>
        <v>8965119/</v>
      </c>
      <c r="BX103" s="8" t="s">
        <v>4460</v>
      </c>
      <c r="BZ103" s="8" t="s">
        <v>4461</v>
      </c>
      <c r="CA103" s="8" t="s">
        <v>4462</v>
      </c>
      <c r="CB103" s="8" t="s">
        <v>4463</v>
      </c>
      <c r="CC103" s="8" t="s">
        <v>4464</v>
      </c>
    </row>
    <row r="104" spans="1:82" ht="12.75" customHeight="1" x14ac:dyDescent="0.2">
      <c r="A104" s="2384"/>
      <c r="B104" s="2073"/>
      <c r="C104" s="1096" t="str">
        <f>VLOOKUP($D$3,LBX.C,5,FALSE)</f>
        <v>4737284/</v>
      </c>
      <c r="D104" s="1880" t="str">
        <f>IF(C104=0,"",VLOOKUP(C104,всецены,2,FALSE))</f>
        <v xml:space="preserve">LBX, Направл. с BM, 40 кг, 500 мм, прав </v>
      </c>
      <c r="E104" s="80">
        <v>1</v>
      </c>
      <c r="F104" s="1459">
        <f t="shared" si="19"/>
        <v>670.90023000000008</v>
      </c>
      <c r="G104" s="1518">
        <f t="shared" si="20"/>
        <v>670.90023000000008</v>
      </c>
      <c r="H104" s="723">
        <f t="shared" si="21"/>
        <v>670.90023000000008</v>
      </c>
      <c r="I104" s="2386"/>
      <c r="L104" s="8">
        <v>350</v>
      </c>
      <c r="M104" s="892" t="str">
        <f>IF($M$97=$V$97,VLOOKUP($L104,$U$102:$AC$107,V$108,0),IF($M$97=$AE$97,VLOOKUP($L104,$AD$102:$AL$107,AE$108,0),IF($M$97=$AN$97,VLOOKUP($L104,$AM$102:$AU$107,AN$108,0),VLOOKUP($L104,$AV$30:$BD$35,AW$36,0))))</f>
        <v>9990024/</v>
      </c>
      <c r="N104" s="892" t="str">
        <f t="shared" si="23"/>
        <v>9964164/</v>
      </c>
      <c r="O104" s="892" t="str">
        <f t="shared" si="24"/>
        <v>4682185/</v>
      </c>
      <c r="P104" s="892" t="str">
        <f t="shared" si="25"/>
        <v>4657978/</v>
      </c>
      <c r="Q104" s="892" t="str">
        <f t="shared" si="26"/>
        <v>8322157/</v>
      </c>
      <c r="R104" s="892" t="str">
        <f t="shared" si="27"/>
        <v>7944577/</v>
      </c>
      <c r="S104" s="892" t="str">
        <f t="shared" si="28"/>
        <v>3326679/</v>
      </c>
      <c r="T104" s="892" t="str">
        <f t="shared" si="29"/>
        <v>4903108/</v>
      </c>
      <c r="U104" s="8">
        <v>350</v>
      </c>
      <c r="V104" s="771" t="s">
        <v>6741</v>
      </c>
      <c r="W104" s="771" t="s">
        <v>6740</v>
      </c>
      <c r="X104" s="771" t="s">
        <v>2373</v>
      </c>
      <c r="Y104" s="771" t="s">
        <v>2372</v>
      </c>
      <c r="Z104" s="164" t="s">
        <v>2282</v>
      </c>
      <c r="AA104" s="43" t="s">
        <v>2486</v>
      </c>
      <c r="AB104" s="701" t="s">
        <v>2274</v>
      </c>
      <c r="AC104" s="43" t="s">
        <v>2332</v>
      </c>
      <c r="AD104" s="8">
        <v>350</v>
      </c>
      <c r="AE104" s="771" t="s">
        <v>2388</v>
      </c>
      <c r="AF104" s="771" t="s">
        <v>2387</v>
      </c>
      <c r="AG104" s="771" t="s">
        <v>2373</v>
      </c>
      <c r="AH104" s="771" t="s">
        <v>2372</v>
      </c>
      <c r="AI104" s="891" t="s">
        <v>2336</v>
      </c>
      <c r="AJ104" s="891" t="s">
        <v>2377</v>
      </c>
      <c r="AK104" s="891" t="s">
        <v>2291</v>
      </c>
      <c r="AL104" s="891" t="s">
        <v>2305</v>
      </c>
      <c r="AM104" s="8">
        <v>350</v>
      </c>
      <c r="AN104" s="771" t="s">
        <v>2382</v>
      </c>
      <c r="AO104" s="771" t="s">
        <v>2381</v>
      </c>
      <c r="AP104" s="771" t="s">
        <v>2373</v>
      </c>
      <c r="AQ104" s="771" t="s">
        <v>2372</v>
      </c>
      <c r="AR104" s="891" t="s">
        <v>2319</v>
      </c>
      <c r="AS104" s="891" t="s">
        <v>2342</v>
      </c>
      <c r="AT104" s="891" t="s">
        <v>2343</v>
      </c>
      <c r="AU104" s="891" t="s">
        <v>2278</v>
      </c>
      <c r="AV104" s="8">
        <v>350</v>
      </c>
      <c r="AW104" s="771" t="s">
        <v>2861</v>
      </c>
      <c r="AX104" s="771" t="s">
        <v>2860</v>
      </c>
      <c r="AY104" s="771" t="s">
        <v>2373</v>
      </c>
      <c r="AZ104" s="771" t="s">
        <v>2372</v>
      </c>
      <c r="BA104" s="1087" t="s">
        <v>2850</v>
      </c>
      <c r="BB104" s="1087" t="s">
        <v>2852</v>
      </c>
      <c r="BC104" s="1088" t="s">
        <v>2865</v>
      </c>
      <c r="BD104" s="1088" t="s">
        <v>2846</v>
      </c>
      <c r="BG104" s="1101" t="s">
        <v>2397</v>
      </c>
      <c r="BH104" s="1102" t="str">
        <f>IF(D4="Торговая",VLOOKUP(BG104,BV102:BW105,2,FALSE),IF(D4="Индивидуальная",VLOOKUP(BG104,BV102:BW105,2,FALSE),VLOOKUP($BG$101,$AM$102:$AU$107,BH106,FALSE)))</f>
        <v>6149155/</v>
      </c>
      <c r="BI104" s="1102" t="str">
        <f>IF(D4="торговая","",VLOOKUP($BG$101,$AM$102:$AU$107,BI106,FALSE))</f>
        <v>6100159/</v>
      </c>
      <c r="BJ104" s="1102" t="str">
        <f t="shared" ref="BJ104:BO104" si="32">VLOOKUP($BG$101,$AM$102:$AU$107,BJ106,FALSE)</f>
        <v>4922514/</v>
      </c>
      <c r="BK104" s="1102" t="str">
        <f t="shared" si="32"/>
        <v>4737284/</v>
      </c>
      <c r="BL104" s="1102" t="str">
        <f t="shared" si="32"/>
        <v>5806987/</v>
      </c>
      <c r="BM104" s="1102" t="str">
        <f t="shared" si="32"/>
        <v>9207744/</v>
      </c>
      <c r="BN104" s="1102" t="str">
        <f t="shared" si="32"/>
        <v>9497175/</v>
      </c>
      <c r="BO104" s="1108" t="str">
        <f t="shared" si="32"/>
        <v>2457961/</v>
      </c>
      <c r="BP104" s="1101" t="s">
        <v>3059</v>
      </c>
      <c r="BQ104" s="1102" t="s">
        <v>3050</v>
      </c>
      <c r="BR104" s="1102" t="s">
        <v>3053</v>
      </c>
      <c r="BS104" s="1102" t="s">
        <v>3052</v>
      </c>
      <c r="BT104" s="1102" t="s">
        <v>3167</v>
      </c>
      <c r="BU104" s="1114" t="s">
        <v>3060</v>
      </c>
      <c r="BV104" s="1533" t="s">
        <v>2397</v>
      </c>
      <c r="BW104" s="1533" t="str">
        <f>VLOOKUP($BG$101,$BX$110:$CA$115,4,FALSE)</f>
        <v>8979438/</v>
      </c>
      <c r="BX104" s="8" t="s">
        <v>4474</v>
      </c>
      <c r="BY104" s="8" t="s">
        <v>4476</v>
      </c>
      <c r="BZ104" s="8" t="s">
        <v>4478</v>
      </c>
      <c r="CA104" s="8" t="s">
        <v>4480</v>
      </c>
      <c r="CB104" s="8" t="s">
        <v>3710</v>
      </c>
      <c r="CC104" s="8" t="s">
        <v>4483</v>
      </c>
    </row>
    <row r="105" spans="1:82" ht="12.75" customHeight="1" thickBot="1" x14ac:dyDescent="0.25">
      <c r="A105" s="2384"/>
      <c r="B105" s="2073"/>
      <c r="C105" s="1096" t="str">
        <f>VLOOKUP($D$3,BG102:BI105,2,0)</f>
        <v>3217302/</v>
      </c>
      <c r="D105" s="1880" t="str">
        <f>IF(C105=0,"",VLOOKUP(C105,всецены,2,FALSE))</f>
        <v xml:space="preserve">LBX, Боковина C 176,8/500 мм, бел, лев  </v>
      </c>
      <c r="E105" s="80">
        <v>1</v>
      </c>
      <c r="F105" s="1459">
        <f t="shared" si="19"/>
        <v>804.26706360000003</v>
      </c>
      <c r="G105" s="1518">
        <f t="shared" si="20"/>
        <v>804.26706360000003</v>
      </c>
      <c r="H105" s="723">
        <f t="shared" si="21"/>
        <v>804.26706360000003</v>
      </c>
      <c r="I105" s="2386"/>
      <c r="L105" s="8">
        <v>400</v>
      </c>
      <c r="M105" s="892" t="str">
        <f t="shared" ref="M105:M107" si="33">IF($M$97=$V$97,VLOOKUP($L105,$U$102:$AC$107,V$108,0),IF($M$97=$AE$97,VLOOKUP($L105,$AD$102:$AL$107,AE$108,0),IF($M$97=$AN$97,VLOOKUP($L105,$AM$102:$AU$107,AN$108,0),VLOOKUP($L105,$AV$30:$BD$35,AW$36,0))))</f>
        <v>9012447/</v>
      </c>
      <c r="N105" s="892" t="str">
        <f t="shared" si="23"/>
        <v>8979132/</v>
      </c>
      <c r="O105" s="892" t="str">
        <f t="shared" si="24"/>
        <v>4636718/</v>
      </c>
      <c r="P105" s="892" t="str">
        <f t="shared" si="25"/>
        <v>4423390/</v>
      </c>
      <c r="Q105" s="892" t="str">
        <f t="shared" si="26"/>
        <v>8322157/</v>
      </c>
      <c r="R105" s="892" t="str">
        <f t="shared" si="27"/>
        <v>7944577/</v>
      </c>
      <c r="S105" s="892" t="str">
        <f t="shared" si="28"/>
        <v>3326679/</v>
      </c>
      <c r="T105" s="892" t="str">
        <f t="shared" si="29"/>
        <v>4903108/</v>
      </c>
      <c r="U105" s="8">
        <v>400</v>
      </c>
      <c r="V105" s="1392" t="s">
        <v>4076</v>
      </c>
      <c r="W105" s="1392" t="s">
        <v>4075</v>
      </c>
      <c r="X105" s="1088" t="s">
        <v>2988</v>
      </c>
      <c r="Y105" s="1088" t="s">
        <v>2987</v>
      </c>
      <c r="Z105" s="164" t="s">
        <v>2282</v>
      </c>
      <c r="AA105" s="43" t="s">
        <v>2486</v>
      </c>
      <c r="AB105" s="701" t="s">
        <v>2274</v>
      </c>
      <c r="AC105" s="43" t="s">
        <v>2332</v>
      </c>
      <c r="AD105" s="8">
        <v>400</v>
      </c>
      <c r="AE105" s="696" t="s">
        <v>3048</v>
      </c>
      <c r="AF105" s="696" t="s">
        <v>3047</v>
      </c>
      <c r="AG105" s="1088" t="s">
        <v>2988</v>
      </c>
      <c r="AH105" s="1088" t="s">
        <v>2987</v>
      </c>
      <c r="AI105" s="891" t="s">
        <v>2336</v>
      </c>
      <c r="AJ105" s="891" t="s">
        <v>2377</v>
      </c>
      <c r="AK105" s="891" t="s">
        <v>2291</v>
      </c>
      <c r="AL105" s="891" t="s">
        <v>2305</v>
      </c>
      <c r="AM105" s="8">
        <v>400</v>
      </c>
      <c r="AN105" s="1392" t="s">
        <v>4085</v>
      </c>
      <c r="AO105" s="1392" t="s">
        <v>4083</v>
      </c>
      <c r="AP105" s="1088" t="s">
        <v>2988</v>
      </c>
      <c r="AQ105" s="1088" t="s">
        <v>2987</v>
      </c>
      <c r="AR105" s="891" t="s">
        <v>2319</v>
      </c>
      <c r="AS105" s="891" t="s">
        <v>2342</v>
      </c>
      <c r="AT105" s="891" t="s">
        <v>2343</v>
      </c>
      <c r="AU105" s="891" t="s">
        <v>2278</v>
      </c>
      <c r="AV105" s="8">
        <v>400</v>
      </c>
      <c r="AW105" s="1085"/>
      <c r="AX105" s="1085"/>
      <c r="AY105" s="1085"/>
      <c r="AZ105" s="1085"/>
      <c r="BA105" s="1085" t="s">
        <v>2850</v>
      </c>
      <c r="BB105" s="1085" t="s">
        <v>2852</v>
      </c>
      <c r="BC105" s="1088" t="s">
        <v>2865</v>
      </c>
      <c r="BD105" s="1088" t="s">
        <v>2846</v>
      </c>
      <c r="BG105" s="1104" t="s">
        <v>3159</v>
      </c>
      <c r="BH105" s="1105" t="str">
        <f>IF(D4="Торговая",VLOOKUP(BG105,BV102:BW105,2,FALSE),VLOOKUP($BG$101,$AV$102:$BD$107,BH106,FALSE))</f>
        <v>4115619/</v>
      </c>
      <c r="BI105" s="1105" t="str">
        <f>IF(D4="Торговая","",VLOOKUP($BG$101,$AV$102:$BD$107,BI106,FALSE))</f>
        <v>4001227/</v>
      </c>
      <c r="BJ105" s="1105" t="str">
        <f t="shared" ref="BJ105:BO105" si="34">VLOOKUP($BG$101,$AV$102:$BD$107,BJ106,FALSE)</f>
        <v>4922514/</v>
      </c>
      <c r="BK105" s="1105" t="str">
        <f t="shared" si="34"/>
        <v>4737284/</v>
      </c>
      <c r="BL105" s="1105" t="str">
        <f t="shared" si="34"/>
        <v>2113518/</v>
      </c>
      <c r="BM105" s="1105" t="str">
        <f t="shared" si="34"/>
        <v>2215958/</v>
      </c>
      <c r="BN105" s="1105" t="str">
        <f t="shared" si="34"/>
        <v>7604824/</v>
      </c>
      <c r="BO105" s="1109" t="str">
        <f t="shared" si="34"/>
        <v>1058035/</v>
      </c>
      <c r="BP105" s="680" t="s">
        <v>3075</v>
      </c>
      <c r="BQ105" s="1116" t="s">
        <v>3067</v>
      </c>
      <c r="BR105" s="1105" t="s">
        <v>3066</v>
      </c>
      <c r="BS105" s="1105" t="s">
        <v>3069</v>
      </c>
      <c r="BT105" s="1105" t="s">
        <v>2851</v>
      </c>
      <c r="BU105" s="1106" t="s">
        <v>3065</v>
      </c>
      <c r="BV105" s="1533" t="s">
        <v>3159</v>
      </c>
      <c r="BW105" s="1533">
        <f>VLOOKUP($BG$101,$BX$110:$CB$115,5,FALSE)</f>
        <v>0</v>
      </c>
      <c r="BX105" s="1529"/>
      <c r="BY105" s="1529"/>
      <c r="BZ105" s="1527"/>
      <c r="CA105" s="1527"/>
      <c r="CB105" s="1527"/>
      <c r="CC105" s="1527"/>
    </row>
    <row r="106" spans="1:82" ht="12.75" customHeight="1" thickBot="1" x14ac:dyDescent="0.25">
      <c r="A106" s="2384"/>
      <c r="B106" s="2074"/>
      <c r="C106" s="998" t="str">
        <f>IF(MID($D$105,6,8)="Боковины","",VLOOKUP($D$3,LBX.C,3,FALSE))</f>
        <v>3047850/</v>
      </c>
      <c r="D106" s="1879" t="str">
        <f>IF(C106="","",VLOOKUP(C106,всецены,2,FALSE))</f>
        <v xml:space="preserve">LBX, Боковина C 176,8/500 мм, бел, прав </v>
      </c>
      <c r="E106" s="1061">
        <f>IF(C106="",0,1)</f>
        <v>1</v>
      </c>
      <c r="F106" s="1531">
        <f>IF(C106="",0,VLOOKUP(C106,всецены,4,FALSE))</f>
        <v>804.26706360000003</v>
      </c>
      <c r="G106" s="1518">
        <f t="shared" si="20"/>
        <v>804.26706360000003</v>
      </c>
      <c r="H106" s="726">
        <f t="shared" si="21"/>
        <v>804.26706360000003</v>
      </c>
      <c r="I106" s="2387"/>
      <c r="L106" s="8">
        <v>450</v>
      </c>
      <c r="M106" s="892" t="str">
        <f t="shared" si="33"/>
        <v>3759979/</v>
      </c>
      <c r="N106" s="892" t="str">
        <f t="shared" si="23"/>
        <v>3758081/</v>
      </c>
      <c r="O106" s="892" t="str">
        <f t="shared" si="24"/>
        <v>9337924/</v>
      </c>
      <c r="P106" s="892" t="str">
        <f t="shared" si="25"/>
        <v>9287449/</v>
      </c>
      <c r="Q106" s="892" t="str">
        <f t="shared" si="26"/>
        <v>8322157/</v>
      </c>
      <c r="R106" s="892" t="str">
        <f t="shared" si="27"/>
        <v>7944577/</v>
      </c>
      <c r="S106" s="892" t="str">
        <f t="shared" si="28"/>
        <v>3326679/</v>
      </c>
      <c r="T106" s="892" t="str">
        <f t="shared" si="29"/>
        <v>4903108/</v>
      </c>
      <c r="U106" s="8">
        <v>450</v>
      </c>
      <c r="V106" s="696" t="s">
        <v>6746</v>
      </c>
      <c r="W106" s="696" t="s">
        <v>6745</v>
      </c>
      <c r="X106" s="696" t="s">
        <v>2993</v>
      </c>
      <c r="Y106" s="696" t="s">
        <v>2992</v>
      </c>
      <c r="Z106" s="164" t="s">
        <v>2282</v>
      </c>
      <c r="AA106" s="43" t="s">
        <v>2486</v>
      </c>
      <c r="AB106" s="701" t="s">
        <v>2274</v>
      </c>
      <c r="AC106" s="43" t="s">
        <v>2332</v>
      </c>
      <c r="AD106" s="8">
        <v>450</v>
      </c>
      <c r="AE106" s="696" t="s">
        <v>3034</v>
      </c>
      <c r="AF106" s="696" t="s">
        <v>3033</v>
      </c>
      <c r="AG106" s="696" t="s">
        <v>2993</v>
      </c>
      <c r="AH106" s="696" t="s">
        <v>2992</v>
      </c>
      <c r="AI106" s="891" t="s">
        <v>2336</v>
      </c>
      <c r="AJ106" s="891" t="s">
        <v>2377</v>
      </c>
      <c r="AK106" s="891" t="s">
        <v>2291</v>
      </c>
      <c r="AL106" s="891" t="s">
        <v>2305</v>
      </c>
      <c r="AM106" s="8">
        <v>450</v>
      </c>
      <c r="AN106" s="696" t="s">
        <v>3689</v>
      </c>
      <c r="AO106" s="696" t="s">
        <v>3687</v>
      </c>
      <c r="AP106" s="696" t="s">
        <v>2993</v>
      </c>
      <c r="AQ106" s="696" t="s">
        <v>2992</v>
      </c>
      <c r="AR106" s="891" t="s">
        <v>2319</v>
      </c>
      <c r="AS106" s="891" t="s">
        <v>2342</v>
      </c>
      <c r="AT106" s="891" t="s">
        <v>2343</v>
      </c>
      <c r="AU106" s="891" t="s">
        <v>2278</v>
      </c>
      <c r="AV106" s="8">
        <v>450</v>
      </c>
      <c r="AW106" s="1087" t="s">
        <v>4621</v>
      </c>
      <c r="AX106" s="1087" t="s">
        <v>4620</v>
      </c>
      <c r="AY106" s="1085" t="s">
        <v>2993</v>
      </c>
      <c r="AZ106" s="1085" t="s">
        <v>2992</v>
      </c>
      <c r="BA106" s="1085" t="s">
        <v>2850</v>
      </c>
      <c r="BB106" s="1085" t="s">
        <v>2852</v>
      </c>
      <c r="BC106" s="1088" t="s">
        <v>2865</v>
      </c>
      <c r="BD106" s="1088" t="s">
        <v>2846</v>
      </c>
      <c r="BH106" s="771">
        <v>2</v>
      </c>
      <c r="BI106" s="771">
        <v>3</v>
      </c>
      <c r="BJ106" s="771">
        <v>4</v>
      </c>
      <c r="BK106" s="771">
        <v>5</v>
      </c>
      <c r="BL106" s="771">
        <v>6</v>
      </c>
      <c r="BM106" s="771">
        <v>7</v>
      </c>
      <c r="BN106" s="771">
        <v>8</v>
      </c>
      <c r="BO106" s="771">
        <v>9</v>
      </c>
      <c r="BP106" s="771">
        <v>10</v>
      </c>
      <c r="BQ106" s="771">
        <v>11</v>
      </c>
      <c r="BR106" s="771">
        <v>12</v>
      </c>
      <c r="BS106" s="771">
        <v>13</v>
      </c>
      <c r="BT106" s="771">
        <v>14</v>
      </c>
      <c r="BU106" s="771">
        <v>15</v>
      </c>
    </row>
    <row r="107" spans="1:82" ht="15.75" customHeight="1" thickBot="1" x14ac:dyDescent="0.25">
      <c r="A107" s="843"/>
      <c r="B107" s="871"/>
      <c r="C107" s="862"/>
      <c r="D107" s="863"/>
      <c r="E107" s="864"/>
      <c r="F107" s="1449"/>
      <c r="G107" s="1449"/>
      <c r="H107" s="866"/>
      <c r="I107" s="688" t="str">
        <f>CONCATENATE("N",$C$11,$D$3)</f>
        <v>N500БЕЛЫЙ ШЕЛК - матовый</v>
      </c>
      <c r="L107" s="8">
        <v>500</v>
      </c>
      <c r="M107" s="892" t="str">
        <f t="shared" si="33"/>
        <v>3217302/</v>
      </c>
      <c r="N107" s="892" t="str">
        <f t="shared" si="23"/>
        <v>3047850/</v>
      </c>
      <c r="O107" s="892" t="str">
        <f t="shared" si="24"/>
        <v>4922514/</v>
      </c>
      <c r="P107" s="892" t="str">
        <f t="shared" si="25"/>
        <v>4737284/</v>
      </c>
      <c r="Q107" s="892" t="str">
        <f t="shared" si="26"/>
        <v>8322157/</v>
      </c>
      <c r="R107" s="892" t="str">
        <f t="shared" si="27"/>
        <v>7944577/</v>
      </c>
      <c r="S107" s="892" t="str">
        <f t="shared" si="28"/>
        <v>3326679/</v>
      </c>
      <c r="T107" s="892" t="str">
        <f t="shared" si="29"/>
        <v>4903108/</v>
      </c>
      <c r="U107" s="8">
        <v>500</v>
      </c>
      <c r="V107" s="696" t="s">
        <v>6748</v>
      </c>
      <c r="W107" s="696" t="s">
        <v>2284</v>
      </c>
      <c r="X107" s="696" t="s">
        <v>2307</v>
      </c>
      <c r="Y107" s="696" t="s">
        <v>2302</v>
      </c>
      <c r="Z107" s="164" t="s">
        <v>2282</v>
      </c>
      <c r="AA107" s="43" t="s">
        <v>2486</v>
      </c>
      <c r="AB107" s="701" t="s">
        <v>2274</v>
      </c>
      <c r="AC107" s="43" t="s">
        <v>2332</v>
      </c>
      <c r="AD107" s="8">
        <v>500</v>
      </c>
      <c r="AE107" s="696" t="s">
        <v>2290</v>
      </c>
      <c r="AF107" s="696" t="s">
        <v>2287</v>
      </c>
      <c r="AG107" s="696" t="s">
        <v>2307</v>
      </c>
      <c r="AH107" s="696" t="s">
        <v>2302</v>
      </c>
      <c r="AI107" s="891" t="s">
        <v>2336</v>
      </c>
      <c r="AJ107" s="891" t="s">
        <v>2377</v>
      </c>
      <c r="AK107" s="891" t="s">
        <v>2291</v>
      </c>
      <c r="AL107" s="891" t="s">
        <v>2305</v>
      </c>
      <c r="AM107" s="8">
        <v>500</v>
      </c>
      <c r="AN107" s="696" t="s">
        <v>2324</v>
      </c>
      <c r="AO107" s="696" t="s">
        <v>2323</v>
      </c>
      <c r="AP107" s="696" t="s">
        <v>2307</v>
      </c>
      <c r="AQ107" s="696" t="s">
        <v>2302</v>
      </c>
      <c r="AR107" s="891" t="s">
        <v>2319</v>
      </c>
      <c r="AS107" s="891" t="s">
        <v>2342</v>
      </c>
      <c r="AT107" s="891" t="s">
        <v>2343</v>
      </c>
      <c r="AU107" s="891" t="s">
        <v>2278</v>
      </c>
      <c r="AV107" s="8">
        <v>500</v>
      </c>
      <c r="AW107" s="1087" t="s">
        <v>2863</v>
      </c>
      <c r="AX107" s="1087" t="s">
        <v>2862</v>
      </c>
      <c r="AY107" s="1085" t="s">
        <v>2307</v>
      </c>
      <c r="AZ107" s="1085" t="s">
        <v>2302</v>
      </c>
      <c r="BA107" s="1087" t="s">
        <v>2850</v>
      </c>
      <c r="BB107" s="1087" t="s">
        <v>2852</v>
      </c>
      <c r="BC107" s="1088" t="s">
        <v>2865</v>
      </c>
      <c r="BD107" s="1088" t="s">
        <v>2846</v>
      </c>
    </row>
    <row r="108" spans="1:82" ht="15" customHeight="1" x14ac:dyDescent="0.2">
      <c r="A108" s="843"/>
      <c r="B108" s="1524" t="str">
        <f>IF($D$3="БЕЛЫЙ ШЕЛК - матовый","270,300,350,400,450,500мм","270,350,400,450,500мм")</f>
        <v>270,300,350,400,450,500мм</v>
      </c>
      <c r="C108" s="719"/>
      <c r="D108" s="2144" t="s">
        <v>1183</v>
      </c>
      <c r="E108" s="2144"/>
      <c r="F108" s="2144"/>
      <c r="G108" s="2144"/>
      <c r="H108" s="2144"/>
      <c r="I108" s="2145"/>
      <c r="L108" s="771"/>
      <c r="M108" s="771">
        <v>2</v>
      </c>
      <c r="N108" s="771">
        <f>M108+1</f>
        <v>3</v>
      </c>
      <c r="O108" s="771">
        <f t="shared" ref="O108:BD108" si="35">N108+1</f>
        <v>4</v>
      </c>
      <c r="P108" s="771">
        <f t="shared" si="35"/>
        <v>5</v>
      </c>
      <c r="Q108" s="771">
        <f t="shared" si="35"/>
        <v>6</v>
      </c>
      <c r="R108" s="771">
        <f t="shared" si="35"/>
        <v>7</v>
      </c>
      <c r="S108" s="771">
        <f t="shared" si="35"/>
        <v>8</v>
      </c>
      <c r="T108" s="771">
        <f t="shared" si="35"/>
        <v>9</v>
      </c>
      <c r="U108" s="771"/>
      <c r="V108" s="771">
        <v>2</v>
      </c>
      <c r="W108" s="771">
        <f t="shared" si="35"/>
        <v>3</v>
      </c>
      <c r="X108" s="771">
        <f t="shared" si="35"/>
        <v>4</v>
      </c>
      <c r="Y108" s="771">
        <f t="shared" si="35"/>
        <v>5</v>
      </c>
      <c r="Z108" s="771">
        <f t="shared" si="35"/>
        <v>6</v>
      </c>
      <c r="AA108" s="771">
        <f t="shared" si="35"/>
        <v>7</v>
      </c>
      <c r="AB108" s="771">
        <f t="shared" si="35"/>
        <v>8</v>
      </c>
      <c r="AC108" s="771">
        <f t="shared" si="35"/>
        <v>9</v>
      </c>
      <c r="AD108" s="771"/>
      <c r="AE108" s="771">
        <v>2</v>
      </c>
      <c r="AF108" s="771">
        <f t="shared" si="35"/>
        <v>3</v>
      </c>
      <c r="AG108" s="771">
        <f t="shared" si="35"/>
        <v>4</v>
      </c>
      <c r="AH108" s="771">
        <f t="shared" si="35"/>
        <v>5</v>
      </c>
      <c r="AI108" s="771">
        <f t="shared" si="35"/>
        <v>6</v>
      </c>
      <c r="AJ108" s="771">
        <f t="shared" si="35"/>
        <v>7</v>
      </c>
      <c r="AK108" s="771">
        <f t="shared" si="35"/>
        <v>8</v>
      </c>
      <c r="AL108" s="771">
        <f t="shared" si="35"/>
        <v>9</v>
      </c>
      <c r="AN108" s="771">
        <v>2</v>
      </c>
      <c r="AO108" s="771">
        <f t="shared" si="35"/>
        <v>3</v>
      </c>
      <c r="AP108" s="771">
        <f t="shared" si="35"/>
        <v>4</v>
      </c>
      <c r="AQ108" s="771">
        <f t="shared" si="35"/>
        <v>5</v>
      </c>
      <c r="AR108" s="771">
        <f t="shared" si="35"/>
        <v>6</v>
      </c>
      <c r="AS108" s="771">
        <f t="shared" si="35"/>
        <v>7</v>
      </c>
      <c r="AT108" s="771">
        <f t="shared" si="35"/>
        <v>8</v>
      </c>
      <c r="AU108" s="771">
        <f t="shared" si="35"/>
        <v>9</v>
      </c>
      <c r="AW108" s="771">
        <v>2</v>
      </c>
      <c r="AX108" s="771">
        <f t="shared" si="35"/>
        <v>3</v>
      </c>
      <c r="AY108" s="771">
        <f t="shared" si="35"/>
        <v>4</v>
      </c>
      <c r="AZ108" s="771">
        <f t="shared" si="35"/>
        <v>5</v>
      </c>
      <c r="BA108" s="771">
        <f t="shared" si="35"/>
        <v>6</v>
      </c>
      <c r="BB108" s="771">
        <f t="shared" si="35"/>
        <v>7</v>
      </c>
      <c r="BC108" s="771">
        <f t="shared" si="35"/>
        <v>8</v>
      </c>
      <c r="BD108" s="771">
        <f t="shared" si="35"/>
        <v>9</v>
      </c>
    </row>
    <row r="109" spans="1:82" ht="12.75" customHeight="1" x14ac:dyDescent="0.2">
      <c r="A109" s="843"/>
      <c r="B109" s="844"/>
      <c r="C109" s="1881"/>
      <c r="D109" s="1882"/>
      <c r="E109" s="1883"/>
      <c r="F109" s="1522"/>
      <c r="G109" s="1522"/>
      <c r="H109" s="1884"/>
      <c r="I109" s="1857" t="str">
        <f>IF(СОДЕРЖАНИЕ!P2=1,"EUR","RUB")</f>
        <v>RUB</v>
      </c>
      <c r="L109" s="771"/>
      <c r="M109" s="771"/>
      <c r="N109" s="771"/>
      <c r="O109" s="771"/>
      <c r="P109" s="771"/>
      <c r="Q109" s="771"/>
      <c r="R109" s="771"/>
      <c r="S109" s="771"/>
      <c r="T109" s="771"/>
      <c r="U109" s="771"/>
      <c r="V109" s="771"/>
      <c r="W109" s="771"/>
      <c r="X109" s="771"/>
      <c r="Y109" s="771"/>
      <c r="Z109" s="771"/>
      <c r="AA109" s="771"/>
      <c r="AB109" s="771"/>
      <c r="AC109" s="771"/>
      <c r="AD109" s="771"/>
      <c r="AE109" s="771"/>
      <c r="AF109" s="771"/>
      <c r="BQ109" s="840"/>
      <c r="BX109" s="1532"/>
      <c r="BY109" s="1533" t="s">
        <v>2396</v>
      </c>
      <c r="BZ109" s="1533" t="s">
        <v>2398</v>
      </c>
      <c r="CA109" s="1533" t="s">
        <v>2397</v>
      </c>
      <c r="CB109" s="1533" t="s">
        <v>3159</v>
      </c>
    </row>
    <row r="110" spans="1:82" ht="12.75" customHeight="1" x14ac:dyDescent="0.2">
      <c r="A110" s="2384"/>
      <c r="B110" s="2383"/>
      <c r="C110" s="1899" t="s">
        <v>2985</v>
      </c>
      <c r="D110" s="1905" t="str">
        <f t="shared" ref="D110:D119" si="36">VLOOKUP(C110,всецены,2,FALSE)</f>
        <v xml:space="preserve">LBX, Держ п/п п/рел, лев, ZI7.3C01.01   </v>
      </c>
      <c r="E110" s="1915">
        <v>1</v>
      </c>
      <c r="F110" s="1916">
        <f t="shared" ref="F110:F124" si="37">VLOOKUP(C110,всецены,4,FALSE)</f>
        <v>363.50594280000001</v>
      </c>
      <c r="G110" s="1916">
        <f>F110</f>
        <v>363.50594280000001</v>
      </c>
      <c r="H110" s="1917">
        <f>G110*E110</f>
        <v>363.50594280000001</v>
      </c>
      <c r="I110" s="2385">
        <f>SUM(H110:H125)</f>
        <v>5955.1544052000008</v>
      </c>
      <c r="L110" s="771"/>
      <c r="M110" s="771"/>
      <c r="N110" s="771"/>
      <c r="O110" s="771"/>
      <c r="P110" s="771"/>
      <c r="Q110" s="771"/>
      <c r="R110" s="771"/>
      <c r="S110" s="771"/>
      <c r="T110" s="771"/>
      <c r="U110" s="771"/>
      <c r="V110" s="771"/>
      <c r="W110" s="771"/>
      <c r="X110" s="771"/>
      <c r="Y110" s="771"/>
      <c r="Z110" s="771"/>
      <c r="AA110" s="771"/>
      <c r="AB110" s="771"/>
      <c r="AC110" s="771"/>
      <c r="AD110" s="771"/>
      <c r="AE110" s="771"/>
      <c r="AF110" s="771"/>
      <c r="BQ110" s="840"/>
      <c r="BX110" s="1528">
        <v>270</v>
      </c>
      <c r="BY110" s="1534" t="s">
        <v>4447</v>
      </c>
      <c r="BZ110" s="1534" t="s">
        <v>4460</v>
      </c>
      <c r="CA110" s="1534" t="s">
        <v>4474</v>
      </c>
      <c r="CB110" s="1529">
        <v>0</v>
      </c>
    </row>
    <row r="111" spans="1:82" ht="12.75" customHeight="1" x14ac:dyDescent="0.2">
      <c r="A111" s="2384"/>
      <c r="B111" s="2073"/>
      <c r="C111" s="1899" t="s">
        <v>2994</v>
      </c>
      <c r="D111" s="1905" t="str">
        <f t="shared" si="36"/>
        <v xml:space="preserve">LBX, Держ п/п п/рел, прав, ZI7.3C01.01  </v>
      </c>
      <c r="E111" s="1915">
        <v>1</v>
      </c>
      <c r="F111" s="1916">
        <f t="shared" si="37"/>
        <v>363.50594280000001</v>
      </c>
      <c r="G111" s="1916">
        <f t="shared" ref="G111:G125" si="38">F111</f>
        <v>363.50594280000001</v>
      </c>
      <c r="H111" s="1917">
        <f t="shared" ref="H111:H121" si="39">G111*E111</f>
        <v>363.50594280000001</v>
      </c>
      <c r="I111" s="2386"/>
      <c r="L111" s="771"/>
      <c r="M111" s="771"/>
      <c r="N111" s="771"/>
      <c r="O111" s="771"/>
      <c r="P111" s="771"/>
      <c r="Q111" s="771"/>
      <c r="R111" s="771"/>
      <c r="S111" s="771"/>
      <c r="T111" s="771"/>
      <c r="U111" s="771"/>
      <c r="W111" s="771"/>
      <c r="X111" s="771"/>
      <c r="Y111" s="771"/>
      <c r="Z111" s="771"/>
      <c r="AA111" s="771"/>
      <c r="AB111" s="771"/>
      <c r="AC111" s="771"/>
      <c r="AD111" s="771"/>
      <c r="AE111" s="771"/>
      <c r="AF111" s="771"/>
      <c r="BQ111" s="840"/>
      <c r="BX111" s="1528">
        <v>300</v>
      </c>
      <c r="BY111" s="1534" t="s">
        <v>4600</v>
      </c>
      <c r="BZ111" s="1534"/>
      <c r="CA111" s="1534" t="s">
        <v>4476</v>
      </c>
      <c r="CB111" s="1529">
        <v>0</v>
      </c>
    </row>
    <row r="112" spans="1:82" ht="12.75" customHeight="1" x14ac:dyDescent="0.2">
      <c r="A112" s="2384"/>
      <c r="B112" s="2073"/>
      <c r="C112" s="1899" t="str">
        <f>VLOOKUP($D$3,LBX.C,10,FALSE)</f>
        <v>8534062/</v>
      </c>
      <c r="D112" s="1905" t="str">
        <f t="shared" si="36"/>
        <v>LBX, Загл вн держ п/п C, бел ле ZI7.3C08</v>
      </c>
      <c r="E112" s="1915">
        <v>1</v>
      </c>
      <c r="F112" s="1916">
        <f t="shared" si="37"/>
        <v>41.473832399999999</v>
      </c>
      <c r="G112" s="1916">
        <f t="shared" si="38"/>
        <v>41.473832399999999</v>
      </c>
      <c r="H112" s="1917">
        <f t="shared" si="39"/>
        <v>41.473832399999999</v>
      </c>
      <c r="I112" s="2386"/>
      <c r="L112" s="771"/>
      <c r="M112" s="771"/>
      <c r="N112" s="771"/>
      <c r="O112" s="771"/>
      <c r="P112" s="771"/>
      <c r="Q112" s="771"/>
      <c r="R112" s="771"/>
      <c r="S112" s="771"/>
      <c r="T112" s="771"/>
      <c r="U112" s="771"/>
      <c r="W112" s="771"/>
      <c r="X112" s="771"/>
      <c r="Y112" s="771"/>
      <c r="Z112" s="771"/>
      <c r="AA112" s="771"/>
      <c r="AB112" s="771"/>
      <c r="AC112" s="771"/>
      <c r="AD112" s="771"/>
      <c r="AE112" s="771"/>
      <c r="AF112" s="771"/>
      <c r="BX112" s="1528">
        <v>350</v>
      </c>
      <c r="BY112" s="1534" t="s">
        <v>4448</v>
      </c>
      <c r="BZ112" s="1534" t="s">
        <v>4461</v>
      </c>
      <c r="CA112" s="1534" t="s">
        <v>4478</v>
      </c>
      <c r="CB112" s="1529">
        <v>0</v>
      </c>
    </row>
    <row r="113" spans="1:123" ht="12.75" customHeight="1" x14ac:dyDescent="0.2">
      <c r="A113" s="2384"/>
      <c r="B113" s="2073"/>
      <c r="C113" s="1899" t="str">
        <f>VLOOKUP($D$3,LBX.C,11,FALSE)</f>
        <v>7963265/</v>
      </c>
      <c r="D113" s="1905" t="str">
        <f t="shared" si="36"/>
        <v>LBX, Загл вн держ п/п C, бел пр ZI7.3C08</v>
      </c>
      <c r="E113" s="1915">
        <v>1</v>
      </c>
      <c r="F113" s="1916">
        <f t="shared" si="37"/>
        <v>41.473832399999999</v>
      </c>
      <c r="G113" s="1916">
        <f t="shared" si="38"/>
        <v>41.473832399999999</v>
      </c>
      <c r="H113" s="1917">
        <f t="shared" si="39"/>
        <v>41.473832399999999</v>
      </c>
      <c r="I113" s="2386"/>
      <c r="L113" s="771"/>
      <c r="M113" s="771"/>
      <c r="N113" s="771"/>
      <c r="O113" s="771"/>
      <c r="P113" s="771"/>
      <c r="Q113" s="771"/>
      <c r="R113" s="771"/>
      <c r="S113" s="771"/>
      <c r="T113" s="771"/>
      <c r="U113" s="771"/>
      <c r="W113" s="771"/>
      <c r="X113" s="771"/>
      <c r="Y113" s="771"/>
      <c r="Z113" s="771"/>
      <c r="AA113" s="771"/>
      <c r="AB113" s="771"/>
      <c r="AC113" s="771"/>
      <c r="AD113" s="771"/>
      <c r="AE113" s="771"/>
      <c r="AF113" s="771"/>
      <c r="BG113" s="894" t="s">
        <v>2396</v>
      </c>
      <c r="BP113" s="43" t="s">
        <v>2325</v>
      </c>
      <c r="BQ113" s="43" t="s">
        <v>2345</v>
      </c>
      <c r="BR113" s="43" t="s">
        <v>2308</v>
      </c>
      <c r="BS113" s="43" t="s">
        <v>2334</v>
      </c>
      <c r="BT113" s="43" t="s">
        <v>2272</v>
      </c>
      <c r="BX113" s="1528">
        <v>400</v>
      </c>
      <c r="BY113" s="1534" t="s">
        <v>4449</v>
      </c>
      <c r="BZ113" s="1534" t="s">
        <v>4462</v>
      </c>
      <c r="CA113" s="1534" t="s">
        <v>4480</v>
      </c>
      <c r="CB113" s="1529">
        <v>0</v>
      </c>
    </row>
    <row r="114" spans="1:123" s="878" customFormat="1" ht="12.75" customHeight="1" x14ac:dyDescent="0.2">
      <c r="A114" s="2384"/>
      <c r="B114" s="2073"/>
      <c r="C114" s="1899" t="str">
        <f>VLOOKUP($D$3,LBX.C,12,FALSE)</f>
        <v>5506281/</v>
      </c>
      <c r="D114" s="1905" t="str">
        <f>VLOOKUP(C114,всецены,2,FALSE)</f>
        <v xml:space="preserve">LBX, Загл держ п/п C, бел, лев ZI7.2CS3 </v>
      </c>
      <c r="E114" s="1915">
        <v>1</v>
      </c>
      <c r="F114" s="1916">
        <f t="shared" si="37"/>
        <v>123.60828479999999</v>
      </c>
      <c r="G114" s="1916">
        <f t="shared" si="38"/>
        <v>123.60828479999999</v>
      </c>
      <c r="H114" s="1917">
        <f t="shared" si="39"/>
        <v>123.60828479999999</v>
      </c>
      <c r="I114" s="2386"/>
      <c r="J114" s="771"/>
      <c r="K114" s="771"/>
      <c r="L114" s="771"/>
      <c r="M114" s="771"/>
      <c r="N114" s="771"/>
      <c r="O114" s="771"/>
      <c r="P114" s="771"/>
      <c r="Q114" s="771"/>
      <c r="R114" s="771"/>
      <c r="S114" s="771"/>
      <c r="T114" s="771"/>
      <c r="U114" s="771"/>
      <c r="V114" s="8"/>
      <c r="W114" s="8"/>
      <c r="X114" s="8"/>
      <c r="Y114" s="8"/>
      <c r="Z114" s="771"/>
      <c r="AA114" s="771"/>
      <c r="AB114" s="771"/>
      <c r="AC114" s="771"/>
      <c r="AD114" s="771"/>
      <c r="AE114" s="771"/>
      <c r="AF114" s="771"/>
      <c r="AG114" s="771"/>
      <c r="AH114" s="771"/>
      <c r="AI114" s="771"/>
      <c r="AJ114" s="771"/>
      <c r="AK114" s="771"/>
      <c r="AL114" s="771"/>
      <c r="AM114" s="771"/>
      <c r="AN114" s="771"/>
      <c r="AO114" s="771"/>
      <c r="AP114" s="771"/>
      <c r="AQ114" s="771"/>
      <c r="AR114" s="771"/>
      <c r="AS114" s="771"/>
      <c r="AT114" s="771"/>
      <c r="AU114" s="771"/>
      <c r="AV114" s="771"/>
      <c r="AW114" s="771"/>
      <c r="AX114" s="771"/>
      <c r="AY114" s="771"/>
      <c r="AZ114" s="771"/>
      <c r="BA114" s="771"/>
      <c r="BB114" s="771"/>
      <c r="BC114" s="771"/>
      <c r="BD114" s="771"/>
      <c r="BE114" s="771"/>
      <c r="BF114" s="771"/>
      <c r="BG114" s="891" t="s">
        <v>2398</v>
      </c>
      <c r="BH114" s="771"/>
      <c r="BI114" s="771"/>
      <c r="BJ114" s="771"/>
      <c r="BK114" s="771"/>
      <c r="BL114" s="771"/>
      <c r="BM114" s="771"/>
      <c r="BN114" s="771"/>
      <c r="BO114" s="771"/>
      <c r="BP114" s="893" t="s">
        <v>2337</v>
      </c>
      <c r="BQ114" s="893" t="s">
        <v>2331</v>
      </c>
      <c r="BR114" s="893" t="s">
        <v>2318</v>
      </c>
      <c r="BS114" s="893" t="s">
        <v>2321</v>
      </c>
      <c r="BT114" s="893" t="s">
        <v>2269</v>
      </c>
      <c r="BU114" s="771"/>
      <c r="BV114" s="771"/>
      <c r="BW114" s="771"/>
      <c r="BX114" s="1528">
        <v>450</v>
      </c>
      <c r="BY114" s="1534" t="s">
        <v>3647</v>
      </c>
      <c r="BZ114" s="1534" t="s">
        <v>4463</v>
      </c>
      <c r="CA114" s="1534" t="s">
        <v>3710</v>
      </c>
      <c r="CB114" s="1529">
        <v>0</v>
      </c>
      <c r="CC114" s="771"/>
      <c r="CD114" s="771"/>
      <c r="CE114" s="771"/>
      <c r="CF114" s="771"/>
      <c r="CG114" s="771"/>
      <c r="CH114" s="771"/>
      <c r="CI114" s="771"/>
      <c r="CJ114" s="771"/>
      <c r="CK114" s="771"/>
      <c r="CL114" s="771"/>
      <c r="CM114" s="771"/>
      <c r="CN114" s="771"/>
      <c r="CO114" s="771"/>
      <c r="CP114" s="771"/>
      <c r="CQ114" s="771"/>
      <c r="CR114" s="771"/>
      <c r="CS114" s="771"/>
      <c r="CT114" s="771"/>
      <c r="CU114" s="771"/>
      <c r="CV114" s="771"/>
      <c r="CW114" s="771"/>
      <c r="CX114" s="771"/>
      <c r="CY114" s="771"/>
      <c r="CZ114" s="771"/>
      <c r="DA114" s="771"/>
      <c r="DB114" s="771"/>
      <c r="DC114" s="771"/>
      <c r="DD114" s="771"/>
      <c r="DE114" s="771"/>
      <c r="DF114" s="771"/>
      <c r="DG114" s="771"/>
      <c r="DH114" s="771"/>
      <c r="DI114" s="771"/>
      <c r="DJ114" s="771"/>
      <c r="DK114" s="771"/>
      <c r="DL114" s="771"/>
      <c r="DM114" s="771"/>
      <c r="DN114" s="771"/>
      <c r="DO114" s="771"/>
      <c r="DP114" s="771"/>
      <c r="DQ114" s="771"/>
      <c r="DR114" s="771"/>
      <c r="DS114" s="771"/>
    </row>
    <row r="115" spans="1:123" s="878" customFormat="1" ht="12.75" customHeight="1" x14ac:dyDescent="0.2">
      <c r="A115" s="2384"/>
      <c r="B115" s="2073"/>
      <c r="C115" s="1899" t="str">
        <f>VLOOKUP($D$3,LBX.C,13,FALSE)</f>
        <v>5866447/</v>
      </c>
      <c r="D115" s="1905" t="str">
        <f>VLOOKUP(C115,всецены,2,FALSE)</f>
        <v>LBX, Загл держ п/п C, бел, прав ZI7.2CS3</v>
      </c>
      <c r="E115" s="1915">
        <v>1</v>
      </c>
      <c r="F115" s="1916">
        <f t="shared" si="37"/>
        <v>123.60828479999999</v>
      </c>
      <c r="G115" s="1916">
        <f t="shared" si="38"/>
        <v>123.60828479999999</v>
      </c>
      <c r="H115" s="1917">
        <f t="shared" si="39"/>
        <v>123.60828479999999</v>
      </c>
      <c r="I115" s="2386"/>
      <c r="J115" s="771"/>
      <c r="K115" s="771"/>
      <c r="L115" s="840"/>
      <c r="M115" s="840"/>
      <c r="N115" s="840"/>
      <c r="O115" s="840"/>
      <c r="P115" s="840"/>
      <c r="Q115" s="840"/>
      <c r="R115" s="840"/>
      <c r="S115" s="771"/>
      <c r="T115" s="771"/>
      <c r="U115" s="771"/>
      <c r="V115" s="8"/>
      <c r="W115" s="8"/>
      <c r="X115" s="8"/>
      <c r="Y115" s="8"/>
      <c r="Z115" s="771"/>
      <c r="AA115" s="771"/>
      <c r="AB115" s="771"/>
      <c r="AC115" s="771"/>
      <c r="AD115" s="771"/>
      <c r="AE115" s="771"/>
      <c r="AF115" s="771"/>
      <c r="AG115" s="771"/>
      <c r="AH115" s="771"/>
      <c r="AI115" s="771"/>
      <c r="AJ115" s="771"/>
      <c r="AK115" s="771"/>
      <c r="AL115" s="771"/>
      <c r="AM115" s="771"/>
      <c r="AN115" s="771"/>
      <c r="AO115" s="771"/>
      <c r="AP115" s="771"/>
      <c r="AQ115" s="771"/>
      <c r="AR115" s="771"/>
      <c r="AS115" s="771"/>
      <c r="AT115" s="771"/>
      <c r="AU115" s="771"/>
      <c r="AV115" s="771"/>
      <c r="AW115" s="771"/>
      <c r="AX115" s="771"/>
      <c r="AY115" s="771"/>
      <c r="AZ115" s="771"/>
      <c r="BA115" s="771"/>
      <c r="BB115" s="771"/>
      <c r="BC115" s="771"/>
      <c r="BD115" s="771"/>
      <c r="BE115" s="771"/>
      <c r="BF115" s="771"/>
      <c r="BG115" s="891" t="s">
        <v>2397</v>
      </c>
      <c r="BN115" s="771"/>
      <c r="BO115" s="771"/>
      <c r="BP115" s="891"/>
      <c r="BQ115" s="891"/>
      <c r="BR115" s="891"/>
      <c r="BS115" s="891"/>
      <c r="BT115" s="891"/>
      <c r="BU115" s="891"/>
      <c r="BV115" s="782"/>
      <c r="BW115" s="782"/>
      <c r="BX115" s="1528">
        <v>500</v>
      </c>
      <c r="BY115" s="1534" t="s">
        <v>4450</v>
      </c>
      <c r="BZ115" s="1534" t="s">
        <v>4464</v>
      </c>
      <c r="CA115" s="1534" t="s">
        <v>4483</v>
      </c>
      <c r="CB115" s="1529">
        <v>0</v>
      </c>
      <c r="CC115" s="782"/>
      <c r="CD115" s="771"/>
      <c r="CE115" s="771"/>
      <c r="CF115" s="771"/>
      <c r="CG115" s="771"/>
      <c r="CH115" s="771"/>
      <c r="CI115" s="771"/>
      <c r="CJ115" s="771"/>
      <c r="CK115" s="771"/>
      <c r="CL115" s="771"/>
      <c r="CM115" s="771"/>
      <c r="CN115" s="771"/>
      <c r="CO115" s="771"/>
      <c r="CP115" s="771"/>
      <c r="CQ115" s="771"/>
      <c r="CR115" s="771"/>
      <c r="CS115" s="771"/>
      <c r="CT115" s="771"/>
      <c r="CU115" s="771"/>
      <c r="CV115" s="771"/>
      <c r="CW115" s="771"/>
      <c r="CX115" s="771"/>
      <c r="CY115" s="771"/>
      <c r="CZ115" s="771"/>
      <c r="DA115" s="771"/>
      <c r="DB115" s="771"/>
      <c r="DC115" s="771"/>
      <c r="DD115" s="771"/>
      <c r="DE115" s="771"/>
      <c r="DF115" s="771"/>
      <c r="DG115" s="771"/>
      <c r="DH115" s="771"/>
      <c r="DI115" s="771"/>
      <c r="DJ115" s="771"/>
      <c r="DK115" s="771"/>
      <c r="DL115" s="771"/>
      <c r="DM115" s="771"/>
      <c r="DN115" s="771"/>
      <c r="DO115" s="771"/>
      <c r="DP115" s="771"/>
      <c r="DQ115" s="771"/>
      <c r="DR115" s="771"/>
      <c r="DS115" s="771"/>
    </row>
    <row r="116" spans="1:123" s="878" customFormat="1" ht="12.75" customHeight="1" x14ac:dyDescent="0.2">
      <c r="A116" s="2384"/>
      <c r="B116" s="2073"/>
      <c r="C116" s="1899" t="str">
        <f>VLOOKUP($D$3,LBX.C,14,FALSE)</f>
        <v>7731476/</v>
      </c>
      <c r="D116" s="1905" t="str">
        <f>VLOOKUP(C116,всецены,2,FALSE)</f>
        <v xml:space="preserve">LBX, Пп б/п п/раскр, бел ZV7.1043C01    </v>
      </c>
      <c r="E116" s="1915">
        <v>1</v>
      </c>
      <c r="F116" s="1916">
        <f t="shared" si="37"/>
        <v>1253.9735208</v>
      </c>
      <c r="G116" s="1916">
        <f t="shared" si="38"/>
        <v>1253.9735208</v>
      </c>
      <c r="H116" s="1917">
        <f t="shared" si="39"/>
        <v>1253.9735208</v>
      </c>
      <c r="I116" s="2386"/>
      <c r="J116" s="771"/>
      <c r="K116" s="771"/>
      <c r="S116" s="771"/>
      <c r="T116" s="771"/>
      <c r="U116" s="771"/>
      <c r="W116" s="8"/>
      <c r="X116" s="8"/>
      <c r="Y116" s="8"/>
      <c r="Z116" s="771"/>
      <c r="AA116" s="771"/>
      <c r="AB116" s="771"/>
      <c r="AC116" s="771"/>
      <c r="AD116" s="771"/>
      <c r="AE116" s="771"/>
      <c r="AF116" s="771"/>
      <c r="AG116" s="771"/>
      <c r="AH116" s="771"/>
      <c r="AI116" s="771"/>
      <c r="AJ116" s="771"/>
      <c r="AK116" s="771"/>
      <c r="AL116" s="771"/>
      <c r="AM116" s="771"/>
      <c r="AO116" s="771"/>
      <c r="AP116" s="771"/>
      <c r="AQ116" s="771"/>
      <c r="AR116" s="771"/>
      <c r="AS116" s="771"/>
      <c r="AT116" s="771"/>
      <c r="AU116" s="771"/>
      <c r="AV116" s="771"/>
      <c r="AW116" s="1067"/>
      <c r="AX116" s="771"/>
      <c r="AY116" s="771"/>
      <c r="AZ116" s="771"/>
      <c r="BA116" s="771"/>
      <c r="BB116" s="771"/>
      <c r="BC116" s="771"/>
      <c r="BD116" s="771"/>
      <c r="BE116" s="771"/>
      <c r="BF116" s="771"/>
      <c r="BG116" s="771"/>
      <c r="BH116" s="771"/>
      <c r="BI116" s="771"/>
      <c r="BJ116" s="771"/>
      <c r="BK116" s="771"/>
      <c r="BM116" s="771"/>
      <c r="BN116" s="771"/>
      <c r="BO116" s="771"/>
      <c r="BP116" s="771"/>
      <c r="BQ116" s="771"/>
      <c r="BR116" s="771"/>
      <c r="BS116" s="771"/>
      <c r="BT116" s="771"/>
      <c r="BU116" s="771"/>
      <c r="BV116" s="771"/>
      <c r="BW116" s="771"/>
      <c r="BX116" s="771"/>
      <c r="BY116" s="771"/>
      <c r="BZ116" s="771"/>
      <c r="CA116" s="771"/>
      <c r="CB116" s="771"/>
      <c r="CC116" s="771"/>
      <c r="CD116" s="771"/>
      <c r="CE116" s="771"/>
      <c r="CF116" s="771"/>
      <c r="CG116" s="771"/>
      <c r="CH116" s="771"/>
      <c r="CI116" s="771"/>
      <c r="CJ116" s="771"/>
      <c r="CK116" s="771"/>
      <c r="CL116" s="771"/>
      <c r="CM116" s="771"/>
      <c r="CN116" s="771"/>
      <c r="CO116" s="771"/>
      <c r="CP116" s="771"/>
      <c r="CQ116" s="771"/>
      <c r="CR116" s="771"/>
      <c r="CS116" s="771"/>
      <c r="CT116" s="771"/>
      <c r="CU116" s="771"/>
      <c r="CV116" s="771"/>
      <c r="CW116" s="771"/>
      <c r="CX116" s="771"/>
      <c r="CY116" s="771"/>
      <c r="CZ116" s="771"/>
      <c r="DA116" s="771"/>
      <c r="DB116" s="771"/>
      <c r="DC116" s="771"/>
      <c r="DD116" s="771"/>
      <c r="DE116" s="771"/>
      <c r="DF116" s="771"/>
      <c r="DG116" s="771"/>
      <c r="DH116" s="771"/>
      <c r="DI116" s="771"/>
      <c r="DJ116" s="771"/>
      <c r="DK116" s="771"/>
      <c r="DL116" s="771"/>
      <c r="DM116" s="771"/>
      <c r="DN116" s="771"/>
      <c r="DO116" s="771"/>
      <c r="DP116" s="771"/>
      <c r="DQ116" s="771"/>
      <c r="DR116" s="771"/>
      <c r="DS116" s="771"/>
    </row>
    <row r="117" spans="1:123" s="881" customFormat="1" ht="12.75" customHeight="1" x14ac:dyDescent="0.2">
      <c r="A117" s="2384"/>
      <c r="B117" s="2073"/>
      <c r="C117" s="1899" t="str">
        <f>VLOOKUP($D$3,LBX.C,15,FALSE)</f>
        <v>7053143/</v>
      </c>
      <c r="D117" s="1905" t="str">
        <f>VLOOKUP(C117,всецены,2,FALSE)</f>
        <v xml:space="preserve">LBX, Поп рел п/раскрой, 1080 мм., бел   </v>
      </c>
      <c r="E117" s="1915">
        <v>1</v>
      </c>
      <c r="F117" s="1916">
        <f t="shared" si="37"/>
        <v>550.54479479999998</v>
      </c>
      <c r="G117" s="1916">
        <f t="shared" si="38"/>
        <v>550.54479479999998</v>
      </c>
      <c r="H117" s="1917">
        <f t="shared" si="39"/>
        <v>550.54479479999998</v>
      </c>
      <c r="I117" s="2386"/>
      <c r="J117" s="771"/>
      <c r="K117" s="771"/>
      <c r="L117" s="878"/>
      <c r="M117" s="878"/>
      <c r="N117" s="878"/>
      <c r="O117" s="878"/>
      <c r="P117" s="878"/>
      <c r="Q117" s="878"/>
      <c r="R117" s="878"/>
      <c r="S117" s="771"/>
      <c r="T117" s="771"/>
      <c r="U117" s="771"/>
      <c r="V117" s="878"/>
      <c r="W117" s="8"/>
      <c r="X117" s="8"/>
      <c r="Y117" s="8"/>
      <c r="Z117" s="771"/>
      <c r="AA117" s="771"/>
      <c r="AB117" s="771"/>
      <c r="AC117" s="771"/>
      <c r="AD117" s="771"/>
      <c r="AE117" s="771"/>
      <c r="AF117" s="771"/>
      <c r="AG117" s="771"/>
      <c r="AH117" s="771"/>
      <c r="AI117" s="771"/>
      <c r="AJ117" s="771"/>
      <c r="AK117" s="771"/>
      <c r="AL117" s="771"/>
      <c r="AM117" s="771"/>
      <c r="AN117" s="878"/>
      <c r="AO117" s="771"/>
      <c r="AP117" s="771"/>
      <c r="AQ117" s="771"/>
      <c r="AR117" s="771"/>
      <c r="AS117" s="771"/>
      <c r="AT117" s="771"/>
      <c r="AU117" s="771"/>
      <c r="AV117" s="771"/>
      <c r="AW117" s="1067"/>
      <c r="AX117" s="771"/>
      <c r="AY117" s="771"/>
      <c r="AZ117" s="771"/>
      <c r="BA117" s="771"/>
      <c r="BB117" s="771"/>
      <c r="BC117" s="771"/>
      <c r="BD117" s="771"/>
      <c r="BE117" s="771"/>
      <c r="BF117" s="771"/>
      <c r="BG117" s="771"/>
      <c r="BH117" s="771"/>
      <c r="BI117" s="771"/>
      <c r="BJ117" s="771"/>
      <c r="BK117" s="771"/>
      <c r="BL117" s="878"/>
      <c r="BM117" s="771"/>
      <c r="BN117" s="771"/>
      <c r="BO117" s="771"/>
      <c r="BP117" s="771"/>
      <c r="BQ117" s="771"/>
      <c r="BR117" s="771"/>
      <c r="BS117" s="771"/>
      <c r="BT117" s="771"/>
      <c r="BU117" s="771"/>
      <c r="BV117" s="771"/>
      <c r="BW117" s="771"/>
      <c r="BX117" s="771"/>
      <c r="BY117" s="771"/>
      <c r="BZ117" s="771"/>
      <c r="CA117" s="771"/>
      <c r="CB117" s="771"/>
      <c r="CC117" s="771"/>
      <c r="CD117" s="771"/>
      <c r="CE117" s="771"/>
      <c r="CF117" s="771"/>
      <c r="CG117" s="771"/>
      <c r="CH117" s="771"/>
      <c r="CI117" s="771"/>
      <c r="CJ117" s="771"/>
      <c r="CK117" s="771"/>
      <c r="CL117" s="771"/>
      <c r="CM117" s="771"/>
      <c r="CN117" s="771"/>
      <c r="CO117" s="771"/>
      <c r="CP117" s="771"/>
      <c r="CQ117" s="771"/>
      <c r="CR117" s="771"/>
      <c r="CS117" s="771"/>
      <c r="CT117" s="771"/>
      <c r="CU117" s="771"/>
      <c r="CV117" s="771"/>
      <c r="CW117" s="771"/>
      <c r="CX117" s="771"/>
      <c r="CY117" s="771"/>
      <c r="CZ117" s="771"/>
      <c r="DA117" s="771"/>
      <c r="DB117" s="771"/>
      <c r="DC117" s="771"/>
      <c r="DD117" s="771"/>
      <c r="DE117" s="771"/>
      <c r="DF117" s="771"/>
      <c r="DG117" s="771"/>
      <c r="DH117" s="771"/>
      <c r="DI117" s="771"/>
      <c r="DJ117" s="771"/>
      <c r="DK117" s="771"/>
      <c r="DL117" s="771"/>
      <c r="DM117" s="771"/>
      <c r="DN117" s="771"/>
      <c r="DO117" s="771"/>
      <c r="DP117" s="771"/>
      <c r="DQ117" s="771"/>
      <c r="DR117" s="771"/>
      <c r="DS117" s="771"/>
    </row>
    <row r="118" spans="1:123" ht="12.75" customHeight="1" x14ac:dyDescent="0.2">
      <c r="A118" s="2384"/>
      <c r="B118" s="2073"/>
      <c r="C118" s="1899" t="str">
        <f>VLOOKUP($D$3,LBX.C,8,FALSE)</f>
        <v>3326679/</v>
      </c>
      <c r="D118" s="1905" t="str">
        <f t="shared" si="36"/>
        <v>LBX, Держат. задн. ст, 189 мм, бел, лев.</v>
      </c>
      <c r="E118" s="1915">
        <v>1</v>
      </c>
      <c r="F118" s="1916">
        <f t="shared" si="37"/>
        <v>47.979531600000001</v>
      </c>
      <c r="G118" s="1916">
        <f t="shared" si="38"/>
        <v>47.979531600000001</v>
      </c>
      <c r="H118" s="1917">
        <f t="shared" si="39"/>
        <v>47.979531600000001</v>
      </c>
      <c r="I118" s="2386"/>
      <c r="L118" s="771"/>
      <c r="M118" s="771"/>
      <c r="N118" s="771"/>
      <c r="O118" s="771"/>
      <c r="P118" s="771"/>
      <c r="Q118" s="771"/>
      <c r="R118" s="771"/>
      <c r="S118" s="771"/>
      <c r="T118" s="771"/>
      <c r="U118" s="771"/>
      <c r="V118" s="878"/>
      <c r="W118" s="878"/>
      <c r="X118" s="878"/>
      <c r="Y118" s="878"/>
      <c r="Z118" s="878"/>
      <c r="AA118" s="878"/>
      <c r="AB118" s="878"/>
      <c r="AC118" s="771"/>
      <c r="AD118" s="771"/>
      <c r="AY118" s="1067"/>
    </row>
    <row r="119" spans="1:123" ht="12.75" customHeight="1" x14ac:dyDescent="0.2">
      <c r="A119" s="2384"/>
      <c r="B119" s="2073"/>
      <c r="C119" s="1899" t="str">
        <f>VLOOKUP($D$3,LBX.C,9,FALSE)</f>
        <v>4903108/</v>
      </c>
      <c r="D119" s="1905" t="str">
        <f t="shared" si="36"/>
        <v>LBX, Держат. задн. ст, 189 мм, бел, прав</v>
      </c>
      <c r="E119" s="1915">
        <v>1</v>
      </c>
      <c r="F119" s="1916">
        <f t="shared" si="37"/>
        <v>47.979531600000001</v>
      </c>
      <c r="G119" s="1916">
        <f t="shared" si="38"/>
        <v>47.979531600000001</v>
      </c>
      <c r="H119" s="1917">
        <f t="shared" si="39"/>
        <v>47.979531600000001</v>
      </c>
      <c r="I119" s="2386"/>
      <c r="L119" s="771"/>
      <c r="M119" s="771"/>
      <c r="N119" s="771"/>
      <c r="O119" s="771"/>
      <c r="P119" s="771"/>
      <c r="Q119" s="771"/>
      <c r="R119" s="771"/>
      <c r="S119" s="771"/>
      <c r="T119" s="771"/>
      <c r="U119" s="771"/>
      <c r="V119" s="881"/>
      <c r="W119" s="881"/>
      <c r="X119" s="881"/>
      <c r="Y119" s="881"/>
      <c r="Z119" s="881"/>
      <c r="AA119" s="881"/>
      <c r="AB119" s="881"/>
      <c r="AC119" s="771"/>
      <c r="AD119" s="771"/>
      <c r="AN119" s="1418"/>
      <c r="AO119" s="1418"/>
      <c r="AP119" s="1418"/>
      <c r="AQ119" s="1418"/>
      <c r="AY119" s="1067"/>
    </row>
    <row r="120" spans="1:123" ht="12.75" customHeight="1" x14ac:dyDescent="0.2">
      <c r="A120" s="2384"/>
      <c r="B120" s="2073"/>
      <c r="C120" s="1899" t="str">
        <f>C101</f>
        <v>8322157/</v>
      </c>
      <c r="D120" s="1905" t="str">
        <f>IF(C120="","",VLOOKUP(C120,всецены,2,FALSE))</f>
        <v xml:space="preserve">LBX, Загл, внутр, бел, симм (М,С,F)     </v>
      </c>
      <c r="E120" s="1906">
        <f>IF(C120="",0,2)</f>
        <v>2</v>
      </c>
      <c r="F120" s="1907">
        <f>IF(C120="",0,VLOOKUP(C120,всецены,4,FALSE))</f>
        <v>8.9453364000000004</v>
      </c>
      <c r="G120" s="1916">
        <f t="shared" si="38"/>
        <v>8.9453364000000004</v>
      </c>
      <c r="H120" s="1917">
        <f t="shared" si="39"/>
        <v>17.890672800000001</v>
      </c>
      <c r="I120" s="2386"/>
      <c r="L120" s="771"/>
      <c r="M120" s="771"/>
      <c r="N120" s="771"/>
      <c r="O120" s="771"/>
      <c r="P120" s="771"/>
      <c r="Q120" s="771"/>
      <c r="R120" s="771"/>
      <c r="S120" s="771"/>
      <c r="T120" s="771"/>
      <c r="U120" s="771"/>
      <c r="AC120" s="771"/>
      <c r="AD120" s="771"/>
      <c r="AN120" s="1418"/>
      <c r="AO120" s="1418"/>
      <c r="AP120" s="1418"/>
      <c r="AQ120" s="1418"/>
    </row>
    <row r="121" spans="1:123" ht="12.75" customHeight="1" x14ac:dyDescent="0.2">
      <c r="A121" s="2384"/>
      <c r="B121" s="2073"/>
      <c r="C121" s="1899" t="str">
        <f>C102</f>
        <v>7944577/</v>
      </c>
      <c r="D121" s="1905" t="str">
        <f>IF(C121="","",VLOOKUP(C121,всецены,2,FALSE))</f>
        <v xml:space="preserve">LBX, Загл, наружн, бел, симм с лого     </v>
      </c>
      <c r="E121" s="1906">
        <f>IF(C121="",0,2)</f>
        <v>2</v>
      </c>
      <c r="F121" s="1907">
        <f>IF(C121="",0,VLOOKUP(C121,всецены,4,FALSE))</f>
        <v>14.637823200000001</v>
      </c>
      <c r="G121" s="1916">
        <f t="shared" si="38"/>
        <v>14.637823200000001</v>
      </c>
      <c r="H121" s="1917">
        <f t="shared" si="39"/>
        <v>29.275646400000003</v>
      </c>
      <c r="I121" s="2386"/>
      <c r="L121" s="771"/>
      <c r="M121" s="771"/>
      <c r="N121" s="771"/>
      <c r="O121" s="771"/>
      <c r="P121" s="771"/>
      <c r="Q121" s="771"/>
      <c r="R121" s="771"/>
      <c r="S121" s="771"/>
      <c r="T121" s="771"/>
      <c r="U121" s="771"/>
      <c r="AC121" s="771"/>
      <c r="AD121" s="771"/>
      <c r="AG121" s="1418"/>
      <c r="AH121" s="1418"/>
      <c r="AN121" s="1418"/>
      <c r="AO121" s="1418"/>
      <c r="AP121" s="1418"/>
      <c r="AQ121" s="1418"/>
    </row>
    <row r="122" spans="1:123" ht="12.75" customHeight="1" x14ac:dyDescent="0.2">
      <c r="A122" s="2384"/>
      <c r="B122" s="2073"/>
      <c r="C122" s="1899" t="str">
        <f>VLOOKUP($D$3,LBX.C,4,FALSE)</f>
        <v>4922514/</v>
      </c>
      <c r="D122" s="1899" t="str">
        <f>IF(C122=0,"",VLOOKUP(C122,всецены,2,FALSE))</f>
        <v xml:space="preserve">LBX, Направл. с BM, 40 кг, 500 мм, лев  </v>
      </c>
      <c r="E122" s="1915">
        <v>1</v>
      </c>
      <c r="F122" s="1916">
        <f t="shared" si="37"/>
        <v>670.90023000000008</v>
      </c>
      <c r="G122" s="1916">
        <f t="shared" si="38"/>
        <v>670.90023000000008</v>
      </c>
      <c r="H122" s="1917">
        <f>IF(C122=0,0,G122*E122)</f>
        <v>670.90023000000008</v>
      </c>
      <c r="I122" s="2386"/>
      <c r="L122" s="771"/>
      <c r="M122" s="771"/>
      <c r="N122" s="771"/>
      <c r="O122" s="771"/>
      <c r="P122" s="771"/>
      <c r="Q122" s="771"/>
      <c r="R122" s="771"/>
      <c r="S122" s="771"/>
      <c r="T122" s="771"/>
      <c r="U122" s="771"/>
      <c r="AC122" s="771"/>
      <c r="AD122" s="771"/>
      <c r="AG122" s="1418"/>
      <c r="AH122" s="1418"/>
      <c r="AN122" s="1418"/>
      <c r="AO122" s="1418"/>
      <c r="AP122" s="1418"/>
      <c r="AQ122" s="1418"/>
    </row>
    <row r="123" spans="1:123" ht="12.75" customHeight="1" x14ac:dyDescent="0.2">
      <c r="A123" s="843"/>
      <c r="B123" s="2073"/>
      <c r="C123" s="1899" t="str">
        <f>VLOOKUP($D$3,LBX.C,5,FALSE)</f>
        <v>4737284/</v>
      </c>
      <c r="D123" s="1899" t="str">
        <f>IF(C123=0,"",VLOOKUP(C123,всецены,2,FALSE))</f>
        <v xml:space="preserve">LBX, Направл. с BM, 40 кг, 500 мм, прав </v>
      </c>
      <c r="E123" s="1915">
        <v>1</v>
      </c>
      <c r="F123" s="1916">
        <f t="shared" si="37"/>
        <v>670.90023000000008</v>
      </c>
      <c r="G123" s="1916">
        <f t="shared" si="38"/>
        <v>670.90023000000008</v>
      </c>
      <c r="H123" s="1917">
        <f>IF(C123=0,0,G123*E123)</f>
        <v>670.90023000000008</v>
      </c>
      <c r="I123" s="2386"/>
      <c r="L123" s="771"/>
      <c r="M123" s="771"/>
      <c r="N123" s="771"/>
      <c r="O123" s="771"/>
      <c r="P123" s="771"/>
      <c r="Q123" s="771"/>
      <c r="R123" s="771"/>
      <c r="S123" s="771"/>
      <c r="T123" s="771"/>
      <c r="U123" s="771"/>
      <c r="V123" s="771"/>
      <c r="W123" s="771"/>
      <c r="X123" s="771"/>
      <c r="Y123" s="771"/>
      <c r="Z123" s="771"/>
      <c r="AA123" s="771"/>
      <c r="AB123" s="771"/>
      <c r="AC123" s="771"/>
      <c r="AD123" s="771"/>
      <c r="AG123" s="1418"/>
      <c r="AH123" s="1418"/>
      <c r="AN123" s="1418"/>
      <c r="AO123" s="1418"/>
      <c r="AP123" s="1418"/>
      <c r="AQ123" s="1418"/>
    </row>
    <row r="124" spans="1:123" ht="12.75" customHeight="1" x14ac:dyDescent="0.2">
      <c r="A124" s="843"/>
      <c r="B124" s="2073"/>
      <c r="C124" s="1899" t="str">
        <f>C105</f>
        <v>3217302/</v>
      </c>
      <c r="D124" s="1899" t="str">
        <f>IF(C124=0,"",VLOOKUP(C124,всецены,2,FALSE))</f>
        <v xml:space="preserve">LBX, Боковина C 176,8/500 мм, бел, лев  </v>
      </c>
      <c r="E124" s="1915">
        <v>1</v>
      </c>
      <c r="F124" s="1916">
        <f t="shared" si="37"/>
        <v>804.26706360000003</v>
      </c>
      <c r="G124" s="1916">
        <f t="shared" si="38"/>
        <v>804.26706360000003</v>
      </c>
      <c r="H124" s="1917">
        <f>IF(C124=0,0,G124*E124)</f>
        <v>804.26706360000003</v>
      </c>
      <c r="I124" s="2386"/>
      <c r="L124" s="771"/>
      <c r="M124" s="771"/>
      <c r="N124" s="771"/>
      <c r="O124" s="771"/>
      <c r="P124" s="771"/>
      <c r="Q124" s="771"/>
      <c r="R124" s="771"/>
      <c r="S124" s="771"/>
      <c r="T124" s="771"/>
      <c r="U124" s="771"/>
      <c r="V124" s="771"/>
      <c r="W124" s="771"/>
      <c r="X124" s="771"/>
      <c r="Y124" s="771"/>
      <c r="Z124" s="771"/>
      <c r="AB124" s="771"/>
      <c r="AC124" s="771"/>
      <c r="AD124" s="771"/>
      <c r="AE124" s="771"/>
      <c r="AF124" s="771"/>
    </row>
    <row r="125" spans="1:123" ht="12.75" customHeight="1" thickBot="1" x14ac:dyDescent="0.25">
      <c r="B125" s="2074"/>
      <c r="C125" s="1885" t="str">
        <f>C106</f>
        <v>3047850/</v>
      </c>
      <c r="D125" s="1879" t="str">
        <f>IF(C125="","",VLOOKUP(C125,всецены,2,FALSE))</f>
        <v xml:space="preserve">LBX, Боковина C 176,8/500 мм, бел, прав </v>
      </c>
      <c r="E125" s="1886">
        <f>IF(C125="",0,1)</f>
        <v>1</v>
      </c>
      <c r="F125" s="1876">
        <f>IF(C125="",0,VLOOKUP(C125,всецены,4,FALSE))</f>
        <v>804.26706360000003</v>
      </c>
      <c r="G125" s="1887">
        <f t="shared" si="38"/>
        <v>804.26706360000003</v>
      </c>
      <c r="H125" s="1888">
        <f>IF(C125=0,0,G125*E125)</f>
        <v>804.26706360000003</v>
      </c>
      <c r="I125" s="2387"/>
      <c r="L125" s="771"/>
      <c r="M125" s="771"/>
      <c r="N125" s="771"/>
      <c r="O125" s="771"/>
      <c r="P125" s="771"/>
      <c r="Q125" s="771"/>
      <c r="R125" s="771"/>
      <c r="S125" s="771"/>
      <c r="T125" s="771"/>
      <c r="U125" s="771"/>
      <c r="V125" s="771"/>
      <c r="W125" s="771"/>
      <c r="X125" s="771"/>
      <c r="Y125" s="771"/>
      <c r="Z125" s="771"/>
      <c r="AB125" s="771"/>
      <c r="AC125" s="771"/>
      <c r="AD125" s="771"/>
      <c r="AE125" s="771"/>
      <c r="AF125" s="771"/>
    </row>
    <row r="126" spans="1:123" ht="15" customHeight="1" x14ac:dyDescent="0.2">
      <c r="B126" s="8"/>
      <c r="C126" s="8"/>
      <c r="D126" s="8"/>
      <c r="E126" s="841"/>
      <c r="F126" s="1441"/>
      <c r="G126" s="1441"/>
      <c r="H126" s="37"/>
      <c r="I126" s="35"/>
      <c r="L126" s="771"/>
      <c r="M126" s="771"/>
      <c r="N126" s="771"/>
      <c r="O126" s="771"/>
      <c r="P126" s="771"/>
      <c r="Q126" s="771"/>
      <c r="R126" s="771"/>
      <c r="S126" s="771"/>
      <c r="T126" s="771"/>
      <c r="U126" s="771"/>
      <c r="V126" s="771"/>
      <c r="W126" s="771"/>
      <c r="X126" s="771"/>
      <c r="Y126" s="771"/>
      <c r="Z126" s="771"/>
      <c r="AA126" s="771"/>
      <c r="AB126" s="771"/>
      <c r="AC126" s="771"/>
      <c r="AD126" s="771"/>
      <c r="AE126" s="771"/>
      <c r="AF126" s="771"/>
    </row>
    <row r="127" spans="1:123" ht="20.100000000000001" customHeight="1" x14ac:dyDescent="0.2">
      <c r="A127" s="843"/>
      <c r="B127" s="2393" t="s">
        <v>2356</v>
      </c>
      <c r="C127" s="2394"/>
      <c r="D127" s="2394"/>
      <c r="E127" s="2394"/>
      <c r="F127" s="2394"/>
      <c r="G127" s="2394"/>
      <c r="H127" s="2394"/>
      <c r="I127" s="873"/>
      <c r="L127" s="771"/>
      <c r="M127" s="771"/>
      <c r="N127" s="771"/>
      <c r="O127" s="771"/>
      <c r="P127" s="771"/>
      <c r="Q127" s="771"/>
      <c r="R127" s="771"/>
      <c r="S127" s="771"/>
      <c r="T127" s="771"/>
      <c r="U127" s="771"/>
      <c r="V127" s="771"/>
      <c r="W127" s="771"/>
      <c r="X127" s="771"/>
      <c r="Y127" s="771"/>
      <c r="Z127" s="771"/>
      <c r="AA127" s="771"/>
      <c r="AB127" s="771"/>
      <c r="AC127" s="771"/>
      <c r="AD127" s="771"/>
      <c r="AE127" s="771"/>
      <c r="AF127" s="771"/>
    </row>
    <row r="128" spans="1:123" ht="20.100000000000001" customHeight="1" thickBot="1" x14ac:dyDescent="0.25">
      <c r="A128" s="843"/>
      <c r="B128" s="2396"/>
      <c r="C128" s="2396"/>
      <c r="D128" s="2396"/>
      <c r="E128" s="2396"/>
      <c r="F128" s="2396"/>
      <c r="G128" s="2396"/>
      <c r="H128" s="2396"/>
      <c r="I128" s="688" t="str">
        <f>CONCATENATE("F",$C$130,$D$3)</f>
        <v>F500БЕЛЫЙ ШЕЛК - матовый</v>
      </c>
      <c r="L128" s="771"/>
      <c r="M128" s="771"/>
      <c r="N128" s="771"/>
      <c r="O128" s="771"/>
      <c r="P128" s="771"/>
      <c r="Q128" s="771"/>
      <c r="R128" s="771"/>
      <c r="S128" s="771"/>
      <c r="T128" s="771"/>
      <c r="U128" s="771"/>
      <c r="V128" s="771"/>
      <c r="W128" s="771"/>
      <c r="X128" s="771"/>
      <c r="Y128" s="771"/>
      <c r="Z128" s="771"/>
      <c r="AA128" s="771"/>
      <c r="AB128" s="771"/>
      <c r="AC128" s="771"/>
      <c r="AD128" s="771"/>
      <c r="AE128" s="771"/>
      <c r="AF128" s="771"/>
    </row>
    <row r="129" spans="1:82" ht="15" customHeight="1" x14ac:dyDescent="0.2">
      <c r="A129" s="843"/>
      <c r="B129" s="1524" t="str">
        <f>IF($D$4="Индивидуальная","450,500мм","270,350,450,500мм")</f>
        <v>270,350,450,500мм</v>
      </c>
      <c r="C129" s="2392" t="str">
        <f>IF(OR(D4="Промышленная",D4="Торговая"),"",IFERROR(VLOOKUP(I128,Индивидуальная,2,FALSE),""))</f>
        <v/>
      </c>
      <c r="D129" s="2392"/>
      <c r="E129" s="719"/>
      <c r="F129" s="1922" t="str">
        <f>IF(C138=0,"Данный размер недоступен","")</f>
        <v/>
      </c>
      <c r="G129" s="1445"/>
      <c r="H129" s="720"/>
      <c r="I129" s="721"/>
      <c r="L129" s="771"/>
      <c r="M129" s="771"/>
      <c r="N129" s="771"/>
      <c r="O129" s="771"/>
      <c r="P129" s="771"/>
      <c r="Q129" s="771"/>
      <c r="R129" s="771"/>
      <c r="S129" s="771"/>
      <c r="T129" s="771"/>
      <c r="U129" s="771"/>
      <c r="V129" s="771"/>
      <c r="W129" s="771"/>
      <c r="X129" s="771"/>
      <c r="Y129" s="771"/>
      <c r="Z129" s="771"/>
      <c r="AA129" s="771"/>
      <c r="AB129" s="771"/>
      <c r="AC129" s="771"/>
      <c r="AD129" s="771"/>
      <c r="AE129" s="771"/>
      <c r="AF129" s="771"/>
    </row>
    <row r="130" spans="1:82" ht="15.75" customHeight="1" thickBot="1" x14ac:dyDescent="0.25">
      <c r="A130" s="843"/>
      <c r="B130" s="844" t="s">
        <v>1639</v>
      </c>
      <c r="C130" s="850">
        <v>500</v>
      </c>
      <c r="D130" s="1882" t="s">
        <v>1689</v>
      </c>
      <c r="E130" s="1882"/>
      <c r="F130" s="1519"/>
      <c r="G130" s="1519"/>
      <c r="H130" s="1925"/>
      <c r="I130" s="2388" t="str">
        <f>IF(СОДЕРЖАНИЕ!P2=1,"EUR","RUB")</f>
        <v>RUB</v>
      </c>
      <c r="L130" s="771"/>
      <c r="M130" s="771"/>
      <c r="N130" s="771"/>
      <c r="O130" s="771"/>
      <c r="P130" s="771"/>
      <c r="Q130" s="771"/>
      <c r="R130" s="771"/>
      <c r="S130" s="771"/>
      <c r="T130" s="771"/>
      <c r="U130" s="771"/>
      <c r="V130" s="771"/>
      <c r="W130" s="771"/>
      <c r="X130" s="771"/>
      <c r="Y130" s="771"/>
      <c r="Z130" s="771"/>
      <c r="AA130" s="771"/>
      <c r="AB130" s="771"/>
      <c r="AC130" s="771"/>
      <c r="AD130" s="771"/>
      <c r="AE130" s="771"/>
      <c r="AF130" s="771"/>
    </row>
    <row r="131" spans="1:82" ht="10.5" customHeight="1" x14ac:dyDescent="0.2">
      <c r="A131" s="843"/>
      <c r="B131" s="2383"/>
      <c r="C131" s="135" t="s">
        <v>1301</v>
      </c>
      <c r="D131" s="1861" t="s">
        <v>784</v>
      </c>
      <c r="E131" s="1862" t="s">
        <v>2117</v>
      </c>
      <c r="F131" s="1896"/>
      <c r="G131" s="1926" t="s">
        <v>4335</v>
      </c>
      <c r="H131" s="1927" t="s">
        <v>2116</v>
      </c>
      <c r="I131" s="2389"/>
      <c r="L131" s="771"/>
      <c r="M131" s="771"/>
      <c r="N131" s="771"/>
      <c r="O131" s="771"/>
      <c r="P131" s="771"/>
      <c r="Q131" s="771"/>
      <c r="R131" s="771"/>
      <c r="S131" s="771"/>
      <c r="T131" s="771"/>
      <c r="U131" s="771"/>
      <c r="V131" s="771"/>
      <c r="W131" s="771"/>
      <c r="X131" s="771"/>
      <c r="Y131" s="771"/>
      <c r="Z131" s="771"/>
      <c r="AA131" s="771"/>
      <c r="AB131" s="771"/>
      <c r="AC131" s="771"/>
      <c r="AD131" s="771"/>
      <c r="AE131" s="771"/>
      <c r="AF131" s="771"/>
    </row>
    <row r="132" spans="1:82" ht="12.75" customHeight="1" x14ac:dyDescent="0.2">
      <c r="A132" s="2384"/>
      <c r="B132" s="2073"/>
      <c r="C132" s="1899" t="s">
        <v>2327</v>
      </c>
      <c r="D132" s="1905" t="str">
        <f t="shared" ref="D132:D135" si="40">VLOOKUP(C132,всецены,2,FALSE)</f>
        <v xml:space="preserve">LBX, Крепление фасада С, EXPANDO, симм  </v>
      </c>
      <c r="E132" s="1915">
        <v>2</v>
      </c>
      <c r="F132" s="1916">
        <f t="shared" ref="F132:F141" si="41">VLOOKUP(C132,всецены,4,FALSE)</f>
        <v>51.232381200000006</v>
      </c>
      <c r="G132" s="1916">
        <f t="shared" ref="G132:G141" si="42">IF($D$4="Индивидуальная",0,F132)</f>
        <v>51.232381200000006</v>
      </c>
      <c r="H132" s="1917">
        <f>G132*E132</f>
        <v>102.46476240000001</v>
      </c>
      <c r="I132" s="2385">
        <f>IF(C129="",SUM(H132:H141),VLOOKUP(C129,всецены,4,FALSE))</f>
        <v>4747.5339912000009</v>
      </c>
      <c r="L132" s="771"/>
      <c r="M132" s="2398" t="str">
        <f>$D$3</f>
        <v>БЕЛЫЙ ШЕЛК - матовый</v>
      </c>
      <c r="N132" s="2399"/>
      <c r="O132" s="2399"/>
      <c r="P132" s="2399"/>
      <c r="Q132" s="2399"/>
      <c r="R132" s="2399"/>
      <c r="S132" s="2399"/>
      <c r="T132" s="2400"/>
      <c r="U132" s="771"/>
      <c r="V132" s="2430" t="str">
        <f>V97</f>
        <v>ORION матово-серый</v>
      </c>
      <c r="W132" s="2431"/>
      <c r="X132" s="2431"/>
      <c r="Y132" s="2431"/>
      <c r="Z132" s="2431"/>
      <c r="AA132" s="2431"/>
      <c r="AB132" s="2431"/>
      <c r="AC132" s="2431"/>
      <c r="AE132" s="2407" t="str">
        <f>AE97</f>
        <v>БЕЛЫЙ ШЕЛК - матовый</v>
      </c>
      <c r="AF132" s="2407"/>
      <c r="AG132" s="2407"/>
      <c r="AH132" s="2407"/>
      <c r="AI132" s="2407"/>
      <c r="AJ132" s="2407"/>
      <c r="AK132" s="2407"/>
      <c r="AL132" s="2407"/>
      <c r="AM132" s="8"/>
      <c r="AN132" s="2427" t="str">
        <f>AN97</f>
        <v>ТЕРРА ЧЕРНЫЙ - матовый</v>
      </c>
      <c r="AO132" s="2428"/>
      <c r="AP132" s="2428"/>
      <c r="AQ132" s="2428"/>
      <c r="AR132" s="2428"/>
      <c r="AS132" s="2428"/>
      <c r="AT132" s="2428"/>
      <c r="AU132" s="2428"/>
      <c r="AV132" s="8"/>
      <c r="AW132" s="2425" t="str">
        <f>AW97</f>
        <v>Гавана Коричневый</v>
      </c>
      <c r="AX132" s="2426"/>
      <c r="AY132" s="2426"/>
      <c r="AZ132" s="2426"/>
      <c r="BA132" s="2426"/>
      <c r="BB132" s="2426"/>
      <c r="BC132" s="2426"/>
      <c r="BD132" s="2426"/>
      <c r="BG132" s="771" t="str">
        <f>D3</f>
        <v>БЕЛЫЙ ШЕЛК - матовый</v>
      </c>
    </row>
    <row r="133" spans="1:82" ht="12.75" customHeight="1" thickBot="1" x14ac:dyDescent="0.25">
      <c r="A133" s="2384"/>
      <c r="B133" s="2073"/>
      <c r="C133" s="1899" t="s">
        <v>2329</v>
      </c>
      <c r="D133" s="1905" t="str">
        <f t="shared" si="40"/>
        <v xml:space="preserve">LBX, Крепление фасада M, EXPANDO, симм  </v>
      </c>
      <c r="E133" s="1915">
        <v>2</v>
      </c>
      <c r="F133" s="1916">
        <f t="shared" si="41"/>
        <v>24.396372</v>
      </c>
      <c r="G133" s="1916">
        <f t="shared" si="42"/>
        <v>24.396372</v>
      </c>
      <c r="H133" s="1917">
        <f t="shared" ref="H133:H137" si="43">G133*E133</f>
        <v>48.792743999999999</v>
      </c>
      <c r="I133" s="2386"/>
      <c r="L133" s="771"/>
      <c r="M133" s="771"/>
      <c r="N133" s="771"/>
      <c r="O133" s="771"/>
      <c r="P133" s="771"/>
      <c r="Q133" s="771"/>
      <c r="R133" s="771"/>
      <c r="S133" s="771"/>
      <c r="T133" s="771"/>
      <c r="U133" s="771"/>
      <c r="V133" s="771"/>
      <c r="W133" s="771"/>
      <c r="X133" s="771"/>
      <c r="Y133" s="771"/>
      <c r="Z133" s="771"/>
      <c r="AA133" s="771"/>
      <c r="AB133" s="771"/>
      <c r="AC133" s="771"/>
      <c r="AD133" s="771"/>
      <c r="AE133" s="771"/>
      <c r="AF133" s="771"/>
      <c r="BE133" s="1067"/>
      <c r="BF133" s="1067"/>
      <c r="BH133" s="1856"/>
      <c r="BI133" s="1856"/>
      <c r="BJ133" s="8"/>
      <c r="BK133" s="8"/>
      <c r="BL133" s="1856"/>
      <c r="BM133" s="1856"/>
      <c r="BN133" s="8"/>
      <c r="BO133" s="8"/>
      <c r="BT133" s="1067"/>
      <c r="BU133" s="1067"/>
      <c r="BV133" s="1386"/>
      <c r="BW133" s="1511"/>
      <c r="BX133" s="1386"/>
      <c r="BY133" s="1386"/>
      <c r="BZ133" s="1386"/>
      <c r="CA133" s="1386"/>
      <c r="CB133" s="1386"/>
      <c r="CC133" s="1386"/>
      <c r="CD133" s="1067"/>
    </row>
    <row r="134" spans="1:82" ht="12.75" customHeight="1" x14ac:dyDescent="0.2">
      <c r="A134" s="2384"/>
      <c r="B134" s="2073"/>
      <c r="C134" s="1905" t="str">
        <f>S141</f>
        <v>5060227/</v>
      </c>
      <c r="D134" s="1905" t="str">
        <f t="shared" si="40"/>
        <v>LBX, Держат. задн. ст, 253 мм, бел, лев.</v>
      </c>
      <c r="E134" s="1915">
        <v>1</v>
      </c>
      <c r="F134" s="1916">
        <f t="shared" si="41"/>
        <v>111.41009880000001</v>
      </c>
      <c r="G134" s="1916">
        <f t="shared" si="42"/>
        <v>111.41009880000001</v>
      </c>
      <c r="H134" s="1917">
        <f t="shared" si="43"/>
        <v>111.41009880000001</v>
      </c>
      <c r="I134" s="2386"/>
      <c r="L134" s="885" t="s">
        <v>1346</v>
      </c>
      <c r="M134" s="884" t="s">
        <v>2396</v>
      </c>
      <c r="N134" s="884" t="s">
        <v>2396</v>
      </c>
      <c r="Q134" s="884" t="s">
        <v>2396</v>
      </c>
      <c r="R134" s="884" t="s">
        <v>2396</v>
      </c>
      <c r="S134" s="884" t="s">
        <v>2396</v>
      </c>
      <c r="T134" s="884" t="s">
        <v>2396</v>
      </c>
      <c r="U134" s="885" t="s">
        <v>1346</v>
      </c>
      <c r="V134" s="884" t="s">
        <v>2396</v>
      </c>
      <c r="W134" s="884" t="s">
        <v>2396</v>
      </c>
      <c r="Z134" s="884" t="s">
        <v>2396</v>
      </c>
      <c r="AA134" s="884" t="s">
        <v>2396</v>
      </c>
      <c r="AB134" s="884" t="s">
        <v>2396</v>
      </c>
      <c r="AC134" s="884" t="s">
        <v>2396</v>
      </c>
      <c r="AD134" s="885" t="s">
        <v>1346</v>
      </c>
      <c r="AE134" s="771" t="s">
        <v>2398</v>
      </c>
      <c r="AF134" s="771" t="s">
        <v>2398</v>
      </c>
      <c r="AG134" s="8"/>
      <c r="AH134" s="8"/>
      <c r="AI134" s="771" t="s">
        <v>2398</v>
      </c>
      <c r="AJ134" s="771" t="s">
        <v>2398</v>
      </c>
      <c r="AK134" s="771" t="s">
        <v>2398</v>
      </c>
      <c r="AL134" s="771" t="s">
        <v>2398</v>
      </c>
      <c r="AM134" s="885" t="s">
        <v>1346</v>
      </c>
      <c r="AN134" s="771" t="s">
        <v>2397</v>
      </c>
      <c r="AO134" s="771" t="s">
        <v>2397</v>
      </c>
      <c r="AP134" s="8"/>
      <c r="AQ134" s="8"/>
      <c r="AR134" s="771" t="s">
        <v>2397</v>
      </c>
      <c r="AS134" s="771" t="s">
        <v>2397</v>
      </c>
      <c r="AT134" s="771" t="s">
        <v>2397</v>
      </c>
      <c r="AU134" s="771" t="s">
        <v>2397</v>
      </c>
      <c r="AV134" s="885" t="s">
        <v>1346</v>
      </c>
      <c r="AW134" s="771" t="s">
        <v>2397</v>
      </c>
      <c r="AX134" s="771" t="s">
        <v>2397</v>
      </c>
      <c r="AY134" s="8"/>
      <c r="AZ134" s="8"/>
      <c r="BA134" s="771" t="s">
        <v>2397</v>
      </c>
      <c r="BB134" s="771" t="s">
        <v>2397</v>
      </c>
      <c r="BC134" s="771" t="s">
        <v>2397</v>
      </c>
      <c r="BD134" s="771" t="s">
        <v>2397</v>
      </c>
      <c r="BE134" s="1067"/>
      <c r="BF134" s="1067"/>
      <c r="BG134" s="1098">
        <v>270</v>
      </c>
      <c r="BH134" s="1099"/>
      <c r="BI134" s="1909"/>
      <c r="BJ134" s="1909"/>
      <c r="BK134" s="1909"/>
      <c r="BL134" s="1909"/>
      <c r="BM134" s="1909"/>
      <c r="BN134" s="1908"/>
      <c r="BO134" s="1909"/>
      <c r="BT134" s="1067"/>
      <c r="BU134" s="1067"/>
      <c r="BV134" s="1386"/>
      <c r="BW134" s="1511"/>
      <c r="BX134" s="1386"/>
      <c r="BY134" s="1386"/>
      <c r="BZ134" s="1386"/>
      <c r="CA134" s="1386"/>
      <c r="CB134" s="1386"/>
      <c r="CC134" s="1386"/>
      <c r="CD134" s="1067"/>
    </row>
    <row r="135" spans="1:82" ht="12.75" customHeight="1" x14ac:dyDescent="0.2">
      <c r="A135" s="2384"/>
      <c r="B135" s="2073"/>
      <c r="C135" s="1905" t="str">
        <f>T141</f>
        <v>5083986/</v>
      </c>
      <c r="D135" s="1905" t="str">
        <f t="shared" si="40"/>
        <v>LBX, Держат. задн. ст, 253 мм, бел, прав</v>
      </c>
      <c r="E135" s="1915">
        <v>1</v>
      </c>
      <c r="F135" s="1916">
        <f t="shared" si="41"/>
        <v>111.41009880000001</v>
      </c>
      <c r="G135" s="1916">
        <f t="shared" si="42"/>
        <v>111.41009880000001</v>
      </c>
      <c r="H135" s="1917">
        <f t="shared" si="43"/>
        <v>111.41009880000001</v>
      </c>
      <c r="I135" s="2386"/>
      <c r="L135" s="771"/>
      <c r="M135" s="774" t="s">
        <v>1645</v>
      </c>
      <c r="N135" s="774" t="s">
        <v>1644</v>
      </c>
      <c r="O135" s="771" t="s">
        <v>1641</v>
      </c>
      <c r="P135" s="771" t="s">
        <v>1642</v>
      </c>
      <c r="Q135" s="882" t="s">
        <v>2393</v>
      </c>
      <c r="R135" s="882" t="s">
        <v>2394</v>
      </c>
      <c r="S135" s="8" t="s">
        <v>2391</v>
      </c>
      <c r="T135" s="8" t="s">
        <v>2392</v>
      </c>
      <c r="U135" s="771"/>
      <c r="V135" s="774" t="s">
        <v>1645</v>
      </c>
      <c r="W135" s="774" t="s">
        <v>1644</v>
      </c>
      <c r="X135" s="771" t="s">
        <v>1641</v>
      </c>
      <c r="Y135" s="771" t="s">
        <v>1642</v>
      </c>
      <c r="Z135" s="880" t="s">
        <v>2393</v>
      </c>
      <c r="AA135" s="880" t="s">
        <v>2394</v>
      </c>
      <c r="AB135" s="8" t="s">
        <v>2391</v>
      </c>
      <c r="AC135" s="8" t="s">
        <v>2392</v>
      </c>
      <c r="AD135" s="771"/>
      <c r="AE135" s="774" t="s">
        <v>1645</v>
      </c>
      <c r="AF135" s="774" t="s">
        <v>1644</v>
      </c>
      <c r="AG135" s="771" t="s">
        <v>1641</v>
      </c>
      <c r="AH135" s="771" t="s">
        <v>1642</v>
      </c>
      <c r="AI135" s="880" t="s">
        <v>2393</v>
      </c>
      <c r="AJ135" s="880" t="s">
        <v>2394</v>
      </c>
      <c r="AK135" s="8" t="s">
        <v>2391</v>
      </c>
      <c r="AL135" s="8" t="s">
        <v>2392</v>
      </c>
      <c r="AN135" s="774" t="s">
        <v>1645</v>
      </c>
      <c r="AO135" s="774" t="s">
        <v>1644</v>
      </c>
      <c r="AP135" s="771" t="s">
        <v>1641</v>
      </c>
      <c r="AQ135" s="771" t="s">
        <v>1642</v>
      </c>
      <c r="AR135" s="880" t="s">
        <v>2393</v>
      </c>
      <c r="AS135" s="880" t="s">
        <v>2394</v>
      </c>
      <c r="AT135" s="8" t="s">
        <v>2391</v>
      </c>
      <c r="AU135" s="8" t="s">
        <v>2392</v>
      </c>
      <c r="AW135" s="774" t="s">
        <v>1645</v>
      </c>
      <c r="AX135" s="774" t="s">
        <v>1644</v>
      </c>
      <c r="AY135" s="771" t="s">
        <v>1641</v>
      </c>
      <c r="AZ135" s="771" t="s">
        <v>1642</v>
      </c>
      <c r="BA135" s="1068" t="s">
        <v>2393</v>
      </c>
      <c r="BB135" s="1068" t="s">
        <v>2394</v>
      </c>
      <c r="BC135" s="8" t="s">
        <v>2391</v>
      </c>
      <c r="BD135" s="8" t="s">
        <v>2392</v>
      </c>
      <c r="BE135" s="1067"/>
      <c r="BF135" s="1067"/>
      <c r="BG135" s="1101">
        <v>350</v>
      </c>
      <c r="BH135" s="1909"/>
      <c r="BI135" s="1909"/>
      <c r="BJ135" s="1909"/>
      <c r="BK135" s="1909"/>
      <c r="BL135" s="1909"/>
      <c r="BM135" s="1909"/>
      <c r="BN135" s="1908"/>
      <c r="BO135" s="1909"/>
      <c r="BT135" s="1067"/>
      <c r="BU135" s="1067"/>
      <c r="BV135" s="1386"/>
      <c r="BW135" s="1511"/>
      <c r="BX135" s="1386"/>
      <c r="BY135" s="1386"/>
      <c r="BZ135" s="1386"/>
      <c r="CA135" s="1386"/>
      <c r="CB135" s="1386"/>
      <c r="CC135" s="1386"/>
      <c r="CD135" s="1067"/>
    </row>
    <row r="136" spans="1:82" ht="12.75" customHeight="1" x14ac:dyDescent="0.2">
      <c r="A136" s="2384"/>
      <c r="B136" s="2073"/>
      <c r="C136" s="1899" t="str">
        <f>IF(C139="","",VLOOKUP($D$3,LBX.C,6,FALSE))</f>
        <v>8322157/</v>
      </c>
      <c r="D136" s="1905" t="str">
        <f>IF(C136="","",VLOOKUP(C136,всецены,2,FALSE))</f>
        <v xml:space="preserve">LBX, Загл, внутр, бел, симм (М,С,F)     </v>
      </c>
      <c r="E136" s="1906">
        <f>IF(C136="",0,2)</f>
        <v>2</v>
      </c>
      <c r="F136" s="1907">
        <f>IF(C136="",0,VLOOKUP(C136,всецены,4,FALSE))</f>
        <v>8.9453364000000004</v>
      </c>
      <c r="G136" s="1916">
        <f t="shared" si="42"/>
        <v>8.9453364000000004</v>
      </c>
      <c r="H136" s="1917">
        <f t="shared" si="43"/>
        <v>17.890672800000001</v>
      </c>
      <c r="I136" s="2386"/>
      <c r="L136" s="771">
        <v>270</v>
      </c>
      <c r="M136" s="892" t="str">
        <f t="shared" ref="M136:T136" si="44">IF($M$26=$V$132,VLOOKUP($L136,$U$136:$AC$141,V$142,0),IF($M$26=$AE$132,VLOOKUP($L136,$AD$136:$AL$141,AE$142,0),IF($M$26=$AN$132,VLOOKUP($L136,$AM$136:$AU$141,AN$142,0),VLOOKUP($L136,$AV$136:$BD$141,AW$142,0))))</f>
        <v>6481733/</v>
      </c>
      <c r="N136" s="892" t="str">
        <f t="shared" si="44"/>
        <v>6482622/</v>
      </c>
      <c r="O136" s="892" t="str">
        <f t="shared" si="44"/>
        <v>4539613/</v>
      </c>
      <c r="P136" s="892" t="str">
        <f t="shared" si="44"/>
        <v>4459332/</v>
      </c>
      <c r="Q136" s="892" t="str">
        <f t="shared" si="44"/>
        <v>8322157/</v>
      </c>
      <c r="R136" s="892" t="str">
        <f t="shared" si="44"/>
        <v>7944577/</v>
      </c>
      <c r="S136" s="892" t="str">
        <f t="shared" si="44"/>
        <v>5060227/</v>
      </c>
      <c r="T136" s="892" t="str">
        <f t="shared" si="44"/>
        <v>5083986/</v>
      </c>
      <c r="U136" s="771">
        <v>270</v>
      </c>
      <c r="V136" s="1392" t="s">
        <v>3623</v>
      </c>
      <c r="W136" s="1392" t="s">
        <v>3624</v>
      </c>
      <c r="X136" s="696" t="s">
        <v>3316</v>
      </c>
      <c r="Y136" s="696" t="s">
        <v>3315</v>
      </c>
      <c r="Z136" s="164" t="s">
        <v>2282</v>
      </c>
      <c r="AA136" s="43" t="s">
        <v>2486</v>
      </c>
      <c r="AB136" s="43" t="s">
        <v>2285</v>
      </c>
      <c r="AC136" s="43" t="s">
        <v>2270</v>
      </c>
      <c r="AD136" s="771">
        <v>270</v>
      </c>
      <c r="AE136" s="886" t="s">
        <v>3667</v>
      </c>
      <c r="AF136" s="886" t="s">
        <v>3668</v>
      </c>
      <c r="AG136" s="886" t="s">
        <v>3316</v>
      </c>
      <c r="AH136" s="886" t="s">
        <v>3315</v>
      </c>
      <c r="AI136" s="888" t="s">
        <v>2336</v>
      </c>
      <c r="AJ136" s="888" t="s">
        <v>2377</v>
      </c>
      <c r="AK136" s="888" t="s">
        <v>2309</v>
      </c>
      <c r="AL136" s="888" t="s">
        <v>2312</v>
      </c>
      <c r="AM136" s="771">
        <v>270</v>
      </c>
      <c r="AN136" s="886" t="s">
        <v>3706</v>
      </c>
      <c r="AO136" s="886" t="s">
        <v>3707</v>
      </c>
      <c r="AP136" s="886" t="s">
        <v>3316</v>
      </c>
      <c r="AQ136" s="886" t="s">
        <v>3315</v>
      </c>
      <c r="AR136" s="888" t="s">
        <v>2319</v>
      </c>
      <c r="AS136" s="888" t="s">
        <v>2342</v>
      </c>
      <c r="AT136" s="888" t="s">
        <v>2818</v>
      </c>
      <c r="AU136" s="888" t="s">
        <v>2815</v>
      </c>
      <c r="AV136" s="771">
        <v>270</v>
      </c>
      <c r="AW136" s="886"/>
      <c r="AX136" s="886"/>
      <c r="AY136" s="886" t="s">
        <v>3316</v>
      </c>
      <c r="AZ136" s="886" t="s">
        <v>3315</v>
      </c>
      <c r="BA136" s="888" t="s">
        <v>2850</v>
      </c>
      <c r="BB136" s="888" t="s">
        <v>2852</v>
      </c>
      <c r="BC136" s="888" t="s">
        <v>2865</v>
      </c>
      <c r="BD136" s="888" t="s">
        <v>2846</v>
      </c>
      <c r="BE136" s="1067"/>
      <c r="BF136" s="1067"/>
      <c r="BG136" s="1101">
        <v>400</v>
      </c>
      <c r="BH136" s="1909"/>
      <c r="BI136" s="1909"/>
      <c r="BJ136" s="1909"/>
      <c r="BK136" s="1909"/>
      <c r="BL136" s="1909"/>
      <c r="BM136" s="1909"/>
      <c r="BN136" s="1908"/>
      <c r="BO136" s="1909"/>
      <c r="BT136" s="1067"/>
      <c r="BU136" s="1067"/>
      <c r="BV136" s="1386"/>
      <c r="BW136" s="1511"/>
      <c r="BX136" s="1386"/>
      <c r="BY136" s="1386"/>
      <c r="BZ136" s="1386"/>
      <c r="CA136" s="1386"/>
      <c r="CB136" s="1386"/>
      <c r="CC136" s="1386"/>
      <c r="CD136" s="1067"/>
    </row>
    <row r="137" spans="1:82" ht="12.75" customHeight="1" thickBot="1" x14ac:dyDescent="0.25">
      <c r="A137" s="2384"/>
      <c r="B137" s="2073"/>
      <c r="C137" s="1899" t="str">
        <f>IF(C139="","",VLOOKUP($D$3,LBX.C,7,FALSE))</f>
        <v>7944577/</v>
      </c>
      <c r="D137" s="1905" t="str">
        <f>IF(C137="","",VLOOKUP(C137,всецены,2,FALSE))</f>
        <v xml:space="preserve">LBX, Загл, наружн, бел, симм с лого     </v>
      </c>
      <c r="E137" s="1906">
        <f>IF(C137="",0,2)</f>
        <v>2</v>
      </c>
      <c r="F137" s="1907">
        <f>IF(C137="",0,VLOOKUP(C137,всецены,4,FALSE))</f>
        <v>14.637823200000001</v>
      </c>
      <c r="G137" s="1916">
        <f t="shared" si="42"/>
        <v>14.637823200000001</v>
      </c>
      <c r="H137" s="1917">
        <f t="shared" si="43"/>
        <v>29.275646400000003</v>
      </c>
      <c r="I137" s="2386"/>
      <c r="L137" s="771">
        <v>300</v>
      </c>
      <c r="M137" s="1946"/>
      <c r="N137" s="1946"/>
      <c r="O137" s="1946"/>
      <c r="P137" s="1946"/>
      <c r="Q137" s="1946"/>
      <c r="R137" s="1946"/>
      <c r="S137" s="1946"/>
      <c r="T137" s="1946"/>
      <c r="U137" s="771"/>
      <c r="V137" s="1947"/>
      <c r="W137" s="1947"/>
      <c r="X137" s="875"/>
      <c r="Y137" s="875"/>
      <c r="Z137" s="1948"/>
      <c r="AA137" s="1949"/>
      <c r="AB137" s="1949"/>
      <c r="AC137" s="1949"/>
      <c r="AD137" s="771"/>
      <c r="AE137" s="1950"/>
      <c r="AF137" s="1950"/>
      <c r="AG137" s="1160"/>
      <c r="AH137" s="1160"/>
      <c r="AI137" s="1951"/>
      <c r="AJ137" s="1951"/>
      <c r="AK137" s="1951"/>
      <c r="AL137" s="1951"/>
      <c r="AN137" s="1950"/>
      <c r="AO137" s="1950"/>
      <c r="AP137" s="1160"/>
      <c r="AQ137" s="1160"/>
      <c r="AR137" s="1951"/>
      <c r="AS137" s="1951"/>
      <c r="AT137" s="1951"/>
      <c r="AU137" s="1951"/>
      <c r="AW137" s="1950"/>
      <c r="AX137" s="1950"/>
      <c r="AY137" s="1160"/>
      <c r="AZ137" s="1160"/>
      <c r="BA137" s="1951"/>
      <c r="BB137" s="1951"/>
      <c r="BC137" s="1951"/>
      <c r="BD137" s="1951"/>
      <c r="BE137" s="1067"/>
      <c r="BF137" s="1067"/>
      <c r="BG137" s="1104">
        <v>450</v>
      </c>
      <c r="BH137" s="1909"/>
      <c r="BI137" s="1909"/>
      <c r="BJ137" s="1909"/>
      <c r="BK137" s="1909"/>
      <c r="BL137" s="1909"/>
      <c r="BM137" s="1909"/>
      <c r="BN137" s="1908"/>
      <c r="BO137" s="1909"/>
      <c r="BT137" s="1067"/>
      <c r="BU137" s="1067"/>
      <c r="BV137" s="1386"/>
      <c r="BW137" s="1511"/>
      <c r="BX137" s="1386"/>
      <c r="BY137" s="1386"/>
      <c r="BZ137" s="1386"/>
      <c r="CA137" s="1386"/>
      <c r="CB137" s="1386"/>
      <c r="CC137" s="1386"/>
      <c r="CD137" s="1067"/>
    </row>
    <row r="138" spans="1:82" ht="12.75" customHeight="1" x14ac:dyDescent="0.2">
      <c r="A138" s="2384"/>
      <c r="B138" s="2073"/>
      <c r="C138" s="1905" t="str">
        <f>IF(OR(D4="Торговая",D4="Индивидуальная"),VLOOKUP(D3,BG164:BH167,2,0),VLOOKUP($C$130,$L$136:$T$141,2,FALSE))</f>
        <v>3854456/</v>
      </c>
      <c r="D138" s="1905" t="str">
        <f>IF(C138=0,"",VLOOKUP(C138,всецены,2,FALSE))</f>
        <v xml:space="preserve">LBX, Боковина F 241/500 мм, бел, лев    </v>
      </c>
      <c r="E138" s="1915">
        <v>1</v>
      </c>
      <c r="F138" s="1916">
        <f t="shared" si="41"/>
        <v>1492.2447540000001</v>
      </c>
      <c r="G138" s="1916">
        <f t="shared" si="42"/>
        <v>1492.2447540000001</v>
      </c>
      <c r="H138" s="1917">
        <f>IF(C138=0,"",G138*E138)</f>
        <v>1492.2447540000001</v>
      </c>
      <c r="I138" s="2386"/>
      <c r="L138" s="771">
        <v>350</v>
      </c>
      <c r="M138" s="892" t="str">
        <f t="shared" ref="M138:T141" si="45">IF($M$26=$V$132,VLOOKUP($L138,$U$136:$AC$141,V$142,0),IF($M$26=$AE$132,VLOOKUP($L138,$AD$136:$AL$141,AE$142,0),IF($M$26=$AN$132,VLOOKUP($L138,$AM$136:$AU$141,AN$142,0),VLOOKUP($L138,$AV$136:$BD$141,AW$142,0))))</f>
        <v>2554244/</v>
      </c>
      <c r="N138" s="892" t="str">
        <f t="shared" si="45"/>
        <v>2753238/</v>
      </c>
      <c r="O138" s="892" t="str">
        <f t="shared" si="45"/>
        <v>4682185/</v>
      </c>
      <c r="P138" s="892" t="str">
        <f t="shared" si="45"/>
        <v>4657978/</v>
      </c>
      <c r="Q138" s="892" t="str">
        <f t="shared" si="45"/>
        <v>8322157/</v>
      </c>
      <c r="R138" s="892" t="str">
        <f t="shared" si="45"/>
        <v>7944577/</v>
      </c>
      <c r="S138" s="892" t="str">
        <f t="shared" si="45"/>
        <v>5060227/</v>
      </c>
      <c r="T138" s="892" t="str">
        <f t="shared" si="45"/>
        <v>5083986/</v>
      </c>
      <c r="U138" s="771">
        <v>350</v>
      </c>
      <c r="V138" s="886" t="s">
        <v>3625</v>
      </c>
      <c r="W138" s="886" t="s">
        <v>3626</v>
      </c>
      <c r="X138" s="771" t="s">
        <v>2373</v>
      </c>
      <c r="Y138" s="771" t="s">
        <v>2372</v>
      </c>
      <c r="Z138" s="164" t="s">
        <v>2282</v>
      </c>
      <c r="AA138" s="43" t="s">
        <v>2486</v>
      </c>
      <c r="AB138" s="43" t="s">
        <v>2285</v>
      </c>
      <c r="AC138" s="43" t="s">
        <v>2270</v>
      </c>
      <c r="AD138" s="771">
        <v>350</v>
      </c>
      <c r="AE138" s="886" t="s">
        <v>3650</v>
      </c>
      <c r="AF138" s="886" t="s">
        <v>3651</v>
      </c>
      <c r="AG138" s="771" t="s">
        <v>2373</v>
      </c>
      <c r="AH138" s="771" t="s">
        <v>2372</v>
      </c>
      <c r="AI138" s="888" t="s">
        <v>2336</v>
      </c>
      <c r="AJ138" s="888" t="s">
        <v>2377</v>
      </c>
      <c r="AK138" s="888" t="s">
        <v>2309</v>
      </c>
      <c r="AL138" s="888" t="s">
        <v>2312</v>
      </c>
      <c r="AM138" s="771">
        <v>350</v>
      </c>
      <c r="AN138" s="886" t="s">
        <v>3701</v>
      </c>
      <c r="AO138" s="886" t="s">
        <v>3702</v>
      </c>
      <c r="AP138" s="771" t="s">
        <v>2373</v>
      </c>
      <c r="AQ138" s="771" t="s">
        <v>2372</v>
      </c>
      <c r="AR138" s="888" t="s">
        <v>2319</v>
      </c>
      <c r="AS138" s="888" t="s">
        <v>2342</v>
      </c>
      <c r="AT138" s="888" t="s">
        <v>2818</v>
      </c>
      <c r="AU138" s="888" t="s">
        <v>2815</v>
      </c>
      <c r="AV138" s="771">
        <v>350</v>
      </c>
      <c r="AW138" s="886"/>
      <c r="AX138" s="886"/>
      <c r="AY138" s="771" t="s">
        <v>2373</v>
      </c>
      <c r="AZ138" s="771" t="s">
        <v>2372</v>
      </c>
      <c r="BA138" s="888" t="s">
        <v>2850</v>
      </c>
      <c r="BB138" s="888" t="s">
        <v>2852</v>
      </c>
      <c r="BC138" s="888" t="s">
        <v>2865</v>
      </c>
      <c r="BD138" s="888" t="s">
        <v>2846</v>
      </c>
      <c r="BE138" s="1067"/>
      <c r="BF138" s="1067"/>
      <c r="BG138" s="771">
        <v>500</v>
      </c>
      <c r="BN138" s="1067"/>
      <c r="BT138" s="1067"/>
      <c r="BU138" s="1067"/>
      <c r="BV138" s="1386"/>
      <c r="BW138" s="1511"/>
      <c r="BX138" s="1386"/>
      <c r="BY138" s="1386"/>
      <c r="BZ138" s="1386"/>
      <c r="CA138" s="1386"/>
      <c r="CB138" s="1386"/>
      <c r="CC138" s="1386"/>
      <c r="CD138" s="1067"/>
    </row>
    <row r="139" spans="1:82" ht="12.75" customHeight="1" x14ac:dyDescent="0.2">
      <c r="A139" s="2384"/>
      <c r="B139" s="2073"/>
      <c r="C139" s="1905" t="str">
        <f>IF(OR(MID($D$138,34,3)="кмп",MID($D$138,34,3)=" км"),"",VLOOKUP($C$130,$L$136:$T$141,3,FALSE))</f>
        <v>3625258/</v>
      </c>
      <c r="D139" s="1905" t="str">
        <f>IF(C139="","",VLOOKUP(C139,всецены,2,FALSE))</f>
        <v xml:space="preserve">LBX, Боковина F 241/500 мм, бел, прав   </v>
      </c>
      <c r="E139" s="1906">
        <f>IF(C139="",0,1)</f>
        <v>1</v>
      </c>
      <c r="F139" s="1907">
        <f>IF(C139="",0,VLOOKUP(C139,всецены,4,FALSE))</f>
        <v>1492.2447540000001</v>
      </c>
      <c r="G139" s="1916">
        <f t="shared" si="42"/>
        <v>1492.2447540000001</v>
      </c>
      <c r="H139" s="1917">
        <f t="shared" ref="H139:H141" si="46">IF(C139=0,"",G139*E139)</f>
        <v>1492.2447540000001</v>
      </c>
      <c r="I139" s="2386"/>
      <c r="L139" s="771">
        <v>400</v>
      </c>
      <c r="M139" s="892" t="str">
        <f t="shared" si="45"/>
        <v>2655629/</v>
      </c>
      <c r="N139" s="892" t="str">
        <f t="shared" si="45"/>
        <v>2658133/</v>
      </c>
      <c r="O139" s="892" t="str">
        <f t="shared" si="45"/>
        <v>4636718/</v>
      </c>
      <c r="P139" s="892" t="str">
        <f t="shared" si="45"/>
        <v>4423390/</v>
      </c>
      <c r="Q139" s="892" t="str">
        <f t="shared" si="45"/>
        <v>8322157/</v>
      </c>
      <c r="R139" s="892" t="str">
        <f t="shared" si="45"/>
        <v>7944577/</v>
      </c>
      <c r="S139" s="892" t="str">
        <f t="shared" si="45"/>
        <v>5060227/</v>
      </c>
      <c r="T139" s="892" t="str">
        <f t="shared" si="45"/>
        <v>5083986/</v>
      </c>
      <c r="U139" s="771">
        <v>400</v>
      </c>
      <c r="V139" s="886"/>
      <c r="W139" s="886"/>
      <c r="X139" s="1088" t="s">
        <v>2988</v>
      </c>
      <c r="Y139" s="1088" t="s">
        <v>2987</v>
      </c>
      <c r="Z139" s="164" t="s">
        <v>2282</v>
      </c>
      <c r="AA139" s="43" t="s">
        <v>2486</v>
      </c>
      <c r="AB139" s="43" t="s">
        <v>2285</v>
      </c>
      <c r="AC139" s="43" t="s">
        <v>2270</v>
      </c>
      <c r="AD139" s="771">
        <v>400</v>
      </c>
      <c r="AE139" s="1117" t="s">
        <v>4077</v>
      </c>
      <c r="AF139" s="1117" t="s">
        <v>4078</v>
      </c>
      <c r="AG139" s="1088" t="s">
        <v>2988</v>
      </c>
      <c r="AH139" s="1088" t="s">
        <v>2987</v>
      </c>
      <c r="AI139" s="888" t="s">
        <v>2336</v>
      </c>
      <c r="AJ139" s="888" t="s">
        <v>2377</v>
      </c>
      <c r="AK139" s="888" t="s">
        <v>2309</v>
      </c>
      <c r="AL139" s="888" t="s">
        <v>2312</v>
      </c>
      <c r="AM139" s="771">
        <v>400</v>
      </c>
      <c r="AN139" s="886"/>
      <c r="AO139" s="886"/>
      <c r="AP139" s="1088" t="s">
        <v>2988</v>
      </c>
      <c r="AQ139" s="1088" t="s">
        <v>2987</v>
      </c>
      <c r="AR139" s="888" t="s">
        <v>2319</v>
      </c>
      <c r="AS139" s="888" t="s">
        <v>2342</v>
      </c>
      <c r="AT139" s="888" t="s">
        <v>2818</v>
      </c>
      <c r="AU139" s="888" t="s">
        <v>2815</v>
      </c>
      <c r="AV139" s="771">
        <v>400</v>
      </c>
      <c r="AW139" s="886"/>
      <c r="AX139" s="886"/>
      <c r="AY139" s="1088" t="s">
        <v>2988</v>
      </c>
      <c r="AZ139" s="1088" t="s">
        <v>2987</v>
      </c>
      <c r="BA139" s="888" t="s">
        <v>2850</v>
      </c>
      <c r="BB139" s="888" t="s">
        <v>2852</v>
      </c>
      <c r="BC139" s="888" t="s">
        <v>2865</v>
      </c>
      <c r="BD139" s="888" t="s">
        <v>2846</v>
      </c>
      <c r="BE139" s="1067"/>
      <c r="BF139" s="1067"/>
      <c r="BN139" s="1067"/>
      <c r="BT139" s="1067"/>
      <c r="BU139" s="1067"/>
      <c r="BV139" s="1386"/>
      <c r="BW139" s="1511"/>
      <c r="BX139" s="1386"/>
      <c r="BY139" s="1386"/>
      <c r="BZ139" s="1386"/>
      <c r="CA139" s="1386"/>
      <c r="CB139" s="1386"/>
      <c r="CC139" s="1386"/>
      <c r="CD139" s="1067"/>
    </row>
    <row r="140" spans="1:82" ht="12.75" customHeight="1" x14ac:dyDescent="0.2">
      <c r="A140" s="2384"/>
      <c r="B140" s="2073"/>
      <c r="C140" s="1905" t="str">
        <f>VLOOKUP($C$130,$L$136:$T$141,4,FALSE)</f>
        <v>4922514/</v>
      </c>
      <c r="D140" s="1905" t="str">
        <f>IF(C140=0,"",VLOOKUP(C140,всецены,2,FALSE))</f>
        <v xml:space="preserve">LBX, Направл. с BM, 40 кг, 500 мм, лев  </v>
      </c>
      <c r="E140" s="1915">
        <v>1</v>
      </c>
      <c r="F140" s="1916">
        <f t="shared" si="41"/>
        <v>670.90023000000008</v>
      </c>
      <c r="G140" s="1916">
        <f t="shared" si="42"/>
        <v>670.90023000000008</v>
      </c>
      <c r="H140" s="1917">
        <f t="shared" si="46"/>
        <v>670.90023000000008</v>
      </c>
      <c r="I140" s="2386"/>
      <c r="L140" s="771">
        <v>450</v>
      </c>
      <c r="M140" s="892" t="str">
        <f t="shared" si="45"/>
        <v>9642984/</v>
      </c>
      <c r="N140" s="892" t="str">
        <f t="shared" si="45"/>
        <v>9652951/</v>
      </c>
      <c r="O140" s="892" t="str">
        <f t="shared" si="45"/>
        <v>9337924/</v>
      </c>
      <c r="P140" s="892" t="str">
        <f t="shared" si="45"/>
        <v>9287449/</v>
      </c>
      <c r="Q140" s="892" t="str">
        <f t="shared" si="45"/>
        <v>8322157/</v>
      </c>
      <c r="R140" s="892" t="str">
        <f t="shared" si="45"/>
        <v>7944577/</v>
      </c>
      <c r="S140" s="892" t="str">
        <f t="shared" si="45"/>
        <v>5060227/</v>
      </c>
      <c r="T140" s="892" t="str">
        <f t="shared" si="45"/>
        <v>5083986/</v>
      </c>
      <c r="U140" s="771">
        <v>450</v>
      </c>
      <c r="V140" s="1036" t="s">
        <v>3621</v>
      </c>
      <c r="W140" s="1392" t="s">
        <v>3622</v>
      </c>
      <c r="X140" s="696" t="s">
        <v>2993</v>
      </c>
      <c r="Y140" s="696" t="s">
        <v>2992</v>
      </c>
      <c r="Z140" s="164" t="s">
        <v>2282</v>
      </c>
      <c r="AA140" s="43" t="s">
        <v>2486</v>
      </c>
      <c r="AB140" s="43" t="s">
        <v>2285</v>
      </c>
      <c r="AC140" s="43" t="s">
        <v>2270</v>
      </c>
      <c r="AD140" s="771">
        <v>450</v>
      </c>
      <c r="AE140" s="886" t="s">
        <v>3677</v>
      </c>
      <c r="AF140" s="886" t="s">
        <v>3678</v>
      </c>
      <c r="AG140" s="886" t="s">
        <v>2993</v>
      </c>
      <c r="AH140" s="886" t="s">
        <v>2992</v>
      </c>
      <c r="AI140" s="888" t="s">
        <v>2336</v>
      </c>
      <c r="AJ140" s="888" t="s">
        <v>2377</v>
      </c>
      <c r="AK140" s="888" t="s">
        <v>2309</v>
      </c>
      <c r="AL140" s="888" t="s">
        <v>2312</v>
      </c>
      <c r="AM140" s="771">
        <v>450</v>
      </c>
      <c r="AN140" s="886" t="s">
        <v>3690</v>
      </c>
      <c r="AO140" s="886" t="s">
        <v>3691</v>
      </c>
      <c r="AP140" s="886" t="s">
        <v>2993</v>
      </c>
      <c r="AQ140" s="886" t="s">
        <v>2992</v>
      </c>
      <c r="AR140" s="888" t="s">
        <v>2319</v>
      </c>
      <c r="AS140" s="888" t="s">
        <v>2342</v>
      </c>
      <c r="AT140" s="888" t="s">
        <v>2818</v>
      </c>
      <c r="AU140" s="888" t="s">
        <v>2815</v>
      </c>
      <c r="AV140" s="771">
        <v>450</v>
      </c>
      <c r="AW140" s="886"/>
      <c r="AX140" s="886"/>
      <c r="AY140" s="886" t="s">
        <v>2993</v>
      </c>
      <c r="AZ140" s="886" t="s">
        <v>2992</v>
      </c>
      <c r="BA140" s="888" t="s">
        <v>2850</v>
      </c>
      <c r="BB140" s="888" t="s">
        <v>2852</v>
      </c>
      <c r="BC140" s="888" t="s">
        <v>2865</v>
      </c>
      <c r="BD140" s="888" t="s">
        <v>2846</v>
      </c>
      <c r="BE140" s="1067"/>
      <c r="BF140" s="1067"/>
      <c r="BG140" s="1067"/>
      <c r="BH140" s="1067"/>
      <c r="BI140" s="1067"/>
      <c r="BJ140" s="1067"/>
      <c r="BK140" s="1067"/>
      <c r="BL140" s="1067"/>
      <c r="BM140" s="1067"/>
      <c r="BN140" s="1067"/>
      <c r="BO140" s="1067"/>
      <c r="BP140" s="1067"/>
      <c r="BQ140" s="1067"/>
      <c r="BR140" s="1067"/>
      <c r="BS140" s="1067"/>
      <c r="BT140" s="1067"/>
      <c r="BU140" s="1067"/>
      <c r="BV140" s="1386"/>
      <c r="BW140" s="1511"/>
      <c r="BX140" s="1386"/>
      <c r="BY140" s="1386"/>
      <c r="BZ140" s="1386"/>
      <c r="CA140" s="1386"/>
      <c r="CB140" s="1386"/>
      <c r="CC140" s="1386"/>
      <c r="CD140" s="1067"/>
    </row>
    <row r="141" spans="1:82" ht="13.5" customHeight="1" thickBot="1" x14ac:dyDescent="0.25">
      <c r="A141" s="2384"/>
      <c r="B141" s="2074"/>
      <c r="C141" s="1874" t="str">
        <f>VLOOKUP($C$130,$L$136:$T$141,5,FALSE)</f>
        <v>4737284/</v>
      </c>
      <c r="D141" s="1874" t="str">
        <f>IF(C141=0,"",VLOOKUP(C141,всецены,2,FALSE))</f>
        <v xml:space="preserve">LBX, Направл. с BM, 40 кг, 500 мм, прав </v>
      </c>
      <c r="E141" s="1928">
        <v>1</v>
      </c>
      <c r="F141" s="1887">
        <f t="shared" si="41"/>
        <v>670.90023000000008</v>
      </c>
      <c r="G141" s="1887">
        <f t="shared" si="42"/>
        <v>670.90023000000008</v>
      </c>
      <c r="H141" s="1888">
        <f t="shared" si="46"/>
        <v>670.90023000000008</v>
      </c>
      <c r="I141" s="2387"/>
      <c r="L141" s="771">
        <v>500</v>
      </c>
      <c r="M141" s="892" t="str">
        <f t="shared" si="45"/>
        <v>3854456/</v>
      </c>
      <c r="N141" s="892" t="str">
        <f t="shared" si="45"/>
        <v>3625258/</v>
      </c>
      <c r="O141" s="892" t="str">
        <f t="shared" si="45"/>
        <v>4922514/</v>
      </c>
      <c r="P141" s="892" t="str">
        <f t="shared" si="45"/>
        <v>4737284/</v>
      </c>
      <c r="Q141" s="892" t="str">
        <f t="shared" si="45"/>
        <v>8322157/</v>
      </c>
      <c r="R141" s="892" t="str">
        <f t="shared" si="45"/>
        <v>7944577/</v>
      </c>
      <c r="S141" s="892" t="str">
        <f t="shared" si="45"/>
        <v>5060227/</v>
      </c>
      <c r="T141" s="892" t="str">
        <f t="shared" si="45"/>
        <v>5083986/</v>
      </c>
      <c r="U141" s="771">
        <v>500</v>
      </c>
      <c r="V141" s="886" t="s">
        <v>6743</v>
      </c>
      <c r="W141" s="886" t="s">
        <v>6744</v>
      </c>
      <c r="X141" s="886" t="s">
        <v>2307</v>
      </c>
      <c r="Y141" s="886" t="s">
        <v>2302</v>
      </c>
      <c r="Z141" s="164" t="s">
        <v>2282</v>
      </c>
      <c r="AA141" s="43" t="s">
        <v>2486</v>
      </c>
      <c r="AB141" s="43" t="s">
        <v>2285</v>
      </c>
      <c r="AC141" s="43" t="s">
        <v>2270</v>
      </c>
      <c r="AD141" s="771">
        <v>500</v>
      </c>
      <c r="AE141" s="886" t="s">
        <v>2296</v>
      </c>
      <c r="AF141" s="886" t="s">
        <v>2294</v>
      </c>
      <c r="AG141" s="886" t="s">
        <v>2307</v>
      </c>
      <c r="AH141" s="886" t="s">
        <v>2302</v>
      </c>
      <c r="AI141" s="888" t="s">
        <v>2336</v>
      </c>
      <c r="AJ141" s="888" t="s">
        <v>2377</v>
      </c>
      <c r="AK141" s="888" t="s">
        <v>2309</v>
      </c>
      <c r="AL141" s="888" t="s">
        <v>2312</v>
      </c>
      <c r="AM141" s="771">
        <v>500</v>
      </c>
      <c r="AN141" s="1117" t="s">
        <v>2868</v>
      </c>
      <c r="AO141" s="1117" t="s">
        <v>2867</v>
      </c>
      <c r="AP141" s="886" t="s">
        <v>2307</v>
      </c>
      <c r="AQ141" s="886" t="s">
        <v>2302</v>
      </c>
      <c r="AR141" s="888" t="s">
        <v>2319</v>
      </c>
      <c r="AS141" s="888" t="s">
        <v>2342</v>
      </c>
      <c r="AT141" s="888" t="s">
        <v>2818</v>
      </c>
      <c r="AU141" s="888" t="s">
        <v>2815</v>
      </c>
      <c r="AV141" s="771">
        <v>500</v>
      </c>
      <c r="AW141" s="886" t="s">
        <v>3326</v>
      </c>
      <c r="AX141" s="886" t="s">
        <v>3325</v>
      </c>
      <c r="AY141" s="886" t="s">
        <v>2307</v>
      </c>
      <c r="AZ141" s="886" t="s">
        <v>2302</v>
      </c>
      <c r="BA141" s="888" t="s">
        <v>2850</v>
      </c>
      <c r="BB141" s="888" t="s">
        <v>2852</v>
      </c>
      <c r="BC141" s="888" t="s">
        <v>2865</v>
      </c>
      <c r="BD141" s="888" t="s">
        <v>2846</v>
      </c>
      <c r="BE141" s="1067"/>
      <c r="BF141" s="1067"/>
      <c r="BG141" s="1067"/>
      <c r="BH141" s="1067"/>
      <c r="BI141" s="1067"/>
      <c r="BJ141" s="1067"/>
      <c r="BK141" s="1067"/>
      <c r="BL141" s="1067"/>
      <c r="BM141" s="1067"/>
      <c r="BN141" s="1067"/>
      <c r="BO141" s="1067"/>
      <c r="BP141" s="1067"/>
      <c r="BQ141" s="1067"/>
      <c r="BR141" s="1067"/>
      <c r="BS141" s="1067"/>
      <c r="BT141" s="1067"/>
      <c r="BU141" s="1067"/>
      <c r="BV141" s="1386"/>
      <c r="BW141" s="1511"/>
      <c r="BX141" s="1386"/>
      <c r="BY141" s="1386"/>
      <c r="BZ141" s="1386"/>
      <c r="CA141" s="1386"/>
      <c r="CB141" s="1386"/>
      <c r="CC141" s="1386"/>
      <c r="CD141" s="1067"/>
    </row>
    <row r="142" spans="1:82" ht="15" customHeight="1" x14ac:dyDescent="0.2">
      <c r="A142" s="843"/>
      <c r="B142" s="854"/>
      <c r="C142" s="862"/>
      <c r="D142" s="863"/>
      <c r="E142" s="864"/>
      <c r="F142" s="1449"/>
      <c r="G142" s="1449"/>
      <c r="H142" s="866"/>
      <c r="I142" s="162"/>
      <c r="L142" s="771"/>
      <c r="M142" s="771"/>
      <c r="N142" s="771"/>
      <c r="O142" s="771"/>
      <c r="P142" s="771"/>
      <c r="Q142" s="771"/>
      <c r="R142" s="771"/>
      <c r="S142" s="771"/>
      <c r="T142" s="771"/>
      <c r="U142" s="771"/>
      <c r="V142" s="771">
        <v>2</v>
      </c>
      <c r="W142" s="771">
        <f>V142+1</f>
        <v>3</v>
      </c>
      <c r="X142" s="771">
        <f t="shared" ref="X142:AC142" si="47">W142+1</f>
        <v>4</v>
      </c>
      <c r="Y142" s="771">
        <f t="shared" si="47"/>
        <v>5</v>
      </c>
      <c r="Z142" s="771">
        <f t="shared" si="47"/>
        <v>6</v>
      </c>
      <c r="AA142" s="771">
        <f t="shared" si="47"/>
        <v>7</v>
      </c>
      <c r="AB142" s="771">
        <f t="shared" si="47"/>
        <v>8</v>
      </c>
      <c r="AC142" s="771">
        <f t="shared" si="47"/>
        <v>9</v>
      </c>
      <c r="AD142" s="771"/>
      <c r="AE142" s="771">
        <v>2</v>
      </c>
      <c r="AF142" s="771">
        <f>AE142+1</f>
        <v>3</v>
      </c>
      <c r="AG142" s="771">
        <f t="shared" ref="AG142:AL142" si="48">AF142+1</f>
        <v>4</v>
      </c>
      <c r="AH142" s="771">
        <f t="shared" si="48"/>
        <v>5</v>
      </c>
      <c r="AI142" s="771">
        <f t="shared" si="48"/>
        <v>6</v>
      </c>
      <c r="AJ142" s="771">
        <f t="shared" si="48"/>
        <v>7</v>
      </c>
      <c r="AK142" s="771">
        <f t="shared" si="48"/>
        <v>8</v>
      </c>
      <c r="AL142" s="771">
        <f t="shared" si="48"/>
        <v>9</v>
      </c>
      <c r="AN142" s="771">
        <v>2</v>
      </c>
      <c r="AO142" s="771">
        <f>AN142+1</f>
        <v>3</v>
      </c>
      <c r="AP142" s="771">
        <f t="shared" ref="AP142:AU142" si="49">AO142+1</f>
        <v>4</v>
      </c>
      <c r="AQ142" s="771">
        <f t="shared" si="49"/>
        <v>5</v>
      </c>
      <c r="AR142" s="771">
        <f t="shared" si="49"/>
        <v>6</v>
      </c>
      <c r="AS142" s="771">
        <f t="shared" si="49"/>
        <v>7</v>
      </c>
      <c r="AT142" s="771">
        <f t="shared" si="49"/>
        <v>8</v>
      </c>
      <c r="AU142" s="771">
        <f t="shared" si="49"/>
        <v>9</v>
      </c>
      <c r="AW142" s="771">
        <v>2</v>
      </c>
      <c r="AX142" s="771">
        <f>AW142+1</f>
        <v>3</v>
      </c>
      <c r="AY142" s="771">
        <f t="shared" ref="AY142:BD142" si="50">AX142+1</f>
        <v>4</v>
      </c>
      <c r="AZ142" s="771">
        <f t="shared" si="50"/>
        <v>5</v>
      </c>
      <c r="BA142" s="771">
        <f t="shared" si="50"/>
        <v>6</v>
      </c>
      <c r="BB142" s="771">
        <f t="shared" si="50"/>
        <v>7</v>
      </c>
      <c r="BC142" s="771">
        <f t="shared" si="50"/>
        <v>8</v>
      </c>
      <c r="BD142" s="771">
        <f t="shared" si="50"/>
        <v>9</v>
      </c>
      <c r="BE142" s="1067"/>
      <c r="BF142" s="1067"/>
      <c r="BG142" s="1067"/>
      <c r="BH142" s="1067"/>
      <c r="BI142" s="1067"/>
      <c r="BJ142" s="1067"/>
      <c r="BK142" s="1067"/>
      <c r="BL142" s="1067"/>
      <c r="BM142" s="1067"/>
      <c r="BN142" s="1067"/>
      <c r="BO142" s="1067"/>
      <c r="BP142" s="1067"/>
      <c r="BQ142" s="1067"/>
      <c r="BR142" s="1067"/>
      <c r="BS142" s="1067"/>
      <c r="BT142" s="1067"/>
      <c r="BU142" s="1067"/>
      <c r="BV142" s="1386"/>
      <c r="BW142" s="1511"/>
      <c r="BX142" s="1386"/>
      <c r="BY142" s="1386"/>
      <c r="BZ142" s="1386"/>
      <c r="CA142" s="1386"/>
      <c r="CB142" s="1386"/>
      <c r="CC142" s="1386"/>
      <c r="CD142" s="1067"/>
    </row>
    <row r="143" spans="1:82" ht="15" hidden="1" customHeight="1" x14ac:dyDescent="0.2">
      <c r="A143" s="843"/>
      <c r="B143" s="904" t="s">
        <v>2399</v>
      </c>
      <c r="C143" s="719"/>
      <c r="D143" s="2144" t="s">
        <v>1183</v>
      </c>
      <c r="E143" s="2144"/>
      <c r="F143" s="2144"/>
      <c r="G143" s="2144"/>
      <c r="H143" s="2144"/>
      <c r="I143" s="2250"/>
      <c r="L143" s="771"/>
      <c r="M143" s="771"/>
      <c r="N143" s="771"/>
      <c r="O143" s="771"/>
      <c r="P143" s="771"/>
      <c r="Q143" s="771"/>
      <c r="R143" s="771"/>
      <c r="S143" s="771"/>
      <c r="T143" s="771"/>
      <c r="U143" s="771"/>
      <c r="V143" s="771"/>
      <c r="W143" s="771"/>
      <c r="X143" s="771"/>
      <c r="Y143" s="771"/>
      <c r="Z143" s="771"/>
      <c r="AA143" s="771"/>
      <c r="AB143" s="771"/>
      <c r="AC143" s="771"/>
      <c r="AD143" s="771"/>
      <c r="AE143" s="771"/>
      <c r="AF143" s="771"/>
      <c r="BE143" s="1067"/>
      <c r="BF143" s="1067"/>
      <c r="BG143" s="1067"/>
      <c r="BH143" s="1067"/>
      <c r="BI143" s="1067"/>
      <c r="BJ143" s="1067"/>
      <c r="BK143" s="1067"/>
      <c r="BL143" s="1067"/>
      <c r="BM143" s="1067"/>
      <c r="BN143" s="1067"/>
      <c r="BO143" s="1067"/>
      <c r="BP143" s="1067"/>
      <c r="BQ143" s="1067"/>
      <c r="BR143" s="1067"/>
      <c r="BS143" s="1067"/>
      <c r="BT143" s="1067"/>
      <c r="BU143" s="1067"/>
      <c r="BV143" s="1386"/>
      <c r="BW143" s="1511"/>
      <c r="BX143" s="1386"/>
      <c r="BY143" s="1386"/>
      <c r="BZ143" s="1386"/>
      <c r="CA143" s="1386"/>
      <c r="CB143" s="1386"/>
      <c r="CC143" s="1386"/>
      <c r="CD143" s="1067"/>
    </row>
    <row r="144" spans="1:82" ht="15.75" hidden="1" customHeight="1" thickBot="1" x14ac:dyDescent="0.25">
      <c r="A144" s="843"/>
      <c r="B144" s="844" t="s">
        <v>1639</v>
      </c>
      <c r="C144" s="850">
        <v>500</v>
      </c>
      <c r="D144" s="867" t="s">
        <v>1689</v>
      </c>
      <c r="E144" s="869"/>
      <c r="F144" s="1450"/>
      <c r="G144" s="1522"/>
      <c r="H144" s="870"/>
      <c r="I144" s="2388" t="s">
        <v>1850</v>
      </c>
      <c r="L144" s="771"/>
      <c r="M144" s="771"/>
      <c r="N144" s="771"/>
      <c r="O144" s="771"/>
      <c r="P144" s="771"/>
      <c r="Q144" s="771"/>
      <c r="R144" s="771"/>
      <c r="S144" s="771"/>
      <c r="T144" s="771"/>
      <c r="U144" s="771"/>
      <c r="V144" s="771"/>
      <c r="W144" s="771"/>
      <c r="X144" s="771"/>
      <c r="Y144" s="771"/>
      <c r="Z144" s="771"/>
      <c r="AA144" s="771"/>
      <c r="AB144" s="771"/>
      <c r="AC144" s="771"/>
      <c r="AD144" s="771"/>
      <c r="AE144" s="771"/>
      <c r="AF144" s="771"/>
      <c r="BE144" s="1067"/>
      <c r="BF144" s="1067"/>
      <c r="BG144" s="1067"/>
      <c r="BH144" s="1067"/>
      <c r="BI144" s="1067"/>
      <c r="BJ144" s="1067"/>
      <c r="BK144" s="1067"/>
      <c r="BL144" s="1067"/>
      <c r="BM144" s="1067"/>
      <c r="BN144" s="1067"/>
      <c r="BO144" s="1067"/>
      <c r="BP144" s="1067"/>
      <c r="BQ144" s="1067"/>
      <c r="BR144" s="1067"/>
      <c r="BS144" s="1067"/>
      <c r="BT144" s="1067"/>
      <c r="BU144" s="1067"/>
      <c r="BV144" s="1386"/>
      <c r="BW144" s="1511"/>
      <c r="BX144" s="1386"/>
      <c r="BY144" s="1386"/>
      <c r="BZ144" s="1386"/>
      <c r="CA144" s="1386"/>
      <c r="CB144" s="1386"/>
      <c r="CC144" s="1386"/>
      <c r="CD144" s="1067"/>
    </row>
    <row r="145" spans="1:82" ht="9.75" hidden="1" customHeight="1" x14ac:dyDescent="0.2">
      <c r="A145" s="843"/>
      <c r="B145" s="2072"/>
      <c r="C145" s="135" t="s">
        <v>1301</v>
      </c>
      <c r="D145" s="139" t="s">
        <v>784</v>
      </c>
      <c r="E145" s="140" t="s">
        <v>2117</v>
      </c>
      <c r="F145" s="1440"/>
      <c r="G145" s="1453"/>
      <c r="H145" s="178" t="s">
        <v>2116</v>
      </c>
      <c r="I145" s="2389"/>
      <c r="L145" s="771"/>
      <c r="M145" s="771"/>
      <c r="N145" s="771"/>
      <c r="O145" s="771"/>
      <c r="P145" s="771"/>
      <c r="Q145" s="771"/>
      <c r="R145" s="771"/>
      <c r="S145" s="771"/>
      <c r="T145" s="771"/>
      <c r="U145" s="771"/>
      <c r="V145" s="771"/>
      <c r="W145" s="771"/>
      <c r="X145" s="771"/>
      <c r="Y145" s="771"/>
      <c r="Z145" s="771"/>
      <c r="AA145" s="771"/>
      <c r="AB145" s="771"/>
      <c r="AC145" s="771"/>
      <c r="AD145" s="771"/>
      <c r="AE145" s="771"/>
      <c r="AF145" s="771"/>
      <c r="BE145" s="1067"/>
      <c r="BF145" s="1067"/>
      <c r="BG145" s="1067"/>
      <c r="BH145" s="1067"/>
      <c r="BI145" s="1067"/>
      <c r="BJ145" s="1067"/>
      <c r="BK145" s="1067"/>
      <c r="BL145" s="1067"/>
      <c r="BM145" s="1067"/>
      <c r="BN145" s="1067"/>
      <c r="BO145" s="1067"/>
      <c r="BP145" s="1067"/>
      <c r="BQ145" s="1067"/>
      <c r="BR145" s="1067"/>
      <c r="BS145" s="1067"/>
      <c r="BT145" s="1067"/>
      <c r="BU145" s="1067"/>
      <c r="BV145" s="1386"/>
      <c r="BW145" s="1511"/>
      <c r="BX145" s="1386"/>
      <c r="BY145" s="1386"/>
      <c r="BZ145" s="1386"/>
      <c r="CA145" s="1386"/>
      <c r="CB145" s="1386"/>
      <c r="CC145" s="1386"/>
      <c r="CD145" s="1067"/>
    </row>
    <row r="146" spans="1:82" ht="12.75" hidden="1" customHeight="1" x14ac:dyDescent="0.2">
      <c r="A146" s="2384"/>
      <c r="B146" s="2073"/>
      <c r="C146" s="701"/>
      <c r="D146" s="43" t="e">
        <f t="shared" ref="D146:D158" si="51">VLOOKUP(C146,всецены,2,FALSE)</f>
        <v>#N/A</v>
      </c>
      <c r="E146" s="80">
        <v>1</v>
      </c>
      <c r="F146" s="1447" t="e">
        <f t="shared" ref="F146:F158" si="52">VLOOKUP(C146,всецены,4,FALSE)</f>
        <v>#N/A</v>
      </c>
      <c r="G146" s="1520"/>
      <c r="H146" s="723" t="e">
        <f t="shared" ref="H146:H158" si="53">F146*E146</f>
        <v>#N/A</v>
      </c>
      <c r="I146" s="2415" t="e">
        <f>SUM(H146:H158)</f>
        <v>#N/A</v>
      </c>
      <c r="L146" s="771"/>
      <c r="M146" s="771"/>
      <c r="N146" s="771"/>
      <c r="O146" s="771"/>
      <c r="P146" s="771"/>
      <c r="Q146" s="771"/>
      <c r="R146" s="771"/>
      <c r="S146" s="771"/>
      <c r="T146" s="771"/>
      <c r="U146" s="771"/>
      <c r="V146" s="771"/>
      <c r="W146" s="771"/>
      <c r="X146" s="771"/>
      <c r="Y146" s="771"/>
      <c r="Z146" s="771"/>
      <c r="AA146" s="771"/>
      <c r="AB146" s="771"/>
      <c r="AC146" s="771"/>
      <c r="AD146" s="771"/>
      <c r="AE146" s="771"/>
      <c r="AF146" s="771"/>
      <c r="BE146" s="1067"/>
      <c r="BF146" s="1067"/>
      <c r="BG146" s="1067"/>
      <c r="BH146" s="1067"/>
      <c r="BI146" s="1067"/>
      <c r="BJ146" s="1067"/>
      <c r="BK146" s="1067"/>
      <c r="BL146" s="1067"/>
      <c r="BM146" s="1067"/>
      <c r="BN146" s="1067"/>
      <c r="BO146" s="1067"/>
      <c r="BP146" s="1067"/>
      <c r="BQ146" s="1067"/>
      <c r="BR146" s="1067"/>
      <c r="BS146" s="1067"/>
      <c r="BT146" s="1067"/>
      <c r="BU146" s="1067"/>
      <c r="BV146" s="1386"/>
      <c r="BW146" s="1511"/>
      <c r="BX146" s="1386"/>
      <c r="BY146" s="1386"/>
      <c r="BZ146" s="1386"/>
      <c r="CA146" s="1386"/>
      <c r="CB146" s="1386"/>
      <c r="CC146" s="1386"/>
      <c r="CD146" s="1067"/>
    </row>
    <row r="147" spans="1:82" ht="12.75" hidden="1" customHeight="1" x14ac:dyDescent="0.2">
      <c r="A147" s="2384"/>
      <c r="B147" s="2073"/>
      <c r="C147" s="701"/>
      <c r="D147" s="43" t="e">
        <f t="shared" si="51"/>
        <v>#N/A</v>
      </c>
      <c r="E147" s="80">
        <v>0.98901098901098905</v>
      </c>
      <c r="F147" s="1447" t="e">
        <f t="shared" si="52"/>
        <v>#N/A</v>
      </c>
      <c r="G147" s="1520"/>
      <c r="H147" s="723" t="e">
        <f t="shared" si="53"/>
        <v>#N/A</v>
      </c>
      <c r="I147" s="2416"/>
      <c r="L147" s="771"/>
      <c r="M147" s="771"/>
      <c r="N147" s="771"/>
      <c r="O147" s="771"/>
      <c r="P147" s="771"/>
      <c r="Q147" s="771"/>
      <c r="R147" s="771"/>
      <c r="S147" s="771"/>
      <c r="T147" s="771"/>
      <c r="U147" s="771"/>
      <c r="V147" s="771"/>
      <c r="W147" s="771"/>
      <c r="X147" s="771"/>
      <c r="Y147" s="771"/>
      <c r="Z147" s="771"/>
      <c r="AA147" s="771"/>
      <c r="AB147" s="771"/>
      <c r="AC147" s="771"/>
      <c r="AD147" s="771"/>
      <c r="AE147" s="771"/>
      <c r="AF147" s="771"/>
      <c r="BE147" s="1067"/>
      <c r="BF147" s="1067"/>
      <c r="BG147" s="1067"/>
      <c r="BH147" s="1067"/>
      <c r="BI147" s="1067"/>
      <c r="BJ147" s="1067"/>
      <c r="BK147" s="1067"/>
      <c r="BL147" s="1067"/>
      <c r="BM147" s="1067"/>
      <c r="BN147" s="1067"/>
      <c r="BO147" s="1067"/>
      <c r="BP147" s="1067"/>
      <c r="BQ147" s="1067"/>
      <c r="BR147" s="1067"/>
      <c r="BS147" s="1067"/>
      <c r="BT147" s="1067"/>
      <c r="BU147" s="1067"/>
      <c r="BV147" s="1386"/>
      <c r="BW147" s="1511"/>
      <c r="BX147" s="1386"/>
      <c r="BY147" s="1386"/>
      <c r="BZ147" s="1386"/>
      <c r="CA147" s="1386"/>
      <c r="CB147" s="1386"/>
      <c r="CC147" s="1386"/>
      <c r="CD147" s="1067"/>
    </row>
    <row r="148" spans="1:82" ht="12.75" hidden="1" customHeight="1" x14ac:dyDescent="0.2">
      <c r="A148" s="2384"/>
      <c r="B148" s="2073"/>
      <c r="C148" s="43"/>
      <c r="D148" s="43" t="e">
        <f t="shared" si="51"/>
        <v>#N/A</v>
      </c>
      <c r="E148" s="80">
        <v>0.97802197802197799</v>
      </c>
      <c r="F148" s="1447" t="e">
        <f t="shared" si="52"/>
        <v>#N/A</v>
      </c>
      <c r="G148" s="1520"/>
      <c r="H148" s="723" t="e">
        <f t="shared" si="53"/>
        <v>#N/A</v>
      </c>
      <c r="I148" s="2416"/>
      <c r="L148" s="771"/>
      <c r="M148" s="771"/>
      <c r="N148" s="771"/>
      <c r="O148" s="771"/>
      <c r="P148" s="771"/>
      <c r="Q148" s="771"/>
      <c r="R148" s="771"/>
      <c r="S148" s="771"/>
      <c r="T148" s="771"/>
      <c r="U148" s="771"/>
      <c r="V148" s="771"/>
      <c r="W148" s="771"/>
      <c r="X148" s="771"/>
      <c r="Y148" s="771"/>
      <c r="Z148" s="771"/>
      <c r="AA148" s="771"/>
      <c r="AB148" s="771"/>
      <c r="AC148" s="771"/>
      <c r="AD148" s="771"/>
      <c r="AE148" s="771"/>
      <c r="AF148" s="771"/>
      <c r="BE148" s="1067"/>
      <c r="BF148" s="1067"/>
      <c r="BG148" s="1067"/>
      <c r="BH148" s="1067"/>
      <c r="BI148" s="1067"/>
      <c r="BJ148" s="1067"/>
      <c r="BK148" s="1067"/>
      <c r="BL148" s="1067"/>
      <c r="BM148" s="1067"/>
      <c r="BN148" s="1067"/>
      <c r="BO148" s="1067"/>
      <c r="BP148" s="1067"/>
      <c r="BQ148" s="1067"/>
      <c r="BR148" s="1067"/>
      <c r="BS148" s="1067"/>
      <c r="BT148" s="1067"/>
      <c r="BU148" s="1067"/>
      <c r="BV148" s="1386"/>
      <c r="BW148" s="1511"/>
      <c r="BX148" s="1386"/>
      <c r="BY148" s="1386"/>
      <c r="BZ148" s="1386"/>
      <c r="CA148" s="1386"/>
      <c r="CB148" s="1386"/>
      <c r="CC148" s="1386"/>
      <c r="CD148" s="1067"/>
    </row>
    <row r="149" spans="1:82" ht="12.75" hidden="1" customHeight="1" x14ac:dyDescent="0.2">
      <c r="A149" s="2384"/>
      <c r="B149" s="2073"/>
      <c r="C149" s="43"/>
      <c r="D149" s="43" t="e">
        <f t="shared" si="51"/>
        <v>#N/A</v>
      </c>
      <c r="E149" s="80">
        <v>0.96703296703296704</v>
      </c>
      <c r="F149" s="1447" t="e">
        <f t="shared" si="52"/>
        <v>#N/A</v>
      </c>
      <c r="G149" s="1520"/>
      <c r="H149" s="723" t="e">
        <f t="shared" si="53"/>
        <v>#N/A</v>
      </c>
      <c r="I149" s="2416"/>
      <c r="L149" s="771"/>
      <c r="M149" s="771"/>
      <c r="N149" s="771"/>
      <c r="O149" s="771"/>
      <c r="P149" s="771"/>
      <c r="Q149" s="771"/>
      <c r="R149" s="771"/>
      <c r="S149" s="771"/>
      <c r="T149" s="771"/>
      <c r="U149" s="771"/>
      <c r="V149" s="771"/>
      <c r="W149" s="771"/>
      <c r="X149" s="771"/>
      <c r="Y149" s="771"/>
      <c r="Z149" s="771"/>
      <c r="AA149" s="771"/>
      <c r="AB149" s="771"/>
      <c r="AC149" s="771"/>
      <c r="AD149" s="771"/>
      <c r="AE149" s="771"/>
      <c r="AF149" s="771"/>
      <c r="BE149" s="1067"/>
      <c r="BF149" s="1067"/>
      <c r="BG149" s="1067"/>
      <c r="BH149" s="1067"/>
      <c r="BI149" s="1067"/>
      <c r="BJ149" s="1067"/>
      <c r="BK149" s="1067"/>
      <c r="BL149" s="1067"/>
      <c r="BM149" s="1067"/>
      <c r="BN149" s="1067"/>
      <c r="BO149" s="1067"/>
      <c r="BP149" s="1067"/>
      <c r="BQ149" s="1067"/>
      <c r="BR149" s="1067"/>
      <c r="BS149" s="1067"/>
      <c r="BT149" s="1067"/>
      <c r="BU149" s="1067"/>
      <c r="BV149" s="1386"/>
      <c r="BW149" s="1511"/>
      <c r="BX149" s="1386"/>
      <c r="BY149" s="1386"/>
      <c r="BZ149" s="1386"/>
      <c r="CA149" s="1386"/>
      <c r="CB149" s="1386"/>
      <c r="CC149" s="1386"/>
      <c r="CD149" s="1067"/>
    </row>
    <row r="150" spans="1:82" ht="12.75" hidden="1" customHeight="1" x14ac:dyDescent="0.2">
      <c r="A150" s="2384"/>
      <c r="B150" s="2073"/>
      <c r="C150" s="43"/>
      <c r="D150" s="43" t="e">
        <f t="shared" si="51"/>
        <v>#N/A</v>
      </c>
      <c r="E150" s="80">
        <v>0.95604395604395598</v>
      </c>
      <c r="F150" s="1447" t="e">
        <f t="shared" si="52"/>
        <v>#N/A</v>
      </c>
      <c r="G150" s="1520"/>
      <c r="H150" s="723" t="e">
        <f t="shared" si="53"/>
        <v>#N/A</v>
      </c>
      <c r="I150" s="2416"/>
      <c r="L150" s="771"/>
      <c r="M150" s="771"/>
      <c r="N150" s="771"/>
      <c r="O150" s="771"/>
      <c r="P150" s="771"/>
      <c r="Q150" s="771"/>
      <c r="R150" s="771"/>
      <c r="S150" s="771"/>
      <c r="T150" s="771"/>
      <c r="U150" s="771"/>
      <c r="V150" s="771"/>
      <c r="W150" s="771"/>
      <c r="X150" s="771"/>
      <c r="Y150" s="771"/>
      <c r="Z150" s="771"/>
      <c r="AA150" s="771"/>
      <c r="AB150" s="771"/>
      <c r="AC150" s="771"/>
      <c r="AD150" s="771"/>
      <c r="AE150" s="771"/>
      <c r="AF150" s="771"/>
      <c r="BE150" s="1067"/>
      <c r="BF150" s="1067"/>
      <c r="BG150" s="1067"/>
      <c r="BH150" s="1067"/>
      <c r="BI150" s="1067"/>
      <c r="BJ150" s="1067"/>
      <c r="BK150" s="1067"/>
      <c r="BL150" s="1067"/>
      <c r="BM150" s="1067"/>
      <c r="BN150" s="1067"/>
      <c r="BO150" s="1067"/>
      <c r="BP150" s="1067"/>
      <c r="BQ150" s="1067"/>
      <c r="BR150" s="1067"/>
      <c r="BS150" s="1067"/>
      <c r="BT150" s="1067"/>
      <c r="BU150" s="1067"/>
      <c r="BV150" s="1386"/>
      <c r="BW150" s="1511"/>
      <c r="BX150" s="1386"/>
      <c r="BY150" s="1386"/>
      <c r="BZ150" s="1386"/>
      <c r="CA150" s="1386"/>
      <c r="CB150" s="1386"/>
      <c r="CC150" s="1386"/>
      <c r="CD150" s="1067"/>
    </row>
    <row r="151" spans="1:82" ht="12.75" hidden="1" customHeight="1" x14ac:dyDescent="0.2">
      <c r="A151" s="2384"/>
      <c r="B151" s="2073"/>
      <c r="C151" s="724"/>
      <c r="D151" s="43" t="e">
        <f t="shared" si="51"/>
        <v>#N/A</v>
      </c>
      <c r="E151" s="80">
        <v>0.94505494505494503</v>
      </c>
      <c r="F151" s="1447" t="e">
        <f t="shared" si="52"/>
        <v>#N/A</v>
      </c>
      <c r="G151" s="1520"/>
      <c r="H151" s="723" t="e">
        <f t="shared" si="53"/>
        <v>#N/A</v>
      </c>
      <c r="I151" s="2416"/>
      <c r="L151" s="771"/>
      <c r="M151" s="771"/>
      <c r="N151" s="771"/>
      <c r="O151" s="771"/>
      <c r="P151" s="771"/>
      <c r="Q151" s="771"/>
      <c r="R151" s="771"/>
      <c r="S151" s="771"/>
      <c r="T151" s="771"/>
      <c r="U151" s="771"/>
      <c r="V151" s="771"/>
      <c r="W151" s="771"/>
      <c r="X151" s="771"/>
      <c r="Y151" s="771"/>
      <c r="Z151" s="771"/>
      <c r="AA151" s="771"/>
      <c r="AB151" s="771"/>
      <c r="AC151" s="771"/>
      <c r="AD151" s="771"/>
      <c r="AE151" s="771"/>
      <c r="AF151" s="771"/>
      <c r="AG151" s="840"/>
      <c r="AH151" s="840"/>
      <c r="AI151" s="840"/>
      <c r="AJ151" s="840"/>
      <c r="AK151" s="840"/>
      <c r="AL151" s="840"/>
      <c r="AM151" s="840"/>
      <c r="AN151" s="840"/>
      <c r="AO151" s="840"/>
      <c r="AP151" s="840"/>
      <c r="AQ151" s="840"/>
      <c r="AR151" s="840"/>
      <c r="AS151" s="840"/>
      <c r="AT151" s="840"/>
      <c r="AU151" s="840"/>
      <c r="AV151" s="1067"/>
      <c r="AW151" s="1067"/>
      <c r="AX151" s="1067"/>
      <c r="AY151" s="1067"/>
      <c r="AZ151" s="1067"/>
      <c r="BA151" s="1067"/>
      <c r="BB151" s="1067"/>
      <c r="BC151" s="1067"/>
      <c r="BD151" s="1067"/>
      <c r="BE151" s="1067"/>
      <c r="BF151" s="1067"/>
      <c r="BG151" s="1067"/>
      <c r="BH151" s="1067"/>
      <c r="BI151" s="1067"/>
      <c r="BJ151" s="1067"/>
      <c r="BK151" s="1067"/>
      <c r="BL151" s="1067"/>
      <c r="BM151" s="1067"/>
      <c r="BN151" s="1067"/>
      <c r="BO151" s="1067"/>
      <c r="BP151" s="1067"/>
      <c r="BQ151" s="1067"/>
      <c r="BR151" s="1067"/>
      <c r="BS151" s="1067"/>
      <c r="BT151" s="1067"/>
      <c r="BU151" s="1067"/>
      <c r="BV151" s="1386"/>
      <c r="BW151" s="1511"/>
      <c r="BX151" s="1386"/>
      <c r="BY151" s="1386"/>
      <c r="BZ151" s="1386"/>
      <c r="CA151" s="1386"/>
      <c r="CB151" s="1386"/>
      <c r="CC151" s="1386"/>
      <c r="CD151" s="1067"/>
    </row>
    <row r="152" spans="1:82" ht="12.75" hidden="1" customHeight="1" x14ac:dyDescent="0.2">
      <c r="A152" s="2384"/>
      <c r="B152" s="2073"/>
      <c r="C152" s="734"/>
      <c r="D152" s="43" t="e">
        <f t="shared" si="51"/>
        <v>#N/A</v>
      </c>
      <c r="E152" s="80">
        <v>0.93406593406593397</v>
      </c>
      <c r="F152" s="1447" t="e">
        <f t="shared" si="52"/>
        <v>#N/A</v>
      </c>
      <c r="G152" s="1520"/>
      <c r="H152" s="723" t="e">
        <f t="shared" si="53"/>
        <v>#N/A</v>
      </c>
      <c r="I152" s="2416"/>
      <c r="L152" s="771"/>
      <c r="M152" s="771"/>
      <c r="N152" s="771"/>
      <c r="O152" s="771"/>
      <c r="P152" s="771"/>
      <c r="Q152" s="771"/>
      <c r="R152" s="771"/>
      <c r="S152" s="771"/>
      <c r="T152" s="771"/>
      <c r="U152" s="771"/>
      <c r="V152" s="771"/>
      <c r="W152" s="771"/>
      <c r="X152" s="771"/>
      <c r="Y152" s="771"/>
      <c r="Z152" s="771"/>
      <c r="AA152" s="771"/>
      <c r="AB152" s="771"/>
      <c r="AC152" s="771"/>
      <c r="AD152" s="771"/>
      <c r="AE152" s="771"/>
      <c r="AF152" s="771"/>
      <c r="AG152" s="840"/>
      <c r="AH152" s="840"/>
      <c r="AI152" s="840"/>
      <c r="AJ152" s="840"/>
      <c r="AK152" s="840"/>
      <c r="AL152" s="840"/>
      <c r="AM152" s="840"/>
      <c r="AN152" s="840"/>
      <c r="AO152" s="840"/>
      <c r="AP152" s="840"/>
      <c r="AQ152" s="840"/>
      <c r="AR152" s="840"/>
      <c r="AS152" s="840"/>
      <c r="AT152" s="840"/>
      <c r="AU152" s="840"/>
      <c r="AV152" s="1067"/>
      <c r="AW152" s="1067"/>
      <c r="AX152" s="1067"/>
      <c r="AY152" s="1067"/>
      <c r="AZ152" s="1067"/>
      <c r="BA152" s="1067"/>
      <c r="BB152" s="1067"/>
      <c r="BC152" s="1067"/>
      <c r="BD152" s="1067"/>
      <c r="BE152" s="1067"/>
      <c r="BF152" s="1067"/>
      <c r="BG152" s="1067"/>
      <c r="BH152" s="1067"/>
      <c r="BI152" s="1067"/>
      <c r="BJ152" s="1067"/>
      <c r="BK152" s="1067"/>
      <c r="BL152" s="1067"/>
      <c r="BM152" s="1067"/>
      <c r="BN152" s="1067"/>
      <c r="BO152" s="1067"/>
      <c r="BP152" s="1067"/>
      <c r="BQ152" s="1067"/>
      <c r="BR152" s="1067"/>
      <c r="BS152" s="1067"/>
      <c r="BT152" s="1067"/>
      <c r="BU152" s="1067"/>
      <c r="BV152" s="1386"/>
      <c r="BW152" s="1511"/>
      <c r="BX152" s="1386"/>
      <c r="BY152" s="1386"/>
      <c r="BZ152" s="1386"/>
      <c r="CA152" s="1386"/>
      <c r="CB152" s="1386"/>
      <c r="CC152" s="1386"/>
      <c r="CD152" s="1067"/>
    </row>
    <row r="153" spans="1:82" ht="12.75" hidden="1" customHeight="1" x14ac:dyDescent="0.2">
      <c r="A153" s="2384"/>
      <c r="B153" s="2073"/>
      <c r="C153" s="43"/>
      <c r="D153" s="43" t="e">
        <f t="shared" si="51"/>
        <v>#N/A</v>
      </c>
      <c r="E153" s="80">
        <v>0.92307692307692302</v>
      </c>
      <c r="F153" s="1447" t="e">
        <f t="shared" si="52"/>
        <v>#N/A</v>
      </c>
      <c r="G153" s="1520"/>
      <c r="H153" s="723" t="e">
        <f t="shared" si="53"/>
        <v>#N/A</v>
      </c>
      <c r="I153" s="2416"/>
      <c r="L153" s="771"/>
      <c r="M153" s="771"/>
      <c r="N153" s="771"/>
      <c r="O153" s="771"/>
      <c r="P153" s="771"/>
      <c r="Q153" s="771"/>
      <c r="R153" s="771"/>
      <c r="S153" s="771"/>
      <c r="T153" s="771"/>
      <c r="U153" s="771"/>
      <c r="V153" s="771"/>
      <c r="W153" s="771"/>
      <c r="X153" s="771"/>
      <c r="Y153" s="771"/>
      <c r="Z153" s="771"/>
      <c r="AA153" s="771"/>
      <c r="AB153" s="771"/>
      <c r="AC153" s="771"/>
      <c r="AD153" s="771"/>
      <c r="AE153" s="771"/>
      <c r="AF153" s="771"/>
      <c r="AG153" s="840"/>
      <c r="AH153" s="840"/>
      <c r="AI153" s="840"/>
      <c r="AJ153" s="840"/>
      <c r="AK153" s="840"/>
      <c r="AL153" s="840"/>
      <c r="AM153" s="840"/>
      <c r="AN153" s="840"/>
      <c r="AO153" s="840"/>
      <c r="AP153" s="840"/>
      <c r="AQ153" s="840"/>
      <c r="AR153" s="840"/>
      <c r="AS153" s="840"/>
      <c r="AT153" s="840"/>
      <c r="AU153" s="840"/>
      <c r="AV153" s="1067"/>
      <c r="AW153" s="1067"/>
      <c r="AX153" s="1067"/>
      <c r="AY153" s="1067"/>
      <c r="AZ153" s="1067"/>
      <c r="BA153" s="1067"/>
      <c r="BB153" s="1067"/>
      <c r="BC153" s="1067"/>
      <c r="BD153" s="1067"/>
      <c r="BE153" s="1067"/>
      <c r="BF153" s="1067"/>
      <c r="BG153" s="1067"/>
      <c r="BH153" s="1067"/>
      <c r="BI153" s="1067"/>
      <c r="BJ153" s="1067"/>
      <c r="BK153" s="1067"/>
      <c r="BL153" s="1067"/>
      <c r="BM153" s="1067"/>
      <c r="BN153" s="1067"/>
      <c r="BO153" s="1067"/>
      <c r="BP153" s="1067"/>
      <c r="BQ153" s="1067"/>
      <c r="BR153" s="1067"/>
      <c r="BS153" s="1067"/>
      <c r="BT153" s="1067"/>
      <c r="BU153" s="1067"/>
      <c r="BV153" s="1386"/>
      <c r="BW153" s="1511"/>
      <c r="BX153" s="1386"/>
      <c r="BY153" s="1386"/>
      <c r="BZ153" s="1386"/>
      <c r="CA153" s="1386"/>
      <c r="CB153" s="1386"/>
      <c r="CC153" s="1386"/>
      <c r="CD153" s="1067"/>
    </row>
    <row r="154" spans="1:82" ht="12.75" hidden="1" customHeight="1" x14ac:dyDescent="0.2">
      <c r="A154" s="2384"/>
      <c r="B154" s="2073"/>
      <c r="C154" s="43"/>
      <c r="D154" s="43" t="e">
        <f t="shared" si="51"/>
        <v>#N/A</v>
      </c>
      <c r="E154" s="80">
        <v>0.91208791208791196</v>
      </c>
      <c r="F154" s="1447" t="e">
        <f t="shared" si="52"/>
        <v>#N/A</v>
      </c>
      <c r="G154" s="1520"/>
      <c r="H154" s="723" t="e">
        <f t="shared" si="53"/>
        <v>#N/A</v>
      </c>
      <c r="I154" s="2416"/>
      <c r="L154" s="771"/>
      <c r="M154" s="771"/>
      <c r="N154" s="771"/>
      <c r="O154" s="771"/>
      <c r="P154" s="771"/>
      <c r="Q154" s="771"/>
      <c r="R154" s="771"/>
      <c r="S154" s="771"/>
      <c r="T154" s="771"/>
      <c r="U154" s="771"/>
      <c r="V154" s="771"/>
      <c r="W154" s="771"/>
      <c r="X154" s="771"/>
      <c r="Y154" s="771"/>
      <c r="Z154" s="771"/>
      <c r="AA154" s="771"/>
      <c r="AB154" s="771"/>
      <c r="AC154" s="771"/>
      <c r="AD154" s="771"/>
      <c r="AE154" s="771"/>
      <c r="AF154" s="771"/>
      <c r="AG154" s="840"/>
      <c r="AH154" s="840"/>
      <c r="AI154" s="840"/>
      <c r="AJ154" s="840"/>
      <c r="AK154" s="840"/>
      <c r="AL154" s="840"/>
      <c r="AM154" s="840"/>
      <c r="AN154" s="840"/>
      <c r="AO154" s="840"/>
      <c r="AP154" s="840"/>
      <c r="AQ154" s="840"/>
      <c r="AR154" s="840"/>
      <c r="AS154" s="840"/>
      <c r="AT154" s="840"/>
      <c r="AU154" s="840"/>
      <c r="AV154" s="1067"/>
      <c r="AW154" s="1067"/>
      <c r="AX154" s="1067"/>
      <c r="AY154" s="1067"/>
      <c r="AZ154" s="1067"/>
      <c r="BA154" s="1067"/>
      <c r="BB154" s="1067"/>
      <c r="BC154" s="1067"/>
      <c r="BD154" s="1067"/>
      <c r="BE154" s="1067"/>
      <c r="BF154" s="1067"/>
      <c r="BG154" s="1067"/>
      <c r="BH154" s="1067"/>
      <c r="BI154" s="1067"/>
      <c r="BJ154" s="1067"/>
      <c r="BK154" s="1067"/>
      <c r="BL154" s="1067"/>
      <c r="BM154" s="1067"/>
      <c r="BN154" s="1067"/>
      <c r="BO154" s="1067"/>
      <c r="BP154" s="1067"/>
      <c r="BQ154" s="1067"/>
      <c r="BR154" s="1067"/>
      <c r="BS154" s="1067"/>
      <c r="BT154" s="1067"/>
      <c r="BU154" s="1067"/>
      <c r="BV154" s="1386"/>
      <c r="BW154" s="1511"/>
      <c r="BX154" s="1386"/>
      <c r="BY154" s="1386"/>
      <c r="BZ154" s="1386"/>
      <c r="CA154" s="1386"/>
      <c r="CB154" s="1386"/>
      <c r="CC154" s="1386"/>
      <c r="CD154" s="1067"/>
    </row>
    <row r="155" spans="1:82" ht="12.75" hidden="1" customHeight="1" x14ac:dyDescent="0.2">
      <c r="A155" s="2384"/>
      <c r="B155" s="2073"/>
      <c r="C155" s="161"/>
      <c r="D155" s="43" t="e">
        <f t="shared" si="51"/>
        <v>#N/A</v>
      </c>
      <c r="E155" s="80">
        <v>0.90109890109890101</v>
      </c>
      <c r="F155" s="1447" t="e">
        <f t="shared" si="52"/>
        <v>#N/A</v>
      </c>
      <c r="G155" s="1520"/>
      <c r="H155" s="723" t="e">
        <f t="shared" si="53"/>
        <v>#N/A</v>
      </c>
      <c r="I155" s="2416"/>
      <c r="L155" s="771"/>
      <c r="M155" s="771"/>
      <c r="N155" s="771"/>
      <c r="O155" s="771"/>
      <c r="P155" s="771"/>
      <c r="Q155" s="771"/>
      <c r="R155" s="771"/>
      <c r="S155" s="771"/>
      <c r="T155" s="771"/>
      <c r="U155" s="771"/>
      <c r="V155" s="771"/>
      <c r="W155" s="771"/>
      <c r="X155" s="771"/>
      <c r="Y155" s="771"/>
      <c r="Z155" s="771"/>
      <c r="AA155" s="771"/>
      <c r="AB155" s="771"/>
      <c r="AC155" s="771"/>
      <c r="AD155" s="771"/>
      <c r="AE155" s="771"/>
      <c r="AF155" s="771"/>
      <c r="AG155" s="840"/>
      <c r="AH155" s="840"/>
      <c r="AI155" s="840"/>
      <c r="AJ155" s="840"/>
      <c r="AK155" s="840"/>
      <c r="AL155" s="840"/>
      <c r="AM155" s="840"/>
      <c r="AN155" s="840"/>
      <c r="AO155" s="840"/>
      <c r="AP155" s="840"/>
      <c r="AQ155" s="840"/>
      <c r="AR155" s="840"/>
      <c r="AS155" s="840"/>
      <c r="AT155" s="840"/>
      <c r="AU155" s="840"/>
      <c r="AV155" s="1067"/>
      <c r="AW155" s="1067"/>
      <c r="AX155" s="1067"/>
      <c r="AY155" s="1067"/>
      <c r="AZ155" s="1067"/>
      <c r="BA155" s="1067"/>
      <c r="BB155" s="1067"/>
      <c r="BC155" s="1067"/>
      <c r="BD155" s="1067"/>
      <c r="BE155" s="1067"/>
      <c r="BF155" s="1067"/>
      <c r="BG155" s="1067"/>
      <c r="BH155" s="1067"/>
      <c r="BI155" s="1067"/>
      <c r="BJ155" s="1067"/>
      <c r="BK155" s="1067"/>
      <c r="BL155" s="1067"/>
      <c r="BM155" s="1067"/>
      <c r="BN155" s="1067"/>
      <c r="BO155" s="1067"/>
      <c r="BP155" s="1067"/>
      <c r="BQ155" s="1067"/>
      <c r="BR155" s="1067"/>
      <c r="BS155" s="1067"/>
      <c r="BT155" s="1067"/>
      <c r="BU155" s="1067"/>
      <c r="BV155" s="1386"/>
      <c r="BW155" s="1511"/>
      <c r="BX155" s="1386"/>
      <c r="BY155" s="1386"/>
      <c r="BZ155" s="1386"/>
      <c r="CA155" s="1386"/>
      <c r="CB155" s="1386"/>
      <c r="CC155" s="1386"/>
      <c r="CD155" s="1067"/>
    </row>
    <row r="156" spans="1:82" ht="15" hidden="1" customHeight="1" x14ac:dyDescent="0.2">
      <c r="A156" s="843"/>
      <c r="B156" s="2073"/>
      <c r="C156" s="161"/>
      <c r="D156" s="43" t="e">
        <f t="shared" si="51"/>
        <v>#N/A</v>
      </c>
      <c r="E156" s="80">
        <v>0.89010989010988995</v>
      </c>
      <c r="F156" s="1447" t="e">
        <f t="shared" si="52"/>
        <v>#N/A</v>
      </c>
      <c r="G156" s="1520"/>
      <c r="H156" s="723" t="e">
        <f t="shared" si="53"/>
        <v>#N/A</v>
      </c>
      <c r="I156" s="2416"/>
      <c r="L156" s="771"/>
      <c r="M156" s="771"/>
      <c r="N156" s="771"/>
      <c r="O156" s="771"/>
      <c r="P156" s="771"/>
      <c r="Q156" s="771"/>
      <c r="R156" s="771"/>
      <c r="S156" s="771"/>
      <c r="T156" s="771"/>
      <c r="U156" s="771"/>
      <c r="V156" s="771"/>
      <c r="W156" s="771"/>
      <c r="X156" s="771"/>
      <c r="Y156" s="771"/>
      <c r="Z156" s="771"/>
      <c r="AA156" s="771"/>
      <c r="AB156" s="771"/>
      <c r="AC156" s="771"/>
      <c r="AD156" s="771"/>
      <c r="AE156" s="771"/>
      <c r="AF156" s="771"/>
      <c r="AG156" s="840"/>
      <c r="AH156" s="840"/>
      <c r="AI156" s="840"/>
      <c r="AJ156" s="840"/>
      <c r="AK156" s="840"/>
      <c r="AL156" s="840"/>
      <c r="AM156" s="840"/>
      <c r="AN156" s="840"/>
      <c r="AO156" s="840"/>
      <c r="AP156" s="840"/>
      <c r="AQ156" s="840"/>
      <c r="AR156" s="840"/>
      <c r="AS156" s="840"/>
      <c r="AT156" s="840"/>
      <c r="AU156" s="840"/>
      <c r="AV156" s="1067"/>
      <c r="AW156" s="1067"/>
      <c r="AX156" s="1067"/>
      <c r="AY156" s="1067"/>
      <c r="AZ156" s="1067"/>
      <c r="BA156" s="1067"/>
      <c r="BB156" s="1067"/>
      <c r="BC156" s="1067"/>
      <c r="BD156" s="1067"/>
      <c r="BE156" s="1067"/>
      <c r="BF156" s="1067"/>
      <c r="BG156" s="1067"/>
      <c r="BH156" s="1067"/>
      <c r="BI156" s="1067"/>
      <c r="BJ156" s="1067"/>
      <c r="BK156" s="1067"/>
      <c r="BL156" s="1067"/>
      <c r="BM156" s="1067"/>
      <c r="BN156" s="1067"/>
      <c r="BO156" s="1067"/>
      <c r="BP156" s="1067"/>
      <c r="BQ156" s="1067"/>
      <c r="BR156" s="1067"/>
      <c r="BS156" s="1067"/>
      <c r="BT156" s="1067"/>
      <c r="BU156" s="1067"/>
      <c r="BV156" s="1386"/>
      <c r="BW156" s="1511"/>
      <c r="BX156" s="1386"/>
      <c r="BY156" s="1386"/>
      <c r="BZ156" s="1386"/>
      <c r="CA156" s="1386"/>
      <c r="CB156" s="1386"/>
      <c r="CC156" s="1386"/>
      <c r="CD156" s="1067"/>
    </row>
    <row r="157" spans="1:82" ht="15" hidden="1" customHeight="1" x14ac:dyDescent="0.2">
      <c r="A157" s="843"/>
      <c r="B157" s="2073"/>
      <c r="C157" s="71"/>
      <c r="D157" s="43" t="e">
        <f t="shared" si="51"/>
        <v>#N/A</v>
      </c>
      <c r="E157" s="80">
        <v>0.879120879120879</v>
      </c>
      <c r="F157" s="1447" t="e">
        <f t="shared" si="52"/>
        <v>#N/A</v>
      </c>
      <c r="G157" s="1520"/>
      <c r="H157" s="723" t="e">
        <f t="shared" si="53"/>
        <v>#N/A</v>
      </c>
      <c r="I157" s="2416"/>
      <c r="L157" s="771"/>
      <c r="M157" s="771"/>
      <c r="N157" s="771"/>
      <c r="O157" s="771"/>
      <c r="P157" s="771"/>
      <c r="Q157" s="771"/>
      <c r="R157" s="771"/>
      <c r="S157" s="771"/>
      <c r="T157" s="771"/>
      <c r="U157" s="771"/>
      <c r="V157" s="771"/>
      <c r="W157" s="771"/>
      <c r="X157" s="771"/>
      <c r="Y157" s="771"/>
      <c r="Z157" s="771"/>
      <c r="AA157" s="771"/>
      <c r="AB157" s="771"/>
      <c r="AC157" s="771"/>
      <c r="AD157" s="771"/>
      <c r="AE157" s="771"/>
      <c r="AF157" s="771"/>
      <c r="AG157" s="840"/>
      <c r="AH157" s="840"/>
      <c r="AI157" s="840"/>
      <c r="AJ157" s="840"/>
      <c r="AK157" s="840"/>
      <c r="AL157" s="840"/>
      <c r="AM157" s="840"/>
      <c r="AN157" s="840"/>
      <c r="AO157" s="840"/>
      <c r="AP157" s="840"/>
      <c r="AQ157" s="840"/>
      <c r="AR157" s="840"/>
      <c r="AS157" s="840"/>
      <c r="AT157" s="840"/>
      <c r="AU157" s="840"/>
      <c r="AV157" s="1067"/>
      <c r="AW157" s="1067"/>
      <c r="AX157" s="1067"/>
      <c r="AY157" s="1067"/>
      <c r="AZ157" s="1067"/>
      <c r="BA157" s="1067"/>
      <c r="BB157" s="1067"/>
      <c r="BC157" s="1067"/>
      <c r="BD157" s="1067"/>
      <c r="BE157" s="1067"/>
      <c r="BF157" s="1067"/>
      <c r="BG157" s="1067"/>
      <c r="BH157" s="1067"/>
      <c r="BI157" s="1067"/>
      <c r="BJ157" s="1067"/>
      <c r="BK157" s="1067"/>
      <c r="BL157" s="1067"/>
      <c r="BM157" s="1067"/>
      <c r="BN157" s="1067"/>
      <c r="BO157" s="1067"/>
      <c r="BP157" s="1067"/>
      <c r="BQ157" s="1067"/>
      <c r="BR157" s="1067"/>
      <c r="BS157" s="1067"/>
      <c r="BT157" s="1067"/>
      <c r="BU157" s="1067"/>
      <c r="BV157" s="1386"/>
      <c r="BW157" s="1511"/>
      <c r="BX157" s="1386"/>
      <c r="BY157" s="1386"/>
      <c r="BZ157" s="1386"/>
      <c r="CA157" s="1386"/>
      <c r="CB157" s="1386"/>
      <c r="CC157" s="1386"/>
      <c r="CD157" s="1067"/>
    </row>
    <row r="158" spans="1:82" ht="15" hidden="1" customHeight="1" x14ac:dyDescent="0.2">
      <c r="B158" s="2073"/>
      <c r="C158" s="900"/>
      <c r="D158" s="901" t="e">
        <f t="shared" si="51"/>
        <v>#N/A</v>
      </c>
      <c r="E158" s="902">
        <v>0.86813186813186805</v>
      </c>
      <c r="F158" s="1451" t="e">
        <f t="shared" si="52"/>
        <v>#N/A</v>
      </c>
      <c r="G158" s="1523"/>
      <c r="H158" s="903" t="e">
        <f t="shared" si="53"/>
        <v>#N/A</v>
      </c>
      <c r="I158" s="2416"/>
      <c r="L158" s="771"/>
      <c r="M158" s="771"/>
      <c r="N158" s="771"/>
      <c r="O158" s="771"/>
      <c r="P158" s="771"/>
      <c r="Q158" s="771"/>
      <c r="R158" s="771"/>
      <c r="S158" s="771"/>
      <c r="T158" s="771"/>
      <c r="U158" s="771"/>
      <c r="V158" s="771"/>
      <c r="W158" s="771"/>
      <c r="X158" s="771"/>
      <c r="Y158" s="771"/>
      <c r="Z158" s="771"/>
      <c r="AA158" s="771"/>
      <c r="AB158" s="771"/>
      <c r="AC158" s="771"/>
      <c r="AD158" s="771"/>
      <c r="AE158" s="771"/>
      <c r="AF158" s="771"/>
      <c r="AG158" s="840"/>
      <c r="AH158" s="840"/>
      <c r="AI158" s="840"/>
      <c r="AJ158" s="840"/>
      <c r="AK158" s="840"/>
      <c r="AL158" s="840"/>
      <c r="AM158" s="840"/>
      <c r="AN158" s="840"/>
      <c r="AO158" s="840"/>
      <c r="AP158" s="840"/>
      <c r="AQ158" s="840"/>
      <c r="AR158" s="840"/>
      <c r="AS158" s="840"/>
      <c r="AT158" s="840"/>
      <c r="AU158" s="840"/>
      <c r="AV158" s="1067"/>
      <c r="AW158" s="1067"/>
      <c r="AX158" s="1067"/>
      <c r="AY158" s="1067"/>
      <c r="AZ158" s="1067"/>
      <c r="BA158" s="1067"/>
      <c r="BB158" s="1067"/>
      <c r="BC158" s="1067"/>
      <c r="BD158" s="1067"/>
      <c r="BE158" s="1067"/>
      <c r="BF158" s="1067"/>
      <c r="BG158" s="1067"/>
      <c r="BH158" s="1067"/>
      <c r="BI158" s="1067"/>
      <c r="BJ158" s="1067"/>
      <c r="BK158" s="1067"/>
      <c r="BL158" s="1067"/>
      <c r="BM158" s="1067"/>
      <c r="BN158" s="1067"/>
      <c r="BO158" s="1067"/>
      <c r="BP158" s="1067"/>
      <c r="BQ158" s="1067"/>
      <c r="BR158" s="1067"/>
      <c r="BS158" s="1067"/>
      <c r="BT158" s="1067"/>
      <c r="BU158" s="1067"/>
      <c r="BV158" s="1386"/>
      <c r="BW158" s="1511"/>
      <c r="BX158" s="1386"/>
      <c r="BY158" s="1386"/>
      <c r="BZ158" s="1386"/>
      <c r="CA158" s="1386"/>
      <c r="CB158" s="1386"/>
      <c r="CC158" s="1386"/>
      <c r="CD158" s="1067"/>
    </row>
    <row r="159" spans="1:82" ht="12.75" x14ac:dyDescent="0.2">
      <c r="A159" s="782"/>
      <c r="B159" s="28"/>
      <c r="C159" s="28"/>
      <c r="D159" s="28"/>
      <c r="E159" s="32"/>
      <c r="F159" s="1452"/>
      <c r="G159" s="1452"/>
      <c r="H159" s="38"/>
      <c r="I159" s="611"/>
      <c r="L159" s="771"/>
      <c r="M159" s="771"/>
      <c r="N159" s="771"/>
      <c r="O159" s="771"/>
      <c r="P159" s="771"/>
      <c r="Q159" s="771"/>
      <c r="R159" s="771"/>
      <c r="S159" s="771"/>
      <c r="T159" s="771"/>
      <c r="U159" s="771"/>
      <c r="V159" s="771"/>
      <c r="W159" s="771"/>
      <c r="X159" s="771"/>
      <c r="Y159" s="771"/>
      <c r="Z159" s="771"/>
      <c r="AA159" s="771"/>
      <c r="AB159" s="771"/>
      <c r="AC159" s="771"/>
      <c r="AD159" s="771"/>
      <c r="AE159" s="771"/>
      <c r="AF159" s="771"/>
      <c r="AG159" s="840"/>
      <c r="AH159" s="840"/>
      <c r="AI159" s="840"/>
      <c r="AJ159" s="840"/>
      <c r="AK159" s="840"/>
      <c r="AL159" s="840"/>
      <c r="AM159" s="840"/>
      <c r="AN159" s="840"/>
      <c r="AO159" s="840"/>
      <c r="AP159" s="840"/>
      <c r="AQ159" s="840"/>
      <c r="AR159" s="840"/>
      <c r="AS159" s="840"/>
      <c r="AT159" s="840"/>
      <c r="AU159" s="840"/>
      <c r="AV159" s="1067"/>
      <c r="AW159" s="1067"/>
      <c r="AX159" s="1067"/>
      <c r="AY159" s="1067"/>
      <c r="AZ159" s="1067"/>
      <c r="BA159" s="1067"/>
      <c r="BB159" s="1067"/>
      <c r="BC159" s="1067"/>
      <c r="BD159" s="1067"/>
      <c r="BE159" s="1067"/>
      <c r="BF159" s="1067"/>
      <c r="BG159" s="1067"/>
      <c r="BH159" s="1067"/>
      <c r="BI159" s="1067"/>
      <c r="BJ159" s="1067"/>
      <c r="BK159" s="1067"/>
      <c r="BL159" s="1067"/>
      <c r="BM159" s="1067"/>
      <c r="BN159" s="1067"/>
      <c r="BO159" s="1067"/>
      <c r="BP159" s="1067"/>
      <c r="BQ159" s="1067"/>
      <c r="BR159" s="1067"/>
      <c r="BS159" s="1067"/>
      <c r="BT159" s="1067"/>
      <c r="BU159" s="1067"/>
      <c r="BV159" s="1386"/>
      <c r="BW159" s="1511"/>
      <c r="BX159" s="1386"/>
      <c r="BY159" s="1386"/>
      <c r="BZ159" s="1386"/>
      <c r="CA159" s="1386"/>
      <c r="CB159" s="1386"/>
      <c r="CC159" s="1386"/>
      <c r="CD159" s="1067"/>
    </row>
    <row r="160" spans="1:82" ht="20.25" customHeight="1" x14ac:dyDescent="0.3">
      <c r="A160" s="1389"/>
      <c r="B160" s="1127" t="s">
        <v>3580</v>
      </c>
      <c r="C160" s="8"/>
      <c r="D160" s="8"/>
      <c r="E160" s="841"/>
      <c r="F160" s="1441"/>
      <c r="G160" s="1441"/>
      <c r="H160" s="37"/>
      <c r="I160" s="35"/>
      <c r="L160" s="771"/>
      <c r="M160" s="771"/>
      <c r="N160" s="771"/>
      <c r="O160" s="771"/>
      <c r="P160" s="771"/>
      <c r="Q160" s="771"/>
      <c r="R160" s="771"/>
      <c r="S160" s="771"/>
      <c r="T160" s="771"/>
      <c r="U160" s="771"/>
      <c r="V160" s="771"/>
      <c r="W160" s="771"/>
      <c r="X160" s="771"/>
      <c r="Y160" s="771"/>
      <c r="Z160" s="771"/>
      <c r="AA160" s="771"/>
      <c r="AB160" s="771"/>
      <c r="AC160" s="771"/>
      <c r="AD160" s="771"/>
      <c r="AE160" s="771"/>
      <c r="AF160" s="771"/>
      <c r="AG160" s="840"/>
      <c r="AH160" s="840"/>
      <c r="AI160" s="840"/>
      <c r="AJ160" s="840"/>
      <c r="AK160" s="840"/>
      <c r="AL160" s="840"/>
      <c r="AM160" s="840"/>
      <c r="AN160" s="840"/>
      <c r="AO160" s="840"/>
      <c r="AP160" s="840"/>
      <c r="AQ160" s="840"/>
      <c r="AR160" s="840"/>
      <c r="AS160" s="840"/>
      <c r="AT160" s="840"/>
      <c r="AU160" s="840"/>
      <c r="AV160" s="1067"/>
      <c r="AW160" s="1067"/>
      <c r="AX160" s="1067"/>
      <c r="AY160" s="1067"/>
      <c r="AZ160" s="1067"/>
      <c r="BA160" s="1067"/>
      <c r="BB160" s="1067"/>
      <c r="BC160" s="1067"/>
      <c r="BD160" s="1067"/>
      <c r="BE160" s="1067"/>
      <c r="BF160" s="1067"/>
      <c r="BI160" s="2422" t="s">
        <v>4420</v>
      </c>
      <c r="BJ160" s="2422"/>
      <c r="BK160" s="2422"/>
      <c r="BL160" s="2422"/>
      <c r="BM160" s="2422"/>
      <c r="BN160" s="1067"/>
      <c r="BO160" s="1067"/>
      <c r="BP160" s="1067"/>
      <c r="BQ160" s="1067"/>
      <c r="BR160" s="1067"/>
      <c r="BS160" s="1067"/>
      <c r="BT160" s="1067"/>
      <c r="BU160" s="1067"/>
      <c r="BV160" s="1386"/>
      <c r="BW160" s="1511"/>
      <c r="BX160" s="1386"/>
      <c r="BY160" s="1386"/>
      <c r="BZ160" s="1386"/>
      <c r="CA160" s="1386"/>
      <c r="CB160" s="1386"/>
      <c r="CC160" s="1386"/>
      <c r="CD160" s="1067"/>
    </row>
    <row r="161" spans="1:123" ht="12.75" customHeight="1" x14ac:dyDescent="0.2">
      <c r="A161" s="771"/>
      <c r="B161" s="8"/>
      <c r="C161" s="8"/>
      <c r="D161" s="8"/>
      <c r="E161" s="841"/>
      <c r="F161" s="1441"/>
      <c r="G161" s="1441"/>
      <c r="H161" s="37"/>
      <c r="I161" s="35"/>
      <c r="L161" s="771"/>
      <c r="M161" s="771"/>
      <c r="N161" s="771"/>
      <c r="O161" s="771"/>
      <c r="P161" s="771"/>
      <c r="Q161" s="771"/>
      <c r="R161" s="771"/>
      <c r="S161" s="771"/>
      <c r="T161" s="771"/>
      <c r="U161" s="771"/>
      <c r="V161" s="771"/>
      <c r="W161" s="771"/>
      <c r="X161" s="771"/>
      <c r="Y161" s="771"/>
      <c r="Z161" s="771"/>
      <c r="AA161" s="771"/>
      <c r="AB161" s="771"/>
      <c r="AC161" s="771"/>
      <c r="AD161" s="771"/>
      <c r="AE161" s="771"/>
      <c r="AF161" s="771"/>
      <c r="AG161" s="840"/>
      <c r="AH161" s="840"/>
      <c r="AI161" s="840"/>
      <c r="AJ161" s="840"/>
      <c r="AK161" s="840"/>
      <c r="AL161" s="840"/>
      <c r="AM161" s="840"/>
      <c r="AN161" s="840"/>
      <c r="AO161" s="840"/>
      <c r="AP161" s="840"/>
      <c r="AQ161" s="840"/>
      <c r="AR161" s="840"/>
      <c r="AS161" s="840"/>
      <c r="AT161" s="840"/>
      <c r="AU161" s="840"/>
      <c r="AV161" s="1067"/>
      <c r="AW161" s="1067"/>
      <c r="AX161" s="1067"/>
      <c r="AY161" s="1067"/>
      <c r="AZ161" s="1067"/>
      <c r="BA161" s="1067"/>
      <c r="BB161" s="1067"/>
      <c r="BC161" s="1067"/>
      <c r="BD161" s="1067"/>
      <c r="BE161" s="1067"/>
      <c r="BF161" s="1067"/>
      <c r="BN161" s="1067"/>
      <c r="BO161" s="1067"/>
      <c r="BP161" s="1067"/>
      <c r="BQ161" s="1067"/>
      <c r="BR161" s="1067"/>
      <c r="BS161" s="1067"/>
      <c r="BT161" s="1067"/>
      <c r="BU161" s="1067"/>
      <c r="BV161" s="1386"/>
      <c r="BW161" s="1511"/>
      <c r="BX161" s="1386"/>
      <c r="BY161" s="1386"/>
      <c r="BZ161" s="1386"/>
      <c r="CA161" s="1386"/>
      <c r="CB161" s="1386"/>
      <c r="CC161" s="1386"/>
      <c r="CD161" s="1067"/>
    </row>
    <row r="162" spans="1:123" s="1386" customFormat="1" ht="20.100000000000001" customHeight="1" x14ac:dyDescent="0.2">
      <c r="A162" s="843"/>
      <c r="B162" s="2393" t="s">
        <v>3597</v>
      </c>
      <c r="C162" s="2394"/>
      <c r="D162" s="2394"/>
      <c r="E162" s="2394"/>
      <c r="F162" s="2394"/>
      <c r="G162" s="2394"/>
      <c r="H162" s="2394"/>
      <c r="I162" s="873"/>
      <c r="J162" s="771"/>
      <c r="K162" s="771"/>
      <c r="L162" s="771"/>
      <c r="M162" s="771"/>
      <c r="N162" s="771"/>
      <c r="O162" s="771"/>
      <c r="P162" s="771"/>
      <c r="Q162" s="771"/>
      <c r="R162" s="771"/>
      <c r="S162" s="771"/>
      <c r="T162" s="771"/>
      <c r="U162" s="771"/>
      <c r="V162" s="771"/>
      <c r="W162" s="771"/>
      <c r="X162" s="771"/>
      <c r="Y162" s="771"/>
      <c r="Z162" s="771"/>
      <c r="AA162" s="771"/>
      <c r="AB162" s="771"/>
      <c r="AC162" s="771"/>
      <c r="AD162" s="771"/>
      <c r="AE162" s="771"/>
      <c r="AF162" s="771"/>
      <c r="AG162" s="840"/>
      <c r="AH162" s="840"/>
      <c r="AI162" s="840"/>
      <c r="AJ162" s="840"/>
      <c r="AK162" s="840"/>
      <c r="AL162" s="840"/>
      <c r="AM162" s="840"/>
      <c r="AN162" s="840"/>
      <c r="AO162" s="840"/>
      <c r="AP162" s="1069"/>
      <c r="AQ162" s="840"/>
      <c r="AR162" s="840"/>
      <c r="AS162" s="840"/>
      <c r="AT162" s="840"/>
      <c r="AU162" s="840"/>
      <c r="AV162" s="1067"/>
      <c r="AW162" s="1067"/>
      <c r="AX162" s="1067"/>
      <c r="AY162" s="1067"/>
      <c r="AZ162" s="1067"/>
      <c r="BA162" s="1067"/>
      <c r="BB162" s="1067"/>
      <c r="BC162" s="1067"/>
      <c r="BD162" s="1067"/>
      <c r="BE162" s="1067"/>
      <c r="BF162" s="1067"/>
      <c r="BG162" s="1067"/>
      <c r="BH162" s="771"/>
      <c r="BI162" s="1532"/>
      <c r="BJ162" s="1533" t="s">
        <v>2396</v>
      </c>
      <c r="BK162" s="1533" t="s">
        <v>2398</v>
      </c>
      <c r="BL162" s="1533" t="s">
        <v>2397</v>
      </c>
      <c r="BM162" s="1533" t="s">
        <v>3159</v>
      </c>
      <c r="BN162" s="1067"/>
      <c r="BO162" s="1067"/>
      <c r="BP162" s="1067"/>
      <c r="BQ162" s="1067"/>
      <c r="BR162" s="1067"/>
      <c r="BS162" s="1067"/>
      <c r="BT162" s="1067"/>
      <c r="BU162" s="1067"/>
      <c r="BW162" s="1511"/>
      <c r="CD162" s="1067"/>
      <c r="CE162" s="771"/>
      <c r="CF162" s="771"/>
      <c r="CG162" s="771"/>
      <c r="CH162" s="771"/>
      <c r="CI162" s="771"/>
      <c r="CJ162" s="771"/>
      <c r="CK162" s="771"/>
      <c r="CL162" s="771"/>
      <c r="CM162" s="771"/>
      <c r="CN162" s="771"/>
      <c r="CO162" s="771"/>
      <c r="CP162" s="771"/>
      <c r="CQ162" s="771"/>
      <c r="CR162" s="771"/>
      <c r="CS162" s="771"/>
      <c r="CT162" s="771"/>
      <c r="CU162" s="771"/>
      <c r="CV162" s="771"/>
      <c r="CW162" s="771"/>
      <c r="CX162" s="771"/>
      <c r="CY162" s="771"/>
      <c r="CZ162" s="771"/>
      <c r="DA162" s="771"/>
      <c r="DB162" s="771"/>
      <c r="DC162" s="771"/>
      <c r="DD162" s="771"/>
      <c r="DE162" s="771"/>
      <c r="DF162" s="771"/>
      <c r="DG162" s="771"/>
      <c r="DH162" s="771"/>
      <c r="DI162" s="771"/>
      <c r="DJ162" s="771"/>
      <c r="DK162" s="771"/>
      <c r="DL162" s="771"/>
      <c r="DM162" s="771"/>
      <c r="DN162" s="771"/>
      <c r="DO162" s="771"/>
      <c r="DP162" s="771"/>
      <c r="DQ162" s="771"/>
      <c r="DR162" s="771"/>
      <c r="DS162" s="771"/>
    </row>
    <row r="163" spans="1:123" s="1386" customFormat="1" ht="20.100000000000001" customHeight="1" thickBot="1" x14ac:dyDescent="0.25">
      <c r="A163" s="843"/>
      <c r="B163" s="2396"/>
      <c r="C163" s="2396"/>
      <c r="D163" s="2396"/>
      <c r="E163" s="2396"/>
      <c r="F163" s="2396"/>
      <c r="G163" s="2396"/>
      <c r="H163" s="2396"/>
      <c r="I163" s="874"/>
      <c r="J163" s="771"/>
      <c r="K163" s="771"/>
      <c r="L163" s="771"/>
      <c r="M163" s="771"/>
      <c r="N163" s="771"/>
      <c r="O163" s="771"/>
      <c r="P163" s="771"/>
      <c r="Q163" s="771"/>
      <c r="R163" s="771"/>
      <c r="S163" s="771"/>
      <c r="T163" s="771"/>
      <c r="U163" s="771"/>
      <c r="V163" s="771"/>
      <c r="W163" s="771"/>
      <c r="X163" s="771"/>
      <c r="Y163" s="771"/>
      <c r="Z163" s="771"/>
      <c r="AA163" s="771"/>
      <c r="AB163" s="771"/>
      <c r="AC163" s="771"/>
      <c r="AD163" s="771"/>
      <c r="AE163" s="771"/>
      <c r="AF163" s="771"/>
      <c r="AG163" s="840"/>
      <c r="AH163" s="840"/>
      <c r="AI163" s="840"/>
      <c r="AJ163" s="840"/>
      <c r="AK163" s="840"/>
      <c r="AL163" s="840"/>
      <c r="AM163" s="840"/>
      <c r="AN163" s="840"/>
      <c r="AO163" s="840"/>
      <c r="AP163" s="1069"/>
      <c r="AQ163" s="840"/>
      <c r="AR163" s="840"/>
      <c r="AS163" s="840"/>
      <c r="AT163" s="840"/>
      <c r="AU163" s="840"/>
      <c r="AV163" s="1067"/>
      <c r="AW163" s="1067"/>
      <c r="AX163" s="1067"/>
      <c r="AY163" s="1067"/>
      <c r="AZ163" s="1067"/>
      <c r="BA163" s="1067"/>
      <c r="BB163" s="1067"/>
      <c r="BC163" s="1067"/>
      <c r="BD163" s="1067"/>
      <c r="BG163" s="771"/>
      <c r="BH163" s="771"/>
      <c r="BI163" s="1528">
        <v>270</v>
      </c>
      <c r="BJ163" s="1534"/>
      <c r="BK163" s="1534"/>
      <c r="BL163" s="1534"/>
      <c r="BM163" s="1529">
        <v>0</v>
      </c>
      <c r="BW163" s="1511"/>
      <c r="CE163" s="771"/>
      <c r="CF163" s="771"/>
      <c r="CG163" s="771"/>
      <c r="CH163" s="771"/>
      <c r="CI163" s="771"/>
      <c r="CJ163" s="771"/>
      <c r="CK163" s="771"/>
      <c r="CL163" s="771"/>
      <c r="CM163" s="771"/>
      <c r="CN163" s="771"/>
      <c r="CO163" s="771"/>
      <c r="CP163" s="771"/>
      <c r="CQ163" s="771"/>
      <c r="CR163" s="771"/>
      <c r="CS163" s="771"/>
      <c r="CT163" s="771"/>
      <c r="CU163" s="771"/>
      <c r="CV163" s="771"/>
      <c r="CW163" s="771"/>
      <c r="CX163" s="771"/>
      <c r="CY163" s="771"/>
      <c r="CZ163" s="771"/>
      <c r="DA163" s="771"/>
      <c r="DB163" s="771"/>
      <c r="DC163" s="771"/>
      <c r="DD163" s="771"/>
      <c r="DE163" s="771"/>
      <c r="DF163" s="771"/>
      <c r="DG163" s="771"/>
      <c r="DH163" s="771"/>
      <c r="DI163" s="771"/>
      <c r="DJ163" s="771"/>
      <c r="DK163" s="771"/>
      <c r="DL163" s="771"/>
      <c r="DM163" s="771"/>
      <c r="DN163" s="771"/>
      <c r="DO163" s="771"/>
      <c r="DP163" s="771"/>
      <c r="DQ163" s="771"/>
      <c r="DR163" s="771"/>
      <c r="DS163" s="771"/>
    </row>
    <row r="164" spans="1:123" s="1386" customFormat="1" ht="15" customHeight="1" x14ac:dyDescent="0.2">
      <c r="A164" s="843"/>
      <c r="B164" s="851">
        <v>500</v>
      </c>
      <c r="C164" s="718"/>
      <c r="D164" s="719"/>
      <c r="E164" s="719"/>
      <c r="F164" s="1445"/>
      <c r="G164" s="1445"/>
      <c r="H164" s="720"/>
      <c r="I164" s="721"/>
      <c r="J164" s="771"/>
      <c r="K164" s="771"/>
      <c r="L164" s="771"/>
      <c r="M164" s="771"/>
      <c r="N164" s="771"/>
      <c r="O164" s="771"/>
      <c r="P164" s="771"/>
      <c r="Q164" s="771"/>
      <c r="R164" s="771"/>
      <c r="S164" s="771"/>
      <c r="T164" s="771"/>
      <c r="U164" s="771"/>
      <c r="V164" s="771"/>
      <c r="W164" s="771"/>
      <c r="X164" s="771"/>
      <c r="Y164" s="771"/>
      <c r="Z164" s="771"/>
      <c r="AA164" s="771"/>
      <c r="AB164" s="771"/>
      <c r="AC164" s="771"/>
      <c r="AD164" s="771"/>
      <c r="AE164" s="771"/>
      <c r="AF164" s="771"/>
      <c r="AG164" s="840"/>
      <c r="AH164" s="840"/>
      <c r="AI164" s="840"/>
      <c r="AJ164" s="840"/>
      <c r="AK164" s="840"/>
      <c r="AL164" s="840"/>
      <c r="AM164" s="840"/>
      <c r="AN164" s="840"/>
      <c r="AO164" s="840"/>
      <c r="AP164" s="1069"/>
      <c r="AQ164" s="840"/>
      <c r="AR164" s="840"/>
      <c r="AS164" s="840"/>
      <c r="AT164" s="840"/>
      <c r="AU164" s="840"/>
      <c r="AV164" s="1067"/>
      <c r="AW164" s="1067"/>
      <c r="AX164" s="1067"/>
      <c r="AY164" s="1067"/>
      <c r="AZ164" s="1067"/>
      <c r="BA164" s="1067"/>
      <c r="BB164" s="1067"/>
      <c r="BC164" s="1067"/>
      <c r="BD164" s="1067"/>
      <c r="BG164" s="1533" t="s">
        <v>2396</v>
      </c>
      <c r="BH164" s="1534" t="str">
        <f>VLOOKUP($C$130,$BI$163:$BM$168,2,FALSE)</f>
        <v>9153879/</v>
      </c>
      <c r="BI164" s="1528">
        <v>300</v>
      </c>
      <c r="BJ164" s="1534"/>
      <c r="BK164" s="1534"/>
      <c r="BL164" s="1534"/>
      <c r="BM164" s="1529">
        <v>0</v>
      </c>
      <c r="BW164" s="1511"/>
      <c r="CE164" s="771"/>
      <c r="CF164" s="771"/>
      <c r="CG164" s="771"/>
      <c r="CH164" s="771"/>
      <c r="CI164" s="771"/>
      <c r="CJ164" s="771"/>
      <c r="CK164" s="771"/>
      <c r="CL164" s="771"/>
      <c r="CM164" s="771"/>
      <c r="CN164" s="771"/>
      <c r="CO164" s="771"/>
      <c r="CP164" s="771"/>
      <c r="CQ164" s="771"/>
      <c r="CR164" s="771"/>
      <c r="CS164" s="771"/>
      <c r="CT164" s="771"/>
      <c r="CU164" s="771"/>
      <c r="CV164" s="771"/>
      <c r="CW164" s="771"/>
      <c r="CX164" s="771"/>
      <c r="CY164" s="771"/>
      <c r="CZ164" s="771"/>
      <c r="DA164" s="771"/>
      <c r="DB164" s="771"/>
      <c r="DC164" s="771"/>
      <c r="DD164" s="771"/>
      <c r="DE164" s="771"/>
      <c r="DF164" s="771"/>
      <c r="DG164" s="771"/>
      <c r="DH164" s="771"/>
      <c r="DI164" s="771"/>
      <c r="DJ164" s="771"/>
      <c r="DK164" s="771"/>
      <c r="DL164" s="771"/>
      <c r="DM164" s="771"/>
      <c r="DN164" s="771"/>
      <c r="DO164" s="771"/>
      <c r="DP164" s="771"/>
      <c r="DQ164" s="771"/>
      <c r="DR164" s="771"/>
      <c r="DS164" s="771"/>
    </row>
    <row r="165" spans="1:123" s="1386" customFormat="1" ht="15.75" customHeight="1" thickBot="1" x14ac:dyDescent="0.25">
      <c r="A165" s="843"/>
      <c r="B165" s="844" t="s">
        <v>1639</v>
      </c>
      <c r="C165" s="850">
        <v>500</v>
      </c>
      <c r="D165" s="867" t="s">
        <v>1689</v>
      </c>
      <c r="E165" s="867"/>
      <c r="F165" s="1446"/>
      <c r="G165" s="1446"/>
      <c r="H165" s="868"/>
      <c r="I165" s="2388" t="str">
        <f>IF(СОДЕРЖАНИЕ!P2=1,"EUR","RUB")</f>
        <v>RUB</v>
      </c>
      <c r="J165" s="771"/>
      <c r="K165" s="771"/>
      <c r="L165" s="771"/>
      <c r="M165" s="771"/>
      <c r="N165" s="771"/>
      <c r="O165" s="771"/>
      <c r="P165" s="771"/>
      <c r="Q165" s="771"/>
      <c r="R165" s="771"/>
      <c r="S165" s="771"/>
      <c r="T165" s="771"/>
      <c r="U165" s="771"/>
      <c r="V165" s="771"/>
      <c r="W165" s="771"/>
      <c r="X165" s="771"/>
      <c r="Y165" s="771"/>
      <c r="Z165" s="771"/>
      <c r="AA165" s="771"/>
      <c r="AB165" s="771"/>
      <c r="AC165" s="771"/>
      <c r="AD165" s="771"/>
      <c r="AE165" s="771"/>
      <c r="AF165" s="771"/>
      <c r="AG165" s="771"/>
      <c r="AH165" s="771"/>
      <c r="AI165" s="771"/>
      <c r="AJ165" s="771"/>
      <c r="AK165" s="771"/>
      <c r="AL165" s="771"/>
      <c r="AM165" s="771"/>
      <c r="AN165" s="771"/>
      <c r="AO165" s="771"/>
      <c r="AP165" s="771"/>
      <c r="AQ165" s="771"/>
      <c r="AR165" s="771"/>
      <c r="AS165" s="771"/>
      <c r="AT165" s="771"/>
      <c r="AU165" s="771"/>
      <c r="AV165" s="771"/>
      <c r="AW165" s="771"/>
      <c r="AX165" s="771"/>
      <c r="AY165" s="771"/>
      <c r="AZ165" s="771"/>
      <c r="BA165" s="771"/>
      <c r="BB165" s="771"/>
      <c r="BC165" s="771"/>
      <c r="BD165" s="771"/>
      <c r="BG165" s="1533" t="s">
        <v>2398</v>
      </c>
      <c r="BH165" s="1534" t="str">
        <f>VLOOKUP($C$130,$BI$163:$BM$168,3,FALSE)</f>
        <v>9160529/</v>
      </c>
      <c r="BI165" s="1528">
        <v>350</v>
      </c>
      <c r="BJ165" s="1534"/>
      <c r="BK165" s="1534"/>
      <c r="BL165" s="1534"/>
      <c r="BM165" s="1529">
        <v>0</v>
      </c>
      <c r="BW165" s="1511"/>
      <c r="CE165" s="771"/>
      <c r="CF165" s="771"/>
      <c r="CG165" s="771"/>
      <c r="CH165" s="771"/>
      <c r="CI165" s="771"/>
      <c r="CJ165" s="771"/>
      <c r="CK165" s="771"/>
      <c r="CL165" s="771"/>
      <c r="CM165" s="771"/>
      <c r="CN165" s="771"/>
      <c r="CO165" s="771"/>
      <c r="CP165" s="771"/>
      <c r="CQ165" s="771"/>
      <c r="CR165" s="771"/>
      <c r="CS165" s="771"/>
      <c r="CT165" s="771"/>
      <c r="CU165" s="771"/>
      <c r="CV165" s="771"/>
      <c r="CW165" s="771"/>
      <c r="CX165" s="771"/>
      <c r="CY165" s="771"/>
      <c r="CZ165" s="771"/>
      <c r="DA165" s="771"/>
      <c r="DB165" s="771"/>
      <c r="DC165" s="771"/>
      <c r="DD165" s="771"/>
      <c r="DE165" s="771"/>
      <c r="DF165" s="771"/>
      <c r="DG165" s="771"/>
      <c r="DH165" s="771"/>
      <c r="DI165" s="771"/>
      <c r="DJ165" s="771"/>
      <c r="DK165" s="771"/>
      <c r="DL165" s="771"/>
      <c r="DM165" s="771"/>
      <c r="DN165" s="771"/>
      <c r="DO165" s="771"/>
      <c r="DP165" s="771"/>
      <c r="DQ165" s="771"/>
      <c r="DR165" s="771"/>
      <c r="DS165" s="771"/>
    </row>
    <row r="166" spans="1:123" s="1386" customFormat="1" ht="9" customHeight="1" x14ac:dyDescent="0.2">
      <c r="A166" s="843"/>
      <c r="B166" s="2419"/>
      <c r="C166" s="135" t="s">
        <v>1301</v>
      </c>
      <c r="D166" s="1561" t="s">
        <v>784</v>
      </c>
      <c r="E166" s="1562" t="s">
        <v>2117</v>
      </c>
      <c r="F166" s="1563"/>
      <c r="G166" s="1564" t="s">
        <v>4335</v>
      </c>
      <c r="H166" s="1565" t="s">
        <v>2116</v>
      </c>
      <c r="I166" s="2389"/>
      <c r="J166" s="771"/>
      <c r="K166" s="771"/>
      <c r="L166" s="771"/>
      <c r="M166" s="771"/>
      <c r="N166" s="771"/>
      <c r="O166" s="771"/>
      <c r="P166" s="771"/>
      <c r="Q166" s="771"/>
      <c r="R166" s="771"/>
      <c r="S166" s="771"/>
      <c r="T166" s="771"/>
      <c r="U166" s="771"/>
      <c r="V166" s="771"/>
      <c r="W166" s="771"/>
      <c r="X166" s="771"/>
      <c r="Y166" s="771"/>
      <c r="Z166" s="771"/>
      <c r="AA166" s="771"/>
      <c r="AB166" s="771"/>
      <c r="AC166" s="771"/>
      <c r="AD166" s="771"/>
      <c r="AE166" s="771"/>
      <c r="AF166" s="771"/>
      <c r="AG166" s="771"/>
      <c r="AH166" s="771"/>
      <c r="AI166" s="771"/>
      <c r="AJ166" s="771"/>
      <c r="AK166" s="771"/>
      <c r="AL166" s="771"/>
      <c r="AM166" s="771"/>
      <c r="AN166" s="771"/>
      <c r="AO166" s="771"/>
      <c r="AP166" s="771"/>
      <c r="AQ166" s="771"/>
      <c r="AR166" s="771"/>
      <c r="AS166" s="771"/>
      <c r="AT166" s="771"/>
      <c r="AU166" s="771"/>
      <c r="AV166" s="771"/>
      <c r="AW166" s="771"/>
      <c r="AX166" s="771"/>
      <c r="AY166" s="771"/>
      <c r="AZ166" s="771"/>
      <c r="BA166" s="771"/>
      <c r="BB166" s="771"/>
      <c r="BC166" s="771"/>
      <c r="BD166" s="771"/>
      <c r="BG166" s="1533" t="s">
        <v>2397</v>
      </c>
      <c r="BH166" s="1534" t="str">
        <f>VLOOKUP($C$130,$BI$163:$BM$168,4,FALSE)</f>
        <v>9177721/</v>
      </c>
      <c r="BI166" s="1528">
        <v>400</v>
      </c>
      <c r="BJ166" s="1534"/>
      <c r="BK166" s="1534"/>
      <c r="BL166" s="1534"/>
      <c r="BM166" s="1529">
        <v>0</v>
      </c>
      <c r="BW166" s="1511"/>
      <c r="CE166" s="771"/>
      <c r="CF166" s="771"/>
      <c r="CG166" s="771"/>
      <c r="CH166" s="771"/>
      <c r="CI166" s="771"/>
      <c r="CJ166" s="771"/>
      <c r="CK166" s="771"/>
      <c r="CL166" s="771"/>
      <c r="CM166" s="771"/>
      <c r="CN166" s="771"/>
      <c r="CO166" s="771"/>
      <c r="CP166" s="771"/>
      <c r="CQ166" s="771"/>
      <c r="CR166" s="771"/>
      <c r="CS166" s="771"/>
      <c r="CT166" s="771"/>
      <c r="CU166" s="771"/>
      <c r="CV166" s="771"/>
      <c r="CW166" s="771"/>
      <c r="CX166" s="771"/>
      <c r="CY166" s="771"/>
      <c r="CZ166" s="771"/>
      <c r="DA166" s="771"/>
      <c r="DB166" s="771"/>
      <c r="DC166" s="771"/>
      <c r="DD166" s="771"/>
      <c r="DE166" s="771"/>
      <c r="DF166" s="771"/>
      <c r="DG166" s="771"/>
      <c r="DH166" s="771"/>
      <c r="DI166" s="771"/>
      <c r="DJ166" s="771"/>
      <c r="DK166" s="771"/>
      <c r="DL166" s="771"/>
      <c r="DM166" s="771"/>
      <c r="DN166" s="771"/>
      <c r="DO166" s="771"/>
      <c r="DP166" s="771"/>
      <c r="DQ166" s="771"/>
      <c r="DR166" s="771"/>
      <c r="DS166" s="771"/>
    </row>
    <row r="167" spans="1:123" s="1386" customFormat="1" ht="12.75" customHeight="1" x14ac:dyDescent="0.2">
      <c r="A167" s="2384"/>
      <c r="B167" s="2073"/>
      <c r="C167" s="1566" t="s">
        <v>2327</v>
      </c>
      <c r="D167" s="1567" t="str">
        <f t="shared" ref="D167:D173" si="54">VLOOKUP(C167,всецены,2,FALSE)</f>
        <v xml:space="preserve">LBX, Крепление фасада С, EXPANDO, симм  </v>
      </c>
      <c r="E167" s="1568">
        <v>2</v>
      </c>
      <c r="F167" s="1569">
        <f t="shared" ref="F167:F177" si="55">VLOOKUP(C167,всецены,4,FALSE)</f>
        <v>51.232381200000006</v>
      </c>
      <c r="G167" s="1569">
        <f t="shared" ref="G167:G177" si="56">IF($D$4="Индивидуальная",0,F167)</f>
        <v>51.232381200000006</v>
      </c>
      <c r="H167" s="1570">
        <f>G167*E167</f>
        <v>102.46476240000001</v>
      </c>
      <c r="I167" s="2418">
        <f>SUM(H167:H177)</f>
        <v>3542.3532144000001</v>
      </c>
      <c r="J167" s="771"/>
      <c r="K167" s="771"/>
      <c r="L167" s="771"/>
      <c r="M167" s="771" t="s">
        <v>3582</v>
      </c>
      <c r="N167" s="771"/>
      <c r="O167" s="771"/>
      <c r="P167" s="771"/>
      <c r="Q167" s="771"/>
      <c r="R167" s="771"/>
      <c r="S167" s="771"/>
      <c r="T167" s="771"/>
      <c r="U167" s="771"/>
      <c r="V167" s="771" t="s">
        <v>3582</v>
      </c>
      <c r="W167" s="771"/>
      <c r="X167" s="771"/>
      <c r="Y167" s="771"/>
      <c r="Z167" s="771"/>
      <c r="AA167" s="771"/>
      <c r="AB167" s="771"/>
      <c r="AC167" s="771"/>
      <c r="AD167" s="771"/>
      <c r="AE167" s="771" t="s">
        <v>3582</v>
      </c>
      <c r="AF167" s="771"/>
      <c r="AG167" s="771"/>
      <c r="AH167" s="771"/>
      <c r="AI167" s="771"/>
      <c r="AJ167" s="771"/>
      <c r="AK167" s="771"/>
      <c r="AL167" s="771"/>
      <c r="AM167" s="771"/>
      <c r="AN167" s="771" t="s">
        <v>3582</v>
      </c>
      <c r="AO167" s="771"/>
      <c r="AP167" s="771"/>
      <c r="AQ167" s="771"/>
      <c r="AR167" s="771"/>
      <c r="AS167" s="771"/>
      <c r="AT167" s="771"/>
      <c r="AU167" s="771"/>
      <c r="AV167" s="771"/>
      <c r="AW167" s="771" t="s">
        <v>3582</v>
      </c>
      <c r="AX167" s="771"/>
      <c r="AY167" s="771"/>
      <c r="AZ167" s="771"/>
      <c r="BA167" s="771"/>
      <c r="BB167" s="771"/>
      <c r="BC167" s="771"/>
      <c r="BD167" s="771"/>
      <c r="BG167" s="1533" t="s">
        <v>3159</v>
      </c>
      <c r="BH167" s="1534">
        <f>VLOOKUP($C$130,$BI$163:$BM$168,5,FALSE)</f>
        <v>0</v>
      </c>
      <c r="BI167" s="1528">
        <v>450</v>
      </c>
      <c r="BJ167" s="8" t="s">
        <v>4451</v>
      </c>
      <c r="BK167" s="8" t="s">
        <v>4465</v>
      </c>
      <c r="BL167" s="8" t="s">
        <v>3711</v>
      </c>
      <c r="BM167" s="1529">
        <v>0</v>
      </c>
      <c r="BW167" s="1511"/>
      <c r="CE167" s="771"/>
      <c r="CF167" s="771"/>
      <c r="CG167" s="771"/>
      <c r="CH167" s="771"/>
      <c r="CI167" s="771"/>
      <c r="CJ167" s="771"/>
      <c r="CK167" s="771"/>
      <c r="CL167" s="771"/>
      <c r="CM167" s="771"/>
      <c r="CN167" s="771"/>
      <c r="CO167" s="771"/>
      <c r="CP167" s="771"/>
      <c r="CQ167" s="771"/>
      <c r="CR167" s="771"/>
      <c r="CS167" s="771"/>
      <c r="CT167" s="771"/>
      <c r="CU167" s="771"/>
      <c r="CV167" s="771"/>
      <c r="CW167" s="771"/>
      <c r="CX167" s="771"/>
      <c r="CY167" s="771"/>
      <c r="CZ167" s="771"/>
      <c r="DA167" s="771"/>
      <c r="DB167" s="771"/>
      <c r="DC167" s="771"/>
      <c r="DD167" s="771"/>
      <c r="DE167" s="771"/>
      <c r="DF167" s="771"/>
      <c r="DG167" s="771"/>
      <c r="DH167" s="771"/>
      <c r="DI167" s="771"/>
      <c r="DJ167" s="771"/>
      <c r="DK167" s="771"/>
      <c r="DL167" s="771"/>
      <c r="DM167" s="771"/>
      <c r="DN167" s="771"/>
      <c r="DO167" s="771"/>
      <c r="DP167" s="771"/>
      <c r="DQ167" s="771"/>
      <c r="DR167" s="771"/>
      <c r="DS167" s="771"/>
    </row>
    <row r="168" spans="1:123" s="1386" customFormat="1" ht="12.75" customHeight="1" x14ac:dyDescent="0.2">
      <c r="A168" s="2384"/>
      <c r="B168" s="2073"/>
      <c r="C168" s="1566" t="str">
        <f>VLOOKUP($D$3,LBX.C,8,FALSE)</f>
        <v>3326679/</v>
      </c>
      <c r="D168" s="1567" t="str">
        <f t="shared" si="54"/>
        <v>LBX, Держат. задн. ст, 189 мм, бел, лев.</v>
      </c>
      <c r="E168" s="1568">
        <v>1</v>
      </c>
      <c r="F168" s="1569">
        <f t="shared" si="55"/>
        <v>47.979531600000001</v>
      </c>
      <c r="G168" s="1569">
        <f t="shared" si="56"/>
        <v>47.979531600000001</v>
      </c>
      <c r="H168" s="1570">
        <f t="shared" ref="H168:H177" si="57">G168*E168</f>
        <v>47.979531600000001</v>
      </c>
      <c r="I168" s="2386"/>
      <c r="J168" s="771"/>
      <c r="K168" s="771"/>
      <c r="M168" s="2398" t="str">
        <f>$D$3</f>
        <v>БЕЛЫЙ ШЕЛК - матовый</v>
      </c>
      <c r="N168" s="2399"/>
      <c r="O168" s="2399"/>
      <c r="P168" s="2399"/>
      <c r="Q168" s="2399"/>
      <c r="R168" s="2399"/>
      <c r="S168" s="2399"/>
      <c r="T168" s="2400"/>
      <c r="V168" s="2409" t="s">
        <v>2357</v>
      </c>
      <c r="W168" s="2410"/>
      <c r="X168" s="2410"/>
      <c r="Y168" s="2410"/>
      <c r="Z168" s="2410"/>
      <c r="AA168" s="2410"/>
      <c r="AB168" s="2410"/>
      <c r="AC168" s="2411"/>
      <c r="AD168" s="8"/>
      <c r="AE168" s="2408" t="s">
        <v>2389</v>
      </c>
      <c r="AF168" s="2408"/>
      <c r="AG168" s="2408"/>
      <c r="AH168" s="2408"/>
      <c r="AI168" s="2408"/>
      <c r="AJ168" s="2408"/>
      <c r="AK168" s="2408"/>
      <c r="AL168" s="2408"/>
      <c r="AM168" s="8"/>
      <c r="AN168" s="2427" t="s">
        <v>2390</v>
      </c>
      <c r="AO168" s="2428"/>
      <c r="AP168" s="2428"/>
      <c r="AQ168" s="2428"/>
      <c r="AR168" s="2428"/>
      <c r="AS168" s="2428"/>
      <c r="AT168" s="2428"/>
      <c r="AU168" s="2428"/>
      <c r="AV168" s="8"/>
      <c r="AW168" s="2425" t="s">
        <v>3159</v>
      </c>
      <c r="AX168" s="2426"/>
      <c r="AY168" s="2426"/>
      <c r="AZ168" s="2426"/>
      <c r="BA168" s="2426"/>
      <c r="BB168" s="2426"/>
      <c r="BC168" s="2426"/>
      <c r="BD168" s="2426"/>
      <c r="BG168" s="1067"/>
      <c r="BH168" s="771"/>
      <c r="BI168" s="1528">
        <v>500</v>
      </c>
      <c r="BJ168" s="8" t="s">
        <v>4452</v>
      </c>
      <c r="BK168" s="8" t="s">
        <v>3672</v>
      </c>
      <c r="BL168" s="8" t="s">
        <v>4485</v>
      </c>
      <c r="BM168" s="1529">
        <v>0</v>
      </c>
      <c r="BW168" s="1511"/>
      <c r="CE168" s="771"/>
      <c r="CF168" s="771"/>
      <c r="CG168" s="771"/>
      <c r="CH168" s="771"/>
      <c r="CI168" s="771"/>
      <c r="CJ168" s="771"/>
      <c r="CK168" s="771"/>
      <c r="CL168" s="771"/>
      <c r="CM168" s="771"/>
      <c r="CN168" s="771"/>
      <c r="CO168" s="771"/>
      <c r="CP168" s="771"/>
      <c r="CQ168" s="771"/>
      <c r="CR168" s="771"/>
      <c r="CS168" s="771"/>
      <c r="CT168" s="771"/>
      <c r="CU168" s="771"/>
      <c r="CV168" s="771"/>
      <c r="CW168" s="771"/>
      <c r="CX168" s="771"/>
      <c r="CY168" s="771"/>
      <c r="CZ168" s="771"/>
      <c r="DA168" s="771"/>
      <c r="DB168" s="771"/>
      <c r="DC168" s="771"/>
      <c r="DD168" s="771"/>
      <c r="DE168" s="771"/>
      <c r="DF168" s="771"/>
      <c r="DG168" s="771"/>
      <c r="DH168" s="771"/>
      <c r="DI168" s="771"/>
      <c r="DJ168" s="771"/>
      <c r="DK168" s="771"/>
      <c r="DL168" s="771"/>
      <c r="DM168" s="771"/>
      <c r="DN168" s="771"/>
      <c r="DO168" s="771"/>
      <c r="DP168" s="771"/>
      <c r="DQ168" s="771"/>
      <c r="DR168" s="771"/>
      <c r="DS168" s="771"/>
    </row>
    <row r="169" spans="1:123" s="1386" customFormat="1" ht="12.75" customHeight="1" thickBot="1" x14ac:dyDescent="0.25">
      <c r="A169" s="2384"/>
      <c r="B169" s="2073"/>
      <c r="C169" s="1566" t="str">
        <f>VLOOKUP($D$3,LBX.C,9,FALSE)</f>
        <v>4903108/</v>
      </c>
      <c r="D169" s="1567" t="str">
        <f t="shared" si="54"/>
        <v>LBX, Держат. задн. ст, 189 мм, бел, прав</v>
      </c>
      <c r="E169" s="1568">
        <v>1</v>
      </c>
      <c r="F169" s="1569">
        <f t="shared" si="55"/>
        <v>47.979531600000001</v>
      </c>
      <c r="G169" s="1569">
        <f t="shared" si="56"/>
        <v>47.979531600000001</v>
      </c>
      <c r="H169" s="1570">
        <f t="shared" si="57"/>
        <v>47.979531600000001</v>
      </c>
      <c r="I169" s="2386"/>
      <c r="J169" s="771"/>
      <c r="K169" s="771"/>
      <c r="L169" s="771"/>
      <c r="M169" s="771"/>
      <c r="N169" s="771"/>
      <c r="O169" s="771"/>
      <c r="P169" s="771"/>
      <c r="Q169" s="771"/>
      <c r="R169" s="771"/>
      <c r="S169" s="771"/>
      <c r="T169" s="771"/>
      <c r="U169" s="771"/>
      <c r="V169" s="771"/>
      <c r="W169" s="771"/>
      <c r="X169" s="771"/>
      <c r="Y169" s="771"/>
      <c r="Z169" s="771"/>
      <c r="AA169" s="771"/>
      <c r="AB169" s="771"/>
      <c r="AC169" s="771"/>
      <c r="AD169" s="771"/>
      <c r="AE169" s="771"/>
      <c r="AF169" s="771"/>
      <c r="AG169" s="771"/>
      <c r="AH169" s="771"/>
      <c r="AI169" s="771"/>
      <c r="AJ169" s="771"/>
      <c r="AK169" s="771"/>
      <c r="AL169" s="771"/>
      <c r="AM169" s="771"/>
      <c r="AN169" s="771"/>
      <c r="AO169" s="771"/>
      <c r="AP169" s="771"/>
      <c r="AQ169" s="771"/>
      <c r="AR169" s="771"/>
      <c r="AS169" s="771"/>
      <c r="AT169" s="771"/>
      <c r="AU169" s="771"/>
      <c r="AV169" s="771"/>
      <c r="AW169" s="771"/>
      <c r="AX169" s="771"/>
      <c r="AY169" s="771"/>
      <c r="AZ169" s="771"/>
      <c r="BA169" s="771"/>
      <c r="BB169" s="771"/>
      <c r="BC169" s="771"/>
      <c r="BD169" s="771"/>
      <c r="BG169" s="771" t="s">
        <v>3581</v>
      </c>
      <c r="BH169" s="771"/>
      <c r="BI169" s="771"/>
      <c r="BJ169" s="771"/>
      <c r="BK169" s="771"/>
      <c r="BL169" s="771"/>
      <c r="BM169" s="771"/>
      <c r="BN169" s="771"/>
      <c r="BO169" s="771"/>
      <c r="BP169" s="771" t="s">
        <v>3161</v>
      </c>
      <c r="BQ169" s="771"/>
      <c r="BR169" s="771"/>
      <c r="BV169" s="771" t="s">
        <v>3582</v>
      </c>
      <c r="BW169" s="771"/>
      <c r="CE169" s="771"/>
      <c r="CF169" s="771"/>
      <c r="CG169" s="771"/>
      <c r="CH169" s="771"/>
      <c r="CI169" s="771"/>
      <c r="CJ169" s="771"/>
      <c r="CK169" s="771"/>
      <c r="CL169" s="771"/>
      <c r="CM169" s="771"/>
      <c r="CN169" s="771"/>
      <c r="CO169" s="771"/>
      <c r="CP169" s="771"/>
      <c r="CQ169" s="771"/>
      <c r="CR169" s="771"/>
      <c r="CS169" s="771"/>
      <c r="CT169" s="771"/>
      <c r="CU169" s="771"/>
      <c r="CV169" s="771"/>
      <c r="CW169" s="771"/>
      <c r="CX169" s="771"/>
      <c r="CY169" s="771"/>
      <c r="CZ169" s="771"/>
      <c r="DA169" s="771"/>
      <c r="DB169" s="771"/>
      <c r="DC169" s="771"/>
      <c r="DD169" s="771"/>
      <c r="DE169" s="771"/>
      <c r="DF169" s="771"/>
      <c r="DG169" s="771"/>
      <c r="DH169" s="771"/>
      <c r="DI169" s="771"/>
      <c r="DJ169" s="771"/>
      <c r="DK169" s="771"/>
      <c r="DL169" s="771"/>
      <c r="DM169" s="771"/>
      <c r="DN169" s="771"/>
      <c r="DO169" s="771"/>
      <c r="DP169" s="771"/>
      <c r="DQ169" s="771"/>
      <c r="DR169" s="771"/>
      <c r="DS169" s="771"/>
    </row>
    <row r="170" spans="1:123" s="1386" customFormat="1" ht="12.75" customHeight="1" thickBot="1" x14ac:dyDescent="0.25">
      <c r="A170" s="2384"/>
      <c r="B170" s="2073"/>
      <c r="C170" s="1096" t="str">
        <f>IF(C174="","",IF($D$4="Торговая","",VLOOKUP($D$3,LBX.C,7,FALSE)))</f>
        <v>7944577/</v>
      </c>
      <c r="D170" s="43" t="str">
        <f>IF(C170="","",VLOOKUP(C170,всецены,2,FALSE))</f>
        <v xml:space="preserve">LBX, Загл, наружн, бел, симм с лого     </v>
      </c>
      <c r="E170" s="3">
        <f>IF(C170="",0,2)</f>
        <v>2</v>
      </c>
      <c r="F170" s="1457">
        <f>IF(C170="",0,VLOOKUP(C170,всецены,4,FALSE))</f>
        <v>14.637823200000001</v>
      </c>
      <c r="G170" s="1569">
        <f t="shared" si="56"/>
        <v>14.637823200000001</v>
      </c>
      <c r="H170" s="1570">
        <f t="shared" si="57"/>
        <v>29.275646400000003</v>
      </c>
      <c r="I170" s="2386"/>
      <c r="J170" s="771"/>
      <c r="K170" s="771"/>
      <c r="L170" s="771"/>
      <c r="M170" s="771"/>
      <c r="N170" s="771"/>
      <c r="O170" s="771"/>
      <c r="P170" s="771"/>
      <c r="Q170" s="771"/>
      <c r="R170" s="771"/>
      <c r="S170" s="771"/>
      <c r="T170" s="771"/>
      <c r="U170" s="771"/>
      <c r="V170" s="771"/>
      <c r="W170" s="771"/>
      <c r="X170" s="771"/>
      <c r="Y170" s="771"/>
      <c r="Z170" s="771"/>
      <c r="AA170" s="771"/>
      <c r="AB170" s="771"/>
      <c r="AC170" s="771"/>
      <c r="AD170" s="771"/>
      <c r="AE170" s="771"/>
      <c r="AF170" s="771"/>
      <c r="AG170" s="771"/>
      <c r="AH170" s="771"/>
      <c r="AI170" s="771"/>
      <c r="AJ170" s="771"/>
      <c r="AK170" s="771"/>
      <c r="AL170" s="771"/>
      <c r="AM170" s="771"/>
      <c r="AN170" s="771"/>
      <c r="AO170" s="771"/>
      <c r="AP170" s="771"/>
      <c r="AQ170" s="771"/>
      <c r="AR170" s="771"/>
      <c r="AS170" s="771"/>
      <c r="AT170" s="771"/>
      <c r="AU170" s="771"/>
      <c r="AV170" s="771"/>
      <c r="AW170" s="771"/>
      <c r="AX170" s="771"/>
      <c r="AY170" s="771"/>
      <c r="AZ170" s="771"/>
      <c r="BA170" s="771"/>
      <c r="BB170" s="771"/>
      <c r="BC170" s="771"/>
      <c r="BD170" s="771"/>
      <c r="BG170" s="771">
        <f>C165</f>
        <v>500</v>
      </c>
      <c r="BH170" s="1387" t="s">
        <v>1645</v>
      </c>
      <c r="BI170" s="1387" t="s">
        <v>1644</v>
      </c>
      <c r="BJ170" s="8" t="s">
        <v>1641</v>
      </c>
      <c r="BK170" s="8" t="s">
        <v>1642</v>
      </c>
      <c r="BL170" s="1387" t="s">
        <v>2393</v>
      </c>
      <c r="BM170" s="1387" t="s">
        <v>2394</v>
      </c>
      <c r="BN170" s="8" t="s">
        <v>2391</v>
      </c>
      <c r="BO170" s="8" t="s">
        <v>2392</v>
      </c>
      <c r="BP170" s="885" t="s">
        <v>3163</v>
      </c>
      <c r="BQ170" s="885" t="s">
        <v>3164</v>
      </c>
      <c r="BR170" s="885" t="s">
        <v>3165</v>
      </c>
      <c r="BS170" s="885" t="s">
        <v>3166</v>
      </c>
      <c r="BT170" s="885" t="s">
        <v>3168</v>
      </c>
      <c r="BU170" s="885" t="s">
        <v>2839</v>
      </c>
      <c r="BV170" s="1405" t="s">
        <v>3583</v>
      </c>
      <c r="BW170" s="1406" t="s">
        <v>3584</v>
      </c>
      <c r="BX170" s="1413" t="s">
        <v>3585</v>
      </c>
      <c r="BY170" s="1406" t="s">
        <v>3598</v>
      </c>
      <c r="BZ170" s="1407" t="s">
        <v>3599</v>
      </c>
      <c r="CB170" s="782"/>
      <c r="CC170" s="782"/>
      <c r="CE170" s="771"/>
      <c r="CF170" s="771"/>
      <c r="CG170" s="771"/>
      <c r="CH170" s="771"/>
      <c r="CI170" s="771"/>
      <c r="CJ170" s="771"/>
      <c r="CK170" s="771"/>
      <c r="CL170" s="771"/>
      <c r="CM170" s="771"/>
      <c r="CN170" s="771"/>
      <c r="CO170" s="771"/>
      <c r="CP170" s="771"/>
      <c r="CQ170" s="771"/>
      <c r="CR170" s="771"/>
      <c r="CS170" s="771"/>
      <c r="CT170" s="771"/>
      <c r="CU170" s="771"/>
      <c r="CV170" s="771"/>
      <c r="CW170" s="771"/>
      <c r="CX170" s="771"/>
      <c r="CY170" s="771"/>
      <c r="CZ170" s="771"/>
      <c r="DA170" s="771"/>
      <c r="DB170" s="771"/>
      <c r="DC170" s="771"/>
      <c r="DD170" s="771"/>
      <c r="DE170" s="771"/>
      <c r="DF170" s="771"/>
      <c r="DG170" s="771"/>
      <c r="DH170" s="771"/>
      <c r="DI170" s="771"/>
      <c r="DJ170" s="771"/>
      <c r="DK170" s="771"/>
      <c r="DL170" s="771"/>
      <c r="DM170" s="771"/>
      <c r="DN170" s="771"/>
      <c r="DO170" s="771"/>
      <c r="DP170" s="771"/>
      <c r="DQ170" s="771"/>
      <c r="DR170" s="771"/>
      <c r="DS170" s="771"/>
    </row>
    <row r="171" spans="1:123" s="1386" customFormat="1" ht="12.75" customHeight="1" x14ac:dyDescent="0.2">
      <c r="A171" s="2384"/>
      <c r="B171" s="2073"/>
      <c r="C171" s="1566" t="str">
        <f>VLOOKUP($D$3,LBX.C_Free,4,FALSE)</f>
        <v>4922514/</v>
      </c>
      <c r="D171" s="1567" t="str">
        <f t="shared" si="54"/>
        <v xml:space="preserve">LBX, Направл. с BM, 40 кг, 500 мм, лев  </v>
      </c>
      <c r="E171" s="1568">
        <v>1</v>
      </c>
      <c r="F171" s="1569">
        <f t="shared" si="55"/>
        <v>670.90023000000008</v>
      </c>
      <c r="G171" s="1569">
        <f t="shared" si="56"/>
        <v>670.90023000000008</v>
      </c>
      <c r="H171" s="1570">
        <f t="shared" si="57"/>
        <v>670.90023000000008</v>
      </c>
      <c r="I171" s="2386"/>
      <c r="J171" s="771"/>
      <c r="K171" s="771"/>
      <c r="L171" s="106" t="s">
        <v>2355</v>
      </c>
      <c r="M171" s="884" t="s">
        <v>2396</v>
      </c>
      <c r="N171" s="884" t="s">
        <v>2396</v>
      </c>
      <c r="O171" s="8"/>
      <c r="P171" s="8"/>
      <c r="Q171" s="884" t="s">
        <v>2396</v>
      </c>
      <c r="R171" s="884" t="s">
        <v>2396</v>
      </c>
      <c r="S171" s="884" t="s">
        <v>2396</v>
      </c>
      <c r="T171" s="884" t="s">
        <v>2396</v>
      </c>
      <c r="U171" s="106" t="s">
        <v>2355</v>
      </c>
      <c r="V171" s="884" t="s">
        <v>2396</v>
      </c>
      <c r="W171" s="884" t="s">
        <v>2396</v>
      </c>
      <c r="X171" s="8"/>
      <c r="Y171" s="8"/>
      <c r="Z171" s="884" t="s">
        <v>2396</v>
      </c>
      <c r="AA171" s="884" t="s">
        <v>2396</v>
      </c>
      <c r="AB171" s="884" t="s">
        <v>2396</v>
      </c>
      <c r="AC171" s="884" t="s">
        <v>2396</v>
      </c>
      <c r="AD171" s="106" t="s">
        <v>2355</v>
      </c>
      <c r="AE171" s="771" t="s">
        <v>2398</v>
      </c>
      <c r="AF171" s="771" t="s">
        <v>2398</v>
      </c>
      <c r="AG171" s="8"/>
      <c r="AH171" s="8"/>
      <c r="AI171" s="771" t="s">
        <v>2398</v>
      </c>
      <c r="AJ171" s="771" t="s">
        <v>2398</v>
      </c>
      <c r="AK171" s="771" t="s">
        <v>2398</v>
      </c>
      <c r="AL171" s="771" t="s">
        <v>2398</v>
      </c>
      <c r="AM171" s="106" t="s">
        <v>2355</v>
      </c>
      <c r="AN171" s="771" t="s">
        <v>2397</v>
      </c>
      <c r="AO171" s="771" t="s">
        <v>2397</v>
      </c>
      <c r="AP171" s="8"/>
      <c r="AQ171" s="8"/>
      <c r="AR171" s="771" t="s">
        <v>2397</v>
      </c>
      <c r="AS171" s="771" t="s">
        <v>2397</v>
      </c>
      <c r="AT171" s="771" t="s">
        <v>2397</v>
      </c>
      <c r="AU171" s="771" t="s">
        <v>2397</v>
      </c>
      <c r="AV171" s="106" t="s">
        <v>2355</v>
      </c>
      <c r="AW171" s="771" t="s">
        <v>2397</v>
      </c>
      <c r="AX171" s="771" t="s">
        <v>2397</v>
      </c>
      <c r="AY171" s="8"/>
      <c r="AZ171" s="8"/>
      <c r="BA171" s="771" t="s">
        <v>2397</v>
      </c>
      <c r="BB171" s="771" t="s">
        <v>2397</v>
      </c>
      <c r="BC171" s="771" t="s">
        <v>2397</v>
      </c>
      <c r="BD171" s="771" t="s">
        <v>2397</v>
      </c>
      <c r="BE171" s="771"/>
      <c r="BF171" s="771"/>
      <c r="BG171" s="1098" t="s">
        <v>2396</v>
      </c>
      <c r="BH171" s="1408" t="str">
        <f>VLOOKUP($BG$170,$U$173:$AC$177,BH175,FALSE)</f>
        <v>9826054/</v>
      </c>
      <c r="BI171" s="1408" t="str">
        <f>VLOOKUP($BG$170,$U$173:$AC$177,BI175,FALSE)</f>
        <v>8864974/</v>
      </c>
      <c r="BJ171" s="1099" t="str">
        <f t="shared" ref="BJ171:BO171" si="58">VLOOKUP($BG$101,$U$102:$AC$107,BJ175,FALSE)</f>
        <v>4922514/</v>
      </c>
      <c r="BK171" s="1099" t="str">
        <f t="shared" si="58"/>
        <v>4737284/</v>
      </c>
      <c r="BL171" s="1099" t="str">
        <f t="shared" si="58"/>
        <v>2550380/</v>
      </c>
      <c r="BM171" s="1099" t="str">
        <f t="shared" si="58"/>
        <v>5820744/</v>
      </c>
      <c r="BN171" s="1099" t="str">
        <f t="shared" si="58"/>
        <v>2260649/</v>
      </c>
      <c r="BO171" s="1107" t="str">
        <f t="shared" si="58"/>
        <v>8148550/</v>
      </c>
      <c r="BP171" s="1115" t="s">
        <v>2325</v>
      </c>
      <c r="BQ171" s="1099" t="s">
        <v>2345</v>
      </c>
      <c r="BR171" s="1099" t="s">
        <v>2308</v>
      </c>
      <c r="BS171" s="1099" t="s">
        <v>2334</v>
      </c>
      <c r="BT171" s="1408" t="s">
        <v>2995</v>
      </c>
      <c r="BU171" s="1107" t="s">
        <v>2293</v>
      </c>
      <c r="BV171" s="1403" t="s">
        <v>3004</v>
      </c>
      <c r="BW171" s="1031" t="s">
        <v>3006</v>
      </c>
      <c r="BX171" s="1414" t="s">
        <v>2996</v>
      </c>
      <c r="BY171" s="1031" t="s">
        <v>3002</v>
      </c>
      <c r="BZ171" s="1404" t="s">
        <v>2998</v>
      </c>
      <c r="CC171" s="782"/>
      <c r="CD171" s="771"/>
      <c r="CE171" s="771"/>
      <c r="CF171" s="771"/>
      <c r="CG171" s="771"/>
      <c r="CH171" s="771"/>
      <c r="CI171" s="771"/>
      <c r="CJ171" s="771"/>
      <c r="CK171" s="771"/>
      <c r="CL171" s="771"/>
      <c r="CM171" s="771"/>
      <c r="CN171" s="771"/>
      <c r="CO171" s="771"/>
      <c r="CP171" s="771"/>
      <c r="CQ171" s="771"/>
      <c r="CR171" s="771"/>
      <c r="CS171" s="771"/>
      <c r="CT171" s="771"/>
      <c r="CU171" s="771"/>
      <c r="CV171" s="771"/>
      <c r="CW171" s="771"/>
      <c r="CX171" s="771"/>
      <c r="CY171" s="771"/>
      <c r="CZ171" s="771"/>
      <c r="DA171" s="771"/>
      <c r="DB171" s="771"/>
      <c r="DC171" s="771"/>
      <c r="DD171" s="771"/>
      <c r="DE171" s="771"/>
      <c r="DF171" s="771"/>
      <c r="DG171" s="771"/>
      <c r="DH171" s="771"/>
      <c r="DI171" s="771"/>
      <c r="DJ171" s="771"/>
      <c r="DK171" s="771"/>
      <c r="DL171" s="771"/>
      <c r="DM171" s="771"/>
      <c r="DN171" s="771"/>
      <c r="DO171" s="771"/>
      <c r="DP171" s="771"/>
      <c r="DQ171" s="771"/>
      <c r="DR171" s="771"/>
      <c r="DS171" s="771"/>
    </row>
    <row r="172" spans="1:123" s="1386" customFormat="1" ht="12.75" customHeight="1" x14ac:dyDescent="0.2">
      <c r="A172" s="2384"/>
      <c r="B172" s="2073"/>
      <c r="C172" s="1566" t="str">
        <f>VLOOKUP($D$3,LBX.C_Free,5,FALSE)</f>
        <v>4737284/</v>
      </c>
      <c r="D172" s="1567" t="str">
        <f t="shared" si="54"/>
        <v xml:space="preserve">LBX, Направл. с BM, 40 кг, 500 мм, прав </v>
      </c>
      <c r="E172" s="1568">
        <v>1</v>
      </c>
      <c r="F172" s="1569">
        <f t="shared" si="55"/>
        <v>670.90023000000008</v>
      </c>
      <c r="G172" s="1569">
        <f t="shared" si="56"/>
        <v>670.90023000000008</v>
      </c>
      <c r="H172" s="1570">
        <f t="shared" si="57"/>
        <v>670.90023000000008</v>
      </c>
      <c r="I172" s="2386"/>
      <c r="J172" s="771"/>
      <c r="K172" s="771"/>
      <c r="L172" s="8"/>
      <c r="M172" s="1387" t="s">
        <v>1645</v>
      </c>
      <c r="N172" s="1387" t="s">
        <v>1644</v>
      </c>
      <c r="O172" s="8" t="s">
        <v>1641</v>
      </c>
      <c r="P172" s="8" t="s">
        <v>1642</v>
      </c>
      <c r="Q172" s="1387" t="s">
        <v>2393</v>
      </c>
      <c r="R172" s="1387" t="s">
        <v>2394</v>
      </c>
      <c r="S172" s="8" t="s">
        <v>2391</v>
      </c>
      <c r="T172" s="8" t="s">
        <v>2392</v>
      </c>
      <c r="U172" s="8"/>
      <c r="V172" s="1387" t="s">
        <v>1645</v>
      </c>
      <c r="W172" s="1387" t="s">
        <v>1644</v>
      </c>
      <c r="X172" s="8" t="s">
        <v>1641</v>
      </c>
      <c r="Y172" s="8" t="s">
        <v>1642</v>
      </c>
      <c r="Z172" s="1387" t="s">
        <v>2393</v>
      </c>
      <c r="AA172" s="1387" t="s">
        <v>2394</v>
      </c>
      <c r="AB172" s="8" t="s">
        <v>2391</v>
      </c>
      <c r="AC172" s="8" t="s">
        <v>2392</v>
      </c>
      <c r="AD172" s="8"/>
      <c r="AE172" s="1387" t="s">
        <v>1645</v>
      </c>
      <c r="AF172" s="1387" t="s">
        <v>1644</v>
      </c>
      <c r="AG172" s="8" t="s">
        <v>1641</v>
      </c>
      <c r="AH172" s="8" t="s">
        <v>1642</v>
      </c>
      <c r="AI172" s="1387" t="s">
        <v>2393</v>
      </c>
      <c r="AJ172" s="1387" t="s">
        <v>2394</v>
      </c>
      <c r="AK172" s="8" t="s">
        <v>2391</v>
      </c>
      <c r="AL172" s="8" t="s">
        <v>2392</v>
      </c>
      <c r="AM172" s="8"/>
      <c r="AN172" s="1387" t="s">
        <v>1645</v>
      </c>
      <c r="AO172" s="1387" t="s">
        <v>1644</v>
      </c>
      <c r="AP172" s="8" t="s">
        <v>1641</v>
      </c>
      <c r="AQ172" s="8" t="s">
        <v>1642</v>
      </c>
      <c r="AR172" s="1387" t="s">
        <v>2393</v>
      </c>
      <c r="AS172" s="1387" t="s">
        <v>2394</v>
      </c>
      <c r="AT172" s="8" t="s">
        <v>2391</v>
      </c>
      <c r="AU172" s="8" t="s">
        <v>2392</v>
      </c>
      <c r="AV172" s="8"/>
      <c r="AW172" s="1387" t="s">
        <v>1645</v>
      </c>
      <c r="AX172" s="1387" t="s">
        <v>1644</v>
      </c>
      <c r="AY172" s="8" t="s">
        <v>1641</v>
      </c>
      <c r="AZ172" s="8" t="s">
        <v>1642</v>
      </c>
      <c r="BA172" s="1387" t="s">
        <v>2393</v>
      </c>
      <c r="BB172" s="1387" t="s">
        <v>2394</v>
      </c>
      <c r="BC172" s="8" t="s">
        <v>2391</v>
      </c>
      <c r="BD172" s="8" t="s">
        <v>2392</v>
      </c>
      <c r="BE172" s="771"/>
      <c r="BF172" s="771"/>
      <c r="BG172" s="1101" t="s">
        <v>2398</v>
      </c>
      <c r="BH172" s="1409" t="str">
        <f>VLOOKUP($BG$170,$AD$173:$AL$177,BH175,FALSE)</f>
        <v>9064917/</v>
      </c>
      <c r="BI172" s="1409" t="str">
        <f>VLOOKUP($BG$170,$AD$173:$AL$177,BI175,FALSE)</f>
        <v>9090985/</v>
      </c>
      <c r="BJ172" s="1102" t="str">
        <f t="shared" ref="BJ172:BO172" si="59">VLOOKUP($BG$101,$AD$102:$AL$107,BJ175,FALSE)</f>
        <v>4922514/</v>
      </c>
      <c r="BK172" s="1102" t="str">
        <f t="shared" si="59"/>
        <v>4737284/</v>
      </c>
      <c r="BL172" s="1102" t="str">
        <f t="shared" si="59"/>
        <v>8322157/</v>
      </c>
      <c r="BM172" s="1102" t="str">
        <f t="shared" si="59"/>
        <v>7944577/</v>
      </c>
      <c r="BN172" s="1102" t="str">
        <f t="shared" si="59"/>
        <v>3326679/</v>
      </c>
      <c r="BO172" s="1108" t="str">
        <f t="shared" si="59"/>
        <v>4903108/</v>
      </c>
      <c r="BP172" s="1101" t="s">
        <v>2337</v>
      </c>
      <c r="BQ172" s="1097" t="s">
        <v>2331</v>
      </c>
      <c r="BR172" s="1102" t="s">
        <v>2318</v>
      </c>
      <c r="BS172" s="1102" t="s">
        <v>2321</v>
      </c>
      <c r="BT172" s="1409" t="s">
        <v>3043</v>
      </c>
      <c r="BU172" s="1398" t="s">
        <v>2328</v>
      </c>
      <c r="BV172" s="1400" t="s">
        <v>3586</v>
      </c>
      <c r="BW172" s="1401" t="s">
        <v>3587</v>
      </c>
      <c r="BX172" s="1398" t="s">
        <v>3588</v>
      </c>
      <c r="BY172" s="1401" t="s">
        <v>3040</v>
      </c>
      <c r="BZ172" s="1402" t="s">
        <v>3036</v>
      </c>
      <c r="CC172" s="88"/>
      <c r="CD172" s="771"/>
      <c r="CE172" s="771"/>
      <c r="CF172" s="771"/>
      <c r="CG172" s="771"/>
      <c r="CH172" s="771"/>
      <c r="CI172" s="771"/>
      <c r="CJ172" s="771"/>
      <c r="CK172" s="771"/>
      <c r="CL172" s="771"/>
      <c r="CM172" s="771"/>
      <c r="CN172" s="771"/>
      <c r="CO172" s="771"/>
      <c r="CP172" s="771"/>
      <c r="CQ172" s="771"/>
      <c r="CR172" s="771"/>
      <c r="CS172" s="771"/>
      <c r="CT172" s="771"/>
      <c r="CU172" s="771"/>
      <c r="CV172" s="771"/>
      <c r="CW172" s="771"/>
      <c r="CX172" s="771"/>
      <c r="CY172" s="771"/>
      <c r="CZ172" s="771"/>
      <c r="DA172" s="771"/>
      <c r="DB172" s="771"/>
      <c r="DC172" s="771"/>
      <c r="DD172" s="771"/>
      <c r="DE172" s="771"/>
      <c r="DF172" s="771"/>
      <c r="DG172" s="771"/>
      <c r="DH172" s="771"/>
      <c r="DI172" s="771"/>
      <c r="DJ172" s="771"/>
      <c r="DK172" s="771"/>
      <c r="DL172" s="771"/>
      <c r="DM172" s="771"/>
      <c r="DN172" s="771"/>
      <c r="DO172" s="771"/>
      <c r="DP172" s="771"/>
      <c r="DQ172" s="771"/>
      <c r="DR172" s="771"/>
      <c r="DS172" s="771"/>
    </row>
    <row r="173" spans="1:123" s="1386" customFormat="1" ht="12.75" customHeight="1" x14ac:dyDescent="0.2">
      <c r="A173" s="2384"/>
      <c r="B173" s="2073"/>
      <c r="C173" s="1566" t="str">
        <f>VLOOKUP($D$3,LBX.C_Free,2,FALSE)</f>
        <v>9064917/</v>
      </c>
      <c r="D173" s="1567" t="str">
        <f t="shared" si="54"/>
        <v xml:space="preserve">LBX-F, Боковина 176,8/500 мм, бел, лев  </v>
      </c>
      <c r="E173" s="1568">
        <v>1</v>
      </c>
      <c r="F173" s="1569">
        <f t="shared" si="55"/>
        <v>815.6520372</v>
      </c>
      <c r="G173" s="1569">
        <f t="shared" si="56"/>
        <v>815.6520372</v>
      </c>
      <c r="H173" s="1570">
        <f t="shared" si="57"/>
        <v>815.6520372</v>
      </c>
      <c r="I173" s="2386"/>
      <c r="J173" s="771"/>
      <c r="K173" s="771"/>
      <c r="L173" s="8">
        <v>270</v>
      </c>
      <c r="M173" s="696"/>
      <c r="N173" s="696"/>
      <c r="O173" s="696"/>
      <c r="P173" s="696"/>
      <c r="Q173" s="892" t="str">
        <f t="shared" ref="Q173:T177" si="60">IF($M$97=$X$3,Z173,IF($M$97=$X$4,AI173,AR173))</f>
        <v>8322157/</v>
      </c>
      <c r="R173" s="892" t="str">
        <f t="shared" si="60"/>
        <v>7944577/</v>
      </c>
      <c r="S173" s="892" t="str">
        <f t="shared" si="60"/>
        <v>3326679/</v>
      </c>
      <c r="T173" s="892" t="str">
        <f t="shared" si="60"/>
        <v>4903108/</v>
      </c>
      <c r="U173" s="8">
        <v>270</v>
      </c>
      <c r="V173" s="1392"/>
      <c r="W173" s="1392"/>
      <c r="X173" s="696" t="s">
        <v>3316</v>
      </c>
      <c r="Y173" s="696" t="s">
        <v>3315</v>
      </c>
      <c r="Z173" s="164" t="s">
        <v>2282</v>
      </c>
      <c r="AA173" s="43" t="s">
        <v>2486</v>
      </c>
      <c r="AB173" s="701" t="s">
        <v>2274</v>
      </c>
      <c r="AC173" s="43" t="s">
        <v>2332</v>
      </c>
      <c r="AD173" s="8">
        <v>270</v>
      </c>
      <c r="AE173" s="1371"/>
      <c r="AF173" s="1371"/>
      <c r="AG173" s="696"/>
      <c r="AH173" s="696"/>
      <c r="AI173" s="891" t="s">
        <v>2336</v>
      </c>
      <c r="AJ173" s="891" t="s">
        <v>2377</v>
      </c>
      <c r="AK173" s="891" t="s">
        <v>2291</v>
      </c>
      <c r="AL173" s="891" t="s">
        <v>2305</v>
      </c>
      <c r="AM173" s="8">
        <v>270</v>
      </c>
      <c r="AN173" s="1371"/>
      <c r="AO173" s="1371"/>
      <c r="AP173" s="696"/>
      <c r="AQ173" s="696"/>
      <c r="AR173" s="891" t="s">
        <v>2319</v>
      </c>
      <c r="AS173" s="891" t="s">
        <v>2342</v>
      </c>
      <c r="AT173" s="891" t="s">
        <v>2343</v>
      </c>
      <c r="AU173" s="891" t="s">
        <v>2278</v>
      </c>
      <c r="AV173" s="8">
        <v>270</v>
      </c>
      <c r="AW173" s="1391"/>
      <c r="AX173" s="1391"/>
      <c r="AY173" s="1085"/>
      <c r="AZ173" s="1085"/>
      <c r="BA173" s="1088"/>
      <c r="BB173" s="1088"/>
      <c r="BC173" s="1088"/>
      <c r="BD173" s="1088"/>
      <c r="BE173" s="771"/>
      <c r="BF173" s="771"/>
      <c r="BG173" s="1101" t="s">
        <v>2397</v>
      </c>
      <c r="BH173" s="1409" t="str">
        <f>VLOOKUP($BG$170,$AM$173:$AU$177,BH175,FALSE)</f>
        <v>9224405/</v>
      </c>
      <c r="BI173" s="1409" t="str">
        <f>VLOOKUP($BG$170,$AM$173:$AU$177,BI175,FALSE)</f>
        <v>9354446/</v>
      </c>
      <c r="BJ173" s="1102" t="str">
        <f t="shared" ref="BJ173:BO173" si="61">VLOOKUP($BG$101,$AM$102:$AU$107,BJ175,FALSE)</f>
        <v>4922514/</v>
      </c>
      <c r="BK173" s="1102" t="str">
        <f t="shared" si="61"/>
        <v>4737284/</v>
      </c>
      <c r="BL173" s="1102" t="str">
        <f t="shared" si="61"/>
        <v>5806987/</v>
      </c>
      <c r="BM173" s="1102" t="str">
        <f t="shared" si="61"/>
        <v>9207744/</v>
      </c>
      <c r="BN173" s="1102" t="str">
        <f t="shared" si="61"/>
        <v>9497175/</v>
      </c>
      <c r="BO173" s="1108" t="str">
        <f t="shared" si="61"/>
        <v>2457961/</v>
      </c>
      <c r="BP173" s="1101" t="s">
        <v>3059</v>
      </c>
      <c r="BQ173" s="1102" t="s">
        <v>3050</v>
      </c>
      <c r="BR173" s="1102" t="s">
        <v>3053</v>
      </c>
      <c r="BS173" s="1102" t="s">
        <v>3052</v>
      </c>
      <c r="BT173" s="1409" t="s">
        <v>3612</v>
      </c>
      <c r="BU173" s="1398" t="s">
        <v>3060</v>
      </c>
      <c r="BV173" s="1400" t="s">
        <v>3589</v>
      </c>
      <c r="BW173" s="1401" t="s">
        <v>3590</v>
      </c>
      <c r="BX173" s="1398" t="s">
        <v>3591</v>
      </c>
      <c r="BY173" s="771" t="s">
        <v>3613</v>
      </c>
      <c r="BZ173" s="771" t="s">
        <v>3614</v>
      </c>
      <c r="CB173" s="88"/>
      <c r="CC173" s="88"/>
      <c r="CD173" s="771"/>
      <c r="CE173" s="771"/>
      <c r="CF173" s="771"/>
      <c r="CG173" s="771"/>
      <c r="CH173" s="771"/>
      <c r="CI173" s="771"/>
      <c r="CJ173" s="771"/>
      <c r="CK173" s="771"/>
      <c r="CL173" s="771"/>
      <c r="CM173" s="771"/>
      <c r="CN173" s="771"/>
      <c r="CO173" s="771"/>
      <c r="CP173" s="771"/>
      <c r="CQ173" s="771"/>
      <c r="CR173" s="771"/>
      <c r="CS173" s="771"/>
      <c r="CT173" s="771"/>
      <c r="CU173" s="771"/>
      <c r="CV173" s="771"/>
      <c r="CW173" s="771"/>
      <c r="CX173" s="771"/>
      <c r="CY173" s="771"/>
      <c r="CZ173" s="771"/>
      <c r="DA173" s="771"/>
      <c r="DB173" s="771"/>
      <c r="DC173" s="771"/>
      <c r="DD173" s="771"/>
      <c r="DE173" s="771"/>
      <c r="DF173" s="771"/>
      <c r="DG173" s="771"/>
      <c r="DH173" s="771"/>
      <c r="DI173" s="771"/>
      <c r="DJ173" s="771"/>
      <c r="DK173" s="771"/>
      <c r="DL173" s="771"/>
      <c r="DM173" s="771"/>
      <c r="DN173" s="771"/>
      <c r="DO173" s="771"/>
      <c r="DP173" s="771"/>
      <c r="DQ173" s="771"/>
      <c r="DR173" s="771"/>
      <c r="DS173" s="771"/>
    </row>
    <row r="174" spans="1:123" s="1388" customFormat="1" ht="12.75" customHeight="1" thickBot="1" x14ac:dyDescent="0.25">
      <c r="A174" s="2384"/>
      <c r="B174" s="2073"/>
      <c r="C174" s="1566" t="str">
        <f>IF(RIGHT(D173,3)="кмп","",VLOOKUP($D$3,LBX.C_Free,3,FALSE))</f>
        <v>9090985/</v>
      </c>
      <c r="D174" s="1567" t="str">
        <f>IF(C174="","",VLOOKUP(C174,всецены,2,FALSE))</f>
        <v xml:space="preserve">LBX-F, Боковина 176,8/500 мм, бел, пр   </v>
      </c>
      <c r="E174" s="1571">
        <f>IF(C174="",0,1)</f>
        <v>1</v>
      </c>
      <c r="F174" s="1572">
        <f>IF(C174="",0,VLOOKUP(C174,всецены,4,FALSE))</f>
        <v>815.6520372</v>
      </c>
      <c r="G174" s="1569">
        <f t="shared" si="56"/>
        <v>815.6520372</v>
      </c>
      <c r="H174" s="1570">
        <f t="shared" si="57"/>
        <v>815.6520372</v>
      </c>
      <c r="I174" s="2386"/>
      <c r="J174" s="771"/>
      <c r="K174" s="771"/>
      <c r="L174" s="8">
        <v>350</v>
      </c>
      <c r="M174" s="892" t="str">
        <f>IF($M$97=$X$3,V174,IF($M$97=$X$4,AE174,AN174))</f>
        <v>3655321/</v>
      </c>
      <c r="N174" s="892">
        <f>IF($M$97=$X$3,W174,IF($M$97=$X$4,AF174,AO174))</f>
        <v>0</v>
      </c>
      <c r="O174" s="892" t="s">
        <v>2373</v>
      </c>
      <c r="P174" s="892" t="s">
        <v>2372</v>
      </c>
      <c r="Q174" s="892" t="str">
        <f t="shared" si="60"/>
        <v>8322157/</v>
      </c>
      <c r="R174" s="892" t="str">
        <f t="shared" si="60"/>
        <v>7944577/</v>
      </c>
      <c r="S174" s="892" t="str">
        <f t="shared" si="60"/>
        <v>3326679/</v>
      </c>
      <c r="T174" s="892" t="str">
        <f t="shared" si="60"/>
        <v>4903108/</v>
      </c>
      <c r="U174" s="8">
        <v>350</v>
      </c>
      <c r="V174" s="1419" t="s">
        <v>7042</v>
      </c>
      <c r="W174" s="1419"/>
      <c r="X174" s="771" t="s">
        <v>2373</v>
      </c>
      <c r="Y174" s="771" t="s">
        <v>2372</v>
      </c>
      <c r="Z174" s="164" t="s">
        <v>2282</v>
      </c>
      <c r="AA174" s="43" t="s">
        <v>2486</v>
      </c>
      <c r="AB174" s="701" t="s">
        <v>2274</v>
      </c>
      <c r="AC174" s="43" t="s">
        <v>2332</v>
      </c>
      <c r="AD174" s="8">
        <v>350</v>
      </c>
      <c r="AE174" s="1854" t="s">
        <v>3655</v>
      </c>
      <c r="AF174" s="1390"/>
      <c r="AG174" s="771" t="s">
        <v>2373</v>
      </c>
      <c r="AH174" s="771" t="s">
        <v>2372</v>
      </c>
      <c r="AI174" s="891" t="s">
        <v>2336</v>
      </c>
      <c r="AJ174" s="891" t="s">
        <v>2377</v>
      </c>
      <c r="AK174" s="891" t="s">
        <v>2291</v>
      </c>
      <c r="AL174" s="891" t="s">
        <v>2305</v>
      </c>
      <c r="AM174" s="8">
        <v>350</v>
      </c>
      <c r="AN174" s="1390"/>
      <c r="AO174" s="1390"/>
      <c r="AP174" s="771" t="s">
        <v>2373</v>
      </c>
      <c r="AQ174" s="771" t="s">
        <v>2372</v>
      </c>
      <c r="AR174" s="891" t="s">
        <v>2319</v>
      </c>
      <c r="AS174" s="891" t="s">
        <v>2342</v>
      </c>
      <c r="AT174" s="891" t="s">
        <v>2343</v>
      </c>
      <c r="AU174" s="891" t="s">
        <v>2278</v>
      </c>
      <c r="AV174" s="8">
        <v>350</v>
      </c>
      <c r="AW174" s="1390"/>
      <c r="AX174" s="1390"/>
      <c r="AY174" s="771" t="s">
        <v>2373</v>
      </c>
      <c r="AZ174" s="771" t="s">
        <v>2372</v>
      </c>
      <c r="BA174" s="1087" t="s">
        <v>2850</v>
      </c>
      <c r="BB174" s="1087" t="s">
        <v>2852</v>
      </c>
      <c r="BC174" s="1088" t="s">
        <v>2865</v>
      </c>
      <c r="BD174" s="1088" t="s">
        <v>2846</v>
      </c>
      <c r="BE174" s="771"/>
      <c r="BF174" s="771"/>
      <c r="BG174" s="1104" t="s">
        <v>3159</v>
      </c>
      <c r="BH174" s="1410" t="str">
        <f>VLOOKUP($BG$170,$AV$173:$BD$177,BH175,FALSE)</f>
        <v>6385735/</v>
      </c>
      <c r="BI174" s="1410" t="str">
        <f>VLOOKUP($BG$170,$AV$173:$BD$177,BI175,FALSE)</f>
        <v>6360821/</v>
      </c>
      <c r="BJ174" s="1105" t="str">
        <f>VLOOKUP($BG$170,$AV$102:$BD$107,BJ175,FALSE)</f>
        <v>4922514/</v>
      </c>
      <c r="BK174" s="1105" t="str">
        <f>VLOOKUP($BG$170,$AV$102:$BD$107,BK175,FALSE)</f>
        <v>4737284/</v>
      </c>
      <c r="BL174" s="1105" t="str">
        <f t="shared" ref="BL174:BO174" si="62">VLOOKUP($BG$101,$AV$102:$BD$107,BL175,FALSE)</f>
        <v>2113518/</v>
      </c>
      <c r="BM174" s="1105" t="str">
        <f t="shared" si="62"/>
        <v>2215958/</v>
      </c>
      <c r="BN174" s="1105" t="str">
        <f t="shared" si="62"/>
        <v>7604824/</v>
      </c>
      <c r="BO174" s="1109" t="str">
        <f t="shared" si="62"/>
        <v>1058035/</v>
      </c>
      <c r="BP174" s="1393" t="s">
        <v>3075</v>
      </c>
      <c r="BQ174" s="1352" t="s">
        <v>3067</v>
      </c>
      <c r="BR174" s="1394" t="s">
        <v>3066</v>
      </c>
      <c r="BS174" s="1394" t="s">
        <v>3069</v>
      </c>
      <c r="BT174" s="88" t="s">
        <v>3080</v>
      </c>
      <c r="BU174" s="1399" t="s">
        <v>3065</v>
      </c>
      <c r="BV174" s="1104" t="s">
        <v>3090</v>
      </c>
      <c r="BW174" s="1204" t="s">
        <v>3088</v>
      </c>
      <c r="BX174" s="1415" t="s">
        <v>3094</v>
      </c>
      <c r="BY174" s="1204" t="s">
        <v>3070</v>
      </c>
      <c r="BZ174" s="1416" t="s">
        <v>3091</v>
      </c>
      <c r="CA174" s="1386"/>
      <c r="CB174" s="782"/>
      <c r="CC174" s="782"/>
      <c r="CD174" s="771"/>
      <c r="CE174" s="771"/>
      <c r="CF174" s="771"/>
      <c r="CG174" s="771"/>
      <c r="CH174" s="771"/>
      <c r="CI174" s="771"/>
      <c r="CJ174" s="771"/>
      <c r="CK174" s="771"/>
      <c r="CL174" s="771"/>
      <c r="CM174" s="771"/>
      <c r="CN174" s="771"/>
      <c r="CO174" s="771"/>
      <c r="CP174" s="771"/>
      <c r="CQ174" s="771"/>
      <c r="CR174" s="771"/>
      <c r="CS174" s="771"/>
      <c r="CT174" s="771"/>
      <c r="CU174" s="771"/>
      <c r="CV174" s="771"/>
      <c r="CW174" s="771"/>
      <c r="CX174" s="771"/>
      <c r="CY174" s="771"/>
      <c r="CZ174" s="771"/>
      <c r="DA174" s="771"/>
      <c r="DB174" s="771"/>
      <c r="DC174" s="771"/>
      <c r="DD174" s="771"/>
      <c r="DE174" s="771"/>
      <c r="DF174" s="771"/>
      <c r="DG174" s="771"/>
      <c r="DH174" s="771"/>
      <c r="DI174" s="771"/>
      <c r="DJ174" s="771"/>
      <c r="DK174" s="771"/>
      <c r="DL174" s="771"/>
      <c r="DM174" s="771"/>
      <c r="DN174" s="771"/>
      <c r="DO174" s="771"/>
      <c r="DP174" s="771"/>
      <c r="DQ174" s="771"/>
      <c r="DR174" s="771"/>
      <c r="DS174" s="771"/>
    </row>
    <row r="175" spans="1:123" s="1386" customFormat="1" ht="12.75" customHeight="1" x14ac:dyDescent="0.2">
      <c r="A175" s="2384"/>
      <c r="B175" s="2073"/>
      <c r="C175" s="1573" t="str">
        <f>VLOOKUP($D$3,LBX.C_Free,16,FALSE)</f>
        <v>7608015/</v>
      </c>
      <c r="D175" s="1567" t="str">
        <f>VLOOKUP(C175,всецены,2,FALSE)</f>
        <v>LBX-F, Задний держ стекл вст C бел, лев.</v>
      </c>
      <c r="E175" s="1568">
        <v>1</v>
      </c>
      <c r="F175" s="1569">
        <f t="shared" si="55"/>
        <v>89.453364000000008</v>
      </c>
      <c r="G175" s="1569">
        <f t="shared" si="56"/>
        <v>89.453364000000008</v>
      </c>
      <c r="H175" s="1570">
        <f t="shared" si="57"/>
        <v>89.453364000000008</v>
      </c>
      <c r="I175" s="2386"/>
      <c r="J175" s="771"/>
      <c r="K175" s="771"/>
      <c r="L175" s="8">
        <v>400</v>
      </c>
      <c r="M175" s="892"/>
      <c r="N175" s="892"/>
      <c r="O175" s="696"/>
      <c r="P175" s="696"/>
      <c r="Q175" s="892" t="str">
        <f t="shared" si="60"/>
        <v>8322157/</v>
      </c>
      <c r="R175" s="892" t="str">
        <f t="shared" si="60"/>
        <v>7944577/</v>
      </c>
      <c r="S175" s="892" t="str">
        <f t="shared" si="60"/>
        <v>3326679/</v>
      </c>
      <c r="T175" s="892" t="str">
        <f t="shared" si="60"/>
        <v>4903108/</v>
      </c>
      <c r="U175" s="8">
        <v>400</v>
      </c>
      <c r="V175" s="1392"/>
      <c r="W175" s="1392"/>
      <c r="X175" s="696"/>
      <c r="Y175" s="696"/>
      <c r="Z175" s="164" t="s">
        <v>2282</v>
      </c>
      <c r="AA175" s="43" t="s">
        <v>2486</v>
      </c>
      <c r="AB175" s="701" t="s">
        <v>2274</v>
      </c>
      <c r="AC175" s="43" t="s">
        <v>2332</v>
      </c>
      <c r="AD175" s="8">
        <v>400</v>
      </c>
      <c r="AE175" s="1371"/>
      <c r="AF175" s="1371"/>
      <c r="AG175" s="696"/>
      <c r="AH175" s="696"/>
      <c r="AI175" s="891" t="s">
        <v>2336</v>
      </c>
      <c r="AJ175" s="891" t="s">
        <v>2377</v>
      </c>
      <c r="AK175" s="891" t="s">
        <v>2291</v>
      </c>
      <c r="AL175" s="891" t="s">
        <v>2305</v>
      </c>
      <c r="AM175" s="8">
        <v>400</v>
      </c>
      <c r="AN175" s="1371"/>
      <c r="AO175" s="1371"/>
      <c r="AP175" s="696"/>
      <c r="AQ175" s="696"/>
      <c r="AR175" s="891" t="s">
        <v>2319</v>
      </c>
      <c r="AS175" s="891" t="s">
        <v>2342</v>
      </c>
      <c r="AT175" s="891" t="s">
        <v>2343</v>
      </c>
      <c r="AU175" s="891" t="s">
        <v>2278</v>
      </c>
      <c r="AV175" s="8">
        <v>400</v>
      </c>
      <c r="AW175" s="1391"/>
      <c r="AX175" s="1391"/>
      <c r="AY175" s="1085"/>
      <c r="AZ175" s="1085"/>
      <c r="BA175" s="1085"/>
      <c r="BB175" s="1085"/>
      <c r="BC175" s="1088"/>
      <c r="BD175" s="1088"/>
      <c r="BE175" s="771"/>
      <c r="BF175" s="771"/>
      <c r="BG175" s="771"/>
      <c r="BH175" s="771">
        <v>2</v>
      </c>
      <c r="BI175" s="771">
        <v>3</v>
      </c>
      <c r="BJ175" s="771">
        <v>4</v>
      </c>
      <c r="BK175" s="771">
        <v>5</v>
      </c>
      <c r="BL175" s="771">
        <v>6</v>
      </c>
      <c r="BM175" s="771">
        <v>7</v>
      </c>
      <c r="BN175" s="771">
        <v>8</v>
      </c>
      <c r="BO175" s="771">
        <v>9</v>
      </c>
      <c r="BP175" s="1394">
        <v>10</v>
      </c>
      <c r="BQ175" s="1394">
        <v>11</v>
      </c>
      <c r="BR175" s="1394">
        <v>12</v>
      </c>
      <c r="BS175" s="1394">
        <v>13</v>
      </c>
      <c r="BT175" s="1394">
        <v>14</v>
      </c>
      <c r="BU175" s="1397">
        <v>15</v>
      </c>
      <c r="BV175" s="782">
        <v>16</v>
      </c>
      <c r="BW175" s="782">
        <v>17</v>
      </c>
      <c r="BX175" s="782">
        <v>18</v>
      </c>
      <c r="BY175" s="782">
        <v>19</v>
      </c>
      <c r="BZ175" s="782">
        <v>20</v>
      </c>
      <c r="CB175" s="782"/>
      <c r="CC175" s="782"/>
      <c r="CD175" s="771"/>
      <c r="CE175" s="771"/>
      <c r="CF175" s="771"/>
      <c r="CG175" s="771"/>
      <c r="CH175" s="771"/>
      <c r="CI175" s="771"/>
      <c r="CJ175" s="771"/>
      <c r="CK175" s="771"/>
      <c r="CL175" s="771"/>
      <c r="CM175" s="771"/>
      <c r="CN175" s="771"/>
      <c r="CO175" s="771"/>
      <c r="CP175" s="771"/>
      <c r="CQ175" s="771"/>
      <c r="CR175" s="771"/>
      <c r="CS175" s="771"/>
      <c r="CT175" s="771"/>
      <c r="CU175" s="771"/>
      <c r="CV175" s="771"/>
      <c r="CW175" s="771"/>
      <c r="CX175" s="771"/>
      <c r="CY175" s="771"/>
      <c r="CZ175" s="771"/>
      <c r="DA175" s="771"/>
      <c r="DB175" s="771"/>
      <c r="DC175" s="771"/>
      <c r="DD175" s="771"/>
      <c r="DE175" s="771"/>
      <c r="DF175" s="771"/>
      <c r="DG175" s="771"/>
      <c r="DH175" s="771"/>
      <c r="DI175" s="771"/>
      <c r="DJ175" s="771"/>
      <c r="DK175" s="771"/>
      <c r="DL175" s="771"/>
      <c r="DM175" s="771"/>
      <c r="DN175" s="771"/>
      <c r="DO175" s="771"/>
      <c r="DP175" s="771"/>
      <c r="DQ175" s="771"/>
      <c r="DR175" s="771"/>
      <c r="DS175" s="771"/>
    </row>
    <row r="176" spans="1:123" s="1386" customFormat="1" ht="12.75" customHeight="1" x14ac:dyDescent="0.2">
      <c r="A176" s="2384"/>
      <c r="B176" s="2073"/>
      <c r="C176" s="1573" t="str">
        <f>VLOOKUP($D$3,LBX.C_Free,17,FALSE)</f>
        <v>4242211/</v>
      </c>
      <c r="D176" s="1567" t="str">
        <f>VLOOKUP(C176,всецены,2,FALSE)</f>
        <v xml:space="preserve">LBX-F, Задний держ стекл вст C бел, пр. </v>
      </c>
      <c r="E176" s="1568">
        <v>1</v>
      </c>
      <c r="F176" s="1569">
        <f t="shared" si="55"/>
        <v>89.453364000000008</v>
      </c>
      <c r="G176" s="1569">
        <f t="shared" si="56"/>
        <v>89.453364000000008</v>
      </c>
      <c r="H176" s="1570">
        <f t="shared" si="57"/>
        <v>89.453364000000008</v>
      </c>
      <c r="I176" s="2386"/>
      <c r="J176" s="771"/>
      <c r="K176" s="771"/>
      <c r="L176" s="8">
        <v>450</v>
      </c>
      <c r="M176" s="892"/>
      <c r="N176" s="892"/>
      <c r="O176" s="696"/>
      <c r="P176" s="696"/>
      <c r="Q176" s="892" t="str">
        <f t="shared" si="60"/>
        <v>8322157/</v>
      </c>
      <c r="R176" s="892" t="str">
        <f t="shared" si="60"/>
        <v>7944577/</v>
      </c>
      <c r="S176" s="892" t="str">
        <f t="shared" si="60"/>
        <v>3326679/</v>
      </c>
      <c r="T176" s="892" t="str">
        <f t="shared" si="60"/>
        <v>4903108/</v>
      </c>
      <c r="U176" s="8">
        <v>450</v>
      </c>
      <c r="V176" s="1036"/>
      <c r="W176" s="1392"/>
      <c r="X176" s="696" t="s">
        <v>2993</v>
      </c>
      <c r="Y176" s="696" t="s">
        <v>2992</v>
      </c>
      <c r="Z176" s="164" t="s">
        <v>2282</v>
      </c>
      <c r="AA176" s="43" t="s">
        <v>2486</v>
      </c>
      <c r="AB176" s="701" t="s">
        <v>2274</v>
      </c>
      <c r="AC176" s="43" t="s">
        <v>2332</v>
      </c>
      <c r="AD176" s="8">
        <v>450</v>
      </c>
      <c r="AE176" s="1371" t="s">
        <v>4604</v>
      </c>
      <c r="AF176" s="1371"/>
      <c r="AG176" s="696" t="s">
        <v>2993</v>
      </c>
      <c r="AH176" s="696" t="s">
        <v>2992</v>
      </c>
      <c r="AI176" s="891" t="s">
        <v>2336</v>
      </c>
      <c r="AJ176" s="891" t="s">
        <v>2377</v>
      </c>
      <c r="AK176" s="891" t="s">
        <v>2291</v>
      </c>
      <c r="AL176" s="891" t="s">
        <v>2305</v>
      </c>
      <c r="AM176" s="8">
        <v>450</v>
      </c>
      <c r="AN176" s="1371"/>
      <c r="AO176" s="1371"/>
      <c r="AP176" s="696" t="s">
        <v>2993</v>
      </c>
      <c r="AQ176" s="696" t="s">
        <v>2992</v>
      </c>
      <c r="AR176" s="891" t="s">
        <v>2319</v>
      </c>
      <c r="AS176" s="891" t="s">
        <v>2342</v>
      </c>
      <c r="AT176" s="891" t="s">
        <v>2343</v>
      </c>
      <c r="AU176" s="891" t="s">
        <v>2278</v>
      </c>
      <c r="AV176" s="8">
        <v>450</v>
      </c>
      <c r="AW176" s="1391"/>
      <c r="AX176" s="1391"/>
      <c r="AY176" s="1085"/>
      <c r="AZ176" s="1085"/>
      <c r="BA176" s="1085"/>
      <c r="BB176" s="1085"/>
      <c r="BC176" s="1088"/>
      <c r="BD176" s="1088"/>
      <c r="BE176" s="771"/>
      <c r="BF176" s="771"/>
      <c r="BG176" s="771"/>
      <c r="BH176" s="771"/>
      <c r="BI176" s="771"/>
      <c r="BJ176" s="771"/>
      <c r="BK176" s="771"/>
      <c r="BL176" s="771"/>
      <c r="BM176" s="771"/>
      <c r="BN176" s="771"/>
      <c r="BO176" s="771"/>
      <c r="BP176" s="1417"/>
      <c r="BQ176" s="1417"/>
      <c r="BR176" s="1417"/>
      <c r="BS176" s="1417"/>
      <c r="BT176" s="1417"/>
      <c r="BU176" s="782"/>
      <c r="BV176" s="782"/>
      <c r="BW176" s="782"/>
      <c r="BX176" s="782"/>
      <c r="BY176" s="782"/>
      <c r="BZ176" s="782"/>
      <c r="CA176" s="782"/>
      <c r="CB176" s="782"/>
      <c r="CC176" s="782"/>
      <c r="CD176" s="771"/>
      <c r="CE176" s="771"/>
      <c r="CF176" s="771"/>
      <c r="CG176" s="771"/>
      <c r="CH176" s="771"/>
      <c r="CI176" s="771"/>
      <c r="CJ176" s="771"/>
      <c r="CK176" s="771"/>
      <c r="CL176" s="771"/>
      <c r="CM176" s="771"/>
      <c r="CN176" s="771"/>
      <c r="CO176" s="771"/>
      <c r="CP176" s="771"/>
      <c r="CQ176" s="771"/>
      <c r="CR176" s="771"/>
      <c r="CS176" s="771"/>
      <c r="CT176" s="771"/>
      <c r="CU176" s="771"/>
      <c r="CV176" s="771"/>
      <c r="CW176" s="771"/>
      <c r="CX176" s="771"/>
      <c r="CY176" s="771"/>
      <c r="CZ176" s="771"/>
      <c r="DA176" s="771"/>
      <c r="DB176" s="771"/>
      <c r="DC176" s="771"/>
      <c r="DD176" s="771"/>
      <c r="DE176" s="771"/>
      <c r="DF176" s="771"/>
      <c r="DG176" s="771"/>
      <c r="DH176" s="771"/>
      <c r="DI176" s="771"/>
      <c r="DJ176" s="771"/>
      <c r="DK176" s="771"/>
      <c r="DL176" s="771"/>
      <c r="DM176" s="771"/>
      <c r="DN176" s="771"/>
      <c r="DO176" s="771"/>
      <c r="DP176" s="771"/>
      <c r="DQ176" s="771"/>
      <c r="DR176" s="771"/>
      <c r="DS176" s="771"/>
    </row>
    <row r="177" spans="1:123" s="1386" customFormat="1" ht="12.75" customHeight="1" thickBot="1" x14ac:dyDescent="0.25">
      <c r="A177" s="2384"/>
      <c r="B177" s="2074"/>
      <c r="C177" s="1536" t="str">
        <f>VLOOKUP($D$3,LBX.C_Free,18,FALSE)</f>
        <v>1418426/</v>
      </c>
      <c r="D177" s="1537" t="str">
        <f>VLOOKUP(C177,всецены,2,FALSE)</f>
        <v>LBX-F, Передн держ стекл вст С бел симм.</v>
      </c>
      <c r="E177" s="1538">
        <v>2</v>
      </c>
      <c r="F177" s="1574">
        <f t="shared" si="55"/>
        <v>81.321240000000003</v>
      </c>
      <c r="G177" s="1574">
        <f t="shared" si="56"/>
        <v>81.321240000000003</v>
      </c>
      <c r="H177" s="1575">
        <f t="shared" si="57"/>
        <v>162.64248000000001</v>
      </c>
      <c r="I177" s="2387"/>
      <c r="J177" s="771"/>
      <c r="K177" s="771"/>
      <c r="L177" s="8">
        <v>500</v>
      </c>
      <c r="M177" s="892" t="str">
        <f>IF($M$97=$X$3,V177,IF($M$97=$X$4,AE177,AN177))</f>
        <v>9064917/</v>
      </c>
      <c r="N177" s="892" t="str">
        <f>IF($M$97=$X$3,W177,IF($M$97=$X$4,AF177,AO177))</f>
        <v>9090985/</v>
      </c>
      <c r="O177" s="696" t="s">
        <v>2307</v>
      </c>
      <c r="P177" s="696" t="s">
        <v>2302</v>
      </c>
      <c r="Q177" s="892" t="str">
        <f t="shared" si="60"/>
        <v>8322157/</v>
      </c>
      <c r="R177" s="892" t="str">
        <f t="shared" si="60"/>
        <v>7944577/</v>
      </c>
      <c r="S177" s="892" t="str">
        <f t="shared" si="60"/>
        <v>3326679/</v>
      </c>
      <c r="T177" s="892" t="str">
        <f t="shared" si="60"/>
        <v>4903108/</v>
      </c>
      <c r="U177" s="8">
        <v>500</v>
      </c>
      <c r="V177" s="1392" t="str">
        <f>IF($D$4="промышленная",V180,V182)</f>
        <v>9826054/</v>
      </c>
      <c r="W177" s="1392" t="str">
        <f>IF($D$4="промышленная",W180,"")</f>
        <v>8864974/</v>
      </c>
      <c r="X177" s="696" t="s">
        <v>2307</v>
      </c>
      <c r="Y177" s="696" t="s">
        <v>2302</v>
      </c>
      <c r="Z177" s="164" t="s">
        <v>2282</v>
      </c>
      <c r="AA177" s="43" t="s">
        <v>2486</v>
      </c>
      <c r="AB177" s="701" t="s">
        <v>2274</v>
      </c>
      <c r="AC177" s="43" t="s">
        <v>2332</v>
      </c>
      <c r="AD177" s="8">
        <v>500</v>
      </c>
      <c r="AE177" s="1392" t="str">
        <f>IF($D$4="промышленная",AE180,AE182)</f>
        <v>9064917/</v>
      </c>
      <c r="AF177" s="1392" t="str">
        <f>IF($D$4="промышленная",AF180,"")</f>
        <v>9090985/</v>
      </c>
      <c r="AG177" s="1392" t="s">
        <v>2307</v>
      </c>
      <c r="AH177" s="696" t="s">
        <v>2302</v>
      </c>
      <c r="AI177" s="891" t="s">
        <v>2336</v>
      </c>
      <c r="AJ177" s="891" t="s">
        <v>2377</v>
      </c>
      <c r="AK177" s="891" t="s">
        <v>2291</v>
      </c>
      <c r="AL177" s="891" t="s">
        <v>2305</v>
      </c>
      <c r="AM177" s="8">
        <v>500</v>
      </c>
      <c r="AN177" s="1392" t="str">
        <f>IF($D$4="промышленная",AN180,AN182)</f>
        <v>9224405/</v>
      </c>
      <c r="AO177" s="1392" t="str">
        <f>IF($D$4="промышленная",AO180,"")</f>
        <v>9354446/</v>
      </c>
      <c r="AP177" s="696" t="s">
        <v>2307</v>
      </c>
      <c r="AQ177" s="696" t="s">
        <v>2302</v>
      </c>
      <c r="AR177" s="891" t="s">
        <v>2319</v>
      </c>
      <c r="AS177" s="891" t="s">
        <v>2342</v>
      </c>
      <c r="AT177" s="891" t="s">
        <v>2343</v>
      </c>
      <c r="AU177" s="891" t="s">
        <v>2278</v>
      </c>
      <c r="AV177" s="8">
        <v>500</v>
      </c>
      <c r="AW177" s="1392" t="str">
        <f>IF($D$4="промышленная",AW180,AW182)</f>
        <v>6385735/</v>
      </c>
      <c r="AX177" s="1392" t="str">
        <f>IF($D$4="промышленная",AX180,AX182)</f>
        <v>6360821/</v>
      </c>
      <c r="AY177" s="1085" t="s">
        <v>2307</v>
      </c>
      <c r="AZ177" s="1085" t="s">
        <v>2302</v>
      </c>
      <c r="BA177" s="1087" t="s">
        <v>2850</v>
      </c>
      <c r="BB177" s="1087" t="s">
        <v>2852</v>
      </c>
      <c r="BC177" s="1088" t="s">
        <v>2865</v>
      </c>
      <c r="BD177" s="1088" t="s">
        <v>2846</v>
      </c>
      <c r="BE177" s="771"/>
      <c r="BF177" s="771"/>
      <c r="BG177" s="771"/>
      <c r="BH177" s="771"/>
      <c r="BI177" s="771"/>
      <c r="BJ177" s="771"/>
      <c r="BK177" s="771"/>
      <c r="BL177" s="771"/>
      <c r="BM177" s="771"/>
      <c r="BN177" s="771"/>
      <c r="BO177" s="771"/>
      <c r="BP177" s="1396"/>
      <c r="BQ177" s="1396"/>
      <c r="BR177" s="1396"/>
      <c r="BS177" s="1396"/>
      <c r="BT177" s="1396"/>
      <c r="BU177" s="782"/>
      <c r="BV177" s="782"/>
      <c r="BW177" s="782"/>
      <c r="BX177" s="782"/>
      <c r="BY177" s="782"/>
      <c r="BZ177" s="782"/>
      <c r="CA177" s="782"/>
      <c r="CB177" s="782"/>
      <c r="CC177" s="782"/>
      <c r="CD177" s="771"/>
      <c r="CE177" s="771"/>
      <c r="CF177" s="771"/>
      <c r="CG177" s="771"/>
      <c r="CH177" s="771"/>
      <c r="CI177" s="771"/>
      <c r="CJ177" s="771"/>
      <c r="CK177" s="771"/>
      <c r="CL177" s="771"/>
      <c r="CM177" s="771"/>
      <c r="CN177" s="771"/>
      <c r="CO177" s="771"/>
      <c r="CP177" s="771"/>
      <c r="CQ177" s="771"/>
      <c r="CR177" s="771"/>
      <c r="CS177" s="771"/>
      <c r="CT177" s="771"/>
      <c r="CU177" s="771"/>
      <c r="CV177" s="771"/>
      <c r="CW177" s="771"/>
      <c r="CX177" s="771"/>
      <c r="CY177" s="771"/>
      <c r="CZ177" s="771"/>
      <c r="DA177" s="771"/>
      <c r="DB177" s="771"/>
      <c r="DC177" s="771"/>
      <c r="DD177" s="771"/>
      <c r="DE177" s="771"/>
      <c r="DF177" s="771"/>
      <c r="DG177" s="771"/>
      <c r="DH177" s="771"/>
      <c r="DI177" s="771"/>
      <c r="DJ177" s="771"/>
      <c r="DK177" s="771"/>
      <c r="DL177" s="771"/>
      <c r="DM177" s="771"/>
      <c r="DN177" s="771"/>
      <c r="DO177" s="771"/>
      <c r="DP177" s="771"/>
      <c r="DQ177" s="771"/>
      <c r="DR177" s="771"/>
      <c r="DS177" s="771"/>
    </row>
    <row r="178" spans="1:123" s="1386" customFormat="1" ht="15.75" customHeight="1" thickBot="1" x14ac:dyDescent="0.25">
      <c r="A178" s="843"/>
      <c r="B178" s="871"/>
      <c r="C178" s="862"/>
      <c r="D178" s="863"/>
      <c r="E178" s="864"/>
      <c r="F178" s="1449"/>
      <c r="G178" s="1449"/>
      <c r="H178" s="866"/>
      <c r="I178" s="877"/>
      <c r="J178" s="771"/>
      <c r="K178" s="771"/>
      <c r="L178" s="8"/>
      <c r="M178" s="875"/>
      <c r="N178" s="875"/>
      <c r="O178" s="875"/>
      <c r="P178" s="875"/>
      <c r="Q178" s="875"/>
      <c r="R178" s="875"/>
      <c r="S178" s="875"/>
      <c r="T178" s="875"/>
      <c r="U178" s="8"/>
      <c r="V178" s="1411"/>
      <c r="W178" s="1411"/>
      <c r="X178" s="875"/>
      <c r="Y178" s="875"/>
      <c r="Z178" s="712"/>
      <c r="AA178" s="28"/>
      <c r="AB178" s="713"/>
      <c r="AC178" s="28"/>
      <c r="AD178" s="8"/>
      <c r="AE178" s="1411"/>
      <c r="AF178" s="1411"/>
      <c r="AG178" s="1411"/>
      <c r="AH178" s="875"/>
      <c r="AI178" s="782"/>
      <c r="AJ178" s="782"/>
      <c r="AK178" s="782"/>
      <c r="AL178" s="782"/>
      <c r="AM178" s="8"/>
      <c r="AN178" s="1411"/>
      <c r="AO178" s="1411"/>
      <c r="AP178" s="875"/>
      <c r="AQ178" s="875"/>
      <c r="AR178" s="782"/>
      <c r="AS178" s="782"/>
      <c r="AT178" s="782"/>
      <c r="AU178" s="782"/>
      <c r="AV178" s="8"/>
      <c r="AW178" s="1411"/>
      <c r="AX178" s="1411"/>
      <c r="AY178" s="875"/>
      <c r="AZ178" s="875"/>
      <c r="BA178" s="1411"/>
      <c r="BB178" s="1411"/>
      <c r="BC178" s="782"/>
      <c r="BD178" s="782"/>
      <c r="BE178" s="771"/>
      <c r="BF178" s="771"/>
      <c r="BG178" s="771"/>
      <c r="BH178" s="771"/>
      <c r="BI178" s="771"/>
      <c r="BJ178" s="771"/>
      <c r="BK178" s="771"/>
      <c r="BL178" s="771"/>
      <c r="BM178" s="771"/>
      <c r="BN178" s="771"/>
      <c r="BO178" s="771"/>
      <c r="BP178" s="1396"/>
      <c r="BQ178" s="1396"/>
      <c r="BR178" s="1396"/>
      <c r="BS178" s="1396"/>
      <c r="BT178" s="1396"/>
      <c r="BU178" s="782"/>
      <c r="BV178" s="782"/>
      <c r="BW178" s="782"/>
      <c r="BX178" s="782"/>
      <c r="BY178" s="782"/>
      <c r="BZ178" s="782"/>
      <c r="CA178" s="782"/>
      <c r="CB178" s="782"/>
      <c r="CC178" s="782"/>
      <c r="CD178" s="771"/>
      <c r="CE178" s="771"/>
      <c r="CF178" s="771"/>
      <c r="CG178" s="771"/>
      <c r="CH178" s="771"/>
      <c r="CI178" s="771"/>
      <c r="CJ178" s="771"/>
      <c r="CK178" s="771"/>
      <c r="CL178" s="771"/>
      <c r="CM178" s="771"/>
      <c r="CN178" s="771"/>
      <c r="CO178" s="771"/>
      <c r="CP178" s="771"/>
      <c r="CQ178" s="771"/>
      <c r="CR178" s="771"/>
      <c r="CS178" s="771"/>
      <c r="CT178" s="771"/>
      <c r="CU178" s="771"/>
      <c r="CV178" s="771"/>
      <c r="CW178" s="771"/>
      <c r="CX178" s="771"/>
      <c r="CY178" s="771"/>
      <c r="CZ178" s="771"/>
      <c r="DA178" s="771"/>
      <c r="DB178" s="771"/>
      <c r="DC178" s="771"/>
      <c r="DD178" s="771"/>
      <c r="DE178" s="771"/>
      <c r="DF178" s="771"/>
      <c r="DG178" s="771"/>
      <c r="DH178" s="771"/>
      <c r="DI178" s="771"/>
      <c r="DJ178" s="771"/>
      <c r="DK178" s="771"/>
      <c r="DL178" s="771"/>
      <c r="DM178" s="771"/>
      <c r="DN178" s="771"/>
      <c r="DO178" s="771"/>
      <c r="DP178" s="771"/>
      <c r="DQ178" s="771"/>
      <c r="DR178" s="771"/>
      <c r="DS178" s="771"/>
    </row>
    <row r="179" spans="1:123" s="1386" customFormat="1" ht="15" customHeight="1" x14ac:dyDescent="0.2">
      <c r="A179" s="843"/>
      <c r="B179" s="851">
        <v>500</v>
      </c>
      <c r="C179" s="719"/>
      <c r="D179" s="2144" t="s">
        <v>3604</v>
      </c>
      <c r="E179" s="2144"/>
      <c r="F179" s="2144"/>
      <c r="G179" s="2144"/>
      <c r="H179" s="2144"/>
      <c r="I179" s="2145"/>
      <c r="J179" s="771"/>
      <c r="K179" s="771"/>
      <c r="L179" s="8"/>
      <c r="M179" s="875"/>
      <c r="N179" s="875"/>
      <c r="O179" s="875"/>
      <c r="P179" s="875"/>
      <c r="Q179" s="875"/>
      <c r="R179" s="875"/>
      <c r="S179" s="875"/>
      <c r="T179" s="875"/>
      <c r="U179" s="8"/>
      <c r="V179" s="1411" t="s">
        <v>5005</v>
      </c>
      <c r="W179" s="1411"/>
      <c r="X179" s="875"/>
      <c r="Y179" s="875"/>
      <c r="Z179" s="712"/>
      <c r="AA179" s="28"/>
      <c r="AB179" s="713"/>
      <c r="AC179" s="28"/>
      <c r="AD179" s="8"/>
      <c r="AE179" s="1411" t="s">
        <v>5005</v>
      </c>
      <c r="AF179" s="1411"/>
      <c r="AG179" s="1411"/>
      <c r="AH179" s="875"/>
      <c r="AI179" s="782"/>
      <c r="AJ179" s="782"/>
      <c r="AK179" s="782"/>
      <c r="AL179" s="782"/>
      <c r="AM179" s="8"/>
      <c r="AN179" s="1411" t="s">
        <v>5005</v>
      </c>
      <c r="AO179" s="1411"/>
      <c r="AP179" s="875"/>
      <c r="AQ179" s="875"/>
      <c r="AR179" s="782"/>
      <c r="AS179" s="782"/>
      <c r="AT179" s="782"/>
      <c r="AU179" s="782"/>
      <c r="AV179" s="8"/>
      <c r="AW179" s="1411" t="s">
        <v>5005</v>
      </c>
      <c r="AX179" s="1411"/>
      <c r="AY179" s="875"/>
      <c r="AZ179" s="875"/>
      <c r="BA179" s="1411"/>
      <c r="BB179" s="1411"/>
      <c r="BC179" s="782"/>
      <c r="BD179" s="782"/>
      <c r="BE179" s="771"/>
      <c r="BF179" s="771"/>
      <c r="BG179" s="771"/>
      <c r="BH179" s="771"/>
      <c r="BI179" s="771"/>
      <c r="BJ179" s="771"/>
      <c r="BK179" s="771"/>
      <c r="BL179" s="771"/>
      <c r="BM179" s="771"/>
      <c r="BN179" s="771"/>
      <c r="BO179" s="771"/>
      <c r="BP179" s="1396"/>
      <c r="BQ179" s="1396"/>
      <c r="BR179" s="1396"/>
      <c r="BS179" s="1396"/>
      <c r="BT179" s="1396"/>
      <c r="BU179" s="771"/>
      <c r="BV179" s="771"/>
      <c r="BW179" s="771"/>
      <c r="BX179" s="771"/>
      <c r="BY179" s="771"/>
      <c r="BZ179" s="771"/>
      <c r="CA179" s="771"/>
      <c r="CB179" s="771"/>
      <c r="CC179" s="771"/>
      <c r="CD179" s="771"/>
      <c r="CE179" s="771"/>
      <c r="CF179" s="771"/>
      <c r="CG179" s="771"/>
      <c r="CH179" s="771"/>
      <c r="CI179" s="771"/>
      <c r="CJ179" s="771"/>
      <c r="CK179" s="771"/>
      <c r="CL179" s="771"/>
      <c r="CM179" s="771"/>
      <c r="CN179" s="771"/>
      <c r="CO179" s="771"/>
      <c r="CP179" s="771"/>
      <c r="CQ179" s="771"/>
      <c r="CR179" s="771"/>
      <c r="CS179" s="771"/>
      <c r="CT179" s="771"/>
      <c r="CU179" s="771"/>
      <c r="CV179" s="771"/>
      <c r="CW179" s="771"/>
      <c r="CX179" s="771"/>
      <c r="CY179" s="771"/>
      <c r="CZ179" s="771"/>
      <c r="DA179" s="771"/>
      <c r="DB179" s="771"/>
      <c r="DC179" s="771"/>
      <c r="DD179" s="771"/>
      <c r="DE179" s="771"/>
      <c r="DF179" s="771"/>
      <c r="DG179" s="771"/>
      <c r="DH179" s="771"/>
      <c r="DI179" s="771"/>
      <c r="DJ179" s="771"/>
      <c r="DK179" s="771"/>
      <c r="DL179" s="771"/>
      <c r="DM179" s="771"/>
      <c r="DN179" s="771"/>
      <c r="DO179" s="771"/>
      <c r="DP179" s="771"/>
      <c r="DQ179" s="771"/>
      <c r="DR179" s="771"/>
      <c r="DS179" s="771"/>
    </row>
    <row r="180" spans="1:123" s="1386" customFormat="1" ht="12.75" customHeight="1" x14ac:dyDescent="0.2">
      <c r="A180" s="843"/>
      <c r="B180" s="844"/>
      <c r="C180" s="1039"/>
      <c r="D180" s="867"/>
      <c r="E180" s="869"/>
      <c r="F180" s="1450"/>
      <c r="G180" s="1450"/>
      <c r="H180" s="870"/>
      <c r="I180" s="1544" t="str">
        <f>IF(СОДЕРЖАНИЕ!P2=1,"EUR","RUB")</f>
        <v>RUB</v>
      </c>
      <c r="J180" s="771"/>
      <c r="K180" s="771"/>
      <c r="L180" s="8"/>
      <c r="M180" s="875"/>
      <c r="N180" s="875"/>
      <c r="O180" s="875"/>
      <c r="P180" s="875"/>
      <c r="Q180" s="875"/>
      <c r="R180" s="875"/>
      <c r="S180" s="875"/>
      <c r="T180" s="875"/>
      <c r="U180" s="8">
        <v>500</v>
      </c>
      <c r="V180" s="1411" t="s">
        <v>3017</v>
      </c>
      <c r="W180" s="1411" t="s">
        <v>3012</v>
      </c>
      <c r="X180" s="875"/>
      <c r="Y180" s="875"/>
      <c r="Z180" s="712"/>
      <c r="AA180" s="28"/>
      <c r="AB180" s="713"/>
      <c r="AC180" s="28"/>
      <c r="AD180" s="8"/>
      <c r="AE180" s="1411" t="s">
        <v>3600</v>
      </c>
      <c r="AF180" s="1411" t="s">
        <v>3601</v>
      </c>
      <c r="AG180" s="1411"/>
      <c r="AH180" s="875"/>
      <c r="AI180" s="782"/>
      <c r="AJ180" s="782"/>
      <c r="AK180" s="782"/>
      <c r="AL180" s="782"/>
      <c r="AM180" s="8"/>
      <c r="AN180" s="1411" t="s">
        <v>3602</v>
      </c>
      <c r="AO180" s="1411" t="s">
        <v>3603</v>
      </c>
      <c r="AP180" s="875"/>
      <c r="AQ180" s="875"/>
      <c r="AR180" s="782"/>
      <c r="AS180" s="782"/>
      <c r="AT180" s="782"/>
      <c r="AU180" s="782"/>
      <c r="AV180" s="8"/>
      <c r="AW180" s="1411" t="s">
        <v>3082</v>
      </c>
      <c r="AX180" s="1411" t="s">
        <v>3081</v>
      </c>
      <c r="AY180" s="875"/>
      <c r="AZ180" s="875"/>
      <c r="BA180" s="1411"/>
      <c r="BB180" s="1411"/>
      <c r="BC180" s="782"/>
      <c r="BD180" s="782"/>
      <c r="BE180" s="771"/>
      <c r="BF180" s="771"/>
      <c r="BG180" s="771"/>
      <c r="BH180" s="771"/>
      <c r="BI180" s="771"/>
      <c r="BJ180" s="771"/>
      <c r="BK180" s="771"/>
      <c r="BL180" s="771"/>
      <c r="BM180" s="771"/>
      <c r="BN180" s="771"/>
      <c r="BO180" s="771"/>
      <c r="BP180" s="1396"/>
      <c r="BQ180" s="1396"/>
      <c r="BR180" s="1396"/>
      <c r="BS180" s="1396"/>
      <c r="BT180" s="1396"/>
      <c r="BU180" s="771"/>
      <c r="BV180" s="771"/>
      <c r="BW180" s="771"/>
      <c r="BX180" s="771"/>
      <c r="BY180" s="771"/>
      <c r="BZ180" s="771"/>
      <c r="CA180" s="771"/>
      <c r="CB180" s="771"/>
      <c r="CC180" s="771"/>
      <c r="CD180" s="771"/>
      <c r="CE180" s="771"/>
      <c r="CF180" s="771"/>
      <c r="CG180" s="771"/>
      <c r="CH180" s="771"/>
      <c r="CI180" s="771"/>
      <c r="CJ180" s="771"/>
      <c r="CK180" s="771"/>
      <c r="CL180" s="771"/>
      <c r="CM180" s="771"/>
      <c r="CN180" s="771"/>
      <c r="CO180" s="771"/>
      <c r="CP180" s="771"/>
      <c r="CQ180" s="771"/>
      <c r="CR180" s="771"/>
      <c r="CS180" s="771"/>
      <c r="CT180" s="771"/>
      <c r="CU180" s="771"/>
      <c r="CV180" s="771"/>
      <c r="CW180" s="771"/>
      <c r="CX180" s="771"/>
      <c r="CY180" s="771"/>
      <c r="CZ180" s="771"/>
      <c r="DA180" s="771"/>
      <c r="DB180" s="771"/>
      <c r="DC180" s="771"/>
      <c r="DD180" s="771"/>
      <c r="DE180" s="771"/>
      <c r="DF180" s="771"/>
      <c r="DG180" s="771"/>
      <c r="DH180" s="771"/>
      <c r="DI180" s="771"/>
      <c r="DJ180" s="771"/>
      <c r="DK180" s="771"/>
      <c r="DL180" s="771"/>
      <c r="DM180" s="771"/>
      <c r="DN180" s="771"/>
      <c r="DO180" s="771"/>
      <c r="DP180" s="771"/>
      <c r="DQ180" s="771"/>
      <c r="DR180" s="771"/>
      <c r="DS180" s="771"/>
    </row>
    <row r="181" spans="1:123" s="1386" customFormat="1" ht="12.75" customHeight="1" x14ac:dyDescent="0.2">
      <c r="A181" s="2384"/>
      <c r="B181" s="2419"/>
      <c r="C181" s="1566" t="s">
        <v>2985</v>
      </c>
      <c r="D181" s="1567" t="str">
        <f t="shared" ref="D181:D198" si="63">VLOOKUP(C181,всецены,2,FALSE)</f>
        <v xml:space="preserve">LBX, Держ п/п п/рел, лев, ZI7.3C01.01   </v>
      </c>
      <c r="E181" s="1568">
        <v>1</v>
      </c>
      <c r="F181" s="1569">
        <f t="shared" ref="F181:F198" si="64">VLOOKUP(C181,всецены,4,FALSE)</f>
        <v>363.50594280000001</v>
      </c>
      <c r="G181" s="1569">
        <f t="shared" ref="G181:G198" si="65">IF($D$4="Индивидуальная",0,F181)</f>
        <v>363.50594280000001</v>
      </c>
      <c r="H181" s="1570">
        <f>G181*E181</f>
        <v>363.50594280000001</v>
      </c>
      <c r="I181" s="2418">
        <f>SUM(H181:H198)</f>
        <v>6301.5828875999996</v>
      </c>
      <c r="J181" s="771"/>
      <c r="K181" s="771"/>
      <c r="L181" s="771"/>
      <c r="M181" s="771"/>
      <c r="N181" s="771"/>
      <c r="O181" s="771"/>
      <c r="P181" s="771"/>
      <c r="Q181" s="771"/>
      <c r="R181" s="771"/>
      <c r="S181" s="771"/>
      <c r="T181" s="771"/>
      <c r="U181" s="771"/>
      <c r="V181" s="771" t="s">
        <v>5006</v>
      </c>
      <c r="W181" s="771"/>
      <c r="X181" s="771"/>
      <c r="Y181" s="771"/>
      <c r="Z181" s="771"/>
      <c r="AA181" s="771"/>
      <c r="AB181" s="771"/>
      <c r="AC181" s="771"/>
      <c r="AD181" s="771"/>
      <c r="AE181" s="771" t="s">
        <v>5006</v>
      </c>
      <c r="AF181" s="771"/>
      <c r="AG181" s="771"/>
      <c r="AH181" s="771"/>
      <c r="AI181" s="771"/>
      <c r="AJ181" s="771"/>
      <c r="AK181" s="771"/>
      <c r="AL181" s="771"/>
      <c r="AM181" s="771"/>
      <c r="AN181" s="771" t="s">
        <v>5006</v>
      </c>
      <c r="AO181" s="771"/>
      <c r="AP181" s="771"/>
      <c r="AQ181" s="771"/>
      <c r="AR181" s="771"/>
      <c r="AS181" s="771"/>
      <c r="AT181" s="771"/>
      <c r="AU181" s="771"/>
      <c r="AV181" s="771"/>
      <c r="AW181" s="771" t="s">
        <v>5006</v>
      </c>
      <c r="AX181" s="771"/>
      <c r="AY181" s="771"/>
      <c r="AZ181" s="771"/>
      <c r="BA181" s="771"/>
      <c r="BB181" s="771"/>
      <c r="BC181" s="771"/>
      <c r="BD181" s="771"/>
      <c r="BE181" s="771"/>
      <c r="BF181" s="771"/>
      <c r="BG181" s="771"/>
      <c r="BH181" s="771"/>
      <c r="BI181" s="771"/>
      <c r="BJ181" s="771"/>
      <c r="BK181" s="771"/>
      <c r="BL181" s="771"/>
      <c r="BM181" s="771"/>
      <c r="BN181" s="771"/>
      <c r="BO181" s="771"/>
      <c r="BP181" s="1396"/>
      <c r="BQ181" s="363"/>
      <c r="BR181" s="1396"/>
      <c r="BS181" s="1396"/>
      <c r="BT181" s="1396"/>
      <c r="BU181" s="771"/>
      <c r="BV181" s="771"/>
      <c r="BW181" s="771"/>
      <c r="BX181" s="771"/>
      <c r="BY181" s="771"/>
      <c r="BZ181" s="771"/>
      <c r="CA181" s="771"/>
      <c r="CB181" s="771"/>
      <c r="CC181" s="771"/>
      <c r="CD181" s="771"/>
      <c r="CE181" s="771"/>
      <c r="CF181" s="771"/>
      <c r="CG181" s="771"/>
      <c r="CH181" s="771"/>
      <c r="CI181" s="771"/>
      <c r="CJ181" s="771"/>
      <c r="CK181" s="771"/>
      <c r="CL181" s="771"/>
      <c r="CM181" s="771"/>
      <c r="CN181" s="771"/>
      <c r="CO181" s="771"/>
      <c r="CP181" s="771"/>
      <c r="CQ181" s="771"/>
      <c r="CR181" s="771"/>
      <c r="CS181" s="771"/>
      <c r="CT181" s="771"/>
      <c r="CU181" s="771"/>
      <c r="CV181" s="771"/>
      <c r="CW181" s="771"/>
      <c r="CX181" s="771"/>
      <c r="CY181" s="771"/>
      <c r="CZ181" s="771"/>
      <c r="DA181" s="771"/>
      <c r="DB181" s="771"/>
      <c r="DC181" s="771"/>
      <c r="DD181" s="771"/>
      <c r="DE181" s="771"/>
      <c r="DF181" s="771"/>
      <c r="DG181" s="771"/>
      <c r="DH181" s="771"/>
      <c r="DI181" s="771"/>
      <c r="DJ181" s="771"/>
      <c r="DK181" s="771"/>
      <c r="DL181" s="771"/>
      <c r="DM181" s="771"/>
      <c r="DN181" s="771"/>
      <c r="DO181" s="771"/>
      <c r="DP181" s="771"/>
      <c r="DQ181" s="771"/>
      <c r="DR181" s="771"/>
      <c r="DS181" s="771"/>
    </row>
    <row r="182" spans="1:123" s="1386" customFormat="1" ht="12.75" customHeight="1" x14ac:dyDescent="0.2">
      <c r="A182" s="2384"/>
      <c r="B182" s="2073"/>
      <c r="C182" s="1576" t="s">
        <v>2994</v>
      </c>
      <c r="D182" s="1567" t="str">
        <f t="shared" si="63"/>
        <v xml:space="preserve">LBX, Держ п/п п/рел, прав, ZI7.3C01.01  </v>
      </c>
      <c r="E182" s="1568">
        <v>1</v>
      </c>
      <c r="F182" s="1569">
        <f t="shared" si="64"/>
        <v>363.50594280000001</v>
      </c>
      <c r="G182" s="1569">
        <f t="shared" si="65"/>
        <v>363.50594280000001</v>
      </c>
      <c r="H182" s="1570">
        <f t="shared" ref="H182:H198" si="66">G182*E182</f>
        <v>363.50594280000001</v>
      </c>
      <c r="I182" s="2386"/>
      <c r="J182" s="771"/>
      <c r="K182" s="771"/>
      <c r="L182" s="771"/>
      <c r="M182" s="771"/>
      <c r="N182" s="771"/>
      <c r="O182" s="771"/>
      <c r="P182" s="771"/>
      <c r="Q182" s="771"/>
      <c r="R182" s="771"/>
      <c r="S182" s="771"/>
      <c r="T182" s="771"/>
      <c r="U182" s="771">
        <v>500</v>
      </c>
      <c r="V182" s="1543" t="s">
        <v>3592</v>
      </c>
      <c r="W182" s="771"/>
      <c r="X182" s="771"/>
      <c r="Y182" s="771"/>
      <c r="Z182" s="771"/>
      <c r="AA182" s="771"/>
      <c r="AB182" s="771"/>
      <c r="AC182" s="771"/>
      <c r="AD182" s="771"/>
      <c r="AE182" s="771" t="s">
        <v>3593</v>
      </c>
      <c r="AF182" s="771"/>
      <c r="AG182" s="771"/>
      <c r="AH182" s="771"/>
      <c r="AI182" s="771"/>
      <c r="AJ182" s="771"/>
      <c r="AK182" s="771"/>
      <c r="AL182" s="771"/>
      <c r="AM182" s="771"/>
      <c r="AN182" s="771" t="s">
        <v>3594</v>
      </c>
      <c r="AO182" s="771"/>
      <c r="AP182" s="771"/>
      <c r="AQ182" s="771"/>
      <c r="AR182" s="771"/>
      <c r="AS182" s="771"/>
      <c r="AT182" s="771"/>
      <c r="AU182" s="771"/>
      <c r="AV182" s="771"/>
      <c r="AW182" s="771"/>
      <c r="AX182" s="771"/>
      <c r="AY182" s="771"/>
      <c r="AZ182" s="771"/>
      <c r="BA182" s="771"/>
      <c r="BB182" s="771"/>
      <c r="BC182" s="771"/>
      <c r="BD182" s="771"/>
      <c r="BE182" s="771"/>
      <c r="BF182" s="771"/>
      <c r="BG182" s="771"/>
      <c r="BH182" s="771"/>
      <c r="BI182" s="771"/>
      <c r="BJ182" s="771"/>
      <c r="BK182" s="771"/>
      <c r="BL182" s="771"/>
      <c r="BM182" s="771"/>
      <c r="BN182" s="771"/>
      <c r="BO182" s="771"/>
      <c r="BP182" s="1396"/>
      <c r="BQ182" s="363"/>
      <c r="BR182" s="1396"/>
      <c r="BS182" s="1396"/>
      <c r="BT182" s="1396"/>
      <c r="BU182" s="771"/>
      <c r="BV182" s="771"/>
      <c r="BW182" s="771"/>
      <c r="BX182" s="771"/>
      <c r="BY182" s="771"/>
      <c r="BZ182" s="771"/>
      <c r="CA182" s="771"/>
      <c r="CB182" s="771"/>
      <c r="CC182" s="771"/>
      <c r="CD182" s="771"/>
      <c r="CE182" s="771"/>
      <c r="CF182" s="771"/>
      <c r="CG182" s="771"/>
      <c r="CH182" s="771"/>
      <c r="CI182" s="771"/>
      <c r="CJ182" s="771"/>
      <c r="CK182" s="771"/>
      <c r="CL182" s="771"/>
      <c r="CM182" s="771"/>
      <c r="CN182" s="771"/>
      <c r="CO182" s="771"/>
      <c r="CP182" s="771"/>
      <c r="CQ182" s="771"/>
      <c r="CR182" s="771"/>
      <c r="CS182" s="771"/>
      <c r="CT182" s="771"/>
      <c r="CU182" s="771"/>
      <c r="CV182" s="771"/>
      <c r="CW182" s="771"/>
      <c r="CX182" s="771"/>
      <c r="CY182" s="771"/>
      <c r="CZ182" s="771"/>
      <c r="DA182" s="771"/>
      <c r="DB182" s="771"/>
      <c r="DC182" s="771"/>
      <c r="DD182" s="771"/>
      <c r="DE182" s="771"/>
      <c r="DF182" s="771"/>
      <c r="DG182" s="771"/>
      <c r="DH182" s="771"/>
      <c r="DI182" s="771"/>
      <c r="DJ182" s="771"/>
      <c r="DK182" s="771"/>
      <c r="DL182" s="771"/>
      <c r="DM182" s="771"/>
      <c r="DN182" s="771"/>
      <c r="DO182" s="771"/>
      <c r="DP182" s="771"/>
      <c r="DQ182" s="771"/>
      <c r="DR182" s="771"/>
      <c r="DS182" s="771"/>
    </row>
    <row r="183" spans="1:123" s="1386" customFormat="1" ht="12.75" customHeight="1" x14ac:dyDescent="0.2">
      <c r="A183" s="2384"/>
      <c r="B183" s="2073"/>
      <c r="C183" s="1566" t="str">
        <f>VLOOKUP($D$3,LBX.C,10,FALSE)</f>
        <v>8534062/</v>
      </c>
      <c r="D183" s="1567" t="str">
        <f t="shared" si="63"/>
        <v>LBX, Загл вн держ п/п C, бел ле ZI7.3C08</v>
      </c>
      <c r="E183" s="1568">
        <v>1</v>
      </c>
      <c r="F183" s="1569">
        <f t="shared" si="64"/>
        <v>41.473832399999999</v>
      </c>
      <c r="G183" s="1569">
        <f t="shared" si="65"/>
        <v>41.473832399999999</v>
      </c>
      <c r="H183" s="1570">
        <f t="shared" si="66"/>
        <v>41.473832399999999</v>
      </c>
      <c r="I183" s="2386"/>
      <c r="J183" s="771"/>
      <c r="K183" s="771"/>
      <c r="L183" s="771"/>
      <c r="M183" s="771"/>
      <c r="N183" s="771"/>
      <c r="O183" s="771"/>
      <c r="P183" s="771"/>
      <c r="Q183" s="771"/>
      <c r="R183" s="771"/>
      <c r="S183" s="771"/>
      <c r="T183" s="771"/>
      <c r="U183" s="771"/>
      <c r="V183" s="771"/>
      <c r="W183" s="771"/>
      <c r="X183" s="771"/>
      <c r="Y183" s="771"/>
      <c r="Z183" s="771"/>
      <c r="AA183" s="771"/>
      <c r="AB183" s="771"/>
      <c r="AC183" s="771"/>
      <c r="AD183" s="771"/>
      <c r="AE183" s="771"/>
      <c r="AF183" s="771"/>
      <c r="AG183" s="771"/>
      <c r="AH183" s="771"/>
      <c r="AI183" s="771"/>
      <c r="AJ183" s="771"/>
      <c r="AK183" s="771"/>
      <c r="AL183" s="771"/>
      <c r="AM183" s="771"/>
      <c r="AN183" s="771"/>
      <c r="AO183" s="771"/>
      <c r="AP183" s="771"/>
      <c r="AQ183" s="771"/>
      <c r="AR183" s="771"/>
      <c r="AS183" s="771"/>
      <c r="AT183" s="771"/>
      <c r="AU183" s="771"/>
      <c r="AV183" s="771"/>
      <c r="AW183" s="771"/>
      <c r="AX183" s="771"/>
      <c r="AY183" s="771"/>
      <c r="AZ183" s="771"/>
      <c r="BA183" s="771"/>
      <c r="BB183" s="771"/>
      <c r="BC183" s="771"/>
      <c r="BD183" s="771"/>
      <c r="BE183" s="771"/>
      <c r="BF183" s="771"/>
      <c r="BG183" s="771"/>
      <c r="BH183" s="771"/>
      <c r="BI183" s="771"/>
      <c r="BJ183" s="771"/>
      <c r="BK183" s="771"/>
      <c r="BL183" s="771"/>
      <c r="BN183" s="771"/>
      <c r="BO183" s="771"/>
      <c r="BP183" s="1396"/>
      <c r="BQ183" s="363"/>
      <c r="BR183" s="1396"/>
      <c r="BS183" s="1396"/>
      <c r="BT183" s="1396"/>
      <c r="BU183" s="771"/>
      <c r="BV183" s="771"/>
      <c r="BW183" s="771"/>
      <c r="BX183" s="771"/>
      <c r="BY183" s="771"/>
      <c r="BZ183" s="771"/>
      <c r="CA183" s="771"/>
      <c r="CB183" s="771"/>
      <c r="CC183" s="771"/>
      <c r="CD183" s="771"/>
      <c r="CE183" s="771"/>
      <c r="CF183" s="771"/>
      <c r="CG183" s="771"/>
      <c r="CH183" s="771"/>
      <c r="CI183" s="771"/>
      <c r="CJ183" s="771"/>
      <c r="CK183" s="771"/>
      <c r="CL183" s="771"/>
      <c r="CM183" s="771"/>
      <c r="CN183" s="771"/>
      <c r="CO183" s="771"/>
      <c r="CP183" s="771"/>
      <c r="CQ183" s="771"/>
      <c r="CR183" s="771"/>
      <c r="CS183" s="771"/>
      <c r="CT183" s="771"/>
      <c r="CU183" s="771"/>
      <c r="CV183" s="771"/>
      <c r="CW183" s="771"/>
      <c r="CX183" s="771"/>
      <c r="CY183" s="771"/>
      <c r="CZ183" s="771"/>
      <c r="DA183" s="771"/>
      <c r="DB183" s="771"/>
      <c r="DC183" s="771"/>
      <c r="DD183" s="771"/>
      <c r="DE183" s="771"/>
      <c r="DF183" s="771"/>
      <c r="DG183" s="771"/>
      <c r="DH183" s="771"/>
      <c r="DI183" s="771"/>
      <c r="DJ183" s="771"/>
      <c r="DK183" s="771"/>
      <c r="DL183" s="771"/>
      <c r="DM183" s="771"/>
      <c r="DN183" s="771"/>
      <c r="DO183" s="771"/>
      <c r="DP183" s="771"/>
      <c r="DQ183" s="771"/>
      <c r="DR183" s="771"/>
      <c r="DS183" s="771"/>
    </row>
    <row r="184" spans="1:123" s="1386" customFormat="1" ht="12.75" customHeight="1" x14ac:dyDescent="0.2">
      <c r="A184" s="2384"/>
      <c r="B184" s="2073"/>
      <c r="C184" s="1566" t="str">
        <f>VLOOKUP($D$3,LBX.C,11,FALSE)</f>
        <v>7963265/</v>
      </c>
      <c r="D184" s="1567" t="str">
        <f t="shared" si="63"/>
        <v>LBX, Загл вн держ п/п C, бел пр ZI7.3C08</v>
      </c>
      <c r="E184" s="1568">
        <v>1</v>
      </c>
      <c r="F184" s="1569">
        <f t="shared" si="64"/>
        <v>41.473832399999999</v>
      </c>
      <c r="G184" s="1569">
        <f t="shared" si="65"/>
        <v>41.473832399999999</v>
      </c>
      <c r="H184" s="1570">
        <f t="shared" si="66"/>
        <v>41.473832399999999</v>
      </c>
      <c r="I184" s="2386"/>
      <c r="J184" s="771"/>
      <c r="K184" s="771"/>
      <c r="L184" s="771"/>
      <c r="M184" s="771"/>
      <c r="N184" s="771"/>
      <c r="O184" s="771"/>
      <c r="P184" s="771"/>
      <c r="Q184" s="771"/>
      <c r="R184" s="771"/>
      <c r="S184" s="771"/>
      <c r="T184" s="771"/>
      <c r="U184" s="771"/>
      <c r="V184" s="8"/>
      <c r="W184" s="8"/>
      <c r="X184" s="8"/>
      <c r="Y184" s="8"/>
      <c r="Z184" s="771"/>
      <c r="AA184" s="771"/>
      <c r="AB184" s="771"/>
      <c r="AC184" s="771"/>
      <c r="AD184" s="771"/>
      <c r="AE184" s="771"/>
      <c r="AF184" s="771"/>
      <c r="AG184" s="771"/>
      <c r="AH184" s="771"/>
      <c r="AI184" s="771"/>
      <c r="AJ184" s="771"/>
      <c r="AK184" s="771"/>
      <c r="AL184" s="771"/>
      <c r="AM184" s="771"/>
      <c r="AN184" s="771"/>
      <c r="AO184" s="771"/>
      <c r="AP184" s="771"/>
      <c r="AQ184" s="771"/>
      <c r="AR184" s="771"/>
      <c r="AS184" s="771"/>
      <c r="AT184" s="771"/>
      <c r="AU184" s="771"/>
      <c r="AV184" s="771"/>
      <c r="AW184" s="771"/>
      <c r="AX184" s="771"/>
      <c r="AY184" s="771"/>
      <c r="AZ184" s="771"/>
      <c r="BA184" s="771"/>
      <c r="BB184" s="771"/>
      <c r="BC184" s="771"/>
      <c r="BD184" s="771"/>
      <c r="BE184" s="771"/>
      <c r="BF184" s="771"/>
      <c r="BG184" s="771"/>
      <c r="BH184" s="771"/>
      <c r="BI184" s="771"/>
      <c r="BJ184" s="771"/>
      <c r="BK184" s="771"/>
      <c r="BL184" s="771"/>
      <c r="BP184" s="1031"/>
      <c r="BQ184" s="1031"/>
      <c r="BR184" s="1031"/>
      <c r="BS184" s="1031"/>
      <c r="BT184" s="1031"/>
      <c r="BU184" s="771"/>
      <c r="BV184" s="771"/>
      <c r="BW184" s="771"/>
      <c r="BX184" s="771"/>
      <c r="BY184" s="771"/>
      <c r="BZ184" s="771"/>
      <c r="CA184" s="771"/>
      <c r="CB184" s="771"/>
      <c r="CC184" s="771"/>
      <c r="CD184" s="771"/>
      <c r="CE184" s="771"/>
      <c r="CF184" s="771"/>
      <c r="CG184" s="771"/>
      <c r="CH184" s="771"/>
      <c r="CI184" s="771"/>
      <c r="CJ184" s="771"/>
      <c r="CK184" s="771"/>
      <c r="CL184" s="771"/>
      <c r="CM184" s="771"/>
      <c r="CN184" s="771"/>
      <c r="CO184" s="771"/>
      <c r="CP184" s="771"/>
      <c r="CQ184" s="771"/>
      <c r="CR184" s="771"/>
      <c r="CS184" s="771"/>
      <c r="CT184" s="771"/>
      <c r="CU184" s="771"/>
      <c r="CV184" s="771"/>
      <c r="CW184" s="771"/>
      <c r="CX184" s="771"/>
      <c r="CY184" s="771"/>
      <c r="CZ184" s="771"/>
      <c r="DA184" s="771"/>
      <c r="DB184" s="771"/>
      <c r="DC184" s="771"/>
      <c r="DD184" s="771"/>
      <c r="DE184" s="771"/>
      <c r="DF184" s="771"/>
      <c r="DG184" s="771"/>
      <c r="DH184" s="771"/>
      <c r="DI184" s="771"/>
      <c r="DJ184" s="771"/>
      <c r="DK184" s="771"/>
      <c r="DL184" s="771"/>
      <c r="DM184" s="771"/>
      <c r="DN184" s="771"/>
      <c r="DO184" s="771"/>
      <c r="DP184" s="771"/>
      <c r="DQ184" s="771"/>
      <c r="DR184" s="771"/>
      <c r="DS184" s="771"/>
    </row>
    <row r="185" spans="1:123" s="1386" customFormat="1" ht="12.75" customHeight="1" x14ac:dyDescent="0.2">
      <c r="A185" s="2384"/>
      <c r="B185" s="2073"/>
      <c r="C185" s="1566" t="str">
        <f>VLOOKUP($D$3,LBX.C,12,FALSE)</f>
        <v>5506281/</v>
      </c>
      <c r="D185" s="1567" t="str">
        <f t="shared" si="63"/>
        <v xml:space="preserve">LBX, Загл держ п/п C, бел, лев ZI7.2CS3 </v>
      </c>
      <c r="E185" s="1568">
        <v>1</v>
      </c>
      <c r="F185" s="1569">
        <f t="shared" si="64"/>
        <v>123.60828479999999</v>
      </c>
      <c r="G185" s="1569">
        <f t="shared" si="65"/>
        <v>123.60828479999999</v>
      </c>
      <c r="H185" s="1570">
        <f t="shared" si="66"/>
        <v>123.60828479999999</v>
      </c>
      <c r="I185" s="2386"/>
      <c r="J185" s="771"/>
      <c r="K185" s="771"/>
      <c r="L185" s="771"/>
      <c r="M185" s="771"/>
      <c r="N185" s="771"/>
      <c r="O185" s="771"/>
      <c r="P185" s="771"/>
      <c r="Q185" s="771"/>
      <c r="R185" s="771"/>
      <c r="S185" s="771"/>
      <c r="T185" s="771"/>
      <c r="U185" s="771"/>
      <c r="V185" s="8"/>
      <c r="W185" s="8"/>
      <c r="X185" s="8"/>
      <c r="Y185" s="8"/>
      <c r="Z185" s="771"/>
      <c r="AA185" s="771"/>
      <c r="AB185" s="771"/>
      <c r="AC185" s="771"/>
      <c r="AD185" s="771"/>
      <c r="AE185" s="771"/>
      <c r="AF185" s="771"/>
      <c r="AG185" s="771"/>
      <c r="AH185" s="771"/>
      <c r="AI185" s="771"/>
      <c r="AJ185" s="771"/>
      <c r="AK185" s="771"/>
      <c r="AL185" s="771"/>
      <c r="AM185" s="771"/>
      <c r="AN185" s="771"/>
      <c r="AO185" s="771"/>
      <c r="AP185" s="771"/>
      <c r="AQ185" s="771"/>
      <c r="AR185" s="771"/>
      <c r="AS185" s="771"/>
      <c r="AT185" s="771"/>
      <c r="AU185" s="771"/>
      <c r="AV185" s="771"/>
      <c r="AW185" s="771"/>
      <c r="AX185" s="771"/>
      <c r="AY185" s="771"/>
      <c r="AZ185" s="771"/>
      <c r="BA185" s="771"/>
      <c r="BB185" s="771"/>
      <c r="BC185" s="771"/>
      <c r="BD185" s="771"/>
      <c r="BE185" s="771"/>
      <c r="BF185" s="771"/>
      <c r="BG185" s="894" t="s">
        <v>2396</v>
      </c>
      <c r="BH185" s="771"/>
      <c r="BI185" s="771"/>
      <c r="BJ185" s="771"/>
      <c r="BK185" s="771"/>
      <c r="BL185" s="771"/>
      <c r="BM185" s="1397"/>
      <c r="BN185" s="1397"/>
      <c r="BO185" s="1397"/>
      <c r="BP185" s="1395" t="s">
        <v>2325</v>
      </c>
      <c r="BQ185" s="1395" t="s">
        <v>2345</v>
      </c>
      <c r="BR185" s="1395" t="s">
        <v>2308</v>
      </c>
      <c r="BS185" s="1395" t="s">
        <v>2334</v>
      </c>
      <c r="BT185" s="1395" t="s">
        <v>2272</v>
      </c>
      <c r="BU185" s="771"/>
      <c r="BV185" s="771"/>
      <c r="BW185" s="771"/>
      <c r="BX185" s="771"/>
      <c r="BY185" s="771"/>
      <c r="BZ185" s="771"/>
      <c r="CA185" s="771"/>
      <c r="CB185" s="771"/>
      <c r="CC185" s="771"/>
      <c r="CD185" s="771"/>
      <c r="CE185" s="771"/>
      <c r="CF185" s="771"/>
      <c r="CG185" s="771"/>
      <c r="CH185" s="771"/>
      <c r="CI185" s="771"/>
      <c r="CJ185" s="771"/>
      <c r="CK185" s="771"/>
      <c r="CL185" s="771"/>
      <c r="CM185" s="771"/>
      <c r="CN185" s="771"/>
      <c r="CO185" s="771"/>
      <c r="CP185" s="771"/>
      <c r="CQ185" s="771"/>
      <c r="CR185" s="771"/>
      <c r="CS185" s="771"/>
      <c r="CT185" s="771"/>
      <c r="CU185" s="771"/>
      <c r="CV185" s="771"/>
      <c r="CW185" s="771"/>
      <c r="CX185" s="771"/>
      <c r="CY185" s="771"/>
      <c r="CZ185" s="771"/>
      <c r="DA185" s="771"/>
      <c r="DB185" s="771"/>
      <c r="DC185" s="771"/>
      <c r="DD185" s="771"/>
      <c r="DE185" s="771"/>
      <c r="DF185" s="771"/>
      <c r="DG185" s="771"/>
      <c r="DH185" s="771"/>
      <c r="DI185" s="771"/>
      <c r="DJ185" s="771"/>
      <c r="DK185" s="771"/>
      <c r="DL185" s="771"/>
      <c r="DM185" s="771"/>
      <c r="DN185" s="771"/>
      <c r="DO185" s="771"/>
      <c r="DP185" s="771"/>
      <c r="DQ185" s="771"/>
      <c r="DR185" s="771"/>
      <c r="DS185" s="771"/>
    </row>
    <row r="186" spans="1:123" s="1386" customFormat="1" ht="12.75" customHeight="1" x14ac:dyDescent="0.2">
      <c r="A186" s="2384"/>
      <c r="B186" s="2073"/>
      <c r="C186" s="1566" t="str">
        <f>VLOOKUP($D$3,LBX.C,13,FALSE)</f>
        <v>5866447/</v>
      </c>
      <c r="D186" s="1567" t="str">
        <f t="shared" si="63"/>
        <v>LBX, Загл держ п/п C, бел, прав ZI7.2CS3</v>
      </c>
      <c r="E186" s="1568">
        <v>1</v>
      </c>
      <c r="F186" s="1569">
        <f t="shared" si="64"/>
        <v>123.60828479999999</v>
      </c>
      <c r="G186" s="1569">
        <f t="shared" si="65"/>
        <v>123.60828479999999</v>
      </c>
      <c r="H186" s="1570">
        <f t="shared" si="66"/>
        <v>123.60828479999999</v>
      </c>
      <c r="I186" s="2386"/>
      <c r="J186" s="771"/>
      <c r="K186" s="771"/>
      <c r="L186" s="771"/>
      <c r="M186" s="771"/>
      <c r="N186" s="771"/>
      <c r="O186" s="771"/>
      <c r="P186" s="771"/>
      <c r="Q186" s="771"/>
      <c r="R186" s="771"/>
      <c r="S186" s="771"/>
      <c r="T186" s="771"/>
      <c r="U186" s="771"/>
      <c r="V186" s="8"/>
      <c r="W186" s="8"/>
      <c r="X186" s="8"/>
      <c r="Y186" s="8"/>
      <c r="Z186" s="771"/>
      <c r="AA186" s="771"/>
      <c r="AB186" s="771"/>
      <c r="AC186" s="771"/>
      <c r="AD186" s="771"/>
      <c r="AE186" s="771"/>
      <c r="AF186" s="771"/>
      <c r="AG186" s="771"/>
      <c r="AH186" s="771"/>
      <c r="AI186" s="771"/>
      <c r="AJ186" s="771"/>
      <c r="AK186" s="771"/>
      <c r="AL186" s="771"/>
      <c r="AM186" s="771"/>
      <c r="AN186" s="771"/>
      <c r="AO186" s="771"/>
      <c r="AP186" s="771"/>
      <c r="AQ186" s="771"/>
      <c r="AR186" s="771"/>
      <c r="AS186" s="771"/>
      <c r="AT186" s="771"/>
      <c r="AU186" s="771"/>
      <c r="AV186" s="771"/>
      <c r="AW186" s="771"/>
      <c r="AX186" s="771"/>
      <c r="AY186" s="771"/>
      <c r="AZ186" s="771"/>
      <c r="BA186" s="771"/>
      <c r="BB186" s="771"/>
      <c r="BC186" s="771"/>
      <c r="BD186" s="771"/>
      <c r="BE186" s="771"/>
      <c r="BF186" s="771"/>
      <c r="BG186" s="891" t="s">
        <v>2398</v>
      </c>
      <c r="BH186" s="771"/>
      <c r="BI186" s="771"/>
      <c r="BJ186" s="771"/>
      <c r="BK186" s="771"/>
      <c r="BL186" s="771"/>
      <c r="BM186" s="1397"/>
      <c r="BN186" s="1397"/>
      <c r="BO186" s="1397"/>
      <c r="BP186" s="893" t="s">
        <v>2337</v>
      </c>
      <c r="BQ186" s="893" t="s">
        <v>2331</v>
      </c>
      <c r="BR186" s="893" t="s">
        <v>2318</v>
      </c>
      <c r="BS186" s="893" t="s">
        <v>2321</v>
      </c>
      <c r="BT186" s="893" t="s">
        <v>2269</v>
      </c>
      <c r="BU186" s="771"/>
      <c r="BV186" s="771"/>
      <c r="BW186" s="771"/>
      <c r="BX186" s="771"/>
      <c r="BY186" s="771"/>
      <c r="BZ186" s="771"/>
      <c r="CA186" s="771"/>
      <c r="CB186" s="771"/>
      <c r="CC186" s="771"/>
      <c r="CD186" s="771"/>
      <c r="CE186" s="771"/>
      <c r="CF186" s="771"/>
      <c r="CG186" s="771"/>
      <c r="CH186" s="771"/>
      <c r="CI186" s="771"/>
      <c r="CJ186" s="771"/>
      <c r="CK186" s="771"/>
      <c r="CL186" s="771"/>
      <c r="CM186" s="771"/>
      <c r="CN186" s="771"/>
      <c r="CO186" s="771"/>
      <c r="CP186" s="771"/>
      <c r="CQ186" s="771"/>
      <c r="CR186" s="771"/>
      <c r="CS186" s="771"/>
      <c r="CT186" s="771"/>
      <c r="CU186" s="771"/>
      <c r="CV186" s="771"/>
      <c r="CW186" s="771"/>
      <c r="CX186" s="771"/>
      <c r="CY186" s="771"/>
      <c r="CZ186" s="771"/>
      <c r="DA186" s="771"/>
      <c r="DB186" s="771"/>
      <c r="DC186" s="771"/>
      <c r="DD186" s="771"/>
      <c r="DE186" s="771"/>
      <c r="DF186" s="771"/>
      <c r="DG186" s="771"/>
      <c r="DH186" s="771"/>
      <c r="DI186" s="771"/>
      <c r="DJ186" s="771"/>
      <c r="DK186" s="771"/>
      <c r="DL186" s="771"/>
      <c r="DM186" s="771"/>
      <c r="DN186" s="771"/>
      <c r="DO186" s="771"/>
      <c r="DP186" s="771"/>
      <c r="DQ186" s="771"/>
      <c r="DR186" s="771"/>
      <c r="DS186" s="771"/>
    </row>
    <row r="187" spans="1:123" s="1386" customFormat="1" ht="12.75" customHeight="1" x14ac:dyDescent="0.2">
      <c r="A187" s="2384"/>
      <c r="B187" s="2073"/>
      <c r="C187" s="1566" t="str">
        <f>VLOOKUP($D$3,LBX.C,14,FALSE)</f>
        <v>7731476/</v>
      </c>
      <c r="D187" s="1567" t="str">
        <f t="shared" si="63"/>
        <v xml:space="preserve">LBX, Пп б/п п/раскр, бел ZV7.1043C01    </v>
      </c>
      <c r="E187" s="1568">
        <v>1</v>
      </c>
      <c r="F187" s="1569">
        <f t="shared" si="64"/>
        <v>1253.9735208</v>
      </c>
      <c r="G187" s="1569">
        <f t="shared" si="65"/>
        <v>1253.9735208</v>
      </c>
      <c r="H187" s="1570">
        <f t="shared" si="66"/>
        <v>1253.9735208</v>
      </c>
      <c r="I187" s="2386"/>
      <c r="J187" s="771"/>
      <c r="K187" s="771"/>
      <c r="L187" s="771"/>
      <c r="M187" s="771"/>
      <c r="N187" s="771"/>
      <c r="O187" s="771"/>
      <c r="P187" s="771"/>
      <c r="Q187" s="771"/>
      <c r="R187" s="771"/>
      <c r="S187" s="771"/>
      <c r="T187" s="771"/>
      <c r="U187" s="771"/>
      <c r="V187" s="8"/>
      <c r="W187" s="8"/>
      <c r="X187" s="8"/>
      <c r="Y187" s="8"/>
      <c r="Z187" s="771"/>
      <c r="AA187" s="771"/>
      <c r="AB187" s="771"/>
      <c r="AC187" s="771"/>
      <c r="AD187" s="771"/>
      <c r="AE187" s="771"/>
      <c r="AF187" s="771"/>
      <c r="AG187" s="771"/>
      <c r="AH187" s="771"/>
      <c r="AI187" s="771"/>
      <c r="AJ187" s="771"/>
      <c r="AK187" s="771"/>
      <c r="AL187" s="771"/>
      <c r="AM187" s="771"/>
      <c r="AN187" s="771"/>
      <c r="AO187" s="771"/>
      <c r="AP187" s="771"/>
      <c r="AQ187" s="771"/>
      <c r="AR187" s="771"/>
      <c r="AS187" s="771"/>
      <c r="AT187" s="771"/>
      <c r="AU187" s="771"/>
      <c r="AV187" s="771"/>
      <c r="AW187" s="771"/>
      <c r="AX187" s="771"/>
      <c r="AY187" s="771"/>
      <c r="AZ187" s="771"/>
      <c r="BA187" s="771"/>
      <c r="BB187" s="771"/>
      <c r="BC187" s="771"/>
      <c r="BD187" s="771"/>
      <c r="BE187" s="771"/>
      <c r="BF187" s="771"/>
      <c r="BG187" s="891" t="s">
        <v>2397</v>
      </c>
      <c r="BM187" s="1335"/>
      <c r="BN187" s="1397"/>
      <c r="BO187" s="1397"/>
      <c r="BP187" s="891"/>
      <c r="BQ187" s="891"/>
      <c r="BR187" s="891"/>
      <c r="BS187" s="891"/>
      <c r="BT187" s="891"/>
      <c r="BU187" s="891"/>
      <c r="BV187" s="782"/>
      <c r="BW187" s="782"/>
      <c r="BX187" s="782"/>
      <c r="BY187" s="782"/>
      <c r="BZ187" s="782"/>
      <c r="CA187" s="782"/>
      <c r="CB187" s="782"/>
      <c r="CC187" s="782"/>
      <c r="CD187" s="771"/>
      <c r="CE187" s="771"/>
      <c r="CF187" s="771"/>
      <c r="CG187" s="771"/>
      <c r="CH187" s="771"/>
      <c r="CI187" s="771"/>
      <c r="CJ187" s="771"/>
      <c r="CK187" s="771"/>
      <c r="CL187" s="771"/>
      <c r="CM187" s="771"/>
      <c r="CN187" s="771"/>
      <c r="CO187" s="771"/>
      <c r="CP187" s="771"/>
      <c r="CQ187" s="771"/>
      <c r="CR187" s="771"/>
      <c r="CS187" s="771"/>
      <c r="CT187" s="771"/>
      <c r="CU187" s="771"/>
      <c r="CV187" s="771"/>
      <c r="CW187" s="771"/>
      <c r="CX187" s="771"/>
      <c r="CY187" s="771"/>
      <c r="CZ187" s="771"/>
      <c r="DA187" s="771"/>
      <c r="DB187" s="771"/>
      <c r="DC187" s="771"/>
      <c r="DD187" s="771"/>
      <c r="DE187" s="771"/>
      <c r="DF187" s="771"/>
      <c r="DG187" s="771"/>
      <c r="DH187" s="771"/>
      <c r="DI187" s="771"/>
      <c r="DJ187" s="771"/>
      <c r="DK187" s="771"/>
      <c r="DL187" s="771"/>
      <c r="DM187" s="771"/>
      <c r="DN187" s="771"/>
      <c r="DO187" s="771"/>
      <c r="DP187" s="771"/>
      <c r="DQ187" s="771"/>
      <c r="DR187" s="771"/>
      <c r="DS187" s="771"/>
    </row>
    <row r="188" spans="1:123" s="1386" customFormat="1" ht="12.75" customHeight="1" x14ac:dyDescent="0.2">
      <c r="A188" s="2384"/>
      <c r="B188" s="2073"/>
      <c r="C188" s="1566" t="str">
        <f>VLOOKUP($D$3,LBX.C,15,FALSE)</f>
        <v>7053143/</v>
      </c>
      <c r="D188" s="1567" t="str">
        <f t="shared" si="63"/>
        <v xml:space="preserve">LBX, Поп рел п/раскрой, 1080 мм., бел   </v>
      </c>
      <c r="E188" s="1568">
        <v>1</v>
      </c>
      <c r="F188" s="1569">
        <f t="shared" si="64"/>
        <v>550.54479479999998</v>
      </c>
      <c r="G188" s="1569">
        <f t="shared" si="65"/>
        <v>550.54479479999998</v>
      </c>
      <c r="H188" s="1570">
        <f t="shared" si="66"/>
        <v>550.54479479999998</v>
      </c>
      <c r="I188" s="2386"/>
      <c r="J188" s="771"/>
      <c r="K188" s="771"/>
      <c r="S188" s="771"/>
      <c r="T188" s="771"/>
      <c r="U188" s="771"/>
      <c r="V188" s="8"/>
      <c r="W188" s="8"/>
      <c r="X188" s="8"/>
      <c r="Y188" s="8"/>
      <c r="Z188" s="771"/>
      <c r="AA188" s="771"/>
      <c r="AB188" s="771"/>
      <c r="AC188" s="771"/>
      <c r="AD188" s="771"/>
      <c r="AE188" s="771"/>
      <c r="AF188" s="771"/>
      <c r="AG188" s="771"/>
      <c r="AH188" s="771"/>
      <c r="AI188" s="771"/>
      <c r="AJ188" s="771"/>
      <c r="AK188" s="771"/>
      <c r="AL188" s="771"/>
      <c r="AM188" s="771"/>
      <c r="AN188" s="771"/>
      <c r="AO188" s="771"/>
      <c r="AP188" s="771"/>
      <c r="AQ188" s="771"/>
      <c r="AR188" s="771"/>
      <c r="AS188" s="771"/>
      <c r="AT188" s="771"/>
      <c r="AU188" s="771"/>
      <c r="AV188" s="771"/>
      <c r="AW188" s="771"/>
      <c r="AX188" s="771"/>
      <c r="AY188" s="771"/>
      <c r="AZ188" s="771"/>
      <c r="BA188" s="771"/>
      <c r="BB188" s="771"/>
      <c r="BC188" s="771"/>
      <c r="BD188" s="771"/>
      <c r="BE188" s="771"/>
      <c r="BF188" s="771"/>
      <c r="BG188" s="771"/>
      <c r="BH188" s="771"/>
      <c r="BI188" s="771"/>
      <c r="BJ188" s="771"/>
      <c r="BK188" s="771"/>
      <c r="BM188" s="771"/>
      <c r="BN188" s="771"/>
      <c r="BO188" s="771"/>
      <c r="BP188" s="771"/>
      <c r="BQ188" s="771"/>
      <c r="BR188" s="771"/>
      <c r="BS188" s="771"/>
      <c r="BT188" s="771"/>
      <c r="BU188" s="771"/>
      <c r="BV188" s="771"/>
      <c r="BW188" s="771"/>
      <c r="BX188" s="771"/>
      <c r="BY188" s="771"/>
      <c r="BZ188" s="771"/>
      <c r="CA188" s="771"/>
      <c r="CB188" s="771"/>
      <c r="CC188" s="771"/>
      <c r="CD188" s="771"/>
      <c r="CE188" s="771"/>
      <c r="CF188" s="771"/>
      <c r="CG188" s="771"/>
      <c r="CH188" s="771"/>
      <c r="CI188" s="771"/>
      <c r="CJ188" s="771"/>
      <c r="CK188" s="771"/>
      <c r="CL188" s="771"/>
      <c r="CM188" s="771"/>
      <c r="CN188" s="771"/>
      <c r="CO188" s="771"/>
      <c r="CP188" s="771"/>
      <c r="CQ188" s="771"/>
      <c r="CR188" s="771"/>
      <c r="CS188" s="771"/>
      <c r="CT188" s="771"/>
      <c r="CU188" s="771"/>
      <c r="CV188" s="771"/>
      <c r="CW188" s="771"/>
      <c r="CX188" s="771"/>
      <c r="CY188" s="771"/>
      <c r="CZ188" s="771"/>
      <c r="DA188" s="771"/>
      <c r="DB188" s="771"/>
      <c r="DC188" s="771"/>
      <c r="DD188" s="771"/>
      <c r="DE188" s="771"/>
      <c r="DF188" s="771"/>
      <c r="DG188" s="771"/>
      <c r="DH188" s="771"/>
      <c r="DI188" s="771"/>
      <c r="DJ188" s="771"/>
      <c r="DK188" s="771"/>
      <c r="DL188" s="771"/>
      <c r="DM188" s="771"/>
      <c r="DN188" s="771"/>
      <c r="DO188" s="771"/>
      <c r="DP188" s="771"/>
      <c r="DQ188" s="771"/>
      <c r="DR188" s="771"/>
      <c r="DS188" s="771"/>
    </row>
    <row r="189" spans="1:123" s="1386" customFormat="1" ht="12.75" customHeight="1" x14ac:dyDescent="0.2">
      <c r="A189" s="2384"/>
      <c r="B189" s="2073"/>
      <c r="C189" s="1566" t="str">
        <f>VLOOKUP($D$3,LBX.C,8,FALSE)</f>
        <v>3326679/</v>
      </c>
      <c r="D189" s="1567" t="str">
        <f t="shared" si="63"/>
        <v>LBX, Держат. задн. ст, 189 мм, бел, лев.</v>
      </c>
      <c r="E189" s="1568">
        <v>1</v>
      </c>
      <c r="F189" s="1569">
        <f t="shared" si="64"/>
        <v>47.979531600000001</v>
      </c>
      <c r="G189" s="1569">
        <f t="shared" si="65"/>
        <v>47.979531600000001</v>
      </c>
      <c r="H189" s="1570">
        <f t="shared" si="66"/>
        <v>47.979531600000001</v>
      </c>
      <c r="I189" s="2386"/>
      <c r="J189" s="771"/>
      <c r="K189" s="771"/>
      <c r="S189" s="771"/>
      <c r="T189" s="771"/>
      <c r="U189" s="771"/>
      <c r="W189" s="8"/>
      <c r="X189" s="8"/>
      <c r="Y189" s="8"/>
      <c r="Z189" s="771"/>
      <c r="AA189" s="771"/>
      <c r="AB189" s="771"/>
      <c r="AC189" s="771"/>
      <c r="AD189" s="771"/>
      <c r="AE189" s="771"/>
      <c r="AF189" s="771"/>
      <c r="AG189" s="771"/>
      <c r="AH189" s="771"/>
      <c r="AI189" s="771"/>
      <c r="AJ189" s="771"/>
      <c r="AK189" s="771"/>
      <c r="AL189" s="771"/>
      <c r="AM189" s="771"/>
      <c r="AO189" s="771"/>
      <c r="AP189" s="771"/>
      <c r="AQ189" s="771"/>
      <c r="AR189" s="771"/>
      <c r="AS189" s="771"/>
      <c r="AT189" s="771"/>
      <c r="AU189" s="771"/>
      <c r="AV189" s="771"/>
      <c r="AX189" s="771"/>
      <c r="AY189" s="771"/>
      <c r="AZ189" s="771"/>
      <c r="BA189" s="771"/>
      <c r="BB189" s="771"/>
      <c r="BC189" s="771"/>
      <c r="BD189" s="771"/>
      <c r="BE189" s="771"/>
      <c r="BF189" s="771"/>
      <c r="BG189" s="771"/>
      <c r="BH189" s="771"/>
      <c r="BI189" s="771"/>
      <c r="BJ189" s="771"/>
      <c r="BK189" s="771"/>
      <c r="BM189" s="771"/>
      <c r="BN189" s="771"/>
      <c r="BO189" s="771"/>
      <c r="BP189" s="771"/>
      <c r="BQ189" s="771"/>
      <c r="BR189" s="771"/>
      <c r="BS189" s="771"/>
      <c r="BT189" s="771"/>
      <c r="BU189" s="771"/>
      <c r="BV189" s="771"/>
      <c r="BW189" s="771"/>
      <c r="BX189" s="771"/>
      <c r="BY189" s="771"/>
      <c r="BZ189" s="771"/>
      <c r="CA189" s="771"/>
      <c r="CB189" s="771"/>
      <c r="CC189" s="771"/>
      <c r="CD189" s="771"/>
      <c r="CE189" s="771"/>
      <c r="CF189" s="771"/>
      <c r="CG189" s="771"/>
      <c r="CH189" s="771"/>
      <c r="CI189" s="771"/>
      <c r="CJ189" s="771"/>
      <c r="CK189" s="771"/>
      <c r="CL189" s="771"/>
      <c r="CM189" s="771"/>
      <c r="CN189" s="771"/>
      <c r="CO189" s="771"/>
      <c r="CP189" s="771"/>
      <c r="CQ189" s="771"/>
      <c r="CR189" s="771"/>
      <c r="CS189" s="771"/>
      <c r="CT189" s="771"/>
      <c r="CU189" s="771"/>
      <c r="CV189" s="771"/>
      <c r="CW189" s="771"/>
      <c r="CX189" s="771"/>
      <c r="CY189" s="771"/>
      <c r="CZ189" s="771"/>
      <c r="DA189" s="771"/>
      <c r="DB189" s="771"/>
      <c r="DC189" s="771"/>
      <c r="DD189" s="771"/>
      <c r="DE189" s="771"/>
      <c r="DF189" s="771"/>
      <c r="DG189" s="771"/>
      <c r="DH189" s="771"/>
      <c r="DI189" s="771"/>
      <c r="DJ189" s="771"/>
      <c r="DK189" s="771"/>
      <c r="DL189" s="771"/>
      <c r="DM189" s="771"/>
      <c r="DN189" s="771"/>
      <c r="DO189" s="771"/>
      <c r="DP189" s="771"/>
      <c r="DQ189" s="771"/>
      <c r="DR189" s="771"/>
      <c r="DS189" s="771"/>
    </row>
    <row r="190" spans="1:123" s="1386" customFormat="1" ht="12.75" customHeight="1" x14ac:dyDescent="0.2">
      <c r="A190" s="2384"/>
      <c r="B190" s="2073"/>
      <c r="C190" s="1566" t="str">
        <f>VLOOKUP($D$3,LBX.C,9,FALSE)</f>
        <v>4903108/</v>
      </c>
      <c r="D190" s="1567" t="str">
        <f t="shared" si="63"/>
        <v>LBX, Держат. задн. ст, 189 мм, бел, прав</v>
      </c>
      <c r="E190" s="1568">
        <v>1</v>
      </c>
      <c r="F190" s="1569">
        <f t="shared" si="64"/>
        <v>47.979531600000001</v>
      </c>
      <c r="G190" s="1569">
        <f t="shared" si="65"/>
        <v>47.979531600000001</v>
      </c>
      <c r="H190" s="1570">
        <f t="shared" si="66"/>
        <v>47.979531600000001</v>
      </c>
      <c r="I190" s="2386"/>
      <c r="J190" s="771"/>
      <c r="K190" s="771"/>
      <c r="S190" s="771"/>
      <c r="T190" s="771"/>
      <c r="U190" s="771"/>
      <c r="W190" s="8"/>
      <c r="X190" s="8"/>
      <c r="Y190" s="8"/>
      <c r="Z190" s="771"/>
      <c r="AA190" s="771"/>
      <c r="AB190" s="771"/>
      <c r="AC190" s="771"/>
      <c r="AD190" s="771"/>
      <c r="AE190" s="771"/>
      <c r="AF190" s="771"/>
      <c r="AG190" s="771"/>
      <c r="AH190" s="771"/>
      <c r="AI190" s="771"/>
      <c r="AJ190" s="771"/>
      <c r="AK190" s="771"/>
      <c r="AL190" s="771"/>
      <c r="AM190" s="771"/>
      <c r="AO190" s="771"/>
      <c r="AP190" s="771"/>
      <c r="AQ190" s="771"/>
      <c r="AR190" s="771"/>
      <c r="AS190" s="771"/>
      <c r="AT190" s="771"/>
      <c r="AU190" s="771"/>
      <c r="AV190" s="771"/>
      <c r="AX190" s="771"/>
      <c r="AY190" s="771"/>
      <c r="AZ190" s="771"/>
      <c r="BA190" s="771"/>
      <c r="BB190" s="771"/>
      <c r="BC190" s="771"/>
      <c r="BD190" s="771"/>
      <c r="BE190" s="771"/>
      <c r="BF190" s="771"/>
      <c r="BG190" s="771"/>
      <c r="BH190" s="771"/>
      <c r="BI190" s="771"/>
      <c r="BJ190" s="771"/>
      <c r="BK190" s="771"/>
      <c r="BL190" s="771"/>
      <c r="BM190" s="771"/>
      <c r="BN190" s="771"/>
      <c r="BO190" s="771"/>
      <c r="BP190" s="771"/>
      <c r="BQ190" s="771"/>
      <c r="BR190" s="771"/>
      <c r="BS190" s="771"/>
      <c r="BT190" s="771"/>
      <c r="BU190" s="771"/>
      <c r="BV190" s="771"/>
      <c r="BW190" s="771"/>
      <c r="BX190" s="771"/>
      <c r="BY190" s="771"/>
      <c r="BZ190" s="771"/>
      <c r="CA190" s="771"/>
      <c r="CB190" s="771"/>
      <c r="CC190" s="771"/>
      <c r="CD190" s="771"/>
      <c r="CE190" s="771"/>
      <c r="CF190" s="771"/>
      <c r="CG190" s="771"/>
      <c r="CH190" s="771"/>
      <c r="CI190" s="771"/>
      <c r="CJ190" s="771"/>
      <c r="CK190" s="771"/>
      <c r="CL190" s="771"/>
      <c r="CM190" s="771"/>
      <c r="CN190" s="771"/>
      <c r="CO190" s="771"/>
      <c r="CP190" s="771"/>
      <c r="CQ190" s="771"/>
      <c r="CR190" s="771"/>
      <c r="CS190" s="771"/>
      <c r="CT190" s="771"/>
      <c r="CU190" s="771"/>
      <c r="CV190" s="771"/>
      <c r="CW190" s="771"/>
      <c r="CX190" s="771"/>
      <c r="CY190" s="771"/>
      <c r="CZ190" s="771"/>
      <c r="DA190" s="771"/>
      <c r="DB190" s="771"/>
      <c r="DC190" s="771"/>
      <c r="DD190" s="771"/>
      <c r="DE190" s="771"/>
      <c r="DF190" s="771"/>
      <c r="DG190" s="771"/>
      <c r="DH190" s="771"/>
      <c r="DI190" s="771"/>
      <c r="DJ190" s="771"/>
      <c r="DK190" s="771"/>
      <c r="DL190" s="771"/>
      <c r="DM190" s="771"/>
      <c r="DN190" s="771"/>
      <c r="DO190" s="771"/>
      <c r="DP190" s="771"/>
      <c r="DQ190" s="771"/>
      <c r="DR190" s="771"/>
      <c r="DS190" s="771"/>
    </row>
    <row r="191" spans="1:123" s="1386" customFormat="1" ht="12.75" customHeight="1" x14ac:dyDescent="0.2">
      <c r="A191" s="2384"/>
      <c r="B191" s="2073"/>
      <c r="C191" s="1096" t="str">
        <f>IF(C195="","",IF($D$4="Торговая","",VLOOKUP($D$3,LBX.C,7,FALSE)))</f>
        <v>7944577/</v>
      </c>
      <c r="D191" s="43" t="str">
        <f>IF(C191="","",VLOOKUP(C191,всецены,2,FALSE))</f>
        <v xml:space="preserve">LBX, Загл, наружн, бел, симм с лого     </v>
      </c>
      <c r="E191" s="3">
        <f>IF(C191="",0,2)</f>
        <v>2</v>
      </c>
      <c r="F191" s="1457">
        <f>IF(C191="",0,VLOOKUP(C191,всецены,4,FALSE))</f>
        <v>14.637823200000001</v>
      </c>
      <c r="G191" s="1569">
        <f t="shared" si="65"/>
        <v>14.637823200000001</v>
      </c>
      <c r="H191" s="1570">
        <f t="shared" si="66"/>
        <v>29.275646400000003</v>
      </c>
      <c r="I191" s="2386"/>
      <c r="J191" s="771"/>
      <c r="K191" s="771"/>
      <c r="L191" s="771"/>
      <c r="M191" s="771"/>
      <c r="N191" s="771"/>
      <c r="O191" s="771"/>
      <c r="P191" s="771"/>
      <c r="Q191" s="771"/>
      <c r="R191" s="771"/>
      <c r="S191" s="771"/>
      <c r="T191" s="771"/>
      <c r="U191" s="771"/>
      <c r="AC191" s="771"/>
      <c r="AD191" s="771"/>
      <c r="AE191" s="771"/>
      <c r="AF191" s="771"/>
      <c r="AG191" s="771"/>
      <c r="AH191" s="771"/>
      <c r="AI191" s="771"/>
      <c r="AJ191" s="771"/>
      <c r="AK191" s="771"/>
      <c r="AL191" s="771"/>
      <c r="AM191" s="771"/>
      <c r="AN191" s="771"/>
      <c r="AO191" s="771"/>
      <c r="AQ191" s="771"/>
      <c r="AR191" s="771"/>
      <c r="AS191" s="771"/>
      <c r="AT191" s="771"/>
      <c r="AU191" s="771"/>
      <c r="AV191" s="771"/>
      <c r="AW191" s="771"/>
      <c r="AX191" s="771"/>
      <c r="AZ191" s="771"/>
      <c r="BA191" s="771"/>
      <c r="BB191" s="771"/>
      <c r="BC191" s="771"/>
      <c r="BD191" s="771"/>
      <c r="BE191" s="771"/>
      <c r="BF191" s="771"/>
      <c r="BG191" s="771"/>
      <c r="BH191" s="771"/>
      <c r="BI191" s="771"/>
      <c r="BJ191" s="771"/>
      <c r="BK191" s="771"/>
      <c r="BL191" s="771"/>
      <c r="BM191" s="771"/>
      <c r="BN191" s="771"/>
      <c r="BO191" s="771"/>
      <c r="BP191" s="771"/>
      <c r="BQ191" s="771"/>
      <c r="BR191" s="771"/>
      <c r="BS191" s="771"/>
      <c r="BT191" s="771"/>
      <c r="BU191" s="771"/>
      <c r="BV191" s="771"/>
      <c r="BW191" s="771"/>
      <c r="BX191" s="771"/>
      <c r="BY191" s="771"/>
      <c r="BZ191" s="771"/>
      <c r="CA191" s="771"/>
      <c r="CB191" s="771"/>
      <c r="CC191" s="771"/>
      <c r="CD191" s="771"/>
      <c r="CE191" s="771"/>
      <c r="CF191" s="771"/>
      <c r="CG191" s="771"/>
      <c r="CH191" s="771"/>
      <c r="CI191" s="771"/>
      <c r="CJ191" s="771"/>
      <c r="CK191" s="771"/>
      <c r="CL191" s="771"/>
      <c r="CM191" s="771"/>
      <c r="CN191" s="771"/>
      <c r="CO191" s="771"/>
      <c r="CP191" s="771"/>
      <c r="CQ191" s="771"/>
      <c r="CR191" s="771"/>
      <c r="CS191" s="771"/>
      <c r="CT191" s="771"/>
      <c r="CU191" s="771"/>
      <c r="CV191" s="771"/>
      <c r="CW191" s="771"/>
      <c r="CX191" s="771"/>
      <c r="CY191" s="771"/>
      <c r="CZ191" s="771"/>
      <c r="DA191" s="771"/>
      <c r="DB191" s="771"/>
      <c r="DC191" s="771"/>
      <c r="DD191" s="771"/>
      <c r="DE191" s="771"/>
      <c r="DF191" s="771"/>
      <c r="DG191" s="771"/>
      <c r="DH191" s="771"/>
      <c r="DI191" s="771"/>
      <c r="DJ191" s="771"/>
      <c r="DK191" s="771"/>
      <c r="DL191" s="771"/>
      <c r="DM191" s="771"/>
      <c r="DN191" s="771"/>
      <c r="DO191" s="771"/>
      <c r="DP191" s="771"/>
      <c r="DQ191" s="771"/>
      <c r="DR191" s="771"/>
      <c r="DS191" s="771"/>
    </row>
    <row r="192" spans="1:123" s="1386" customFormat="1" ht="12.75" customHeight="1" x14ac:dyDescent="0.2">
      <c r="A192" s="2384"/>
      <c r="B192" s="2073"/>
      <c r="C192" s="1566" t="str">
        <f>VLOOKUP($D$3,LBX.C,4,FALSE)</f>
        <v>4922514/</v>
      </c>
      <c r="D192" s="1567" t="str">
        <f t="shared" si="63"/>
        <v xml:space="preserve">LBX, Направл. с BM, 40 кг, 500 мм, лев  </v>
      </c>
      <c r="E192" s="1568">
        <v>1</v>
      </c>
      <c r="F192" s="1569">
        <f t="shared" si="64"/>
        <v>670.90023000000008</v>
      </c>
      <c r="G192" s="1569">
        <f t="shared" si="65"/>
        <v>670.90023000000008</v>
      </c>
      <c r="H192" s="1570">
        <f t="shared" si="66"/>
        <v>670.90023000000008</v>
      </c>
      <c r="I192" s="2386"/>
      <c r="J192" s="771"/>
      <c r="K192" s="771"/>
      <c r="L192" s="771"/>
      <c r="M192" s="771"/>
      <c r="N192" s="771"/>
      <c r="O192" s="771"/>
      <c r="P192" s="771"/>
      <c r="Q192" s="771"/>
      <c r="R192" s="771"/>
      <c r="S192" s="771"/>
      <c r="T192" s="771"/>
      <c r="U192" s="771"/>
      <c r="AC192" s="771"/>
      <c r="AD192" s="771"/>
      <c r="AE192" s="771"/>
      <c r="AF192" s="771"/>
      <c r="AG192" s="771"/>
      <c r="AH192" s="771"/>
      <c r="AI192" s="771"/>
      <c r="AJ192" s="771"/>
      <c r="AK192" s="771"/>
      <c r="AL192" s="771"/>
      <c r="AM192" s="771"/>
      <c r="AN192" s="771"/>
      <c r="AO192" s="771"/>
      <c r="AQ192" s="771"/>
      <c r="AR192" s="771"/>
      <c r="AS192" s="771"/>
      <c r="AT192" s="771"/>
      <c r="AU192" s="771"/>
      <c r="AV192" s="771"/>
      <c r="AW192" s="771"/>
      <c r="AX192" s="771"/>
      <c r="AZ192" s="771"/>
      <c r="BA192" s="771"/>
      <c r="BB192" s="771"/>
      <c r="BC192" s="771"/>
      <c r="BD192" s="771"/>
      <c r="BE192" s="771"/>
      <c r="BF192" s="771"/>
      <c r="BG192" s="771"/>
      <c r="BH192" s="771"/>
      <c r="BI192" s="771"/>
      <c r="BJ192" s="771"/>
      <c r="BK192" s="771"/>
      <c r="BL192" s="771"/>
      <c r="BM192" s="771"/>
      <c r="BN192" s="771"/>
      <c r="BO192" s="771"/>
      <c r="BP192" s="771"/>
      <c r="BQ192" s="771"/>
      <c r="BR192" s="771"/>
      <c r="BS192" s="771"/>
      <c r="BT192" s="771"/>
      <c r="BU192" s="771"/>
      <c r="BV192" s="771"/>
      <c r="BW192" s="771"/>
      <c r="BX192" s="771"/>
      <c r="BY192" s="771"/>
      <c r="BZ192" s="771"/>
      <c r="CA192" s="771"/>
      <c r="CB192" s="771"/>
      <c r="CC192" s="771"/>
      <c r="CD192" s="771"/>
      <c r="CE192" s="771"/>
      <c r="CF192" s="771"/>
      <c r="CG192" s="771"/>
      <c r="CH192" s="771"/>
      <c r="CI192" s="771"/>
      <c r="CJ192" s="771"/>
      <c r="CK192" s="771"/>
      <c r="CL192" s="771"/>
      <c r="CM192" s="771"/>
      <c r="CN192" s="771"/>
      <c r="CO192" s="771"/>
      <c r="CP192" s="771"/>
      <c r="CQ192" s="771"/>
      <c r="CR192" s="771"/>
      <c r="CS192" s="771"/>
      <c r="CT192" s="771"/>
      <c r="CU192" s="771"/>
      <c r="CV192" s="771"/>
      <c r="CW192" s="771"/>
      <c r="CX192" s="771"/>
      <c r="CY192" s="771"/>
      <c r="CZ192" s="771"/>
      <c r="DA192" s="771"/>
      <c r="DB192" s="771"/>
      <c r="DC192" s="771"/>
      <c r="DD192" s="771"/>
      <c r="DE192" s="771"/>
      <c r="DF192" s="771"/>
      <c r="DG192" s="771"/>
      <c r="DH192" s="771"/>
      <c r="DI192" s="771"/>
      <c r="DJ192" s="771"/>
      <c r="DK192" s="771"/>
      <c r="DL192" s="771"/>
      <c r="DM192" s="771"/>
      <c r="DN192" s="771"/>
      <c r="DO192" s="771"/>
      <c r="DP192" s="771"/>
      <c r="DQ192" s="771"/>
      <c r="DR192" s="771"/>
      <c r="DS192" s="771"/>
    </row>
    <row r="193" spans="1:123" s="1386" customFormat="1" ht="12.75" customHeight="1" x14ac:dyDescent="0.2">
      <c r="A193" s="843"/>
      <c r="B193" s="2073"/>
      <c r="C193" s="1566" t="str">
        <f>VLOOKUP($D$3,LBX.C,5,FALSE)</f>
        <v>4737284/</v>
      </c>
      <c r="D193" s="1567" t="str">
        <f t="shared" si="63"/>
        <v xml:space="preserve">LBX, Направл. с BM, 40 кг, 500 мм, прав </v>
      </c>
      <c r="E193" s="1568">
        <v>1</v>
      </c>
      <c r="F193" s="1569">
        <f t="shared" si="64"/>
        <v>670.90023000000008</v>
      </c>
      <c r="G193" s="1569">
        <f t="shared" si="65"/>
        <v>670.90023000000008</v>
      </c>
      <c r="H193" s="1570">
        <f t="shared" si="66"/>
        <v>670.90023000000008</v>
      </c>
      <c r="I193" s="2386"/>
      <c r="J193" s="771"/>
      <c r="K193" s="771"/>
      <c r="L193" s="771"/>
      <c r="M193" s="771"/>
      <c r="N193" s="771"/>
      <c r="O193" s="771"/>
      <c r="P193" s="771"/>
      <c r="Q193" s="771"/>
      <c r="R193" s="771"/>
      <c r="S193" s="771"/>
      <c r="T193" s="771"/>
      <c r="U193" s="771"/>
      <c r="V193" s="8"/>
      <c r="W193" s="8"/>
      <c r="X193" s="8"/>
      <c r="Y193" s="8"/>
      <c r="Z193" s="8"/>
      <c r="AA193" s="8"/>
      <c r="AB193" s="8"/>
      <c r="AC193" s="771"/>
      <c r="AD193" s="771"/>
      <c r="AE193" s="771"/>
      <c r="AF193" s="771"/>
      <c r="AG193" s="771"/>
      <c r="AH193" s="771"/>
      <c r="AI193" s="771"/>
      <c r="AJ193" s="771"/>
      <c r="AK193" s="771"/>
      <c r="AL193" s="771"/>
      <c r="AM193" s="771"/>
      <c r="AN193" s="771"/>
      <c r="AO193" s="771"/>
      <c r="AP193" s="771"/>
      <c r="AQ193" s="771"/>
      <c r="AR193" s="771"/>
      <c r="AS193" s="771"/>
      <c r="AT193" s="771"/>
      <c r="AU193" s="771"/>
      <c r="AV193" s="771"/>
      <c r="AW193" s="771"/>
      <c r="AX193" s="771"/>
      <c r="AY193" s="771"/>
      <c r="AZ193" s="771"/>
      <c r="BA193" s="771"/>
      <c r="BB193" s="771"/>
      <c r="BC193" s="771"/>
      <c r="BD193" s="771"/>
      <c r="BE193" s="771"/>
      <c r="BF193" s="771"/>
      <c r="BG193" s="771"/>
      <c r="BH193" s="771"/>
      <c r="BI193" s="771"/>
      <c r="BJ193" s="771"/>
      <c r="BK193" s="771"/>
      <c r="BL193" s="771"/>
      <c r="BM193" s="771"/>
      <c r="BN193" s="771"/>
      <c r="BO193" s="771"/>
      <c r="BP193" s="771"/>
      <c r="BQ193" s="771"/>
      <c r="BR193" s="771"/>
      <c r="BS193" s="771"/>
      <c r="BT193" s="771"/>
      <c r="BU193" s="771"/>
      <c r="BV193" s="771"/>
      <c r="BW193" s="771"/>
      <c r="BX193" s="771"/>
      <c r="BY193" s="771"/>
      <c r="BZ193" s="771"/>
      <c r="CA193" s="771"/>
      <c r="CB193" s="771"/>
      <c r="CC193" s="771"/>
      <c r="CD193" s="771"/>
      <c r="CE193" s="771"/>
      <c r="CF193" s="771"/>
      <c r="CG193" s="771"/>
      <c r="CH193" s="771"/>
      <c r="CI193" s="771"/>
      <c r="CJ193" s="771"/>
      <c r="CK193" s="771"/>
      <c r="CL193" s="771"/>
      <c r="CM193" s="771"/>
      <c r="CN193" s="771"/>
      <c r="CO193" s="771"/>
      <c r="CP193" s="771"/>
      <c r="CQ193" s="771"/>
      <c r="CR193" s="771"/>
      <c r="CS193" s="771"/>
      <c r="CT193" s="771"/>
      <c r="CU193" s="771"/>
      <c r="CV193" s="771"/>
      <c r="CW193" s="771"/>
      <c r="CX193" s="771"/>
      <c r="CY193" s="771"/>
      <c r="CZ193" s="771"/>
      <c r="DA193" s="771"/>
      <c r="DB193" s="771"/>
      <c r="DC193" s="771"/>
      <c r="DD193" s="771"/>
      <c r="DE193" s="771"/>
      <c r="DF193" s="771"/>
      <c r="DG193" s="771"/>
      <c r="DH193" s="771"/>
      <c r="DI193" s="771"/>
      <c r="DJ193" s="771"/>
      <c r="DK193" s="771"/>
      <c r="DL193" s="771"/>
      <c r="DM193" s="771"/>
      <c r="DN193" s="771"/>
      <c r="DO193" s="771"/>
      <c r="DP193" s="771"/>
      <c r="DQ193" s="771"/>
      <c r="DR193" s="771"/>
      <c r="DS193" s="771"/>
    </row>
    <row r="194" spans="1:123" s="1386" customFormat="1" ht="12.75" customHeight="1" x14ac:dyDescent="0.2">
      <c r="A194" s="843"/>
      <c r="B194" s="2073"/>
      <c r="C194" s="1566" t="str">
        <f>VLOOKUP($D$3,LBX.C_Free,2,FALSE)</f>
        <v>9064917/</v>
      </c>
      <c r="D194" s="1567" t="str">
        <f>VLOOKUP(C194,всецены,2,FALSE)</f>
        <v xml:space="preserve">LBX-F, Боковина 176,8/500 мм, бел, лев  </v>
      </c>
      <c r="E194" s="1568">
        <v>1</v>
      </c>
      <c r="F194" s="1569">
        <f t="shared" si="64"/>
        <v>815.6520372</v>
      </c>
      <c r="G194" s="1569">
        <f t="shared" si="65"/>
        <v>815.6520372</v>
      </c>
      <c r="H194" s="1570">
        <f t="shared" si="66"/>
        <v>815.6520372</v>
      </c>
      <c r="I194" s="2386"/>
      <c r="J194" s="771"/>
      <c r="K194" s="771"/>
      <c r="L194" s="771"/>
      <c r="M194" s="771"/>
      <c r="N194" s="771"/>
      <c r="O194" s="771"/>
      <c r="P194" s="771"/>
      <c r="Q194" s="771"/>
      <c r="R194" s="771"/>
      <c r="S194" s="771"/>
      <c r="T194" s="771"/>
      <c r="U194" s="771"/>
      <c r="V194" s="8"/>
      <c r="W194" s="8"/>
      <c r="X194" s="8"/>
      <c r="Y194" s="8"/>
      <c r="Z194" s="8"/>
      <c r="AA194" s="8"/>
      <c r="AB194" s="8"/>
      <c r="AC194" s="771"/>
      <c r="AD194" s="771"/>
      <c r="AE194" s="771"/>
      <c r="AF194" s="771"/>
      <c r="AG194" s="771"/>
      <c r="AH194" s="771"/>
      <c r="AI194" s="771"/>
      <c r="AJ194" s="771"/>
      <c r="AK194" s="771"/>
      <c r="AL194" s="771"/>
      <c r="AM194" s="771"/>
      <c r="AN194" s="771"/>
      <c r="AO194" s="771"/>
      <c r="AP194" s="771"/>
      <c r="AQ194" s="771"/>
      <c r="AR194" s="771"/>
      <c r="AS194" s="771"/>
      <c r="AT194" s="771"/>
      <c r="AU194" s="771"/>
      <c r="AV194" s="771"/>
      <c r="AW194" s="771"/>
      <c r="AX194" s="771"/>
      <c r="AY194" s="771"/>
      <c r="AZ194" s="771"/>
      <c r="BA194" s="771"/>
      <c r="BB194" s="771"/>
      <c r="BC194" s="771"/>
      <c r="BD194" s="771"/>
      <c r="BE194" s="771"/>
      <c r="BF194" s="771"/>
      <c r="BG194" s="771"/>
      <c r="BH194" s="771"/>
      <c r="BI194" s="771"/>
      <c r="BJ194" s="771"/>
      <c r="BK194" s="771"/>
      <c r="BL194" s="771"/>
      <c r="BM194" s="771"/>
      <c r="BN194" s="771"/>
      <c r="BO194" s="771"/>
      <c r="BP194" s="771"/>
      <c r="BQ194" s="771"/>
      <c r="BR194" s="771"/>
      <c r="BS194" s="771"/>
      <c r="BT194" s="771"/>
      <c r="BU194" s="771"/>
      <c r="BV194" s="771"/>
      <c r="BW194" s="771"/>
      <c r="BX194" s="771"/>
      <c r="BY194" s="771"/>
      <c r="BZ194" s="771"/>
      <c r="CA194" s="771"/>
      <c r="CB194" s="771"/>
      <c r="CC194" s="771"/>
      <c r="CD194" s="771"/>
      <c r="CE194" s="771"/>
      <c r="CF194" s="771"/>
      <c r="CG194" s="771"/>
      <c r="CH194" s="771"/>
      <c r="CI194" s="771"/>
      <c r="CJ194" s="771"/>
      <c r="CK194" s="771"/>
      <c r="CL194" s="771"/>
      <c r="CM194" s="771"/>
      <c r="CN194" s="771"/>
      <c r="CO194" s="771"/>
      <c r="CP194" s="771"/>
      <c r="CQ194" s="771"/>
      <c r="CR194" s="771"/>
      <c r="CS194" s="771"/>
      <c r="CT194" s="771"/>
      <c r="CU194" s="771"/>
      <c r="CV194" s="771"/>
      <c r="CW194" s="771"/>
      <c r="CX194" s="771"/>
      <c r="CY194" s="771"/>
      <c r="CZ194" s="771"/>
      <c r="DA194" s="771"/>
      <c r="DB194" s="771"/>
      <c r="DC194" s="771"/>
      <c r="DD194" s="771"/>
      <c r="DE194" s="771"/>
      <c r="DF194" s="771"/>
      <c r="DG194" s="771"/>
      <c r="DH194" s="771"/>
      <c r="DI194" s="771"/>
      <c r="DJ194" s="771"/>
      <c r="DK194" s="771"/>
      <c r="DL194" s="771"/>
      <c r="DM194" s="771"/>
      <c r="DN194" s="771"/>
      <c r="DO194" s="771"/>
      <c r="DP194" s="771"/>
      <c r="DQ194" s="771"/>
      <c r="DR194" s="771"/>
      <c r="DS194" s="771"/>
    </row>
    <row r="195" spans="1:123" s="1388" customFormat="1" ht="12.75" customHeight="1" x14ac:dyDescent="0.2">
      <c r="A195" s="843"/>
      <c r="B195" s="2073"/>
      <c r="C195" s="1566" t="str">
        <f>C174</f>
        <v>9090985/</v>
      </c>
      <c r="D195" s="1567" t="str">
        <f>IF(C195="","",VLOOKUP(C195,всецены,2,FALSE))</f>
        <v xml:space="preserve">LBX-F, Боковина 176,8/500 мм, бел, пр   </v>
      </c>
      <c r="E195" s="1571">
        <f>IF(C195="",0,1)</f>
        <v>1</v>
      </c>
      <c r="F195" s="1572">
        <f>IF(C195="",0,VLOOKUP(C195,всецены,4,FALSE))</f>
        <v>815.6520372</v>
      </c>
      <c r="G195" s="1569">
        <f t="shared" si="65"/>
        <v>815.6520372</v>
      </c>
      <c r="H195" s="1570">
        <f t="shared" si="66"/>
        <v>815.6520372</v>
      </c>
      <c r="I195" s="2386"/>
      <c r="J195" s="771"/>
      <c r="K195" s="771"/>
      <c r="L195" s="771"/>
      <c r="M195" s="771"/>
      <c r="N195" s="771"/>
      <c r="O195" s="771"/>
      <c r="P195" s="771"/>
      <c r="Q195" s="771"/>
      <c r="R195" s="771"/>
      <c r="S195" s="771"/>
      <c r="T195" s="771"/>
      <c r="U195" s="771"/>
      <c r="V195" s="771"/>
      <c r="W195" s="771"/>
      <c r="X195" s="771"/>
      <c r="Y195" s="771"/>
      <c r="Z195" s="771"/>
      <c r="AA195" s="771"/>
      <c r="AB195" s="771"/>
      <c r="AC195" s="771"/>
      <c r="AD195" s="771"/>
      <c r="AE195" s="771"/>
      <c r="AF195" s="771"/>
      <c r="AG195" s="771"/>
      <c r="AH195" s="771"/>
      <c r="AI195" s="771"/>
      <c r="AJ195" s="771"/>
      <c r="AK195" s="771"/>
      <c r="AL195" s="771"/>
      <c r="AM195" s="771"/>
      <c r="AN195" s="771"/>
      <c r="AO195" s="771"/>
      <c r="AP195" s="771"/>
      <c r="AQ195" s="771"/>
      <c r="AR195" s="771"/>
      <c r="AS195" s="771"/>
      <c r="AT195" s="771"/>
      <c r="AU195" s="771"/>
      <c r="AV195" s="771"/>
      <c r="AW195" s="771"/>
      <c r="AX195" s="771"/>
      <c r="AY195" s="771"/>
      <c r="AZ195" s="771"/>
      <c r="BA195" s="771"/>
      <c r="BB195" s="771"/>
      <c r="BC195" s="771"/>
      <c r="BD195" s="771"/>
      <c r="BE195" s="771"/>
      <c r="BF195" s="771"/>
      <c r="BG195" s="771"/>
      <c r="BH195" s="771"/>
      <c r="BI195" s="771"/>
      <c r="BJ195" s="771"/>
      <c r="BK195" s="771"/>
      <c r="BL195" s="771"/>
      <c r="BM195" s="771"/>
      <c r="BN195" s="771"/>
      <c r="BO195" s="771"/>
      <c r="BP195" s="771"/>
      <c r="BQ195" s="771"/>
      <c r="BR195" s="771"/>
      <c r="BS195" s="771"/>
      <c r="BT195" s="771"/>
      <c r="BU195" s="771"/>
      <c r="BV195" s="771"/>
      <c r="BW195" s="771"/>
      <c r="BX195" s="771"/>
      <c r="BY195" s="771"/>
      <c r="BZ195" s="771"/>
      <c r="CA195" s="771"/>
      <c r="CB195" s="771"/>
      <c r="CC195" s="771"/>
      <c r="CD195" s="771"/>
      <c r="CE195" s="771"/>
      <c r="CF195" s="771"/>
      <c r="CG195" s="771"/>
      <c r="CH195" s="771"/>
      <c r="CI195" s="771"/>
      <c r="CJ195" s="771"/>
      <c r="CK195" s="771"/>
      <c r="CL195" s="771"/>
      <c r="CM195" s="771"/>
      <c r="CN195" s="771"/>
      <c r="CO195" s="771"/>
      <c r="CP195" s="771"/>
      <c r="CQ195" s="771"/>
      <c r="CR195" s="771"/>
      <c r="CS195" s="771"/>
      <c r="CT195" s="771"/>
      <c r="CU195" s="771"/>
      <c r="CV195" s="771"/>
      <c r="CW195" s="771"/>
      <c r="CX195" s="771"/>
      <c r="CY195" s="771"/>
      <c r="CZ195" s="771"/>
      <c r="DA195" s="771"/>
      <c r="DB195" s="771"/>
      <c r="DC195" s="771"/>
      <c r="DD195" s="771"/>
      <c r="DE195" s="771"/>
      <c r="DF195" s="771"/>
      <c r="DG195" s="771"/>
      <c r="DH195" s="771"/>
      <c r="DI195" s="771"/>
      <c r="DJ195" s="771"/>
      <c r="DK195" s="771"/>
      <c r="DL195" s="771"/>
      <c r="DM195" s="771"/>
      <c r="DN195" s="771"/>
      <c r="DO195" s="771"/>
      <c r="DP195" s="771"/>
      <c r="DQ195" s="771"/>
      <c r="DR195" s="771"/>
      <c r="DS195" s="771"/>
    </row>
    <row r="196" spans="1:123" s="1386" customFormat="1" ht="12.75" customHeight="1" x14ac:dyDescent="0.2">
      <c r="A196" s="843"/>
      <c r="B196" s="2073"/>
      <c r="C196" s="1566" t="str">
        <f>VLOOKUP($D$3,LBX.C_Free,16,FALSE)</f>
        <v>7608015/</v>
      </c>
      <c r="D196" s="1567" t="str">
        <f>VLOOKUP(C196,всецены,2,FALSE)</f>
        <v>LBX-F, Задний держ стекл вст C бел, лев.</v>
      </c>
      <c r="E196" s="1568">
        <v>1</v>
      </c>
      <c r="F196" s="1569">
        <f t="shared" si="64"/>
        <v>89.453364000000008</v>
      </c>
      <c r="G196" s="1569">
        <f t="shared" si="65"/>
        <v>89.453364000000008</v>
      </c>
      <c r="H196" s="1570">
        <f t="shared" si="66"/>
        <v>89.453364000000008</v>
      </c>
      <c r="I196" s="2386"/>
      <c r="J196" s="771"/>
      <c r="K196" s="771"/>
      <c r="L196" s="771"/>
      <c r="M196" s="771"/>
      <c r="N196" s="771"/>
      <c r="O196" s="771"/>
      <c r="P196" s="771"/>
      <c r="Q196" s="771"/>
      <c r="R196" s="771"/>
      <c r="S196" s="771"/>
      <c r="T196" s="771"/>
      <c r="U196" s="771"/>
      <c r="V196" s="771"/>
      <c r="W196" s="771"/>
      <c r="X196" s="771"/>
      <c r="Y196" s="771"/>
      <c r="Z196" s="771"/>
      <c r="AA196" s="8"/>
      <c r="AB196" s="771"/>
      <c r="AC196" s="771"/>
      <c r="AD196" s="771"/>
      <c r="AE196" s="771"/>
      <c r="AF196" s="771"/>
      <c r="AG196" s="771"/>
      <c r="AH196" s="771"/>
      <c r="AI196" s="771"/>
      <c r="AJ196" s="771"/>
      <c r="AK196" s="771"/>
      <c r="AL196" s="771"/>
      <c r="AM196" s="771"/>
      <c r="AN196" s="771"/>
      <c r="AO196" s="771"/>
      <c r="AP196" s="771"/>
      <c r="AQ196" s="771"/>
      <c r="AR196" s="771"/>
      <c r="AS196" s="771"/>
      <c r="AT196" s="771"/>
      <c r="AU196" s="771"/>
      <c r="AV196" s="771"/>
      <c r="AW196" s="771"/>
      <c r="AX196" s="771"/>
      <c r="AY196" s="771"/>
      <c r="AZ196" s="771"/>
      <c r="BA196" s="771"/>
      <c r="BB196" s="771"/>
      <c r="BC196" s="771"/>
      <c r="BD196" s="771"/>
      <c r="BE196" s="771"/>
      <c r="BF196" s="771"/>
      <c r="BG196" s="771"/>
      <c r="BH196" s="771"/>
      <c r="BI196" s="771"/>
      <c r="BJ196" s="771"/>
      <c r="BK196" s="771"/>
      <c r="BL196" s="771"/>
      <c r="BM196" s="771"/>
      <c r="BN196" s="771"/>
      <c r="BO196" s="771"/>
      <c r="BP196" s="771"/>
      <c r="BQ196" s="771"/>
      <c r="BR196" s="771"/>
      <c r="BS196" s="771"/>
      <c r="BT196" s="771"/>
      <c r="BU196" s="771"/>
      <c r="BV196" s="771"/>
      <c r="BW196" s="771"/>
      <c r="BX196" s="771"/>
      <c r="BY196" s="771"/>
      <c r="BZ196" s="771"/>
      <c r="CA196" s="771"/>
      <c r="CB196" s="771"/>
      <c r="CC196" s="771"/>
      <c r="CD196" s="771"/>
      <c r="CE196" s="771"/>
      <c r="CF196" s="771"/>
      <c r="CG196" s="771"/>
      <c r="CH196" s="771"/>
      <c r="CI196" s="771"/>
      <c r="CJ196" s="771"/>
      <c r="CK196" s="771"/>
      <c r="CL196" s="771"/>
      <c r="CM196" s="771"/>
      <c r="CN196" s="771"/>
      <c r="CO196" s="771"/>
      <c r="CP196" s="771"/>
      <c r="CQ196" s="771"/>
      <c r="CR196" s="771"/>
      <c r="CS196" s="771"/>
      <c r="CT196" s="771"/>
      <c r="CU196" s="771"/>
      <c r="CV196" s="771"/>
      <c r="CW196" s="771"/>
      <c r="CX196" s="771"/>
      <c r="CY196" s="771"/>
      <c r="CZ196" s="771"/>
      <c r="DA196" s="771"/>
      <c r="DB196" s="771"/>
      <c r="DC196" s="771"/>
      <c r="DD196" s="771"/>
      <c r="DE196" s="771"/>
      <c r="DF196" s="771"/>
      <c r="DG196" s="771"/>
      <c r="DH196" s="771"/>
      <c r="DI196" s="771"/>
      <c r="DJ196" s="771"/>
      <c r="DK196" s="771"/>
      <c r="DL196" s="771"/>
      <c r="DM196" s="771"/>
      <c r="DN196" s="771"/>
      <c r="DO196" s="771"/>
      <c r="DP196" s="771"/>
      <c r="DQ196" s="771"/>
      <c r="DR196" s="771"/>
      <c r="DS196" s="771"/>
    </row>
    <row r="197" spans="1:123" s="1386" customFormat="1" ht="12.75" customHeight="1" x14ac:dyDescent="0.2">
      <c r="A197" s="843"/>
      <c r="B197" s="2073"/>
      <c r="C197" s="1566" t="str">
        <f>VLOOKUP($D$3,LBX.C_Free,17,FALSE)</f>
        <v>4242211/</v>
      </c>
      <c r="D197" s="1567" t="str">
        <f>VLOOKUP(C197,всецены,2,FALSE)</f>
        <v xml:space="preserve">LBX-F, Задний держ стекл вст C бел, пр. </v>
      </c>
      <c r="E197" s="1568">
        <v>1</v>
      </c>
      <c r="F197" s="1569">
        <f t="shared" si="64"/>
        <v>89.453364000000008</v>
      </c>
      <c r="G197" s="1569">
        <f t="shared" si="65"/>
        <v>89.453364000000008</v>
      </c>
      <c r="H197" s="1570">
        <f t="shared" si="66"/>
        <v>89.453364000000008</v>
      </c>
      <c r="I197" s="2386"/>
      <c r="J197" s="771"/>
      <c r="K197" s="771"/>
      <c r="L197" s="771"/>
      <c r="M197" s="771"/>
      <c r="N197" s="771"/>
      <c r="O197" s="771"/>
      <c r="P197" s="771"/>
      <c r="Q197" s="771"/>
      <c r="R197" s="771"/>
      <c r="S197" s="771"/>
      <c r="T197" s="771"/>
      <c r="U197" s="771"/>
      <c r="V197" s="771"/>
      <c r="W197" s="771"/>
      <c r="X197" s="771"/>
      <c r="Y197" s="771"/>
      <c r="Z197" s="771"/>
      <c r="AA197" s="8"/>
      <c r="AB197" s="771"/>
      <c r="AC197" s="771"/>
      <c r="AD197" s="771"/>
      <c r="AE197" s="771"/>
      <c r="AF197" s="771"/>
      <c r="AG197" s="771"/>
      <c r="AH197" s="771"/>
      <c r="AI197" s="771"/>
      <c r="AJ197" s="771"/>
      <c r="AK197" s="771"/>
      <c r="AL197" s="771"/>
      <c r="AM197" s="771"/>
      <c r="AN197" s="771"/>
      <c r="AO197" s="771"/>
      <c r="AP197" s="771"/>
      <c r="AQ197" s="771"/>
      <c r="AR197" s="771"/>
      <c r="AS197" s="771"/>
      <c r="AT197" s="771"/>
      <c r="AU197" s="771"/>
      <c r="AV197" s="771"/>
      <c r="AW197" s="771"/>
      <c r="AX197" s="771"/>
      <c r="AY197" s="771"/>
      <c r="AZ197" s="771"/>
      <c r="BA197" s="771"/>
      <c r="BB197" s="771"/>
      <c r="BC197" s="771"/>
      <c r="BD197" s="771"/>
      <c r="BE197" s="771"/>
      <c r="BF197" s="771"/>
      <c r="BG197" s="771"/>
      <c r="BH197" s="771"/>
      <c r="BI197" s="771"/>
      <c r="BJ197" s="771"/>
      <c r="BK197" s="771"/>
      <c r="BL197" s="771"/>
      <c r="BM197" s="771"/>
      <c r="BN197" s="771"/>
      <c r="BO197" s="771"/>
      <c r="BP197" s="771"/>
      <c r="BQ197" s="771"/>
      <c r="BR197" s="771"/>
      <c r="BS197" s="771"/>
      <c r="BT197" s="771"/>
      <c r="BU197" s="771"/>
      <c r="BV197" s="771"/>
      <c r="BW197" s="771"/>
      <c r="BX197" s="771"/>
      <c r="BY197" s="771"/>
      <c r="BZ197" s="771"/>
      <c r="CA197" s="771"/>
      <c r="CB197" s="771"/>
      <c r="CC197" s="771"/>
      <c r="CD197" s="771"/>
      <c r="CE197" s="771"/>
      <c r="CF197" s="771"/>
      <c r="CG197" s="771"/>
      <c r="CH197" s="771"/>
      <c r="CI197" s="771"/>
      <c r="CJ197" s="771"/>
      <c r="CK197" s="771"/>
      <c r="CL197" s="771"/>
      <c r="CM197" s="771"/>
      <c r="CN197" s="771"/>
      <c r="CO197" s="771"/>
      <c r="CP197" s="771"/>
      <c r="CQ197" s="771"/>
      <c r="CR197" s="771"/>
      <c r="CS197" s="771"/>
      <c r="CT197" s="771"/>
      <c r="CU197" s="771"/>
      <c r="CV197" s="771"/>
      <c r="CW197" s="771"/>
      <c r="CX197" s="771"/>
      <c r="CY197" s="771"/>
      <c r="CZ197" s="771"/>
      <c r="DA197" s="771"/>
      <c r="DB197" s="771"/>
      <c r="DC197" s="771"/>
      <c r="DD197" s="771"/>
      <c r="DE197" s="771"/>
      <c r="DF197" s="771"/>
      <c r="DG197" s="771"/>
      <c r="DH197" s="771"/>
      <c r="DI197" s="771"/>
      <c r="DJ197" s="771"/>
      <c r="DK197" s="771"/>
      <c r="DL197" s="771"/>
      <c r="DM197" s="771"/>
      <c r="DN197" s="771"/>
      <c r="DO197" s="771"/>
      <c r="DP197" s="771"/>
      <c r="DQ197" s="771"/>
      <c r="DR197" s="771"/>
      <c r="DS197" s="771"/>
    </row>
    <row r="198" spans="1:123" s="1386" customFormat="1" ht="12.75" customHeight="1" thickBot="1" x14ac:dyDescent="0.25">
      <c r="A198" s="314"/>
      <c r="B198" s="2074"/>
      <c r="C198" s="1536" t="str">
        <f>VLOOKUP($D$3,LBX.C_Free,18,FALSE)</f>
        <v>1418426/</v>
      </c>
      <c r="D198" s="1537" t="str">
        <f t="shared" si="63"/>
        <v>LBX-F, Передн держ стекл вст С бел симм.</v>
      </c>
      <c r="E198" s="1538">
        <v>2</v>
      </c>
      <c r="F198" s="1574">
        <f t="shared" si="64"/>
        <v>81.321240000000003</v>
      </c>
      <c r="G198" s="1574">
        <f t="shared" si="65"/>
        <v>81.321240000000003</v>
      </c>
      <c r="H198" s="1575">
        <f t="shared" si="66"/>
        <v>162.64248000000001</v>
      </c>
      <c r="I198" s="2387"/>
      <c r="J198" s="771"/>
      <c r="K198" s="771"/>
      <c r="L198" s="771"/>
      <c r="M198" s="771"/>
      <c r="N198" s="771"/>
      <c r="O198" s="771"/>
      <c r="P198" s="771"/>
      <c r="Q198" s="771"/>
      <c r="R198" s="771"/>
      <c r="S198" s="771"/>
      <c r="T198" s="771"/>
      <c r="U198" s="771"/>
      <c r="V198" s="771"/>
      <c r="W198" s="771"/>
      <c r="X198" s="771"/>
      <c r="Y198" s="771"/>
      <c r="Z198" s="771"/>
      <c r="AA198" s="771"/>
      <c r="AB198" s="771"/>
      <c r="AC198" s="771"/>
      <c r="AD198" s="771"/>
      <c r="AE198" s="771"/>
      <c r="AF198" s="771"/>
      <c r="AG198" s="771"/>
      <c r="AH198" s="771"/>
      <c r="AI198" s="771"/>
      <c r="AJ198" s="771"/>
      <c r="AK198" s="771"/>
      <c r="AL198" s="771"/>
      <c r="AM198" s="771"/>
      <c r="AN198" s="771"/>
      <c r="AO198" s="771"/>
      <c r="AP198" s="771"/>
      <c r="AQ198" s="771"/>
      <c r="AR198" s="771"/>
      <c r="AS198" s="771"/>
      <c r="AT198" s="771"/>
      <c r="AU198" s="771"/>
      <c r="AV198" s="771"/>
      <c r="AW198" s="771"/>
      <c r="AX198" s="771"/>
      <c r="AY198" s="771"/>
      <c r="AZ198" s="771"/>
      <c r="BA198" s="771"/>
      <c r="BB198" s="771"/>
      <c r="BC198" s="771"/>
      <c r="BD198" s="771"/>
      <c r="BE198" s="771"/>
      <c r="BF198" s="771"/>
      <c r="BG198" s="771"/>
      <c r="BH198" s="771"/>
      <c r="BI198" s="771"/>
      <c r="BJ198" s="771"/>
      <c r="BK198" s="771"/>
      <c r="BL198" s="771"/>
      <c r="BM198" s="771"/>
      <c r="BN198" s="771"/>
      <c r="BO198" s="771"/>
      <c r="BP198" s="771"/>
      <c r="BQ198" s="771"/>
      <c r="BR198" s="771"/>
      <c r="BS198" s="771"/>
      <c r="BT198" s="771"/>
      <c r="BU198" s="771"/>
      <c r="BV198" s="771"/>
      <c r="BW198" s="771"/>
      <c r="BX198" s="771"/>
      <c r="BY198" s="771"/>
      <c r="BZ198" s="771"/>
      <c r="CA198" s="771"/>
      <c r="CB198" s="771"/>
      <c r="CC198" s="771"/>
      <c r="CD198" s="771"/>
      <c r="CE198" s="771"/>
      <c r="CF198" s="771"/>
      <c r="CG198" s="771"/>
      <c r="CH198" s="771"/>
      <c r="CI198" s="771"/>
      <c r="CJ198" s="771"/>
      <c r="CK198" s="771"/>
      <c r="CL198" s="771"/>
      <c r="CM198" s="771"/>
      <c r="CN198" s="771"/>
      <c r="CO198" s="771"/>
      <c r="CP198" s="771"/>
      <c r="CQ198" s="771"/>
      <c r="CR198" s="771"/>
      <c r="CS198" s="771"/>
      <c r="CT198" s="771"/>
      <c r="CU198" s="771"/>
      <c r="CV198" s="771"/>
      <c r="CW198" s="771"/>
      <c r="CX198" s="771"/>
      <c r="CY198" s="771"/>
      <c r="CZ198" s="771"/>
      <c r="DA198" s="771"/>
      <c r="DB198" s="771"/>
      <c r="DC198" s="771"/>
      <c r="DD198" s="771"/>
      <c r="DE198" s="771"/>
      <c r="DF198" s="771"/>
      <c r="DG198" s="771"/>
      <c r="DH198" s="771"/>
      <c r="DI198" s="771"/>
      <c r="DJ198" s="771"/>
      <c r="DK198" s="771"/>
      <c r="DL198" s="771"/>
      <c r="DM198" s="771"/>
      <c r="DN198" s="771"/>
      <c r="DO198" s="771"/>
      <c r="DP198" s="771"/>
      <c r="DQ198" s="771"/>
      <c r="DR198" s="771"/>
      <c r="DS198" s="771"/>
    </row>
    <row r="199" spans="1:123" ht="15.75" customHeight="1" thickBot="1" x14ac:dyDescent="0.25">
      <c r="A199" s="843"/>
      <c r="B199" s="871"/>
      <c r="C199" s="862"/>
      <c r="D199" s="863"/>
      <c r="E199" s="864"/>
      <c r="F199" s="1449"/>
      <c r="G199" s="1449"/>
      <c r="H199" s="866"/>
      <c r="I199" s="877"/>
      <c r="L199" s="771"/>
      <c r="M199" s="771"/>
      <c r="N199" s="771"/>
      <c r="O199" s="771"/>
      <c r="P199" s="771"/>
      <c r="Q199" s="771"/>
      <c r="R199" s="771"/>
      <c r="S199" s="771"/>
      <c r="T199" s="771"/>
      <c r="U199" s="771"/>
      <c r="V199" s="771"/>
      <c r="W199" s="771"/>
      <c r="X199" s="771"/>
      <c r="Y199" s="771"/>
      <c r="Z199" s="771"/>
      <c r="AA199" s="771"/>
      <c r="AB199" s="771"/>
      <c r="AC199" s="771"/>
      <c r="AD199" s="771"/>
      <c r="AE199" s="771"/>
      <c r="AF199" s="771"/>
    </row>
    <row r="200" spans="1:123" ht="15" customHeight="1" x14ac:dyDescent="0.2">
      <c r="A200" s="843"/>
      <c r="B200" s="851">
        <v>500</v>
      </c>
      <c r="C200" s="719"/>
      <c r="D200" s="2144" t="s">
        <v>3605</v>
      </c>
      <c r="E200" s="2144"/>
      <c r="F200" s="2144"/>
      <c r="G200" s="2144"/>
      <c r="H200" s="2144"/>
      <c r="I200" s="2145"/>
      <c r="K200" s="840"/>
      <c r="L200" s="771"/>
      <c r="M200" s="771"/>
      <c r="N200" s="771"/>
      <c r="O200" s="771"/>
      <c r="P200" s="771"/>
      <c r="Q200" s="771"/>
      <c r="R200" s="771"/>
      <c r="S200" s="771"/>
      <c r="T200" s="771"/>
      <c r="U200" s="771"/>
      <c r="V200" s="771"/>
      <c r="W200" s="771"/>
      <c r="X200" s="771"/>
      <c r="Y200" s="771"/>
      <c r="Z200" s="771"/>
      <c r="AA200" s="771"/>
      <c r="AB200" s="771"/>
      <c r="AC200" s="771"/>
      <c r="AD200" s="771"/>
      <c r="AE200" s="771"/>
      <c r="AF200" s="771"/>
    </row>
    <row r="201" spans="1:123" ht="15" customHeight="1" x14ac:dyDescent="0.2">
      <c r="A201" s="843"/>
      <c r="B201" s="844"/>
      <c r="C201" s="1039"/>
      <c r="D201" s="867"/>
      <c r="E201" s="869"/>
      <c r="F201" s="1450"/>
      <c r="G201" s="1450"/>
      <c r="H201" s="870"/>
      <c r="I201" s="1544" t="str">
        <f>IF(СОДЕРЖАНИЕ!P2=1,"EUR","RUB")</f>
        <v>RUB</v>
      </c>
      <c r="K201" s="840"/>
      <c r="L201" s="771"/>
      <c r="M201" s="771"/>
      <c r="N201" s="771"/>
      <c r="O201" s="771"/>
      <c r="P201" s="771"/>
      <c r="Q201" s="771"/>
      <c r="R201" s="771"/>
      <c r="S201" s="771"/>
      <c r="T201" s="771"/>
      <c r="U201" s="771"/>
      <c r="V201" s="771"/>
      <c r="W201" s="771"/>
      <c r="X201" s="771"/>
      <c r="Y201" s="771"/>
      <c r="Z201" s="771"/>
      <c r="AA201" s="771"/>
      <c r="AB201" s="771"/>
      <c r="AC201" s="771"/>
      <c r="AD201" s="771"/>
      <c r="AE201" s="771"/>
      <c r="AF201" s="771"/>
      <c r="BE201" s="1067"/>
      <c r="BF201" s="1067"/>
      <c r="BG201" s="1067"/>
      <c r="BH201" s="1067"/>
      <c r="BI201" s="1067"/>
      <c r="BJ201" s="1067"/>
      <c r="BK201" s="1067"/>
      <c r="BL201" s="1067"/>
      <c r="BM201" s="1067"/>
      <c r="BN201" s="1067"/>
      <c r="BO201" s="1067"/>
      <c r="BP201" s="1067"/>
      <c r="BQ201" s="1067"/>
      <c r="BR201" s="1067"/>
      <c r="BS201" s="1067"/>
      <c r="BT201" s="1067"/>
      <c r="BU201" s="1067"/>
      <c r="BV201" s="1386"/>
      <c r="BW201" s="1511"/>
      <c r="BX201" s="1386"/>
      <c r="BY201" s="1386"/>
      <c r="BZ201" s="1386"/>
      <c r="CA201" s="1386"/>
      <c r="CB201" s="1386"/>
      <c r="CC201" s="1386"/>
      <c r="CD201" s="1067"/>
    </row>
    <row r="202" spans="1:123" ht="12.75" customHeight="1" x14ac:dyDescent="0.2">
      <c r="A202" s="2384"/>
      <c r="B202" s="2419"/>
      <c r="C202" s="1576" t="s">
        <v>2991</v>
      </c>
      <c r="D202" s="1567" t="str">
        <f t="shared" ref="D202:D218" si="67">VLOOKUP(C202,всецены,2,FALSE)</f>
        <v xml:space="preserve">LBX, Держ п/п п/вст, лев, ZI7.2C01.01   </v>
      </c>
      <c r="E202" s="1568">
        <v>1</v>
      </c>
      <c r="F202" s="1569">
        <f t="shared" ref="F202:F218" si="68">VLOOKUP(C202,всецены,4,FALSE)</f>
        <v>363.50594280000001</v>
      </c>
      <c r="G202" s="1569">
        <f t="shared" ref="G202:G218" si="69">IF($D$4="Индивидуальная",0,F202)</f>
        <v>363.50594280000001</v>
      </c>
      <c r="H202" s="1570">
        <f>G202*E202</f>
        <v>363.50594280000001</v>
      </c>
      <c r="I202" s="2418">
        <f>SUM(H202:H218)</f>
        <v>5695.7396496000001</v>
      </c>
      <c r="K202" s="840"/>
      <c r="L202" s="771"/>
      <c r="M202" s="771"/>
      <c r="N202" s="771"/>
      <c r="O202" s="771"/>
      <c r="P202" s="771"/>
      <c r="Q202" s="771"/>
      <c r="R202" s="771"/>
      <c r="S202" s="771"/>
      <c r="T202" s="771"/>
      <c r="U202" s="771"/>
      <c r="V202" s="771"/>
      <c r="W202" s="771"/>
      <c r="X202" s="771"/>
      <c r="Y202" s="771"/>
      <c r="Z202" s="771"/>
      <c r="AA202" s="771"/>
      <c r="AB202" s="771"/>
      <c r="AC202" s="771"/>
      <c r="AD202" s="771"/>
      <c r="AE202" s="771"/>
      <c r="AF202" s="771"/>
      <c r="BE202" s="1067"/>
      <c r="BF202" s="1067"/>
      <c r="BG202" s="1067"/>
      <c r="BH202" s="1067"/>
      <c r="BI202" s="1067"/>
      <c r="BJ202" s="1067"/>
      <c r="BK202" s="1067"/>
      <c r="BL202" s="1067"/>
      <c r="BM202" s="1067"/>
      <c r="BN202" s="1067"/>
      <c r="BO202" s="1067"/>
      <c r="BP202" s="1067"/>
      <c r="BQ202" s="1067"/>
      <c r="BR202" s="1067"/>
      <c r="BS202" s="1067"/>
      <c r="BT202" s="1067"/>
      <c r="BU202" s="1067"/>
      <c r="BV202" s="1386"/>
      <c r="BW202" s="1511"/>
      <c r="BX202" s="1386"/>
      <c r="BY202" s="1386"/>
      <c r="BZ202" s="1386"/>
      <c r="CA202" s="1386"/>
      <c r="CB202" s="1386"/>
      <c r="CC202" s="1386"/>
      <c r="CD202" s="1067"/>
    </row>
    <row r="203" spans="1:123" ht="12.75" customHeight="1" x14ac:dyDescent="0.2">
      <c r="A203" s="2384"/>
      <c r="B203" s="2073"/>
      <c r="C203" s="1576" t="s">
        <v>2986</v>
      </c>
      <c r="D203" s="1567" t="str">
        <f t="shared" si="67"/>
        <v xml:space="preserve">LBX, Держ п/п п/вст, прав, ZI7.2C01.01  </v>
      </c>
      <c r="E203" s="1568">
        <v>1</v>
      </c>
      <c r="F203" s="1569">
        <f t="shared" si="68"/>
        <v>363.50594280000001</v>
      </c>
      <c r="G203" s="1569">
        <f t="shared" si="69"/>
        <v>363.50594280000001</v>
      </c>
      <c r="H203" s="1570">
        <f t="shared" ref="H203:H218" si="70">G203*E203</f>
        <v>363.50594280000001</v>
      </c>
      <c r="I203" s="2386"/>
      <c r="K203" s="840"/>
      <c r="L203" s="840"/>
      <c r="M203" s="840"/>
      <c r="Q203" s="840"/>
      <c r="R203" s="840"/>
      <c r="S203" s="840"/>
      <c r="T203" s="840"/>
      <c r="U203" s="840"/>
      <c r="V203" s="840"/>
      <c r="W203" s="840"/>
      <c r="X203" s="840"/>
      <c r="Y203" s="840"/>
      <c r="Z203" s="840"/>
      <c r="AA203" s="840"/>
      <c r="AB203" s="840"/>
      <c r="AC203" s="840"/>
      <c r="AD203" s="840"/>
      <c r="AE203" s="840"/>
      <c r="AF203" s="840"/>
      <c r="AG203" s="840"/>
      <c r="AH203" s="840"/>
      <c r="AI203" s="840"/>
      <c r="AJ203" s="840"/>
      <c r="AK203" s="840"/>
      <c r="AL203" s="840"/>
      <c r="AM203" s="840"/>
      <c r="AN203" s="840"/>
      <c r="AO203" s="840"/>
      <c r="AP203" s="840"/>
      <c r="AQ203" s="840"/>
      <c r="AR203" s="840"/>
      <c r="AS203" s="840"/>
      <c r="AT203" s="840"/>
      <c r="AU203" s="840"/>
      <c r="AV203" s="1067"/>
      <c r="AW203" s="1067"/>
      <c r="AX203" s="1067"/>
      <c r="AY203" s="1067"/>
      <c r="AZ203" s="1067"/>
      <c r="BA203" s="1067"/>
      <c r="BB203" s="1067"/>
      <c r="BC203" s="1067"/>
      <c r="BD203" s="1067"/>
      <c r="BE203" s="1067"/>
      <c r="BF203" s="1067"/>
      <c r="BG203" s="1067"/>
      <c r="BH203" s="1067"/>
      <c r="BI203" s="1067"/>
      <c r="BJ203" s="1067"/>
      <c r="BK203" s="1067"/>
      <c r="BL203" s="1067"/>
      <c r="BM203" s="1067"/>
      <c r="BN203" s="1067"/>
      <c r="BO203" s="1067"/>
      <c r="BP203" s="1067"/>
      <c r="BQ203" s="1067"/>
      <c r="BR203" s="1067"/>
      <c r="BS203" s="1067"/>
      <c r="BT203" s="1067"/>
      <c r="BU203" s="1067"/>
      <c r="BV203" s="1386"/>
      <c r="BW203" s="1511"/>
      <c r="BX203" s="1386"/>
      <c r="BY203" s="1386"/>
      <c r="BZ203" s="1386"/>
      <c r="CA203" s="1386"/>
      <c r="CB203" s="1386"/>
      <c r="CC203" s="1386"/>
      <c r="CD203" s="1067"/>
    </row>
    <row r="204" spans="1:123" ht="12.75" customHeight="1" x14ac:dyDescent="0.2">
      <c r="A204" s="2384"/>
      <c r="B204" s="2073"/>
      <c r="C204" s="1576" t="str">
        <f>VLOOKUP($D$3,LBX.C_Free,19,FALSE)</f>
        <v>7215159/</v>
      </c>
      <c r="D204" s="1567" t="str">
        <f t="shared" si="67"/>
        <v xml:space="preserve">LBX, Загл вн держ п/п  бел лев ZI7.2C08 </v>
      </c>
      <c r="E204" s="1568">
        <v>1</v>
      </c>
      <c r="F204" s="1569">
        <f t="shared" si="68"/>
        <v>41.473832399999999</v>
      </c>
      <c r="G204" s="1569">
        <f t="shared" si="69"/>
        <v>41.473832399999999</v>
      </c>
      <c r="H204" s="1570">
        <f t="shared" si="70"/>
        <v>41.473832399999999</v>
      </c>
      <c r="I204" s="2386"/>
      <c r="K204" s="840"/>
      <c r="L204" s="840"/>
      <c r="M204" s="840"/>
      <c r="S204" s="2180" t="s">
        <v>4441</v>
      </c>
      <c r="T204" s="2180"/>
      <c r="U204" s="2180"/>
      <c r="V204" s="840"/>
      <c r="X204" s="840"/>
      <c r="Y204" s="840"/>
      <c r="Z204" s="840"/>
      <c r="AA204" s="840"/>
      <c r="AB204" s="840"/>
      <c r="AC204" s="840"/>
      <c r="AD204" s="840"/>
      <c r="AE204" s="840"/>
      <c r="AF204" s="840"/>
      <c r="AG204" s="840"/>
      <c r="AH204" s="840"/>
      <c r="AI204" s="840"/>
      <c r="AJ204" s="840"/>
      <c r="AK204" s="840"/>
      <c r="AL204" s="840"/>
      <c r="AM204" s="840"/>
      <c r="AN204" s="840"/>
      <c r="AO204" s="840"/>
      <c r="AP204" s="840"/>
      <c r="AQ204" s="840"/>
      <c r="AR204" s="840"/>
      <c r="AS204" s="840"/>
      <c r="AT204" s="840"/>
      <c r="AU204" s="840"/>
      <c r="AV204" s="1067"/>
      <c r="AW204" s="1067"/>
      <c r="AX204" s="1067"/>
      <c r="AY204" s="1067"/>
      <c r="AZ204" s="1067"/>
      <c r="BA204" s="1067"/>
      <c r="BB204" s="1067"/>
      <c r="BC204" s="1067"/>
      <c r="BD204" s="1067"/>
      <c r="BE204" s="1067"/>
      <c r="BF204" s="1067"/>
      <c r="BG204" s="1067"/>
      <c r="BH204" s="1067"/>
      <c r="BI204" s="1067"/>
      <c r="BJ204" s="1067"/>
      <c r="BK204" s="1067"/>
      <c r="BL204" s="1067"/>
      <c r="BM204" s="1067"/>
      <c r="BN204" s="1067"/>
      <c r="BO204" s="1067"/>
      <c r="BP204" s="1067"/>
      <c r="BQ204" s="1067"/>
      <c r="BR204" s="1067"/>
      <c r="BS204" s="1067"/>
      <c r="BT204" s="1067"/>
      <c r="BU204" s="1067"/>
      <c r="BV204" s="1386"/>
      <c r="BW204" s="1511"/>
      <c r="BX204" s="1386"/>
      <c r="BY204" s="1386"/>
      <c r="BZ204" s="1386"/>
      <c r="CA204" s="1386"/>
      <c r="CB204" s="1386"/>
      <c r="CC204" s="1386"/>
      <c r="CD204" s="1067"/>
    </row>
    <row r="205" spans="1:123" ht="12.75" customHeight="1" x14ac:dyDescent="0.2">
      <c r="A205" s="2384"/>
      <c r="B205" s="2073"/>
      <c r="C205" s="1576" t="str">
        <f>VLOOKUP($D$3,LBX.C_Free,20,FALSE)</f>
        <v>4505538/</v>
      </c>
      <c r="D205" s="1567" t="str">
        <f t="shared" si="67"/>
        <v>LBX, Загл вн держ п/п  бел прав ZI7.2C08</v>
      </c>
      <c r="E205" s="1568">
        <v>1</v>
      </c>
      <c r="F205" s="1569">
        <f t="shared" si="68"/>
        <v>41.473832399999999</v>
      </c>
      <c r="G205" s="1569">
        <f t="shared" si="69"/>
        <v>41.473832399999999</v>
      </c>
      <c r="H205" s="1570">
        <f t="shared" si="70"/>
        <v>41.473832399999999</v>
      </c>
      <c r="I205" s="2386"/>
      <c r="K205" s="840"/>
      <c r="L205" s="840"/>
      <c r="M205" s="840"/>
      <c r="N205" s="884" t="s">
        <v>2396</v>
      </c>
      <c r="R205" s="8" t="s">
        <v>4425</v>
      </c>
      <c r="S205" s="8" t="s">
        <v>4395</v>
      </c>
      <c r="T205" s="8" t="s">
        <v>4396</v>
      </c>
      <c r="U205" s="37"/>
      <c r="V205" s="840"/>
      <c r="X205" s="840"/>
      <c r="Y205" s="840"/>
      <c r="Z205" s="840"/>
      <c r="AA205" s="840"/>
      <c r="AB205" s="840"/>
      <c r="AC205" s="840"/>
      <c r="AD205" s="840"/>
      <c r="AE205" s="840"/>
      <c r="AF205" s="840"/>
      <c r="AG205" s="840"/>
      <c r="AH205" s="840"/>
      <c r="AI205" s="840"/>
      <c r="AJ205" s="840"/>
      <c r="AK205" s="840"/>
      <c r="AL205" s="840"/>
      <c r="AM205" s="840"/>
      <c r="AN205" s="840"/>
      <c r="AO205" s="840"/>
      <c r="AP205" s="840"/>
      <c r="AQ205" s="840"/>
      <c r="AR205" s="840"/>
      <c r="AS205" s="840"/>
      <c r="AT205" s="840"/>
      <c r="AU205" s="840"/>
      <c r="AV205" s="1067"/>
      <c r="AW205" s="1067"/>
      <c r="AX205" s="1067"/>
      <c r="AY205" s="1067"/>
      <c r="AZ205" s="1067"/>
      <c r="BA205" s="1067"/>
      <c r="BB205" s="1067"/>
      <c r="BC205" s="1067"/>
      <c r="BD205" s="1067"/>
      <c r="BE205" s="1067"/>
      <c r="BF205" s="1067"/>
      <c r="BG205" s="1067"/>
      <c r="BH205" s="1067"/>
      <c r="BI205" s="1067"/>
      <c r="BJ205" s="1067"/>
      <c r="BK205" s="1067"/>
      <c r="BL205" s="1067"/>
      <c r="BM205" s="1067"/>
      <c r="BN205" s="1067"/>
      <c r="BO205" s="1067"/>
      <c r="BP205" s="1067"/>
      <c r="BQ205" s="1067"/>
      <c r="BR205" s="1067"/>
      <c r="BS205" s="1067"/>
      <c r="BT205" s="1067"/>
      <c r="BU205" s="1067"/>
      <c r="BV205" s="1386"/>
      <c r="BW205" s="1511"/>
      <c r="BX205" s="1386"/>
      <c r="BY205" s="1386"/>
      <c r="BZ205" s="1386"/>
      <c r="CA205" s="1386"/>
      <c r="CB205" s="1386"/>
      <c r="CC205" s="1386"/>
      <c r="CD205" s="1067"/>
    </row>
    <row r="206" spans="1:123" ht="12.75" customHeight="1" x14ac:dyDescent="0.2">
      <c r="A206" s="2384"/>
      <c r="B206" s="2073"/>
      <c r="C206" s="1576" t="str">
        <f>VLOOKUP($D$3,LBX.C,12,FALSE)</f>
        <v>5506281/</v>
      </c>
      <c r="D206" s="1567" t="str">
        <f t="shared" si="67"/>
        <v xml:space="preserve">LBX, Загл держ п/п C, бел, лев ZI7.2CS3 </v>
      </c>
      <c r="E206" s="1568">
        <v>1</v>
      </c>
      <c r="F206" s="1569">
        <f t="shared" si="68"/>
        <v>123.60828479999999</v>
      </c>
      <c r="G206" s="1569">
        <f t="shared" si="69"/>
        <v>123.60828479999999</v>
      </c>
      <c r="H206" s="1570">
        <f t="shared" si="70"/>
        <v>123.60828479999999</v>
      </c>
      <c r="I206" s="2386"/>
      <c r="K206" s="840"/>
      <c r="L206" s="840"/>
      <c r="M206" s="840"/>
      <c r="N206" s="771" t="s">
        <v>2398</v>
      </c>
      <c r="R206" s="8" t="s">
        <v>4426</v>
      </c>
      <c r="S206" s="8" t="s">
        <v>4397</v>
      </c>
      <c r="T206" s="8" t="s">
        <v>4398</v>
      </c>
      <c r="U206" s="37"/>
      <c r="V206" s="840"/>
      <c r="W206" s="840"/>
      <c r="X206" s="840"/>
      <c r="Y206" s="840"/>
      <c r="Z206" s="840"/>
      <c r="AA206" s="840"/>
      <c r="AB206" s="840"/>
      <c r="AC206" s="840"/>
      <c r="AD206" s="840"/>
      <c r="AE206" s="840"/>
      <c r="AF206" s="840"/>
      <c r="AG206" s="840"/>
      <c r="AH206" s="840"/>
      <c r="AI206" s="840"/>
      <c r="AJ206" s="840"/>
      <c r="AK206" s="840"/>
      <c r="AL206" s="840"/>
      <c r="AM206" s="840"/>
      <c r="AN206" s="840"/>
      <c r="AO206" s="840"/>
      <c r="AP206" s="840"/>
      <c r="AQ206" s="840"/>
      <c r="AR206" s="840"/>
      <c r="AS206" s="840"/>
      <c r="AT206" s="840"/>
      <c r="AU206" s="840"/>
      <c r="AV206" s="1067"/>
      <c r="AW206" s="1067"/>
      <c r="AX206" s="1067"/>
      <c r="AY206" s="1067"/>
      <c r="AZ206" s="1067"/>
      <c r="BA206" s="1067"/>
      <c r="BB206" s="1067"/>
      <c r="BC206" s="1067"/>
      <c r="BD206" s="1067"/>
      <c r="BE206" s="1067"/>
      <c r="BF206" s="1067"/>
      <c r="BG206" s="1067"/>
      <c r="BH206" s="1067"/>
      <c r="BI206" s="1067"/>
      <c r="BJ206" s="1067"/>
      <c r="BK206" s="1067"/>
      <c r="BL206" s="1067"/>
      <c r="BM206" s="1067"/>
      <c r="BN206" s="1067"/>
      <c r="BO206" s="1067"/>
      <c r="BP206" s="1067"/>
      <c r="BQ206" s="1067"/>
      <c r="BR206" s="1067"/>
      <c r="BS206" s="1067"/>
      <c r="BT206" s="1067"/>
      <c r="BU206" s="1067"/>
      <c r="BV206" s="1386"/>
      <c r="BW206" s="1511"/>
      <c r="BX206" s="1386"/>
      <c r="BY206" s="1386"/>
      <c r="BZ206" s="1386"/>
      <c r="CA206" s="1386"/>
      <c r="CB206" s="1386"/>
      <c r="CC206" s="1386"/>
      <c r="CD206" s="1067"/>
    </row>
    <row r="207" spans="1:123" ht="12.75" customHeight="1" x14ac:dyDescent="0.2">
      <c r="A207" s="2384"/>
      <c r="B207" s="2073"/>
      <c r="C207" s="1576" t="str">
        <f>VLOOKUP($D$3,LBX.C,13,FALSE)</f>
        <v>5866447/</v>
      </c>
      <c r="D207" s="1567" t="str">
        <f t="shared" si="67"/>
        <v>LBX, Загл держ п/п C, бел, прав ZI7.2CS3</v>
      </c>
      <c r="E207" s="1568">
        <v>1</v>
      </c>
      <c r="F207" s="1569">
        <f t="shared" si="68"/>
        <v>123.60828479999999</v>
      </c>
      <c r="G207" s="1569">
        <f t="shared" si="69"/>
        <v>123.60828479999999</v>
      </c>
      <c r="H207" s="1570">
        <f t="shared" si="70"/>
        <v>123.60828479999999</v>
      </c>
      <c r="I207" s="2386"/>
      <c r="K207" s="840"/>
      <c r="L207" s="840"/>
      <c r="M207" s="840"/>
      <c r="N207" s="771" t="s">
        <v>2397</v>
      </c>
      <c r="R207" s="8" t="s">
        <v>4427</v>
      </c>
      <c r="S207" s="8" t="s">
        <v>4399</v>
      </c>
      <c r="T207" s="8" t="s">
        <v>4400</v>
      </c>
      <c r="U207" s="37"/>
      <c r="V207" s="840"/>
      <c r="W207" s="840"/>
      <c r="X207" s="840"/>
      <c r="Y207" s="840"/>
      <c r="Z207" s="840"/>
      <c r="AA207" s="840"/>
      <c r="AB207" s="840"/>
      <c r="AC207" s="840"/>
      <c r="AD207" s="840"/>
      <c r="AE207" s="840"/>
      <c r="AF207" s="840"/>
      <c r="AG207" s="840"/>
      <c r="AH207" s="840"/>
      <c r="AI207" s="840"/>
      <c r="AJ207" s="840"/>
      <c r="AK207" s="840"/>
      <c r="AL207" s="840"/>
      <c r="AM207" s="840"/>
      <c r="AN207" s="840"/>
      <c r="AO207" s="840"/>
      <c r="AP207" s="840"/>
      <c r="AQ207" s="840"/>
      <c r="AR207" s="840"/>
      <c r="AS207" s="840"/>
      <c r="AT207" s="840"/>
      <c r="AU207" s="840"/>
      <c r="AV207" s="1067"/>
      <c r="AW207" s="1067"/>
      <c r="AX207" s="1067"/>
      <c r="AY207" s="1067"/>
      <c r="AZ207" s="1067"/>
      <c r="BA207" s="1067"/>
      <c r="BB207" s="1067"/>
      <c r="BC207" s="1067"/>
      <c r="BD207" s="1067"/>
      <c r="BE207" s="1067"/>
      <c r="BF207" s="1067"/>
      <c r="BG207" s="1067"/>
      <c r="BH207" s="1067"/>
      <c r="BI207" s="1067"/>
      <c r="BJ207" s="1067"/>
      <c r="BK207" s="1067"/>
      <c r="BL207" s="1067"/>
      <c r="BM207" s="1067"/>
      <c r="BN207" s="1067"/>
      <c r="BO207" s="1067"/>
      <c r="BP207" s="1067"/>
      <c r="BQ207" s="1067"/>
      <c r="BR207" s="1067"/>
      <c r="BS207" s="1067"/>
      <c r="BT207" s="1067"/>
      <c r="BU207" s="1067"/>
      <c r="BV207" s="1386"/>
      <c r="BW207" s="1511"/>
      <c r="BX207" s="1386"/>
      <c r="BY207" s="1386"/>
      <c r="BZ207" s="1386"/>
      <c r="CA207" s="1386"/>
      <c r="CB207" s="1386"/>
      <c r="CC207" s="1386"/>
      <c r="CD207" s="1067"/>
    </row>
    <row r="208" spans="1:123" ht="12.75" customHeight="1" x14ac:dyDescent="0.2">
      <c r="A208" s="2384"/>
      <c r="B208" s="2073"/>
      <c r="C208" s="1576" t="str">
        <f>VLOOKUP($D$3,LBX.C_Free,14,FALSE)</f>
        <v>8063022/</v>
      </c>
      <c r="D208" s="1567" t="str">
        <f t="shared" si="67"/>
        <v xml:space="preserve">LBX, Пер пан с/паз п/раскр, 1043мм, бел </v>
      </c>
      <c r="E208" s="1568">
        <v>1</v>
      </c>
      <c r="F208" s="1569">
        <f t="shared" si="68"/>
        <v>1198.6750775999999</v>
      </c>
      <c r="G208" s="1569">
        <f t="shared" si="69"/>
        <v>1198.6750775999999</v>
      </c>
      <c r="H208" s="1570">
        <f t="shared" si="70"/>
        <v>1198.6750775999999</v>
      </c>
      <c r="I208" s="2386"/>
      <c r="K208" s="840"/>
      <c r="L208" s="840"/>
      <c r="M208" s="840"/>
      <c r="R208" s="8" t="s">
        <v>4428</v>
      </c>
      <c r="S208" s="8" t="s">
        <v>3745</v>
      </c>
      <c r="T208" s="8" t="s">
        <v>4401</v>
      </c>
      <c r="U208" s="37"/>
      <c r="V208" s="840"/>
      <c r="W208" s="840"/>
      <c r="X208" s="840"/>
      <c r="Y208" s="840"/>
      <c r="Z208" s="840"/>
      <c r="AA208" s="840"/>
      <c r="AB208" s="840"/>
      <c r="AC208" s="840"/>
      <c r="AD208" s="840"/>
      <c r="AE208" s="840"/>
      <c r="AF208" s="840"/>
      <c r="AG208" s="840"/>
      <c r="AH208" s="840"/>
      <c r="AI208" s="840"/>
      <c r="AJ208" s="840"/>
      <c r="AK208" s="840"/>
      <c r="AL208" s="840"/>
      <c r="AM208" s="840"/>
      <c r="AN208" s="840"/>
      <c r="AO208" s="840"/>
      <c r="AP208" s="840"/>
      <c r="AQ208" s="840"/>
      <c r="AR208" s="840"/>
      <c r="AS208" s="840"/>
      <c r="AT208" s="840"/>
      <c r="AU208" s="840"/>
      <c r="AV208" s="1067"/>
      <c r="AW208" s="1067"/>
      <c r="AX208" s="1067"/>
      <c r="AY208" s="1067"/>
      <c r="AZ208" s="1067"/>
      <c r="BA208" s="1067"/>
      <c r="BB208" s="1067"/>
      <c r="BC208" s="1067"/>
      <c r="BD208" s="1067"/>
      <c r="BE208" s="1067"/>
      <c r="BF208" s="1067"/>
      <c r="BG208" s="1067"/>
      <c r="BH208" s="1067"/>
      <c r="BI208" s="1067"/>
      <c r="BJ208" s="1067"/>
      <c r="BK208" s="1067"/>
      <c r="BL208" s="1067"/>
      <c r="BM208" s="1067"/>
      <c r="BN208" s="1067"/>
      <c r="BO208" s="1067"/>
      <c r="BP208" s="1067"/>
      <c r="BQ208" s="1067"/>
      <c r="BR208" s="1067"/>
      <c r="BS208" s="1067"/>
      <c r="BT208" s="1067"/>
      <c r="BU208" s="1067"/>
      <c r="BV208" s="1386"/>
      <c r="BW208" s="1511"/>
      <c r="BX208" s="1386"/>
      <c r="BY208" s="1386"/>
      <c r="BZ208" s="1386"/>
      <c r="CA208" s="1386"/>
      <c r="CB208" s="1386"/>
      <c r="CC208" s="1386"/>
      <c r="CD208" s="1067"/>
    </row>
    <row r="209" spans="1:123" ht="12.75" customHeight="1" x14ac:dyDescent="0.2">
      <c r="A209" s="2384"/>
      <c r="B209" s="2073"/>
      <c r="C209" s="1566" t="str">
        <f>VLOOKUP($D$3,LBX.C,8,FALSE)</f>
        <v>3326679/</v>
      </c>
      <c r="D209" s="1567" t="str">
        <f t="shared" si="67"/>
        <v>LBX, Держат. задн. ст, 189 мм, бел, лев.</v>
      </c>
      <c r="E209" s="1568">
        <v>1</v>
      </c>
      <c r="F209" s="1569">
        <f t="shared" si="68"/>
        <v>47.979531600000001</v>
      </c>
      <c r="G209" s="1569">
        <f t="shared" si="69"/>
        <v>47.979531600000001</v>
      </c>
      <c r="H209" s="1570">
        <f t="shared" si="70"/>
        <v>47.979531600000001</v>
      </c>
      <c r="I209" s="2386"/>
      <c r="K209" s="840"/>
      <c r="L209" s="840"/>
      <c r="M209" s="840"/>
      <c r="R209" s="8" t="s">
        <v>4429</v>
      </c>
      <c r="S209" s="8" t="s">
        <v>4402</v>
      </c>
      <c r="T209" s="8" t="s">
        <v>4403</v>
      </c>
      <c r="U209" s="37"/>
      <c r="V209" s="840"/>
      <c r="W209" s="840"/>
      <c r="X209" s="840"/>
      <c r="Y209" s="840"/>
      <c r="Z209" s="840"/>
      <c r="AA209" s="840"/>
      <c r="AB209" s="840"/>
      <c r="AC209" s="840"/>
      <c r="AD209" s="840"/>
      <c r="AE209" s="840"/>
      <c r="AF209" s="840"/>
      <c r="AG209" s="840"/>
      <c r="AH209" s="840"/>
      <c r="AI209" s="840"/>
      <c r="AJ209" s="840"/>
      <c r="AK209" s="840"/>
      <c r="AL209" s="840"/>
      <c r="AM209" s="840"/>
      <c r="AN209" s="840"/>
      <c r="AO209" s="840"/>
      <c r="AP209" s="840"/>
      <c r="AQ209" s="840"/>
      <c r="AR209" s="840"/>
      <c r="AS209" s="840"/>
      <c r="AT209" s="840"/>
      <c r="AU209" s="840"/>
      <c r="AV209" s="1067"/>
      <c r="AW209" s="1067"/>
      <c r="AX209" s="1067"/>
      <c r="AY209" s="1067"/>
      <c r="AZ209" s="1067"/>
      <c r="BA209" s="1067"/>
      <c r="BB209" s="1067"/>
      <c r="BC209" s="1067"/>
      <c r="BD209" s="1067"/>
      <c r="BE209" s="1067"/>
      <c r="BF209" s="1067"/>
      <c r="BG209" s="1067"/>
      <c r="BH209" s="1067"/>
      <c r="BI209" s="1067"/>
      <c r="BJ209" s="1067"/>
      <c r="BK209" s="1067"/>
      <c r="BL209" s="1067"/>
      <c r="BM209" s="1067"/>
      <c r="BN209" s="1067"/>
      <c r="BO209" s="1067"/>
      <c r="BP209" s="1067"/>
      <c r="BQ209" s="1067"/>
      <c r="BR209" s="1067"/>
      <c r="BS209" s="1067"/>
      <c r="BT209" s="1067"/>
      <c r="BU209" s="1067"/>
      <c r="BV209" s="1386"/>
      <c r="BW209" s="1511"/>
      <c r="BX209" s="1386"/>
      <c r="BY209" s="1386"/>
      <c r="BZ209" s="1386"/>
      <c r="CA209" s="1386"/>
      <c r="CB209" s="1386"/>
      <c r="CC209" s="1386"/>
      <c r="CD209" s="1067"/>
    </row>
    <row r="210" spans="1:123" ht="12.75" customHeight="1" x14ac:dyDescent="0.2">
      <c r="A210" s="2384"/>
      <c r="B210" s="2073"/>
      <c r="C210" s="1566" t="str">
        <f>VLOOKUP($D$3,LBX.C,9,FALSE)</f>
        <v>4903108/</v>
      </c>
      <c r="D210" s="1567" t="str">
        <f t="shared" si="67"/>
        <v>LBX, Держат. задн. ст, 189 мм, бел, прав</v>
      </c>
      <c r="E210" s="1568">
        <v>1</v>
      </c>
      <c r="F210" s="1569">
        <f t="shared" si="68"/>
        <v>47.979531600000001</v>
      </c>
      <c r="G210" s="1569">
        <f t="shared" si="69"/>
        <v>47.979531600000001</v>
      </c>
      <c r="H210" s="1570">
        <f t="shared" si="70"/>
        <v>47.979531600000001</v>
      </c>
      <c r="I210" s="2386"/>
      <c r="K210" s="840"/>
      <c r="L210" s="840"/>
      <c r="M210" s="840"/>
      <c r="R210" s="8" t="s">
        <v>4430</v>
      </c>
      <c r="S210" s="8" t="s">
        <v>3746</v>
      </c>
      <c r="T210" s="8" t="s">
        <v>4404</v>
      </c>
      <c r="U210" s="37"/>
      <c r="V210" s="840"/>
      <c r="W210" s="840"/>
      <c r="X210" s="840"/>
      <c r="Y210" s="840"/>
      <c r="Z210" s="840"/>
      <c r="AA210" s="840"/>
      <c r="AB210" s="840"/>
      <c r="AC210" s="840"/>
      <c r="AD210" s="840"/>
      <c r="AE210" s="840"/>
      <c r="AF210" s="840"/>
      <c r="AG210" s="840"/>
      <c r="AH210" s="840"/>
      <c r="AI210" s="840"/>
      <c r="AJ210" s="840"/>
      <c r="AK210" s="840"/>
      <c r="AL210" s="840"/>
      <c r="AM210" s="840"/>
      <c r="AN210" s="840"/>
      <c r="AO210" s="840"/>
      <c r="AP210" s="840"/>
      <c r="AQ210" s="840"/>
      <c r="AR210" s="840"/>
      <c r="AS210" s="840"/>
      <c r="AT210" s="840"/>
      <c r="AU210" s="840"/>
      <c r="AV210" s="1067"/>
      <c r="AW210" s="1067"/>
      <c r="AX210" s="1067"/>
      <c r="AY210" s="1067"/>
      <c r="AZ210" s="1067"/>
      <c r="BA210" s="1067"/>
      <c r="BB210" s="1067"/>
      <c r="BC210" s="1067"/>
      <c r="BD210" s="1067"/>
      <c r="BE210" s="1067"/>
      <c r="BF210" s="1067"/>
      <c r="BG210" s="1067"/>
      <c r="BH210" s="1067"/>
      <c r="BI210" s="1067"/>
      <c r="BJ210" s="1067"/>
      <c r="BK210" s="1067"/>
      <c r="BL210" s="1067"/>
      <c r="BM210" s="1067"/>
      <c r="BN210" s="1067"/>
      <c r="BO210" s="1067"/>
      <c r="BP210" s="1067"/>
      <c r="BQ210" s="1067"/>
      <c r="BR210" s="1067"/>
      <c r="BS210" s="1067"/>
      <c r="BT210" s="1067"/>
      <c r="BU210" s="1067"/>
      <c r="BV210" s="1386"/>
      <c r="BW210" s="1511"/>
      <c r="BX210" s="1386"/>
      <c r="BY210" s="1386"/>
      <c r="BZ210" s="1386"/>
      <c r="CA210" s="1386"/>
      <c r="CB210" s="1386"/>
      <c r="CC210" s="1386"/>
      <c r="CD210" s="1067"/>
    </row>
    <row r="211" spans="1:123" ht="12.75" customHeight="1" x14ac:dyDescent="0.2">
      <c r="A211" s="2384"/>
      <c r="B211" s="2073"/>
      <c r="C211" s="1096" t="str">
        <f>IF(C215="","",IF($D$4="Торговая","",VLOOKUP($D$3,LBX.C,7,FALSE)))</f>
        <v>7944577/</v>
      </c>
      <c r="D211" s="43" t="str">
        <f>IF(C211="","",VLOOKUP(C211,всецены,2,FALSE))</f>
        <v xml:space="preserve">LBX, Загл, наружн, бел, симм с лого     </v>
      </c>
      <c r="E211" s="3">
        <f>IF(C211="",0,2)</f>
        <v>2</v>
      </c>
      <c r="F211" s="1457">
        <f>IF(C211="",0,VLOOKUP(C211,всецены,4,FALSE))</f>
        <v>14.637823200000001</v>
      </c>
      <c r="G211" s="1569">
        <f t="shared" si="69"/>
        <v>14.637823200000001</v>
      </c>
      <c r="H211" s="1570">
        <f t="shared" si="70"/>
        <v>29.275646400000003</v>
      </c>
      <c r="I211" s="2386"/>
      <c r="K211" s="840"/>
      <c r="L211" s="840"/>
      <c r="M211" s="840"/>
      <c r="R211" s="8" t="s">
        <v>4431</v>
      </c>
      <c r="S211" s="8" t="s">
        <v>3747</v>
      </c>
      <c r="T211" s="8" t="s">
        <v>4405</v>
      </c>
      <c r="U211" s="37"/>
      <c r="V211" s="840"/>
      <c r="W211" s="840"/>
      <c r="X211" s="840"/>
      <c r="Y211" s="840"/>
      <c r="Z211" s="840"/>
      <c r="AA211" s="840"/>
      <c r="AB211" s="840"/>
      <c r="AC211" s="840"/>
      <c r="AD211" s="840"/>
      <c r="AE211" s="840"/>
      <c r="AF211" s="840"/>
      <c r="AG211" s="840"/>
      <c r="AH211" s="840"/>
      <c r="AI211" s="840"/>
      <c r="AJ211" s="840"/>
      <c r="AK211" s="840"/>
      <c r="AL211" s="840"/>
      <c r="AM211" s="840"/>
      <c r="AN211" s="840"/>
      <c r="AO211" s="840"/>
      <c r="AP211" s="840"/>
      <c r="AQ211" s="840"/>
      <c r="AR211" s="840"/>
      <c r="AS211" s="840"/>
      <c r="AT211" s="840"/>
      <c r="AU211" s="840"/>
      <c r="AV211" s="1067"/>
      <c r="AW211" s="1067"/>
      <c r="AX211" s="1067"/>
      <c r="AY211" s="1067"/>
      <c r="AZ211" s="1067"/>
      <c r="BA211" s="1067"/>
      <c r="BB211" s="1067"/>
      <c r="BC211" s="1067"/>
      <c r="BD211" s="1067"/>
      <c r="BE211" s="1067"/>
      <c r="BF211" s="1067"/>
      <c r="BG211" s="1067"/>
      <c r="BH211" s="1067"/>
      <c r="BI211" s="1067"/>
      <c r="BJ211" s="1067"/>
      <c r="BK211" s="1067"/>
      <c r="BL211" s="1067"/>
      <c r="BM211" s="1067"/>
      <c r="BN211" s="1067"/>
      <c r="BO211" s="1067"/>
      <c r="BP211" s="1067"/>
      <c r="BQ211" s="1067"/>
      <c r="BR211" s="1067"/>
      <c r="BS211" s="1067"/>
      <c r="BT211" s="1067"/>
      <c r="BU211" s="1067"/>
      <c r="BV211" s="1386"/>
      <c r="BW211" s="1511"/>
      <c r="BX211" s="1386"/>
      <c r="BY211" s="1386"/>
      <c r="BZ211" s="1386"/>
      <c r="CA211" s="1386"/>
      <c r="CB211" s="1386"/>
      <c r="CC211" s="1386"/>
      <c r="CD211" s="1067"/>
    </row>
    <row r="212" spans="1:123" ht="12.75" customHeight="1" x14ac:dyDescent="0.2">
      <c r="A212" s="2384"/>
      <c r="B212" s="2073"/>
      <c r="C212" s="1566" t="str">
        <f>VLOOKUP($D$3,LBX.C,4,FALSE)</f>
        <v>4922514/</v>
      </c>
      <c r="D212" s="1567" t="str">
        <f t="shared" si="67"/>
        <v xml:space="preserve">LBX, Направл. с BM, 40 кг, 500 мм, лев  </v>
      </c>
      <c r="E212" s="1568">
        <v>1</v>
      </c>
      <c r="F212" s="1569">
        <f t="shared" si="68"/>
        <v>670.90023000000008</v>
      </c>
      <c r="G212" s="1569">
        <f t="shared" si="69"/>
        <v>670.90023000000008</v>
      </c>
      <c r="H212" s="1570">
        <f t="shared" si="70"/>
        <v>670.90023000000008</v>
      </c>
      <c r="I212" s="2386"/>
      <c r="K212" s="840"/>
      <c r="L212" s="840"/>
      <c r="M212" s="840"/>
      <c r="R212" s="8" t="s">
        <v>4423</v>
      </c>
      <c r="S212" s="8" t="s">
        <v>4406</v>
      </c>
      <c r="T212" s="8" t="s">
        <v>4407</v>
      </c>
      <c r="U212" s="37"/>
      <c r="V212" s="840"/>
      <c r="W212" s="840"/>
      <c r="X212" s="840"/>
      <c r="Y212" s="840"/>
      <c r="Z212" s="840"/>
      <c r="AA212" s="840"/>
      <c r="AB212" s="840"/>
      <c r="AC212" s="840"/>
      <c r="AD212" s="840"/>
      <c r="AE212" s="840"/>
      <c r="AF212" s="840"/>
      <c r="AG212" s="840"/>
      <c r="AH212" s="840"/>
      <c r="AI212" s="840"/>
      <c r="AJ212" s="840"/>
      <c r="AK212" s="840"/>
      <c r="AL212" s="840"/>
      <c r="AM212" s="840"/>
      <c r="AN212" s="840"/>
      <c r="AO212" s="840"/>
      <c r="AP212" s="840"/>
      <c r="AQ212" s="840"/>
      <c r="AR212" s="840"/>
      <c r="AS212" s="840"/>
      <c r="AT212" s="840"/>
      <c r="AU212" s="840"/>
      <c r="AV212" s="1067"/>
      <c r="AW212" s="1067"/>
      <c r="AX212" s="1067"/>
      <c r="AY212" s="1067"/>
      <c r="AZ212" s="1067"/>
      <c r="BA212" s="1067"/>
      <c r="BB212" s="1067"/>
      <c r="BC212" s="1067"/>
      <c r="BD212" s="1067"/>
      <c r="BE212" s="1067"/>
      <c r="BF212" s="1067"/>
      <c r="BG212" s="1067"/>
      <c r="BH212" s="1067"/>
      <c r="BI212" s="1067"/>
      <c r="BJ212" s="1067"/>
      <c r="BK212" s="1067"/>
      <c r="BL212" s="1067"/>
      <c r="BM212" s="1067"/>
      <c r="BN212" s="1067"/>
      <c r="BO212" s="1067"/>
      <c r="BP212" s="1067"/>
      <c r="BQ212" s="1067"/>
      <c r="BR212" s="1067"/>
      <c r="BS212" s="1067"/>
      <c r="BT212" s="1067"/>
      <c r="BU212" s="1067"/>
      <c r="BV212" s="1386"/>
      <c r="BW212" s="1511"/>
      <c r="BX212" s="1386"/>
      <c r="BY212" s="1386"/>
      <c r="BZ212" s="1386"/>
      <c r="CA212" s="1386"/>
      <c r="CB212" s="1386"/>
      <c r="CC212" s="1386"/>
      <c r="CD212" s="1067"/>
    </row>
    <row r="213" spans="1:123" ht="12.75" customHeight="1" x14ac:dyDescent="0.2">
      <c r="A213" s="843"/>
      <c r="B213" s="2073"/>
      <c r="C213" s="1566" t="str">
        <f>VLOOKUP($D$3,LBX.C,5,FALSE)</f>
        <v>4737284/</v>
      </c>
      <c r="D213" s="1567" t="str">
        <f t="shared" si="67"/>
        <v xml:space="preserve">LBX, Направл. с BM, 40 кг, 500 мм, прав </v>
      </c>
      <c r="E213" s="1568">
        <v>1</v>
      </c>
      <c r="F213" s="1569">
        <f t="shared" si="68"/>
        <v>670.90023000000008</v>
      </c>
      <c r="G213" s="1569">
        <f t="shared" si="69"/>
        <v>670.90023000000008</v>
      </c>
      <c r="H213" s="1570">
        <f t="shared" si="70"/>
        <v>670.90023000000008</v>
      </c>
      <c r="I213" s="2386"/>
      <c r="K213" s="840"/>
      <c r="L213" s="840"/>
      <c r="M213" s="840"/>
      <c r="R213" s="8" t="s">
        <v>4424</v>
      </c>
      <c r="S213" s="8" t="s">
        <v>4408</v>
      </c>
      <c r="T213" s="8" t="s">
        <v>4409</v>
      </c>
      <c r="U213" s="37"/>
      <c r="V213" s="840"/>
      <c r="W213" s="840"/>
      <c r="X213" s="840"/>
      <c r="Y213" s="840"/>
      <c r="Z213" s="840"/>
      <c r="AC213" s="840"/>
      <c r="AD213" s="840"/>
      <c r="AE213" s="840"/>
      <c r="AF213" s="840"/>
      <c r="AG213" s="840"/>
      <c r="AH213" s="840"/>
      <c r="AI213" s="840"/>
      <c r="AJ213" s="840"/>
      <c r="AK213" s="840"/>
      <c r="AL213" s="840"/>
      <c r="AM213" s="840"/>
      <c r="AN213" s="840"/>
      <c r="AO213" s="840"/>
      <c r="AP213" s="840"/>
      <c r="AQ213" s="840"/>
      <c r="AR213" s="840"/>
      <c r="AS213" s="840"/>
      <c r="AT213" s="840"/>
      <c r="AU213" s="840"/>
      <c r="AV213" s="1067"/>
      <c r="AW213" s="1067"/>
      <c r="AX213" s="1067"/>
      <c r="AY213" s="1067"/>
      <c r="AZ213" s="1067"/>
      <c r="BA213" s="1067"/>
      <c r="BB213" s="1067"/>
      <c r="BC213" s="1067"/>
      <c r="BD213" s="1067"/>
      <c r="BE213" s="1067"/>
      <c r="BF213" s="1067"/>
      <c r="BG213" s="1067"/>
      <c r="BH213" s="1067"/>
      <c r="BI213" s="1067"/>
      <c r="BJ213" s="1067"/>
      <c r="BK213" s="1067"/>
      <c r="BL213" s="1067"/>
      <c r="BM213" s="1067"/>
      <c r="BN213" s="1067"/>
      <c r="BO213" s="1067"/>
      <c r="BP213" s="1067"/>
      <c r="BQ213" s="1067"/>
      <c r="BR213" s="1067"/>
      <c r="BS213" s="1067"/>
      <c r="BT213" s="1067"/>
      <c r="BU213" s="1067"/>
      <c r="BV213" s="1386"/>
      <c r="BW213" s="1511"/>
      <c r="BX213" s="1386"/>
      <c r="BY213" s="1386"/>
      <c r="BZ213" s="1386"/>
      <c r="CA213" s="1386"/>
      <c r="CB213" s="1386"/>
      <c r="CC213" s="1386"/>
      <c r="CD213" s="1067"/>
    </row>
    <row r="214" spans="1:123" ht="12.75" customHeight="1" x14ac:dyDescent="0.2">
      <c r="A214" s="843"/>
      <c r="B214" s="2073"/>
      <c r="C214" s="1566" t="str">
        <f>VLOOKUP($D$3,LBX.C_Free,2,FALSE)</f>
        <v>9064917/</v>
      </c>
      <c r="D214" s="1567" t="str">
        <f t="shared" si="67"/>
        <v xml:space="preserve">LBX-F, Боковина 176,8/500 мм, бел, лев  </v>
      </c>
      <c r="E214" s="1568">
        <v>1</v>
      </c>
      <c r="F214" s="1569">
        <f t="shared" si="68"/>
        <v>815.6520372</v>
      </c>
      <c r="G214" s="1569">
        <f t="shared" si="69"/>
        <v>815.6520372</v>
      </c>
      <c r="H214" s="1570">
        <f t="shared" si="70"/>
        <v>815.6520372</v>
      </c>
      <c r="I214" s="2386"/>
      <c r="K214" s="840"/>
      <c r="L214" s="840"/>
      <c r="M214" s="840"/>
      <c r="R214" s="8" t="s">
        <v>4432</v>
      </c>
      <c r="S214" s="8" t="s">
        <v>4410</v>
      </c>
      <c r="T214" s="8" t="s">
        <v>4411</v>
      </c>
      <c r="U214" s="37"/>
      <c r="V214" s="840"/>
      <c r="W214" s="840"/>
      <c r="X214" s="840"/>
      <c r="Y214" s="840"/>
      <c r="Z214" s="840"/>
      <c r="AC214" s="840"/>
      <c r="AD214" s="840"/>
      <c r="AE214" s="840"/>
      <c r="AF214" s="840"/>
      <c r="AG214" s="840"/>
      <c r="AH214" s="840"/>
      <c r="AI214" s="840"/>
      <c r="AJ214" s="840"/>
      <c r="AK214" s="840"/>
      <c r="AL214" s="840"/>
      <c r="AM214" s="840"/>
      <c r="AN214" s="840"/>
      <c r="AO214" s="840"/>
      <c r="AP214" s="840"/>
      <c r="AQ214" s="840"/>
      <c r="AR214" s="840"/>
      <c r="AS214" s="840"/>
      <c r="AT214" s="840"/>
      <c r="AU214" s="840"/>
      <c r="AV214" s="1067"/>
      <c r="AW214" s="1067"/>
      <c r="AX214" s="1067"/>
      <c r="AY214" s="1067"/>
      <c r="AZ214" s="1067"/>
      <c r="BA214" s="1067"/>
      <c r="BB214" s="1067"/>
      <c r="BC214" s="1067"/>
      <c r="BD214" s="1067"/>
      <c r="BE214" s="1067"/>
      <c r="BF214" s="1067"/>
      <c r="BG214" s="1067"/>
      <c r="BH214" s="1067"/>
      <c r="BI214" s="1067"/>
      <c r="BJ214" s="1067"/>
      <c r="BK214" s="1067"/>
      <c r="BL214" s="1067"/>
      <c r="BM214" s="1067"/>
      <c r="BN214" s="1067"/>
      <c r="BO214" s="1067"/>
      <c r="BP214" s="1067"/>
      <c r="BQ214" s="1067"/>
      <c r="BR214" s="1067"/>
      <c r="BS214" s="1067"/>
      <c r="BT214" s="1067"/>
      <c r="BU214" s="1067"/>
      <c r="BV214" s="1386"/>
      <c r="BW214" s="1511"/>
      <c r="BX214" s="1386"/>
      <c r="BY214" s="1386"/>
      <c r="BZ214" s="1386"/>
      <c r="CA214" s="1386"/>
      <c r="CB214" s="1386"/>
      <c r="CC214" s="1386"/>
      <c r="CD214" s="1067"/>
    </row>
    <row r="215" spans="1:123" s="1388" customFormat="1" ht="12.75" customHeight="1" x14ac:dyDescent="0.2">
      <c r="A215" s="843"/>
      <c r="B215" s="2073"/>
      <c r="C215" s="1566" t="str">
        <f>C195</f>
        <v>9090985/</v>
      </c>
      <c r="D215" s="1567" t="str">
        <f>IF(C215="","",VLOOKUP(C215,всецены,2,FALSE))</f>
        <v xml:space="preserve">LBX-F, Боковина 176,8/500 мм, бел, пр   </v>
      </c>
      <c r="E215" s="1571">
        <f>IF(C215="",0,1)</f>
        <v>1</v>
      </c>
      <c r="F215" s="1572">
        <f>IF(C215="",0,VLOOKUP(C215,всецены,4,FALSE))</f>
        <v>815.6520372</v>
      </c>
      <c r="G215" s="1569">
        <f t="shared" si="69"/>
        <v>815.6520372</v>
      </c>
      <c r="H215" s="1570">
        <f t="shared" si="70"/>
        <v>815.6520372</v>
      </c>
      <c r="I215" s="2386"/>
      <c r="J215" s="771"/>
      <c r="K215" s="840"/>
      <c r="L215" s="840"/>
      <c r="M215" s="840"/>
      <c r="N215" s="8"/>
      <c r="O215" s="8"/>
      <c r="P215" s="8"/>
      <c r="Q215" s="8"/>
      <c r="R215" s="8" t="s">
        <v>4433</v>
      </c>
      <c r="S215" s="8" t="s">
        <v>4080</v>
      </c>
      <c r="T215" s="8" t="s">
        <v>4412</v>
      </c>
      <c r="U215" s="37"/>
      <c r="V215" s="840"/>
      <c r="W215" s="840"/>
      <c r="X215" s="840"/>
      <c r="Y215" s="840"/>
      <c r="Z215" s="840"/>
      <c r="AA215" s="8"/>
      <c r="AB215" s="8"/>
      <c r="AC215" s="840"/>
      <c r="AD215" s="840"/>
      <c r="AE215" s="840"/>
      <c r="AF215" s="840"/>
      <c r="AG215" s="840"/>
      <c r="AH215" s="840"/>
      <c r="AI215" s="840"/>
      <c r="AJ215" s="840"/>
      <c r="AK215" s="840"/>
      <c r="AL215" s="840"/>
      <c r="AM215" s="840"/>
      <c r="AN215" s="840"/>
      <c r="AO215" s="840"/>
      <c r="AP215" s="840"/>
      <c r="AQ215" s="840"/>
      <c r="AR215" s="840"/>
      <c r="AS215" s="840"/>
      <c r="AT215" s="840"/>
      <c r="AU215" s="840"/>
      <c r="AV215" s="1067"/>
      <c r="AW215" s="1067"/>
      <c r="AX215" s="1067"/>
      <c r="AY215" s="1067"/>
      <c r="AZ215" s="1067"/>
      <c r="BA215" s="1067"/>
      <c r="BB215" s="1067"/>
      <c r="BC215" s="1067"/>
      <c r="BD215" s="1067"/>
      <c r="BE215" s="1067"/>
      <c r="BF215" s="1067"/>
      <c r="BG215" s="1067"/>
      <c r="BH215" s="1067"/>
      <c r="BI215" s="1067"/>
      <c r="BJ215" s="1067"/>
      <c r="BK215" s="1067"/>
      <c r="BL215" s="1067"/>
      <c r="BM215" s="1067"/>
      <c r="BN215" s="1067"/>
      <c r="BO215" s="1067"/>
      <c r="BP215" s="1067"/>
      <c r="BQ215" s="1067"/>
      <c r="BR215" s="1067"/>
      <c r="BS215" s="1067"/>
      <c r="BT215" s="1067"/>
      <c r="BU215" s="1067"/>
      <c r="BV215" s="1386"/>
      <c r="BW215" s="1511"/>
      <c r="BX215" s="1386"/>
      <c r="BY215" s="1386"/>
      <c r="BZ215" s="1386"/>
      <c r="CA215" s="1386"/>
      <c r="CB215" s="1386"/>
      <c r="CC215" s="1386"/>
      <c r="CD215" s="1067"/>
      <c r="CE215" s="771"/>
      <c r="CF215" s="771"/>
      <c r="CG215" s="771"/>
      <c r="CH215" s="771"/>
      <c r="CI215" s="771"/>
      <c r="CJ215" s="771"/>
      <c r="CK215" s="771"/>
      <c r="CL215" s="771"/>
      <c r="CM215" s="771"/>
      <c r="CN215" s="771"/>
      <c r="CO215" s="771"/>
      <c r="CP215" s="771"/>
      <c r="CQ215" s="771"/>
      <c r="CR215" s="771"/>
      <c r="CS215" s="771"/>
      <c r="CT215" s="771"/>
      <c r="CU215" s="771"/>
      <c r="CV215" s="771"/>
      <c r="CW215" s="771"/>
      <c r="CX215" s="771"/>
      <c r="CY215" s="771"/>
      <c r="CZ215" s="771"/>
      <c r="DA215" s="771"/>
      <c r="DB215" s="771"/>
      <c r="DC215" s="771"/>
      <c r="DD215" s="771"/>
      <c r="DE215" s="771"/>
      <c r="DF215" s="771"/>
      <c r="DG215" s="771"/>
      <c r="DH215" s="771"/>
      <c r="DI215" s="771"/>
      <c r="DJ215" s="771"/>
      <c r="DK215" s="771"/>
      <c r="DL215" s="771"/>
      <c r="DM215" s="771"/>
      <c r="DN215" s="771"/>
      <c r="DO215" s="771"/>
      <c r="DP215" s="771"/>
      <c r="DQ215" s="771"/>
      <c r="DR215" s="771"/>
      <c r="DS215" s="771"/>
    </row>
    <row r="216" spans="1:123" s="1386" customFormat="1" ht="12.75" customHeight="1" x14ac:dyDescent="0.2">
      <c r="A216" s="843"/>
      <c r="B216" s="2073"/>
      <c r="C216" s="1566" t="str">
        <f>VLOOKUP($D$3,LBX.C_Free,16,FALSE)</f>
        <v>7608015/</v>
      </c>
      <c r="D216" s="1567" t="str">
        <f>VLOOKUP(C216,всецены,2,FALSE)</f>
        <v>LBX-F, Задний держ стекл вст C бел, лев.</v>
      </c>
      <c r="E216" s="1568">
        <v>1</v>
      </c>
      <c r="F216" s="1569">
        <f t="shared" si="68"/>
        <v>89.453364000000008</v>
      </c>
      <c r="G216" s="1569">
        <f t="shared" si="69"/>
        <v>89.453364000000008</v>
      </c>
      <c r="H216" s="1570">
        <f t="shared" si="70"/>
        <v>89.453364000000008</v>
      </c>
      <c r="I216" s="2386"/>
      <c r="J216" s="771"/>
      <c r="K216" s="1388"/>
      <c r="L216" s="840"/>
      <c r="M216" s="840"/>
      <c r="N216" s="8"/>
      <c r="O216" s="8"/>
      <c r="P216" s="8"/>
      <c r="Q216" s="8"/>
      <c r="R216" s="8" t="s">
        <v>4434</v>
      </c>
      <c r="S216" s="8" t="s">
        <v>3748</v>
      </c>
      <c r="T216" s="8" t="s">
        <v>4413</v>
      </c>
      <c r="U216" s="37"/>
      <c r="V216" s="840"/>
      <c r="W216" s="840"/>
      <c r="X216" s="840"/>
      <c r="Y216" s="840"/>
      <c r="Z216" s="840"/>
      <c r="AA216" s="8"/>
      <c r="AB216" s="8"/>
      <c r="AC216" s="840"/>
      <c r="AD216" s="840"/>
      <c r="AE216" s="840"/>
      <c r="AF216" s="840"/>
      <c r="AG216" s="840"/>
      <c r="AH216" s="840"/>
      <c r="AI216" s="840"/>
      <c r="AJ216" s="840"/>
      <c r="AK216" s="840"/>
      <c r="AL216" s="840"/>
      <c r="AM216" s="840"/>
      <c r="AN216" s="840"/>
      <c r="AO216" s="840"/>
      <c r="AP216" s="840"/>
      <c r="AQ216" s="840"/>
      <c r="AR216" s="840"/>
      <c r="AS216" s="840"/>
      <c r="AT216" s="840"/>
      <c r="AU216" s="840"/>
      <c r="AV216" s="1067"/>
      <c r="AW216" s="1067"/>
      <c r="AX216" s="1067"/>
      <c r="AY216" s="1067"/>
      <c r="AZ216" s="1067"/>
      <c r="BA216" s="1067"/>
      <c r="BB216" s="1067"/>
      <c r="BC216" s="1067"/>
      <c r="BD216" s="1067"/>
      <c r="BE216" s="1067"/>
      <c r="BF216" s="1067"/>
      <c r="BG216" s="1067"/>
      <c r="BH216" s="1067"/>
      <c r="BI216" s="1067"/>
      <c r="BJ216" s="1067"/>
      <c r="BK216" s="1067"/>
      <c r="BL216" s="1067"/>
      <c r="BM216" s="1067"/>
      <c r="BN216" s="1067"/>
      <c r="BO216" s="1067"/>
      <c r="BP216" s="1067"/>
      <c r="BQ216" s="1067"/>
      <c r="BR216" s="1067"/>
      <c r="BS216" s="1067"/>
      <c r="BT216" s="1067"/>
      <c r="BU216" s="1067"/>
      <c r="BW216" s="1511"/>
      <c r="CD216" s="1067"/>
      <c r="CE216" s="771"/>
      <c r="CF216" s="771"/>
      <c r="CG216" s="771"/>
      <c r="CH216" s="771"/>
      <c r="CI216" s="771"/>
      <c r="CJ216" s="771"/>
      <c r="CK216" s="771"/>
      <c r="CL216" s="771"/>
      <c r="CM216" s="771"/>
      <c r="CN216" s="771"/>
      <c r="CO216" s="771"/>
      <c r="CP216" s="771"/>
      <c r="CQ216" s="771"/>
      <c r="CR216" s="771"/>
      <c r="CS216" s="771"/>
      <c r="CT216" s="771"/>
      <c r="CU216" s="771"/>
      <c r="CV216" s="771"/>
      <c r="CW216" s="771"/>
      <c r="CX216" s="771"/>
      <c r="CY216" s="771"/>
      <c r="CZ216" s="771"/>
      <c r="DA216" s="771"/>
      <c r="DB216" s="771"/>
      <c r="DC216" s="771"/>
      <c r="DD216" s="771"/>
      <c r="DE216" s="771"/>
      <c r="DF216" s="771"/>
      <c r="DG216" s="771"/>
      <c r="DH216" s="771"/>
      <c r="DI216" s="771"/>
      <c r="DJ216" s="771"/>
      <c r="DK216" s="771"/>
      <c r="DL216" s="771"/>
      <c r="DM216" s="771"/>
      <c r="DN216" s="771"/>
      <c r="DO216" s="771"/>
      <c r="DP216" s="771"/>
      <c r="DQ216" s="771"/>
      <c r="DR216" s="771"/>
      <c r="DS216" s="771"/>
    </row>
    <row r="217" spans="1:123" s="1386" customFormat="1" ht="12.75" customHeight="1" x14ac:dyDescent="0.2">
      <c r="A217" s="843"/>
      <c r="B217" s="2073"/>
      <c r="C217" s="1566" t="str">
        <f>VLOOKUP($D$3,LBX.C_Free,17,FALSE)</f>
        <v>4242211/</v>
      </c>
      <c r="D217" s="1567" t="str">
        <f>VLOOKUP(C217,всецены,2,FALSE)</f>
        <v xml:space="preserve">LBX-F, Задний держ стекл вст C бел, пр. </v>
      </c>
      <c r="E217" s="1568">
        <v>1</v>
      </c>
      <c r="F217" s="1569">
        <f t="shared" si="68"/>
        <v>89.453364000000008</v>
      </c>
      <c r="G217" s="1569">
        <f t="shared" si="69"/>
        <v>89.453364000000008</v>
      </c>
      <c r="H217" s="1570">
        <f t="shared" si="70"/>
        <v>89.453364000000008</v>
      </c>
      <c r="I217" s="2386"/>
      <c r="J217" s="771"/>
      <c r="L217" s="840"/>
      <c r="M217" s="840"/>
      <c r="N217" s="8"/>
      <c r="O217" s="8"/>
      <c r="P217" s="8"/>
      <c r="Q217" s="8"/>
      <c r="R217" s="8" t="s">
        <v>4435</v>
      </c>
      <c r="S217" s="8" t="s">
        <v>3749</v>
      </c>
      <c r="T217" s="8" t="s">
        <v>4414</v>
      </c>
      <c r="U217" s="37"/>
      <c r="V217" s="840"/>
      <c r="W217" s="840"/>
      <c r="X217" s="840"/>
      <c r="Y217" s="840"/>
      <c r="Z217" s="840"/>
      <c r="AA217" s="8"/>
      <c r="AB217" s="8"/>
      <c r="AC217" s="840"/>
      <c r="AD217" s="840"/>
      <c r="AE217" s="840"/>
      <c r="AF217" s="840"/>
      <c r="AG217" s="840"/>
      <c r="AH217" s="840"/>
      <c r="AI217" s="840"/>
      <c r="AJ217" s="840"/>
      <c r="AK217" s="840"/>
      <c r="AL217" s="840"/>
      <c r="AM217" s="840"/>
      <c r="AN217" s="840"/>
      <c r="AO217" s="840"/>
      <c r="AP217" s="840"/>
      <c r="AQ217" s="840"/>
      <c r="AR217" s="840"/>
      <c r="AS217" s="840"/>
      <c r="AT217" s="840"/>
      <c r="AU217" s="840"/>
      <c r="AV217" s="1067"/>
      <c r="AW217" s="1067"/>
      <c r="AX217" s="1067"/>
      <c r="AY217" s="1067"/>
      <c r="AZ217" s="1067"/>
      <c r="BA217" s="1067"/>
      <c r="BB217" s="1067"/>
      <c r="BC217" s="1067"/>
      <c r="BD217" s="1067"/>
      <c r="BE217" s="1388"/>
      <c r="BF217" s="1388"/>
      <c r="BG217" s="1388"/>
      <c r="BH217" s="1388"/>
      <c r="BI217" s="1388"/>
      <c r="BJ217" s="1388"/>
      <c r="BK217" s="1388"/>
      <c r="BL217" s="1388"/>
      <c r="BM217" s="1388"/>
      <c r="BN217" s="1388"/>
      <c r="BO217" s="1388"/>
      <c r="BP217" s="1388"/>
      <c r="BQ217" s="1388"/>
      <c r="BR217" s="1388"/>
      <c r="BS217" s="1388"/>
      <c r="BT217" s="1388"/>
      <c r="BU217" s="1388"/>
      <c r="BV217" s="1388"/>
      <c r="BW217" s="1511"/>
      <c r="BX217" s="1388"/>
      <c r="BY217" s="1388"/>
      <c r="BZ217" s="1388"/>
      <c r="CA217" s="1388"/>
      <c r="CB217" s="1388"/>
      <c r="CC217" s="1388"/>
      <c r="CD217" s="1388"/>
      <c r="CE217" s="771"/>
      <c r="CF217" s="771"/>
      <c r="CG217" s="771"/>
      <c r="CH217" s="771"/>
      <c r="CI217" s="771"/>
      <c r="CJ217" s="771"/>
      <c r="CK217" s="771"/>
      <c r="CL217" s="771"/>
      <c r="CM217" s="771"/>
      <c r="CN217" s="771"/>
      <c r="CO217" s="771"/>
      <c r="CP217" s="771"/>
      <c r="CQ217" s="771"/>
      <c r="CR217" s="771"/>
      <c r="CS217" s="771"/>
      <c r="CT217" s="771"/>
      <c r="CU217" s="771"/>
      <c r="CV217" s="771"/>
      <c r="CW217" s="771"/>
      <c r="CX217" s="771"/>
      <c r="CY217" s="771"/>
      <c r="CZ217" s="771"/>
      <c r="DA217" s="771"/>
      <c r="DB217" s="771"/>
      <c r="DC217" s="771"/>
      <c r="DD217" s="771"/>
      <c r="DE217" s="771"/>
      <c r="DF217" s="771"/>
      <c r="DG217" s="771"/>
      <c r="DH217" s="771"/>
      <c r="DI217" s="771"/>
      <c r="DJ217" s="771"/>
      <c r="DK217" s="771"/>
      <c r="DL217" s="771"/>
      <c r="DM217" s="771"/>
      <c r="DN217" s="771"/>
      <c r="DO217" s="771"/>
      <c r="DP217" s="771"/>
      <c r="DQ217" s="771"/>
      <c r="DR217" s="771"/>
      <c r="DS217" s="771"/>
    </row>
    <row r="218" spans="1:123" ht="12.75" customHeight="1" thickBot="1" x14ac:dyDescent="0.25">
      <c r="B218" s="2074"/>
      <c r="C218" s="1536" t="str">
        <f>VLOOKUP($D$3,LBX.C_Free,18,FALSE)</f>
        <v>1418426/</v>
      </c>
      <c r="D218" s="1537" t="str">
        <f t="shared" si="67"/>
        <v>LBX-F, Передн держ стекл вст С бел симм.</v>
      </c>
      <c r="E218" s="1538">
        <v>2</v>
      </c>
      <c r="F218" s="1574">
        <f t="shared" si="68"/>
        <v>81.321240000000003</v>
      </c>
      <c r="G218" s="1574">
        <f t="shared" si="69"/>
        <v>81.321240000000003</v>
      </c>
      <c r="H218" s="1575">
        <f t="shared" si="70"/>
        <v>162.64248000000001</v>
      </c>
      <c r="I218" s="2387"/>
      <c r="K218" s="1386"/>
      <c r="L218" s="840"/>
      <c r="M218" s="840"/>
      <c r="R218" s="8" t="s">
        <v>4436</v>
      </c>
      <c r="S218" s="8" t="s">
        <v>3750</v>
      </c>
      <c r="T218" s="8" t="s">
        <v>4415</v>
      </c>
      <c r="U218" s="37"/>
      <c r="V218" s="840"/>
      <c r="W218" s="840"/>
      <c r="X218" s="840"/>
      <c r="Y218" s="840"/>
      <c r="Z218" s="840"/>
      <c r="AC218" s="840"/>
      <c r="AD218" s="840"/>
      <c r="AE218" s="840"/>
      <c r="AF218" s="840"/>
      <c r="AG218" s="840"/>
      <c r="AH218" s="840"/>
      <c r="AI218" s="840"/>
      <c r="AJ218" s="840"/>
      <c r="AK218" s="840"/>
      <c r="AL218" s="840"/>
      <c r="AM218" s="840"/>
      <c r="AN218" s="840"/>
      <c r="AO218" s="840"/>
      <c r="AP218" s="840"/>
      <c r="AQ218" s="840"/>
      <c r="AR218" s="840"/>
      <c r="AS218" s="840"/>
      <c r="AT218" s="840"/>
      <c r="AU218" s="840"/>
      <c r="AV218" s="1067"/>
      <c r="AW218" s="1067"/>
      <c r="AX218" s="1067"/>
      <c r="AY218" s="1067"/>
      <c r="AZ218" s="1067"/>
      <c r="BA218" s="1067"/>
      <c r="BB218" s="1067"/>
      <c r="BC218" s="1067"/>
      <c r="BD218" s="1067"/>
      <c r="BE218" s="1386"/>
      <c r="BF218" s="1386"/>
      <c r="BG218" s="1386"/>
      <c r="BH218" s="1386"/>
      <c r="BI218" s="1386"/>
      <c r="BJ218" s="1386"/>
      <c r="BK218" s="1386"/>
      <c r="BL218" s="1386"/>
      <c r="BM218" s="1386"/>
      <c r="BN218" s="1386"/>
      <c r="BO218" s="1386"/>
      <c r="BP218" s="1386"/>
      <c r="BQ218" s="1386"/>
      <c r="BR218" s="1386"/>
      <c r="BS218" s="1386"/>
      <c r="BT218" s="1386"/>
      <c r="BU218" s="1386"/>
      <c r="BV218" s="1386"/>
      <c r="BW218" s="1511"/>
      <c r="BX218" s="1386"/>
      <c r="BY218" s="1386"/>
      <c r="BZ218" s="1386"/>
      <c r="CA218" s="1386"/>
      <c r="CB218" s="1386"/>
      <c r="CC218" s="1386"/>
      <c r="CD218" s="1386"/>
    </row>
    <row r="219" spans="1:123" ht="15" customHeight="1" x14ac:dyDescent="0.2">
      <c r="A219" s="889"/>
      <c r="B219" s="771"/>
      <c r="C219" s="771"/>
      <c r="D219" s="771"/>
      <c r="E219" s="774"/>
      <c r="F219" s="1438"/>
      <c r="G219" s="1438"/>
      <c r="H219" s="801"/>
      <c r="I219" s="887"/>
      <c r="K219" s="840"/>
      <c r="L219" s="1388"/>
      <c r="M219" s="1388"/>
      <c r="N219" s="1388"/>
      <c r="O219" s="1388"/>
      <c r="P219" s="1388"/>
      <c r="Q219" s="1388"/>
      <c r="R219" s="8" t="s">
        <v>4437</v>
      </c>
      <c r="S219" s="8" t="s">
        <v>3751</v>
      </c>
      <c r="T219" s="8" t="s">
        <v>4416</v>
      </c>
      <c r="U219" s="37"/>
      <c r="V219" s="1388"/>
      <c r="W219" s="1388"/>
      <c r="X219" s="1388"/>
      <c r="Y219" s="1388"/>
      <c r="Z219" s="1388"/>
      <c r="AA219" s="1388"/>
      <c r="AB219" s="1388"/>
      <c r="AC219" s="1388"/>
      <c r="AD219" s="1388"/>
      <c r="AE219" s="1388"/>
      <c r="AF219" s="1388"/>
      <c r="AG219" s="1388"/>
      <c r="AH219" s="1388"/>
      <c r="AI219" s="1388"/>
      <c r="AJ219" s="1388"/>
      <c r="AK219" s="1388"/>
      <c r="AL219" s="1388"/>
      <c r="AM219" s="1388"/>
      <c r="AN219" s="1388"/>
      <c r="AO219" s="1388"/>
      <c r="AP219" s="1388"/>
      <c r="AQ219" s="1388"/>
      <c r="AR219" s="1388"/>
      <c r="AS219" s="1388"/>
      <c r="AT219" s="1388"/>
      <c r="AU219" s="1388"/>
      <c r="AV219" s="1388"/>
      <c r="AW219" s="1388"/>
      <c r="AX219" s="1388"/>
      <c r="AY219" s="1388"/>
      <c r="AZ219" s="1388"/>
      <c r="BA219" s="1388"/>
      <c r="BB219" s="1388"/>
      <c r="BC219" s="1388"/>
      <c r="BD219" s="1388"/>
      <c r="BE219" s="1386"/>
      <c r="BF219" s="1386"/>
      <c r="BG219" s="1386"/>
      <c r="BH219" s="1386"/>
      <c r="BI219" s="1386"/>
      <c r="BJ219" s="1386"/>
      <c r="BK219" s="1386"/>
      <c r="BL219" s="1386"/>
      <c r="BM219" s="1386"/>
      <c r="BN219" s="1386"/>
      <c r="BO219" s="1386"/>
      <c r="BP219" s="1386"/>
      <c r="BQ219" s="1386"/>
      <c r="BR219" s="1386"/>
      <c r="BS219" s="1386"/>
      <c r="BT219" s="1386"/>
      <c r="BU219" s="1386"/>
      <c r="BV219" s="1386"/>
      <c r="BW219" s="1511"/>
      <c r="BX219" s="1386"/>
      <c r="BY219" s="1386"/>
      <c r="BZ219" s="1386"/>
      <c r="CA219" s="1386"/>
      <c r="CB219" s="1386"/>
      <c r="CC219" s="1386"/>
      <c r="CD219" s="1386"/>
    </row>
    <row r="220" spans="1:123" ht="15" hidden="1" customHeight="1" x14ac:dyDescent="0.2">
      <c r="A220" s="889"/>
      <c r="B220" s="771"/>
      <c r="C220" s="771"/>
      <c r="D220" s="771"/>
      <c r="E220" s="774"/>
      <c r="F220" s="1438"/>
      <c r="G220" s="1438"/>
      <c r="H220" s="801"/>
      <c r="I220" s="887"/>
      <c r="K220" s="840"/>
      <c r="L220" s="1386"/>
      <c r="M220" s="1386"/>
      <c r="N220" s="1386"/>
      <c r="O220" s="1386"/>
      <c r="P220" s="1386"/>
      <c r="Q220" s="1386"/>
      <c r="R220" s="8" t="s">
        <v>4438</v>
      </c>
      <c r="S220" s="8" t="s">
        <v>3752</v>
      </c>
      <c r="T220" s="8" t="s">
        <v>4417</v>
      </c>
      <c r="U220" s="37"/>
      <c r="V220" s="1386"/>
      <c r="W220" s="1386"/>
      <c r="X220" s="1386"/>
      <c r="Y220" s="1386"/>
      <c r="Z220" s="1386"/>
      <c r="AA220" s="1386"/>
      <c r="AB220" s="1386"/>
      <c r="AC220" s="1386"/>
      <c r="AD220" s="1386"/>
      <c r="AE220" s="1386"/>
      <c r="AF220" s="1386"/>
      <c r="AG220" s="1386"/>
      <c r="AH220" s="1386"/>
      <c r="AI220" s="1386"/>
      <c r="AJ220" s="1386"/>
      <c r="AK220" s="1386"/>
      <c r="AL220" s="1386"/>
      <c r="AM220" s="1386"/>
      <c r="AN220" s="1386"/>
      <c r="AO220" s="1386"/>
      <c r="AP220" s="1386"/>
      <c r="AQ220" s="1386"/>
      <c r="AR220" s="1386"/>
      <c r="AS220" s="1386"/>
      <c r="AT220" s="1386"/>
      <c r="AU220" s="1386"/>
      <c r="AV220" s="1386"/>
      <c r="AW220" s="1386"/>
      <c r="AX220" s="1386"/>
      <c r="AY220" s="1386"/>
      <c r="AZ220" s="1386"/>
      <c r="BA220" s="1386"/>
      <c r="BB220" s="1386"/>
      <c r="BC220" s="1386"/>
      <c r="BD220" s="1386"/>
      <c r="BE220" s="1067"/>
      <c r="BF220" s="1067"/>
      <c r="BG220" s="1067"/>
      <c r="BH220" s="1067"/>
      <c r="BI220" s="1067"/>
      <c r="BJ220" s="1067"/>
      <c r="BK220" s="1067"/>
      <c r="BL220" s="1067"/>
      <c r="BM220" s="1067"/>
      <c r="BN220" s="1067"/>
      <c r="BO220" s="1067"/>
      <c r="BP220" s="1067"/>
      <c r="BQ220" s="1067"/>
      <c r="BR220" s="1067"/>
      <c r="BS220" s="1067"/>
      <c r="BT220" s="1067"/>
      <c r="BU220" s="1067"/>
      <c r="BV220" s="1386"/>
      <c r="BW220" s="1511"/>
      <c r="BX220" s="1386"/>
      <c r="BY220" s="1386"/>
      <c r="BZ220" s="1386"/>
      <c r="CA220" s="1386"/>
      <c r="CB220" s="1386"/>
      <c r="CC220" s="1386"/>
      <c r="CD220" s="1067"/>
    </row>
    <row r="221" spans="1:123" ht="20.100000000000001" hidden="1" customHeight="1" x14ac:dyDescent="0.2">
      <c r="A221" s="2390" t="s">
        <v>5009</v>
      </c>
      <c r="B221" s="2390"/>
      <c r="C221" s="2390"/>
      <c r="D221" s="2390"/>
      <c r="E221" s="2390"/>
      <c r="F221" s="1593"/>
      <c r="G221" s="1591"/>
      <c r="H221" s="1591"/>
      <c r="I221" s="1593"/>
      <c r="K221" s="840"/>
      <c r="L221" s="1386"/>
      <c r="M221" s="1386"/>
      <c r="N221" s="1386"/>
      <c r="O221" s="1386"/>
      <c r="P221" s="1386"/>
      <c r="Q221" s="1386"/>
      <c r="R221" s="8" t="s">
        <v>4439</v>
      </c>
      <c r="S221" s="8" t="s">
        <v>3753</v>
      </c>
      <c r="T221" s="8" t="s">
        <v>4418</v>
      </c>
      <c r="U221" s="37"/>
      <c r="V221" s="1386"/>
      <c r="W221" s="1386"/>
      <c r="X221" s="1386"/>
      <c r="Y221" s="1386"/>
      <c r="Z221" s="1386"/>
      <c r="AA221" s="1386"/>
      <c r="AB221" s="1386"/>
      <c r="AC221" s="1386"/>
      <c r="AD221" s="1386"/>
      <c r="AE221" s="1386"/>
      <c r="AF221" s="1386"/>
      <c r="AG221" s="1386"/>
      <c r="AH221" s="1386"/>
      <c r="AI221" s="1386"/>
      <c r="AJ221" s="1386"/>
      <c r="AK221" s="1386"/>
      <c r="AL221" s="1386"/>
      <c r="AM221" s="1386"/>
      <c r="AN221" s="1386"/>
      <c r="AO221" s="1386"/>
      <c r="AP221" s="1386"/>
      <c r="AQ221" s="1386"/>
      <c r="AR221" s="1386"/>
      <c r="AS221" s="1386"/>
      <c r="AT221" s="1386"/>
      <c r="AU221" s="1386"/>
      <c r="AV221" s="1386"/>
      <c r="AW221" s="1386"/>
      <c r="AX221" s="1386"/>
      <c r="AY221" s="1386"/>
      <c r="AZ221" s="1386"/>
      <c r="BA221" s="1386"/>
      <c r="BB221" s="1386"/>
      <c r="BC221" s="1386"/>
      <c r="BD221" s="1386"/>
      <c r="BE221" s="1067"/>
      <c r="BF221" s="1067"/>
      <c r="BG221" s="1067"/>
      <c r="BH221" s="1067"/>
      <c r="BI221" s="1067"/>
      <c r="BJ221" s="1067"/>
      <c r="BK221" s="1067"/>
      <c r="BL221" s="1067"/>
      <c r="BM221" s="1067"/>
      <c r="BN221" s="1067"/>
      <c r="BO221" s="1067"/>
      <c r="BP221" s="1067"/>
      <c r="BQ221" s="1067"/>
      <c r="BR221" s="1067"/>
      <c r="BS221" s="1067"/>
      <c r="BT221" s="1067"/>
      <c r="BU221" s="1067"/>
      <c r="BV221" s="1386"/>
      <c r="BW221" s="1511"/>
      <c r="BX221" s="1386"/>
      <c r="BY221" s="1386"/>
      <c r="BZ221" s="1386"/>
      <c r="CA221" s="1386"/>
      <c r="CB221" s="1386"/>
      <c r="CC221" s="1386"/>
      <c r="CD221" s="1067"/>
    </row>
    <row r="222" spans="1:123" ht="20.100000000000001" hidden="1" customHeight="1" thickBot="1" x14ac:dyDescent="0.25">
      <c r="A222" s="2390"/>
      <c r="B222" s="2390"/>
      <c r="C222" s="2390"/>
      <c r="D222" s="2390"/>
      <c r="E222" s="2390"/>
      <c r="F222" s="1593"/>
      <c r="G222" s="1591"/>
      <c r="H222" s="1591"/>
      <c r="I222" s="1593"/>
      <c r="K222" s="840"/>
      <c r="L222" s="840"/>
      <c r="M222" s="840"/>
      <c r="R222" s="8" t="s">
        <v>4440</v>
      </c>
      <c r="S222" s="8" t="s">
        <v>3754</v>
      </c>
      <c r="T222" s="8" t="s">
        <v>4419</v>
      </c>
      <c r="U222" s="37"/>
      <c r="V222" s="840"/>
      <c r="W222" s="840"/>
      <c r="X222" s="840"/>
      <c r="Y222" s="840"/>
      <c r="Z222" s="840"/>
      <c r="AA222" s="840"/>
      <c r="AB222" s="840"/>
      <c r="AC222" s="840"/>
      <c r="AD222" s="840"/>
      <c r="AE222" s="840"/>
      <c r="AF222" s="840"/>
      <c r="AG222" s="840"/>
      <c r="AH222" s="840"/>
      <c r="AI222" s="840"/>
      <c r="AJ222" s="840"/>
      <c r="AK222" s="840"/>
      <c r="AL222" s="840"/>
      <c r="AM222" s="840"/>
      <c r="AN222" s="840"/>
      <c r="AO222" s="840"/>
      <c r="AP222" s="840"/>
      <c r="AQ222" s="840"/>
      <c r="AR222" s="840"/>
      <c r="AS222" s="840"/>
      <c r="AT222" s="840"/>
      <c r="AU222" s="840"/>
      <c r="AV222" s="1067"/>
      <c r="AW222" s="1067"/>
      <c r="AX222" s="1067"/>
      <c r="AY222" s="1067"/>
      <c r="AZ222" s="1067"/>
      <c r="BA222" s="1067"/>
      <c r="BB222" s="1067"/>
      <c r="BC222" s="1067"/>
      <c r="BD222" s="1067"/>
      <c r="BE222" s="1067"/>
      <c r="BF222" s="1067"/>
      <c r="BG222" s="1067"/>
      <c r="BH222" s="1067"/>
      <c r="BI222" s="1067"/>
      <c r="BJ222" s="1067"/>
      <c r="BK222" s="1067"/>
      <c r="BL222" s="1067"/>
      <c r="BM222" s="1067"/>
      <c r="BN222" s="1067"/>
      <c r="BO222" s="1067"/>
      <c r="BP222" s="1067"/>
      <c r="BQ222" s="1067"/>
      <c r="BR222" s="1067"/>
      <c r="BS222" s="1067"/>
      <c r="BT222" s="1067"/>
      <c r="BU222" s="1067"/>
      <c r="BV222" s="1386"/>
      <c r="BW222" s="1511"/>
      <c r="BX222" s="1386"/>
      <c r="BY222" s="1386"/>
      <c r="BZ222" s="1386"/>
      <c r="CA222" s="1386"/>
      <c r="CB222" s="1386"/>
      <c r="CC222" s="1386"/>
      <c r="CD222" s="1067"/>
    </row>
    <row r="223" spans="1:123" ht="13.5" hidden="1" customHeight="1" x14ac:dyDescent="0.2">
      <c r="A223" s="843"/>
      <c r="B223" s="1594" t="s">
        <v>96</v>
      </c>
      <c r="C223" s="2421" t="s">
        <v>98</v>
      </c>
      <c r="D223" s="2421"/>
      <c r="E223" s="1595"/>
      <c r="F223" s="2436" t="str">
        <f>IF(СОДЕРЖАНИЕ!P2=1,"EUR","RUB")</f>
        <v>RUB</v>
      </c>
      <c r="G223" s="2437"/>
      <c r="H223" s="2437"/>
      <c r="I223" s="2438"/>
      <c r="K223" s="840"/>
      <c r="L223" s="840"/>
      <c r="M223" s="840"/>
      <c r="N223" s="840"/>
      <c r="O223" s="840"/>
      <c r="P223" s="840"/>
      <c r="Q223" s="840"/>
      <c r="R223" s="840"/>
      <c r="S223" s="840"/>
      <c r="T223" s="840"/>
      <c r="U223" s="840"/>
      <c r="V223" s="840"/>
      <c r="W223" s="840"/>
      <c r="X223" s="840"/>
      <c r="Y223" s="840"/>
      <c r="Z223" s="840"/>
      <c r="AA223" s="840"/>
      <c r="AB223" s="840"/>
      <c r="AC223" s="840"/>
      <c r="AD223" s="840"/>
      <c r="AE223" s="840"/>
      <c r="AF223" s="840"/>
      <c r="AG223" s="840"/>
      <c r="AH223" s="840"/>
      <c r="AI223" s="840"/>
      <c r="AJ223" s="840"/>
      <c r="AK223" s="840"/>
      <c r="AL223" s="840"/>
      <c r="AM223" s="840"/>
      <c r="AN223" s="840"/>
      <c r="AO223" s="840"/>
      <c r="AP223" s="840"/>
      <c r="AQ223" s="840"/>
      <c r="AR223" s="840"/>
      <c r="AS223" s="840"/>
      <c r="AT223" s="840"/>
      <c r="AU223" s="840"/>
      <c r="AV223" s="1067"/>
      <c r="AW223" s="1067"/>
      <c r="AX223" s="1067"/>
      <c r="AY223" s="1067"/>
      <c r="AZ223" s="1067"/>
      <c r="BA223" s="1067"/>
      <c r="BB223" s="1067"/>
      <c r="BC223" s="1067"/>
      <c r="BD223" s="1067"/>
      <c r="BE223" s="1067"/>
      <c r="BF223" s="1067"/>
      <c r="BG223" s="1067"/>
      <c r="BH223" s="1067"/>
      <c r="BI223" s="1067"/>
      <c r="BJ223" s="1067"/>
      <c r="BK223" s="1067"/>
      <c r="BL223" s="1067"/>
      <c r="BM223" s="1067"/>
      <c r="BN223" s="1067"/>
      <c r="BO223" s="1067"/>
      <c r="BP223" s="1067"/>
      <c r="BQ223" s="1067"/>
      <c r="BR223" s="1067"/>
      <c r="BS223" s="1067"/>
      <c r="BT223" s="1067"/>
      <c r="BU223" s="1067"/>
      <c r="BV223" s="1386"/>
      <c r="BW223" s="1511"/>
      <c r="BX223" s="1386"/>
      <c r="BY223" s="1386"/>
      <c r="BZ223" s="1386"/>
      <c r="CA223" s="1386"/>
      <c r="CB223" s="1386"/>
      <c r="CC223" s="1386"/>
      <c r="CD223" s="1067"/>
    </row>
    <row r="224" spans="1:123" ht="15" hidden="1" customHeight="1" x14ac:dyDescent="0.2">
      <c r="A224" s="843"/>
      <c r="B224" s="1596" t="s">
        <v>4125</v>
      </c>
      <c r="C224" s="2420" t="s">
        <v>5010</v>
      </c>
      <c r="D224" s="2420"/>
      <c r="E224" s="1592">
        <v>1</v>
      </c>
      <c r="F224" s="2433">
        <f t="shared" ref="F224:F255" si="71">VLOOKUP(B224,всецены,4,FALSE)</f>
        <v>0</v>
      </c>
      <c r="G224" s="2434"/>
      <c r="H224" s="2434"/>
      <c r="I224" s="2435"/>
      <c r="K224" s="840"/>
      <c r="L224" s="840"/>
      <c r="M224" s="840"/>
      <c r="N224" s="840"/>
      <c r="O224" s="840"/>
      <c r="P224" s="840"/>
      <c r="Q224" s="840"/>
      <c r="R224" s="840"/>
      <c r="S224" s="840"/>
      <c r="T224" s="8" t="s">
        <v>4420</v>
      </c>
      <c r="U224" s="840"/>
      <c r="V224" s="840"/>
      <c r="W224" s="840"/>
      <c r="X224" s="840"/>
      <c r="Y224" s="840"/>
      <c r="Z224" s="840"/>
      <c r="AA224" s="840"/>
      <c r="AB224" s="840"/>
      <c r="AC224" s="840"/>
      <c r="AD224" s="840"/>
      <c r="AE224" s="840"/>
      <c r="AF224" s="840"/>
      <c r="AG224" s="840"/>
      <c r="AH224" s="840"/>
      <c r="AI224" s="840"/>
      <c r="AJ224" s="840"/>
      <c r="AK224" s="840"/>
      <c r="AL224" s="840"/>
      <c r="AM224" s="840"/>
      <c r="AN224" s="840"/>
      <c r="AO224" s="840"/>
      <c r="AP224" s="840"/>
      <c r="AQ224" s="840"/>
      <c r="AR224" s="840"/>
      <c r="AS224" s="840"/>
      <c r="AT224" s="840"/>
      <c r="AU224" s="840"/>
      <c r="AV224" s="1067"/>
      <c r="AW224" s="1067"/>
      <c r="AX224" s="1067"/>
      <c r="AY224" s="1067"/>
      <c r="AZ224" s="1067"/>
      <c r="BA224" s="1067"/>
      <c r="BB224" s="1067"/>
      <c r="BC224" s="1067"/>
      <c r="BD224" s="1067"/>
      <c r="BE224" s="1067"/>
      <c r="BF224" s="1067"/>
      <c r="BG224" s="1067"/>
      <c r="BH224" s="1067"/>
      <c r="BI224" s="1067"/>
      <c r="BJ224" s="1067"/>
      <c r="BK224" s="1067"/>
      <c r="BL224" s="1067"/>
      <c r="BM224" s="1067"/>
      <c r="BN224" s="1067"/>
      <c r="BO224" s="1067"/>
      <c r="BP224" s="1067"/>
      <c r="BQ224" s="1067"/>
      <c r="BR224" s="1067"/>
      <c r="BS224" s="1067"/>
      <c r="BT224" s="1067"/>
      <c r="BU224" s="1067"/>
      <c r="BV224" s="1386"/>
      <c r="BW224" s="1511"/>
      <c r="BX224" s="1386"/>
      <c r="BY224" s="1386"/>
      <c r="BZ224" s="1386"/>
      <c r="CA224" s="1386"/>
      <c r="CB224" s="1386"/>
      <c r="CC224" s="1386"/>
      <c r="CD224" s="1067"/>
    </row>
    <row r="225" spans="1:123" ht="15" hidden="1" customHeight="1" x14ac:dyDescent="0.2">
      <c r="A225" s="843"/>
      <c r="B225" s="1596" t="s">
        <v>4129</v>
      </c>
      <c r="C225" s="2420" t="s">
        <v>4130</v>
      </c>
      <c r="D225" s="2420"/>
      <c r="E225" s="1592">
        <v>1</v>
      </c>
      <c r="F225" s="2433">
        <f t="shared" si="71"/>
        <v>0</v>
      </c>
      <c r="G225" s="2434"/>
      <c r="H225" s="2434"/>
      <c r="I225" s="2435"/>
      <c r="K225" s="840"/>
      <c r="L225" s="840"/>
      <c r="M225" s="840"/>
      <c r="N225" s="840"/>
      <c r="O225" s="840"/>
      <c r="P225" s="840"/>
      <c r="Q225" s="840"/>
      <c r="R225" s="840"/>
      <c r="U225" s="840"/>
      <c r="V225" s="840"/>
      <c r="W225" s="840"/>
      <c r="X225" s="840"/>
      <c r="Y225" s="840"/>
      <c r="Z225" s="840"/>
      <c r="AA225" s="840"/>
      <c r="AB225" s="840"/>
      <c r="AC225" s="840"/>
      <c r="AD225" s="840"/>
      <c r="AE225" s="840"/>
      <c r="AF225" s="840"/>
      <c r="AG225" s="840"/>
      <c r="AH225" s="840"/>
      <c r="AI225" s="840"/>
      <c r="AJ225" s="840"/>
      <c r="AK225" s="840"/>
      <c r="AL225" s="840"/>
      <c r="AM225" s="840"/>
      <c r="AN225" s="840"/>
      <c r="AO225" s="840"/>
      <c r="AP225" s="840"/>
      <c r="AQ225" s="840"/>
      <c r="AR225" s="840"/>
      <c r="AS225" s="840"/>
      <c r="AT225" s="840"/>
      <c r="AU225" s="840"/>
      <c r="AV225" s="1067"/>
      <c r="AW225" s="1067"/>
      <c r="AX225" s="1067"/>
      <c r="AY225" s="1067"/>
      <c r="AZ225" s="1067"/>
      <c r="BA225" s="1067"/>
      <c r="BB225" s="1067"/>
      <c r="BC225" s="1067"/>
      <c r="BD225" s="1067"/>
      <c r="BE225" s="1067"/>
      <c r="BF225" s="1067"/>
      <c r="BG225" s="1067"/>
      <c r="BH225" s="1067"/>
      <c r="BI225" s="1067"/>
      <c r="BJ225" s="1067"/>
      <c r="BK225" s="1067"/>
      <c r="BL225" s="1067"/>
      <c r="BM225" s="1067"/>
      <c r="BN225" s="1067"/>
      <c r="BO225" s="1067"/>
      <c r="BP225" s="1067"/>
      <c r="BQ225" s="1067"/>
      <c r="BR225" s="1067"/>
      <c r="BS225" s="1067"/>
      <c r="BT225" s="1067"/>
      <c r="BU225" s="1067"/>
      <c r="BV225" s="1386"/>
      <c r="BW225" s="1511"/>
      <c r="BX225" s="1386"/>
      <c r="BY225" s="1386"/>
      <c r="BZ225" s="1386"/>
      <c r="CA225" s="1386"/>
      <c r="CB225" s="1386"/>
      <c r="CC225" s="1386"/>
      <c r="CD225" s="1067"/>
    </row>
    <row r="226" spans="1:123" ht="15" hidden="1" customHeight="1" x14ac:dyDescent="0.2">
      <c r="A226" s="843"/>
      <c r="B226" s="1596" t="s">
        <v>4133</v>
      </c>
      <c r="C226" s="2420" t="s">
        <v>5011</v>
      </c>
      <c r="D226" s="2420"/>
      <c r="E226" s="1592">
        <v>1</v>
      </c>
      <c r="F226" s="2433">
        <f t="shared" si="71"/>
        <v>0</v>
      </c>
      <c r="G226" s="2434"/>
      <c r="H226" s="2434"/>
      <c r="I226" s="2435"/>
      <c r="K226" s="840"/>
      <c r="L226" s="840"/>
      <c r="M226" s="840"/>
      <c r="N226" s="840"/>
      <c r="O226" s="840"/>
      <c r="P226" s="840"/>
      <c r="Q226" s="840"/>
      <c r="R226" s="840"/>
      <c r="U226" s="840"/>
      <c r="V226" s="840"/>
      <c r="W226" s="840"/>
      <c r="X226" s="840"/>
      <c r="Y226" s="840"/>
      <c r="Z226" s="840"/>
      <c r="AA226" s="840"/>
      <c r="AB226" s="840"/>
      <c r="AC226" s="840"/>
      <c r="AD226" s="840"/>
      <c r="AE226" s="840"/>
      <c r="AF226" s="840"/>
      <c r="AG226" s="840"/>
      <c r="AH226" s="840"/>
      <c r="AI226" s="840"/>
      <c r="AJ226" s="840"/>
      <c r="AK226" s="840"/>
      <c r="AL226" s="840"/>
      <c r="AM226" s="840"/>
      <c r="AN226" s="840"/>
      <c r="AO226" s="840"/>
      <c r="AP226" s="840"/>
      <c r="AQ226" s="840"/>
      <c r="AR226" s="840"/>
      <c r="AS226" s="840"/>
      <c r="AT226" s="840"/>
      <c r="AU226" s="840"/>
      <c r="AV226" s="1067"/>
      <c r="AW226" s="1067"/>
      <c r="AX226" s="1067"/>
      <c r="AY226" s="1067"/>
      <c r="AZ226" s="1067"/>
      <c r="BA226" s="1067"/>
      <c r="BB226" s="1067"/>
      <c r="BC226" s="1067"/>
      <c r="BD226" s="1067"/>
      <c r="BE226" s="1067"/>
      <c r="BF226" s="1067"/>
      <c r="BG226" s="1067"/>
      <c r="BH226" s="1067"/>
      <c r="BI226" s="1067"/>
      <c r="BJ226" s="1067"/>
      <c r="BK226" s="1067"/>
      <c r="BL226" s="1067"/>
      <c r="BM226" s="1067"/>
      <c r="BN226" s="1067"/>
      <c r="BO226" s="1067"/>
      <c r="BP226" s="1067"/>
      <c r="BQ226" s="1067"/>
      <c r="BR226" s="1067"/>
      <c r="BS226" s="1067"/>
      <c r="BT226" s="1067"/>
      <c r="BU226" s="1067"/>
      <c r="BV226" s="1386"/>
      <c r="BW226" s="1511"/>
      <c r="BX226" s="1386"/>
      <c r="BY226" s="1386"/>
      <c r="BZ226" s="1386"/>
      <c r="CA226" s="1386"/>
      <c r="CB226" s="1386"/>
      <c r="CC226" s="1386"/>
      <c r="CD226" s="1067"/>
    </row>
    <row r="227" spans="1:123" ht="15" hidden="1" customHeight="1" x14ac:dyDescent="0.2">
      <c r="A227" s="843"/>
      <c r="B227" s="1596" t="s">
        <v>4131</v>
      </c>
      <c r="C227" s="2420" t="s">
        <v>5012</v>
      </c>
      <c r="D227" s="2420"/>
      <c r="E227" s="1592">
        <v>1</v>
      </c>
      <c r="F227" s="2433">
        <f t="shared" si="71"/>
        <v>0</v>
      </c>
      <c r="G227" s="2434"/>
      <c r="H227" s="2434"/>
      <c r="I227" s="2435"/>
      <c r="K227" s="840"/>
      <c r="L227" s="840"/>
      <c r="M227" s="840"/>
      <c r="N227" s="840"/>
      <c r="O227" s="840"/>
      <c r="P227" s="840"/>
      <c r="Q227" s="840"/>
      <c r="R227" s="840"/>
      <c r="U227" s="840"/>
      <c r="V227" s="840"/>
      <c r="W227" s="840"/>
      <c r="X227" s="840"/>
      <c r="Y227" s="840"/>
      <c r="Z227" s="840"/>
      <c r="AA227" s="840"/>
      <c r="AB227" s="840"/>
      <c r="AC227" s="840"/>
      <c r="AD227" s="840"/>
      <c r="AE227" s="840"/>
      <c r="AF227" s="840"/>
      <c r="AG227" s="840"/>
      <c r="AH227" s="840"/>
      <c r="AI227" s="840"/>
      <c r="AJ227" s="840"/>
      <c r="AK227" s="840"/>
      <c r="AL227" s="840"/>
      <c r="AM227" s="840"/>
      <c r="AN227" s="840"/>
      <c r="AO227" s="840"/>
      <c r="AP227" s="840"/>
      <c r="AQ227" s="840"/>
      <c r="AR227" s="840"/>
      <c r="AS227" s="840"/>
      <c r="AT227" s="840"/>
      <c r="AU227" s="840"/>
      <c r="AV227" s="1067"/>
      <c r="AW227" s="1067"/>
      <c r="AX227" s="1067"/>
      <c r="AY227" s="1067"/>
      <c r="AZ227" s="1067"/>
      <c r="BA227" s="1067"/>
      <c r="BB227" s="1067"/>
      <c r="BC227" s="1067"/>
      <c r="BD227" s="1067"/>
      <c r="BE227" s="1067"/>
      <c r="BF227" s="1067"/>
      <c r="BG227" s="1067"/>
      <c r="BH227" s="1067"/>
      <c r="BI227" s="1067"/>
      <c r="BJ227" s="1067"/>
      <c r="BK227" s="1067"/>
      <c r="BL227" s="1067"/>
      <c r="BM227" s="1067"/>
      <c r="BN227" s="1067"/>
      <c r="BO227" s="1067"/>
      <c r="BP227" s="1067"/>
      <c r="BQ227" s="1067"/>
      <c r="BR227" s="1067"/>
      <c r="BS227" s="1067"/>
      <c r="BT227" s="1067"/>
      <c r="BU227" s="1067"/>
      <c r="BV227" s="1386"/>
      <c r="BW227" s="1511"/>
      <c r="BX227" s="1386"/>
      <c r="BY227" s="1386"/>
      <c r="BZ227" s="1386"/>
      <c r="CA227" s="1386"/>
      <c r="CB227" s="1386"/>
      <c r="CC227" s="1386"/>
      <c r="CD227" s="1067"/>
    </row>
    <row r="228" spans="1:123" ht="15" hidden="1" customHeight="1" x14ac:dyDescent="0.2">
      <c r="A228" s="843"/>
      <c r="B228" s="1596" t="s">
        <v>4132</v>
      </c>
      <c r="C228" s="2420" t="s">
        <v>5013</v>
      </c>
      <c r="D228" s="2420"/>
      <c r="E228" s="1592">
        <v>1</v>
      </c>
      <c r="F228" s="2433">
        <f t="shared" si="71"/>
        <v>0</v>
      </c>
      <c r="G228" s="2434"/>
      <c r="H228" s="2434"/>
      <c r="I228" s="2435"/>
      <c r="K228" s="840"/>
      <c r="L228" s="840"/>
      <c r="M228" s="840"/>
      <c r="N228" s="840"/>
      <c r="O228" s="840"/>
      <c r="P228" s="840"/>
      <c r="Q228" s="840"/>
      <c r="R228" s="840"/>
      <c r="U228" s="840"/>
      <c r="V228" s="840"/>
      <c r="W228" s="840"/>
      <c r="X228" s="840"/>
      <c r="Y228" s="840"/>
      <c r="Z228" s="840"/>
      <c r="AA228" s="840"/>
      <c r="AB228" s="840"/>
      <c r="AC228" s="840"/>
      <c r="AD228" s="840"/>
      <c r="AE228" s="840"/>
      <c r="AF228" s="840"/>
      <c r="AG228" s="840"/>
      <c r="AH228" s="840"/>
      <c r="AI228" s="840"/>
      <c r="AJ228" s="840"/>
      <c r="AK228" s="840"/>
      <c r="AL228" s="840"/>
      <c r="AM228" s="840"/>
      <c r="AN228" s="840"/>
      <c r="AO228" s="840"/>
      <c r="AP228" s="840"/>
      <c r="AQ228" s="840"/>
      <c r="AR228" s="840"/>
      <c r="AS228" s="840"/>
      <c r="AT228" s="840"/>
      <c r="AU228" s="840"/>
      <c r="AV228" s="1067"/>
      <c r="AW228" s="1067"/>
      <c r="AX228" s="1067"/>
      <c r="AY228" s="1067"/>
      <c r="AZ228" s="1067"/>
      <c r="BA228" s="1067"/>
      <c r="BB228" s="1067"/>
      <c r="BC228" s="1067"/>
      <c r="BD228" s="1067"/>
      <c r="BE228" s="1067"/>
      <c r="BF228" s="1067"/>
      <c r="BG228" s="1067"/>
      <c r="BH228" s="1067"/>
      <c r="BI228" s="1067"/>
      <c r="BJ228" s="1067"/>
      <c r="BK228" s="1067"/>
      <c r="BL228" s="1067"/>
      <c r="BM228" s="1067"/>
      <c r="BN228" s="1067"/>
      <c r="BO228" s="1067"/>
      <c r="BP228" s="1067"/>
      <c r="BQ228" s="1067"/>
      <c r="BR228" s="1067"/>
      <c r="BS228" s="1067"/>
      <c r="BT228" s="1067"/>
      <c r="BU228" s="1067"/>
      <c r="BV228" s="1386"/>
      <c r="BW228" s="1511"/>
      <c r="BX228" s="1386"/>
      <c r="BY228" s="1386"/>
      <c r="BZ228" s="1386"/>
      <c r="CA228" s="1386"/>
      <c r="CB228" s="1386"/>
      <c r="CC228" s="1386"/>
      <c r="CD228" s="1067"/>
    </row>
    <row r="229" spans="1:123" ht="15" hidden="1" customHeight="1" x14ac:dyDescent="0.2">
      <c r="A229" s="843"/>
      <c r="B229" s="1596" t="s">
        <v>4128</v>
      </c>
      <c r="C229" s="2420" t="s">
        <v>5014</v>
      </c>
      <c r="D229" s="2420"/>
      <c r="E229" s="1592">
        <v>1</v>
      </c>
      <c r="F229" s="2433">
        <f t="shared" si="71"/>
        <v>0</v>
      </c>
      <c r="G229" s="2434"/>
      <c r="H229" s="2434"/>
      <c r="I229" s="2435"/>
      <c r="K229" s="840"/>
      <c r="L229" s="840"/>
      <c r="M229" s="840"/>
      <c r="N229" s="840"/>
      <c r="O229" s="840"/>
      <c r="P229" s="840"/>
      <c r="Q229" s="840"/>
      <c r="R229" s="840"/>
      <c r="U229" s="840"/>
      <c r="V229" s="840"/>
      <c r="W229" s="840"/>
      <c r="X229" s="840"/>
      <c r="Y229" s="840"/>
      <c r="Z229" s="840"/>
      <c r="AA229" s="840"/>
      <c r="AB229" s="840"/>
      <c r="AC229" s="840"/>
      <c r="AD229" s="840"/>
      <c r="AE229" s="840"/>
      <c r="AF229" s="840"/>
      <c r="AG229" s="840"/>
      <c r="AH229" s="840"/>
      <c r="AI229" s="840"/>
      <c r="AJ229" s="840"/>
      <c r="AK229" s="840"/>
      <c r="AL229" s="840"/>
      <c r="AM229" s="840"/>
      <c r="AN229" s="840"/>
      <c r="AO229" s="840"/>
      <c r="AP229" s="840"/>
      <c r="AQ229" s="840"/>
      <c r="AR229" s="840"/>
      <c r="AS229" s="840"/>
      <c r="AT229" s="840"/>
      <c r="AU229" s="840"/>
      <c r="AV229" s="1067"/>
      <c r="AW229" s="1067"/>
      <c r="AX229" s="1067"/>
      <c r="AY229" s="1067"/>
      <c r="AZ229" s="1067"/>
      <c r="BA229" s="1067"/>
      <c r="BB229" s="1067"/>
      <c r="BC229" s="1067"/>
      <c r="BD229" s="1067"/>
      <c r="BE229" s="1067"/>
      <c r="BF229" s="1067"/>
      <c r="BG229" s="1067"/>
      <c r="BH229" s="1067"/>
      <c r="BI229" s="1067"/>
      <c r="BJ229" s="1067"/>
      <c r="BK229" s="1067"/>
      <c r="BL229" s="1067"/>
      <c r="BM229" s="1067"/>
      <c r="BN229" s="1067"/>
      <c r="BO229" s="1067"/>
      <c r="BP229" s="1067"/>
      <c r="BQ229" s="1067"/>
      <c r="BR229" s="1067"/>
      <c r="BS229" s="1067"/>
      <c r="BT229" s="1067"/>
      <c r="BU229" s="1067"/>
      <c r="BV229" s="1386"/>
      <c r="BW229" s="1511"/>
      <c r="BX229" s="1386"/>
      <c r="BY229" s="1386"/>
      <c r="BZ229" s="1386"/>
      <c r="CA229" s="1386"/>
      <c r="CB229" s="1386"/>
      <c r="CC229" s="1386"/>
      <c r="CD229" s="1067"/>
    </row>
    <row r="230" spans="1:123" ht="15" hidden="1" customHeight="1" x14ac:dyDescent="0.2">
      <c r="A230" s="843"/>
      <c r="B230" s="1596" t="s">
        <v>4126</v>
      </c>
      <c r="C230" s="2420" t="s">
        <v>5015</v>
      </c>
      <c r="D230" s="2420"/>
      <c r="E230" s="1592">
        <v>1</v>
      </c>
      <c r="F230" s="2433">
        <f t="shared" si="71"/>
        <v>0</v>
      </c>
      <c r="G230" s="2434"/>
      <c r="H230" s="2434"/>
      <c r="I230" s="2435"/>
      <c r="K230" s="840"/>
      <c r="L230" s="840"/>
      <c r="M230" s="840"/>
      <c r="N230" s="840"/>
      <c r="O230" s="840"/>
      <c r="P230" s="840"/>
      <c r="Q230" s="840"/>
      <c r="R230" s="840"/>
      <c r="U230" s="840"/>
      <c r="V230" s="840"/>
      <c r="W230" s="840"/>
      <c r="X230" s="840"/>
      <c r="Y230" s="840"/>
      <c r="Z230" s="840"/>
      <c r="AA230" s="840"/>
      <c r="AB230" s="840"/>
      <c r="AC230" s="840"/>
      <c r="AD230" s="840"/>
      <c r="AE230" s="840"/>
      <c r="AF230" s="840"/>
      <c r="AG230" s="840"/>
      <c r="AH230" s="840"/>
      <c r="AI230" s="840"/>
      <c r="AJ230" s="840"/>
      <c r="AK230" s="840"/>
      <c r="AL230" s="840"/>
      <c r="AM230" s="840"/>
      <c r="AN230" s="840"/>
      <c r="AO230" s="840"/>
      <c r="AP230" s="840"/>
      <c r="AQ230" s="840"/>
      <c r="AR230" s="840"/>
      <c r="AS230" s="840"/>
      <c r="AT230" s="840"/>
      <c r="AU230" s="840"/>
      <c r="AV230" s="1067"/>
      <c r="AW230" s="1067"/>
      <c r="AX230" s="1067"/>
      <c r="AY230" s="1067"/>
      <c r="AZ230" s="1067"/>
      <c r="BA230" s="1067"/>
      <c r="BB230" s="1067"/>
      <c r="BC230" s="1067"/>
      <c r="BD230" s="1067"/>
      <c r="BE230" s="1067"/>
      <c r="BF230" s="1067"/>
      <c r="BG230" s="1067"/>
      <c r="BH230" s="1067"/>
      <c r="BI230" s="1067"/>
      <c r="BJ230" s="1067"/>
      <c r="BK230" s="1067"/>
      <c r="BL230" s="1067"/>
      <c r="BM230" s="1067"/>
      <c r="BN230" s="1067"/>
      <c r="BO230" s="1067"/>
      <c r="BP230" s="1067"/>
      <c r="BQ230" s="1067"/>
      <c r="BR230" s="1067"/>
      <c r="BS230" s="1067"/>
      <c r="BT230" s="1067"/>
      <c r="BU230" s="1067"/>
      <c r="BV230" s="1386"/>
      <c r="BW230" s="1511"/>
      <c r="BX230" s="1386"/>
      <c r="BY230" s="1386"/>
      <c r="BZ230" s="1386"/>
      <c r="CA230" s="1386"/>
      <c r="CB230" s="1386"/>
      <c r="CC230" s="1386"/>
      <c r="CD230" s="1067"/>
    </row>
    <row r="231" spans="1:123" ht="15" hidden="1" customHeight="1" x14ac:dyDescent="0.2">
      <c r="A231" s="843"/>
      <c r="B231" s="1596" t="s">
        <v>4127</v>
      </c>
      <c r="C231" s="2420" t="s">
        <v>5016</v>
      </c>
      <c r="D231" s="2420"/>
      <c r="E231" s="1592">
        <v>1</v>
      </c>
      <c r="F231" s="2433">
        <f t="shared" si="71"/>
        <v>0</v>
      </c>
      <c r="G231" s="2434"/>
      <c r="H231" s="2434"/>
      <c r="I231" s="2435"/>
      <c r="K231" s="840"/>
      <c r="L231" s="840"/>
      <c r="M231" s="840"/>
      <c r="N231" s="840"/>
      <c r="O231" s="840"/>
      <c r="P231" s="840"/>
      <c r="Q231" s="840"/>
      <c r="R231" s="840"/>
      <c r="U231" s="840"/>
      <c r="V231" s="840"/>
      <c r="W231" s="840"/>
      <c r="X231" s="840"/>
      <c r="Y231" s="840"/>
      <c r="Z231" s="840"/>
      <c r="AA231" s="840"/>
      <c r="AB231" s="840"/>
      <c r="AC231" s="840"/>
      <c r="AD231" s="840"/>
      <c r="AE231" s="840"/>
      <c r="AF231" s="840"/>
      <c r="AG231" s="840"/>
      <c r="AH231" s="840"/>
      <c r="AI231" s="840"/>
      <c r="AJ231" s="840"/>
      <c r="AK231" s="840"/>
      <c r="AL231" s="840"/>
      <c r="AM231" s="840"/>
      <c r="AN231" s="840"/>
      <c r="AO231" s="840"/>
      <c r="AP231" s="840"/>
      <c r="AQ231" s="840"/>
      <c r="AR231" s="840"/>
      <c r="AS231" s="840"/>
      <c r="AT231" s="840"/>
      <c r="AU231" s="840"/>
      <c r="AV231" s="1067"/>
      <c r="AW231" s="1067"/>
      <c r="AX231" s="1067"/>
      <c r="AY231" s="1067"/>
      <c r="AZ231" s="1067"/>
      <c r="BA231" s="1067"/>
      <c r="BB231" s="1067"/>
      <c r="BC231" s="1067"/>
      <c r="BD231" s="1067"/>
      <c r="BE231" s="1067"/>
      <c r="BF231" s="1067"/>
      <c r="BG231" s="1067"/>
      <c r="BH231" s="1067"/>
      <c r="BI231" s="1067"/>
      <c r="BJ231" s="1067"/>
      <c r="BK231" s="1067"/>
      <c r="BL231" s="1067"/>
      <c r="BM231" s="1067"/>
      <c r="BN231" s="1067"/>
      <c r="BO231" s="1067"/>
      <c r="BP231" s="1067"/>
      <c r="BQ231" s="1067"/>
      <c r="BR231" s="1067"/>
      <c r="BS231" s="1067"/>
      <c r="BT231" s="1067"/>
      <c r="BU231" s="1067"/>
      <c r="BV231" s="1386"/>
      <c r="BW231" s="1511"/>
      <c r="BX231" s="1386"/>
      <c r="BY231" s="1386"/>
      <c r="BZ231" s="1386"/>
      <c r="CA231" s="1386"/>
      <c r="CB231" s="1386"/>
      <c r="CC231" s="1386"/>
      <c r="CD231" s="1067"/>
    </row>
    <row r="232" spans="1:123" s="1386" customFormat="1" ht="15" hidden="1" customHeight="1" x14ac:dyDescent="0.2">
      <c r="A232" s="843"/>
      <c r="B232" s="1596" t="s">
        <v>4106</v>
      </c>
      <c r="C232" s="2420" t="s">
        <v>5017</v>
      </c>
      <c r="D232" s="2420"/>
      <c r="E232" s="1592">
        <v>1</v>
      </c>
      <c r="F232" s="2433">
        <f t="shared" si="71"/>
        <v>0</v>
      </c>
      <c r="G232" s="2434"/>
      <c r="H232" s="2434"/>
      <c r="I232" s="2435"/>
      <c r="J232" s="771"/>
      <c r="K232" s="840"/>
      <c r="L232" s="840"/>
      <c r="M232" s="840"/>
      <c r="N232" s="840"/>
      <c r="O232" s="840"/>
      <c r="P232" s="840"/>
      <c r="Q232" s="840"/>
      <c r="R232" s="840"/>
      <c r="S232" s="8"/>
      <c r="T232" s="8"/>
      <c r="U232" s="840"/>
      <c r="V232" s="840"/>
      <c r="W232" s="840"/>
      <c r="X232" s="840"/>
      <c r="Y232" s="840"/>
      <c r="Z232" s="840"/>
      <c r="AA232" s="840"/>
      <c r="AB232" s="840"/>
      <c r="AC232" s="840"/>
      <c r="AD232" s="840"/>
      <c r="AE232" s="840"/>
      <c r="AF232" s="840"/>
      <c r="AG232" s="840"/>
      <c r="AH232" s="840"/>
      <c r="AI232" s="840"/>
      <c r="AJ232" s="840"/>
      <c r="AK232" s="840"/>
      <c r="AL232" s="840"/>
      <c r="AM232" s="840"/>
      <c r="AN232" s="840"/>
      <c r="AO232" s="840"/>
      <c r="AP232" s="840"/>
      <c r="AQ232" s="840"/>
      <c r="AR232" s="840"/>
      <c r="AS232" s="840"/>
      <c r="AT232" s="840"/>
      <c r="AU232" s="840"/>
      <c r="AV232" s="1067"/>
      <c r="AW232" s="1067"/>
      <c r="AX232" s="1067"/>
      <c r="AY232" s="1067"/>
      <c r="AZ232" s="1067"/>
      <c r="BA232" s="1067"/>
      <c r="BB232" s="1067"/>
      <c r="BC232" s="1067"/>
      <c r="BD232" s="1067"/>
      <c r="BE232" s="1067"/>
      <c r="BF232" s="1067"/>
      <c r="BG232" s="1067"/>
      <c r="BH232" s="1067"/>
      <c r="BI232" s="1067"/>
      <c r="BJ232" s="1067"/>
      <c r="BK232" s="1067"/>
      <c r="BL232" s="1067"/>
      <c r="BM232" s="1067"/>
      <c r="BN232" s="1067"/>
      <c r="BO232" s="1067"/>
      <c r="BP232" s="1067"/>
      <c r="BQ232" s="1067"/>
      <c r="BR232" s="1067"/>
      <c r="BS232" s="1067"/>
      <c r="BT232" s="1067"/>
      <c r="BU232" s="1067"/>
      <c r="BW232" s="1511"/>
      <c r="CD232" s="1067"/>
      <c r="CE232" s="771"/>
      <c r="CF232" s="771"/>
      <c r="CG232" s="771"/>
      <c r="CH232" s="771"/>
      <c r="CI232" s="771"/>
      <c r="CJ232" s="771"/>
      <c r="CK232" s="771"/>
      <c r="CL232" s="771"/>
      <c r="CM232" s="771"/>
      <c r="CN232" s="771"/>
      <c r="CO232" s="771"/>
      <c r="CP232" s="771"/>
      <c r="CQ232" s="771"/>
      <c r="CR232" s="771"/>
      <c r="CS232" s="771"/>
      <c r="CT232" s="771"/>
      <c r="CU232" s="771"/>
      <c r="CV232" s="771"/>
      <c r="CW232" s="771"/>
      <c r="CX232" s="771"/>
      <c r="CY232" s="771"/>
      <c r="CZ232" s="771"/>
      <c r="DA232" s="771"/>
      <c r="DB232" s="771"/>
      <c r="DC232" s="771"/>
      <c r="DD232" s="771"/>
      <c r="DE232" s="771"/>
      <c r="DF232" s="771"/>
      <c r="DG232" s="771"/>
      <c r="DH232" s="771"/>
      <c r="DI232" s="771"/>
      <c r="DJ232" s="771"/>
      <c r="DK232" s="771"/>
      <c r="DL232" s="771"/>
      <c r="DM232" s="771"/>
      <c r="DN232" s="771"/>
      <c r="DO232" s="771"/>
      <c r="DP232" s="771"/>
      <c r="DQ232" s="771"/>
      <c r="DR232" s="771"/>
      <c r="DS232" s="771"/>
    </row>
    <row r="233" spans="1:123" ht="15" hidden="1" customHeight="1" x14ac:dyDescent="0.2">
      <c r="A233" s="843"/>
      <c r="B233" s="1596" t="s">
        <v>4110</v>
      </c>
      <c r="C233" s="2420" t="s">
        <v>5018</v>
      </c>
      <c r="D233" s="2420"/>
      <c r="E233" s="1592">
        <v>1</v>
      </c>
      <c r="F233" s="2433">
        <f t="shared" si="71"/>
        <v>0</v>
      </c>
      <c r="G233" s="2434"/>
      <c r="H233" s="2434"/>
      <c r="I233" s="2435"/>
      <c r="K233" s="1386"/>
      <c r="L233" s="840"/>
      <c r="M233" s="840"/>
      <c r="N233" s="840"/>
      <c r="O233" s="840"/>
      <c r="P233" s="840"/>
      <c r="Q233" s="840"/>
      <c r="R233" s="840"/>
      <c r="U233" s="840"/>
      <c r="V233" s="840"/>
      <c r="W233" s="840"/>
      <c r="X233" s="840"/>
      <c r="Y233" s="840"/>
      <c r="Z233" s="840"/>
      <c r="AA233" s="840"/>
      <c r="AB233" s="840"/>
      <c r="AC233" s="840"/>
      <c r="AD233" s="840"/>
      <c r="AE233" s="840"/>
      <c r="AF233" s="840"/>
      <c r="AG233" s="840"/>
      <c r="AH233" s="840"/>
      <c r="AI233" s="840"/>
      <c r="AJ233" s="840"/>
      <c r="AK233" s="840"/>
      <c r="AL233" s="840"/>
      <c r="AM233" s="840"/>
      <c r="AN233" s="840"/>
      <c r="AO233" s="840"/>
      <c r="AP233" s="840"/>
      <c r="AQ233" s="840"/>
      <c r="AR233" s="840"/>
      <c r="AS233" s="840"/>
      <c r="AT233" s="840"/>
      <c r="AU233" s="840"/>
      <c r="AV233" s="1067"/>
      <c r="AW233" s="1067"/>
      <c r="AX233" s="1067"/>
      <c r="AY233" s="1067"/>
      <c r="AZ233" s="1067"/>
      <c r="BA233" s="1067"/>
      <c r="BB233" s="1067"/>
      <c r="BC233" s="1067"/>
      <c r="BD233" s="1067"/>
      <c r="BE233" s="1386"/>
      <c r="BF233" s="1386"/>
      <c r="BG233" s="1386"/>
      <c r="BH233" s="1386"/>
      <c r="BI233" s="1386"/>
      <c r="BJ233" s="1386"/>
      <c r="BK233" s="1386"/>
      <c r="BL233" s="1386"/>
      <c r="BM233" s="1386"/>
      <c r="BN233" s="1386"/>
      <c r="BO233" s="1386"/>
      <c r="BP233" s="1386"/>
      <c r="BQ233" s="1386"/>
      <c r="BR233" s="1386"/>
      <c r="BS233" s="1386"/>
      <c r="BT233" s="1386"/>
      <c r="BU233" s="1386"/>
      <c r="BV233" s="1386"/>
      <c r="BW233" s="1511"/>
      <c r="BX233" s="1386"/>
      <c r="BY233" s="1386"/>
      <c r="BZ233" s="1386"/>
      <c r="CA233" s="1386"/>
      <c r="CB233" s="1386"/>
      <c r="CC233" s="1386"/>
      <c r="CD233" s="1386"/>
    </row>
    <row r="234" spans="1:123" ht="15" hidden="1" customHeight="1" x14ac:dyDescent="0.2">
      <c r="A234" s="843"/>
      <c r="B234" s="1596" t="s">
        <v>4113</v>
      </c>
      <c r="C234" s="2420" t="s">
        <v>5019</v>
      </c>
      <c r="D234" s="2420"/>
      <c r="E234" s="1592">
        <v>1</v>
      </c>
      <c r="F234" s="2433">
        <f t="shared" si="71"/>
        <v>0</v>
      </c>
      <c r="G234" s="2434"/>
      <c r="H234" s="2434"/>
      <c r="I234" s="2435"/>
      <c r="K234" s="840"/>
      <c r="L234" s="840"/>
      <c r="M234" s="840"/>
      <c r="N234" s="840"/>
      <c r="O234" s="840"/>
      <c r="P234" s="840"/>
      <c r="Q234" s="840"/>
      <c r="R234" s="840"/>
      <c r="U234" s="840"/>
      <c r="V234" s="840"/>
      <c r="W234" s="840"/>
      <c r="X234" s="840"/>
      <c r="Y234" s="840"/>
      <c r="Z234" s="840"/>
      <c r="AA234" s="840"/>
      <c r="AB234" s="840"/>
      <c r="AC234" s="840"/>
      <c r="AD234" s="840"/>
      <c r="AE234" s="840"/>
      <c r="AF234" s="840"/>
      <c r="AG234" s="840"/>
      <c r="AH234" s="840"/>
      <c r="AI234" s="840"/>
      <c r="AJ234" s="840"/>
      <c r="AK234" s="840"/>
      <c r="AL234" s="840"/>
      <c r="AM234" s="840"/>
      <c r="AN234" s="840"/>
      <c r="AO234" s="840"/>
      <c r="AP234" s="840"/>
      <c r="AQ234" s="840"/>
      <c r="AR234" s="840"/>
      <c r="AS234" s="840"/>
      <c r="AT234" s="840"/>
      <c r="AU234" s="840"/>
      <c r="AV234" s="1067"/>
      <c r="AW234" s="1067"/>
      <c r="AX234" s="1067"/>
      <c r="AY234" s="1067"/>
      <c r="AZ234" s="1067"/>
      <c r="BA234" s="1067"/>
      <c r="BB234" s="1067"/>
      <c r="BC234" s="1067"/>
      <c r="BD234" s="1067"/>
      <c r="BE234" s="1067"/>
      <c r="BF234" s="1067"/>
      <c r="BG234" s="1067"/>
      <c r="BH234" s="1067"/>
      <c r="BI234" s="1067"/>
      <c r="BJ234" s="1067"/>
      <c r="BK234" s="1067"/>
      <c r="BL234" s="1067"/>
      <c r="BM234" s="1067"/>
      <c r="BN234" s="1067"/>
      <c r="BO234" s="1067"/>
      <c r="BP234" s="1067"/>
      <c r="BQ234" s="1067"/>
      <c r="BR234" s="1067"/>
      <c r="BS234" s="1067"/>
      <c r="BT234" s="1067"/>
      <c r="BU234" s="1067"/>
      <c r="BV234" s="1386"/>
      <c r="BW234" s="1511"/>
      <c r="BX234" s="1386"/>
      <c r="BY234" s="1386"/>
      <c r="BZ234" s="1386"/>
      <c r="CA234" s="1386"/>
      <c r="CB234" s="1386"/>
      <c r="CC234" s="1386"/>
      <c r="CD234" s="1067"/>
    </row>
    <row r="235" spans="1:123" ht="15" hidden="1" customHeight="1" x14ac:dyDescent="0.2">
      <c r="A235" s="843"/>
      <c r="B235" s="1596" t="s">
        <v>4111</v>
      </c>
      <c r="C235" s="2420" t="s">
        <v>5020</v>
      </c>
      <c r="D235" s="2420"/>
      <c r="E235" s="1592">
        <v>1</v>
      </c>
      <c r="F235" s="2433">
        <f t="shared" si="71"/>
        <v>0</v>
      </c>
      <c r="G235" s="2434"/>
      <c r="H235" s="2434"/>
      <c r="I235" s="2435"/>
      <c r="K235" s="840"/>
      <c r="L235" s="1386"/>
      <c r="M235" s="1386"/>
      <c r="N235" s="1386"/>
      <c r="O235" s="1386"/>
      <c r="P235" s="1386"/>
      <c r="Q235" s="1386"/>
      <c r="R235" s="1386"/>
      <c r="U235" s="1386"/>
      <c r="V235" s="1386"/>
      <c r="W235" s="1386"/>
      <c r="X235" s="1386"/>
      <c r="Y235" s="1386"/>
      <c r="Z235" s="1386"/>
      <c r="AA235" s="1386"/>
      <c r="AB235" s="1386"/>
      <c r="AC235" s="1386"/>
      <c r="AD235" s="1386"/>
      <c r="AE235" s="1386"/>
      <c r="AF235" s="1386"/>
      <c r="AG235" s="1386"/>
      <c r="AH235" s="1386"/>
      <c r="AI235" s="1386"/>
      <c r="AJ235" s="1386"/>
      <c r="AK235" s="1386"/>
      <c r="AL235" s="1386"/>
      <c r="AM235" s="1386"/>
      <c r="AN235" s="1386"/>
      <c r="AO235" s="1386"/>
      <c r="AP235" s="1386"/>
      <c r="AQ235" s="1386"/>
      <c r="AR235" s="1386"/>
      <c r="AS235" s="1386"/>
      <c r="AT235" s="1386"/>
      <c r="AU235" s="1386"/>
      <c r="AV235" s="1386"/>
      <c r="AW235" s="1386"/>
      <c r="AX235" s="1386"/>
      <c r="AY235" s="1386"/>
      <c r="AZ235" s="1386"/>
      <c r="BA235" s="1386"/>
      <c r="BB235" s="1386"/>
      <c r="BC235" s="1386"/>
      <c r="BD235" s="1386"/>
      <c r="BE235" s="1067"/>
      <c r="BF235" s="1067"/>
      <c r="BG235" s="1067"/>
      <c r="BH235" s="1067"/>
      <c r="BI235" s="1067"/>
      <c r="BJ235" s="1067"/>
      <c r="BK235" s="1067"/>
      <c r="BL235" s="1067"/>
      <c r="BM235" s="1067"/>
      <c r="BN235" s="1067"/>
      <c r="BO235" s="1067"/>
      <c r="BP235" s="1067"/>
      <c r="BQ235" s="1067"/>
      <c r="BR235" s="1067"/>
      <c r="BS235" s="1067"/>
      <c r="BT235" s="1067"/>
      <c r="BU235" s="1067"/>
      <c r="BV235" s="1386"/>
      <c r="BW235" s="1511"/>
      <c r="BX235" s="1386"/>
      <c r="BY235" s="1386"/>
      <c r="BZ235" s="1386"/>
      <c r="CA235" s="1386"/>
      <c r="CB235" s="1386"/>
      <c r="CC235" s="1386"/>
      <c r="CD235" s="1067"/>
    </row>
    <row r="236" spans="1:123" ht="15" hidden="1" customHeight="1" x14ac:dyDescent="0.2">
      <c r="A236" s="843"/>
      <c r="B236" s="1596" t="s">
        <v>4112</v>
      </c>
      <c r="C236" s="2420" t="s">
        <v>5021</v>
      </c>
      <c r="D236" s="2420"/>
      <c r="E236" s="1592">
        <v>1</v>
      </c>
      <c r="F236" s="2433">
        <f t="shared" si="71"/>
        <v>0</v>
      </c>
      <c r="G236" s="2434"/>
      <c r="H236" s="2434"/>
      <c r="I236" s="2435"/>
      <c r="K236" s="840"/>
      <c r="L236" s="840"/>
      <c r="M236" s="840"/>
      <c r="N236" s="840"/>
      <c r="O236" s="840"/>
      <c r="P236" s="840"/>
      <c r="Q236" s="840"/>
      <c r="R236" s="840"/>
      <c r="U236" s="840"/>
      <c r="V236" s="840"/>
      <c r="W236" s="840"/>
      <c r="X236" s="840"/>
      <c r="Y236" s="840"/>
      <c r="Z236" s="840"/>
      <c r="AA236" s="840"/>
      <c r="AB236" s="840"/>
      <c r="AC236" s="840"/>
      <c r="AD236" s="840"/>
      <c r="AE236" s="840"/>
      <c r="AF236" s="840"/>
      <c r="AG236" s="840"/>
      <c r="AH236" s="840"/>
      <c r="AI236" s="840"/>
      <c r="AJ236" s="840"/>
      <c r="AK236" s="840"/>
      <c r="AL236" s="840"/>
      <c r="AM236" s="840"/>
      <c r="AN236" s="840"/>
      <c r="AO236" s="840"/>
      <c r="AP236" s="840"/>
      <c r="AQ236" s="840"/>
      <c r="AR236" s="840"/>
      <c r="AS236" s="840"/>
      <c r="AT236" s="840"/>
      <c r="AU236" s="840"/>
      <c r="AV236" s="1067"/>
      <c r="AW236" s="1067"/>
      <c r="AX236" s="1067"/>
      <c r="AY236" s="1067"/>
      <c r="AZ236" s="1067"/>
      <c r="BA236" s="1067"/>
      <c r="BB236" s="1067"/>
      <c r="BC236" s="1067"/>
      <c r="BD236" s="1067"/>
      <c r="BE236" s="1067"/>
      <c r="BF236" s="1067"/>
      <c r="BG236" s="1067"/>
      <c r="BH236" s="1067"/>
      <c r="BI236" s="1067"/>
      <c r="BJ236" s="1067"/>
      <c r="BK236" s="1067"/>
      <c r="BL236" s="1067"/>
      <c r="BM236" s="1067"/>
      <c r="BN236" s="1067"/>
      <c r="BO236" s="1067"/>
      <c r="BP236" s="1067"/>
      <c r="BQ236" s="1067"/>
      <c r="BR236" s="1067"/>
      <c r="BS236" s="1067"/>
      <c r="BT236" s="1067"/>
      <c r="BU236" s="1067"/>
      <c r="BV236" s="1386"/>
      <c r="BW236" s="1511"/>
      <c r="BX236" s="1386"/>
      <c r="BY236" s="1386"/>
      <c r="BZ236" s="1386"/>
      <c r="CA236" s="1386"/>
      <c r="CB236" s="1386"/>
      <c r="CC236" s="1386"/>
      <c r="CD236" s="1067"/>
    </row>
    <row r="237" spans="1:123" ht="15" hidden="1" customHeight="1" x14ac:dyDescent="0.2">
      <c r="A237" s="843"/>
      <c r="B237" s="1596" t="s">
        <v>4109</v>
      </c>
      <c r="C237" s="2420" t="s">
        <v>5022</v>
      </c>
      <c r="D237" s="2420"/>
      <c r="E237" s="1592">
        <v>1</v>
      </c>
      <c r="F237" s="2433">
        <f t="shared" si="71"/>
        <v>0</v>
      </c>
      <c r="G237" s="2434"/>
      <c r="H237" s="2434"/>
      <c r="I237" s="2435"/>
      <c r="L237" s="840"/>
      <c r="M237" s="840"/>
      <c r="N237" s="840"/>
      <c r="O237" s="840"/>
      <c r="P237" s="840"/>
      <c r="Q237" s="840"/>
      <c r="R237" s="840"/>
      <c r="U237" s="840"/>
      <c r="V237" s="840"/>
      <c r="W237" s="840"/>
      <c r="X237" s="840"/>
      <c r="Y237" s="840"/>
      <c r="Z237" s="840"/>
      <c r="AA237" s="840"/>
      <c r="AB237" s="840"/>
      <c r="AC237" s="840"/>
      <c r="AD237" s="840"/>
      <c r="AE237" s="840"/>
      <c r="AF237" s="840"/>
      <c r="AG237" s="840"/>
      <c r="AH237" s="840"/>
      <c r="AI237" s="840"/>
      <c r="AJ237" s="840"/>
      <c r="AK237" s="840"/>
      <c r="AL237" s="840"/>
      <c r="AM237" s="840"/>
      <c r="AN237" s="840"/>
      <c r="AO237" s="840"/>
      <c r="AP237" s="840"/>
      <c r="AQ237" s="840"/>
      <c r="AR237" s="840"/>
      <c r="AS237" s="840"/>
      <c r="AT237" s="840"/>
      <c r="AU237" s="840"/>
      <c r="AV237" s="1067"/>
      <c r="AW237" s="1067"/>
      <c r="AX237" s="1067"/>
      <c r="AY237" s="1067"/>
      <c r="AZ237" s="1067"/>
      <c r="BA237" s="1067"/>
      <c r="BB237" s="1067"/>
      <c r="BC237" s="1067"/>
      <c r="BD237" s="1067"/>
    </row>
    <row r="238" spans="1:123" ht="15" hidden="1" customHeight="1" x14ac:dyDescent="0.2">
      <c r="A238" s="843"/>
      <c r="B238" s="1596" t="s">
        <v>4107</v>
      </c>
      <c r="C238" s="2420" t="s">
        <v>5023</v>
      </c>
      <c r="D238" s="2420"/>
      <c r="E238" s="1592">
        <v>1</v>
      </c>
      <c r="F238" s="2433">
        <f t="shared" si="71"/>
        <v>0</v>
      </c>
      <c r="G238" s="2434"/>
      <c r="H238" s="2434"/>
      <c r="I238" s="2435"/>
      <c r="L238" s="840"/>
      <c r="M238" s="840"/>
      <c r="N238" s="840"/>
      <c r="O238" s="840"/>
      <c r="P238" s="840"/>
      <c r="Q238" s="840"/>
      <c r="R238" s="840"/>
      <c r="U238" s="840"/>
      <c r="V238" s="840"/>
      <c r="W238" s="840"/>
      <c r="X238" s="840"/>
      <c r="Y238" s="840"/>
      <c r="Z238" s="840"/>
      <c r="AA238" s="840"/>
      <c r="AB238" s="840"/>
      <c r="AC238" s="840"/>
      <c r="AD238" s="840"/>
      <c r="AE238" s="840"/>
      <c r="AF238" s="840"/>
      <c r="AG238" s="840"/>
      <c r="AH238" s="840"/>
      <c r="AI238" s="840"/>
      <c r="AJ238" s="840"/>
      <c r="AK238" s="840"/>
      <c r="AL238" s="840"/>
      <c r="AM238" s="840"/>
      <c r="AN238" s="840"/>
      <c r="AO238" s="840"/>
      <c r="AP238" s="840"/>
      <c r="AQ238" s="840"/>
      <c r="AR238" s="840"/>
      <c r="AS238" s="840"/>
      <c r="AT238" s="840"/>
      <c r="AU238" s="840"/>
      <c r="AV238" s="1067"/>
      <c r="AW238" s="1067"/>
      <c r="AX238" s="1067"/>
      <c r="AY238" s="1067"/>
      <c r="AZ238" s="1067"/>
      <c r="BA238" s="1067"/>
      <c r="BB238" s="1067"/>
      <c r="BC238" s="1067"/>
      <c r="BD238" s="1067"/>
    </row>
    <row r="239" spans="1:123" ht="15" hidden="1" customHeight="1" x14ac:dyDescent="0.2">
      <c r="A239" s="843"/>
      <c r="B239" s="1596" t="s">
        <v>4108</v>
      </c>
      <c r="C239" s="2420" t="s">
        <v>5024</v>
      </c>
      <c r="D239" s="2420"/>
      <c r="E239" s="1592">
        <v>1</v>
      </c>
      <c r="F239" s="2433">
        <f t="shared" si="71"/>
        <v>0</v>
      </c>
      <c r="G239" s="2434"/>
      <c r="H239" s="2434"/>
      <c r="I239" s="2435"/>
    </row>
    <row r="240" spans="1:123" ht="15" hidden="1" customHeight="1" x14ac:dyDescent="0.2">
      <c r="A240" s="843"/>
      <c r="B240" s="1596" t="s">
        <v>4134</v>
      </c>
      <c r="C240" s="2420" t="s">
        <v>5025</v>
      </c>
      <c r="D240" s="2420"/>
      <c r="E240" s="1592">
        <v>1</v>
      </c>
      <c r="F240" s="2433">
        <f t="shared" si="71"/>
        <v>0</v>
      </c>
      <c r="G240" s="2434"/>
      <c r="H240" s="2434"/>
      <c r="I240" s="2435"/>
    </row>
    <row r="241" spans="1:9" ht="15" hidden="1" customHeight="1" x14ac:dyDescent="0.2">
      <c r="A241" s="843"/>
      <c r="B241" s="1596" t="s">
        <v>4137</v>
      </c>
      <c r="C241" s="2420" t="s">
        <v>5026</v>
      </c>
      <c r="D241" s="2420"/>
      <c r="E241" s="1592">
        <v>1</v>
      </c>
      <c r="F241" s="2433">
        <f t="shared" si="71"/>
        <v>0</v>
      </c>
      <c r="G241" s="2434"/>
      <c r="H241" s="2434"/>
      <c r="I241" s="2435"/>
    </row>
    <row r="242" spans="1:9" ht="15" hidden="1" customHeight="1" x14ac:dyDescent="0.2">
      <c r="A242" s="843"/>
      <c r="B242" s="1596" t="s">
        <v>4135</v>
      </c>
      <c r="C242" s="2420" t="s">
        <v>5027</v>
      </c>
      <c r="D242" s="2420"/>
      <c r="E242" s="1592">
        <v>1</v>
      </c>
      <c r="F242" s="2433">
        <f t="shared" si="71"/>
        <v>0</v>
      </c>
      <c r="G242" s="2434"/>
      <c r="H242" s="2434"/>
      <c r="I242" s="2435"/>
    </row>
    <row r="243" spans="1:9" ht="15" hidden="1" customHeight="1" x14ac:dyDescent="0.2">
      <c r="A243" s="843"/>
      <c r="B243" s="1596" t="s">
        <v>4136</v>
      </c>
      <c r="C243" s="2420" t="s">
        <v>5028</v>
      </c>
      <c r="D243" s="2420"/>
      <c r="E243" s="1592">
        <v>1</v>
      </c>
      <c r="F243" s="2433">
        <f t="shared" si="71"/>
        <v>0</v>
      </c>
      <c r="G243" s="2434"/>
      <c r="H243" s="2434"/>
      <c r="I243" s="2435"/>
    </row>
    <row r="244" spans="1:9" ht="15" hidden="1" customHeight="1" x14ac:dyDescent="0.2">
      <c r="A244" s="843"/>
      <c r="B244" s="1596" t="s">
        <v>4114</v>
      </c>
      <c r="C244" s="2420" t="s">
        <v>5029</v>
      </c>
      <c r="D244" s="2420"/>
      <c r="E244" s="1592">
        <v>1</v>
      </c>
      <c r="F244" s="2433">
        <f t="shared" si="71"/>
        <v>0</v>
      </c>
      <c r="G244" s="2434"/>
      <c r="H244" s="2434"/>
      <c r="I244" s="2435"/>
    </row>
    <row r="245" spans="1:9" ht="15" hidden="1" customHeight="1" x14ac:dyDescent="0.2">
      <c r="A245" s="843"/>
      <c r="B245" s="1596" t="s">
        <v>4115</v>
      </c>
      <c r="C245" s="2420" t="s">
        <v>5030</v>
      </c>
      <c r="D245" s="2420"/>
      <c r="E245" s="1592">
        <v>1</v>
      </c>
      <c r="F245" s="2433">
        <f t="shared" si="71"/>
        <v>0</v>
      </c>
      <c r="G245" s="2434"/>
      <c r="H245" s="2434"/>
      <c r="I245" s="2435"/>
    </row>
    <row r="246" spans="1:9" ht="15" hidden="1" customHeight="1" x14ac:dyDescent="0.2">
      <c r="A246" s="843"/>
      <c r="B246" s="1596" t="s">
        <v>4116</v>
      </c>
      <c r="C246" s="2420" t="s">
        <v>5031</v>
      </c>
      <c r="D246" s="2420"/>
      <c r="E246" s="1592">
        <v>1</v>
      </c>
      <c r="F246" s="2433">
        <f t="shared" si="71"/>
        <v>0</v>
      </c>
      <c r="G246" s="2434"/>
      <c r="H246" s="2434"/>
      <c r="I246" s="2435"/>
    </row>
    <row r="247" spans="1:9" ht="15" hidden="1" customHeight="1" x14ac:dyDescent="0.2">
      <c r="A247" s="843"/>
      <c r="B247" s="1596" t="s">
        <v>4142</v>
      </c>
      <c r="C247" s="2420" t="s">
        <v>5032</v>
      </c>
      <c r="D247" s="2420"/>
      <c r="E247" s="1592">
        <v>1</v>
      </c>
      <c r="F247" s="2433">
        <f t="shared" si="71"/>
        <v>0</v>
      </c>
      <c r="G247" s="2434"/>
      <c r="H247" s="2434"/>
      <c r="I247" s="2435"/>
    </row>
    <row r="248" spans="1:9" ht="15" hidden="1" customHeight="1" x14ac:dyDescent="0.2">
      <c r="A248" s="843"/>
      <c r="B248" s="1596" t="s">
        <v>4145</v>
      </c>
      <c r="C248" s="2420" t="s">
        <v>5033</v>
      </c>
      <c r="D248" s="2420"/>
      <c r="E248" s="1592">
        <v>1</v>
      </c>
      <c r="F248" s="2433">
        <f t="shared" si="71"/>
        <v>0</v>
      </c>
      <c r="G248" s="2434"/>
      <c r="H248" s="2434"/>
      <c r="I248" s="2435"/>
    </row>
    <row r="249" spans="1:9" ht="15" hidden="1" customHeight="1" x14ac:dyDescent="0.2">
      <c r="A249" s="843"/>
      <c r="B249" s="1596" t="s">
        <v>4143</v>
      </c>
      <c r="C249" s="2420" t="s">
        <v>5034</v>
      </c>
      <c r="D249" s="2420"/>
      <c r="E249" s="1592">
        <v>1</v>
      </c>
      <c r="F249" s="2433">
        <f t="shared" si="71"/>
        <v>0</v>
      </c>
      <c r="G249" s="2434"/>
      <c r="H249" s="2434"/>
      <c r="I249" s="2435"/>
    </row>
    <row r="250" spans="1:9" ht="15" hidden="1" customHeight="1" x14ac:dyDescent="0.2">
      <c r="A250" s="843"/>
      <c r="B250" s="1596" t="s">
        <v>4144</v>
      </c>
      <c r="C250" s="2420" t="s">
        <v>5035</v>
      </c>
      <c r="D250" s="2420"/>
      <c r="E250" s="1592">
        <v>1</v>
      </c>
      <c r="F250" s="2433">
        <f t="shared" si="71"/>
        <v>0</v>
      </c>
      <c r="G250" s="2434"/>
      <c r="H250" s="2434"/>
      <c r="I250" s="2435"/>
    </row>
    <row r="251" spans="1:9" ht="15" hidden="1" customHeight="1" x14ac:dyDescent="0.2">
      <c r="A251" s="843"/>
      <c r="B251" s="1596" t="s">
        <v>4117</v>
      </c>
      <c r="C251" s="2420" t="s">
        <v>5036</v>
      </c>
      <c r="D251" s="2420"/>
      <c r="E251" s="1592">
        <v>1</v>
      </c>
      <c r="F251" s="2433">
        <f t="shared" si="71"/>
        <v>0</v>
      </c>
      <c r="G251" s="2434"/>
      <c r="H251" s="2434"/>
      <c r="I251" s="2435"/>
    </row>
    <row r="252" spans="1:9" ht="15" hidden="1" customHeight="1" x14ac:dyDescent="0.2">
      <c r="A252" s="843"/>
      <c r="B252" s="1596" t="s">
        <v>4121</v>
      </c>
      <c r="C252" s="2420" t="s">
        <v>5037</v>
      </c>
      <c r="D252" s="2420"/>
      <c r="E252" s="1592">
        <v>1</v>
      </c>
      <c r="F252" s="2433">
        <f t="shared" si="71"/>
        <v>0</v>
      </c>
      <c r="G252" s="2434"/>
      <c r="H252" s="2434"/>
      <c r="I252" s="2435"/>
    </row>
    <row r="253" spans="1:9" ht="15" hidden="1" customHeight="1" x14ac:dyDescent="0.2">
      <c r="A253" s="843"/>
      <c r="B253" s="1596" t="s">
        <v>4124</v>
      </c>
      <c r="C253" s="2420" t="s">
        <v>5038</v>
      </c>
      <c r="D253" s="2420"/>
      <c r="E253" s="1592">
        <v>1</v>
      </c>
      <c r="F253" s="2433">
        <f t="shared" si="71"/>
        <v>0</v>
      </c>
      <c r="G253" s="2434"/>
      <c r="H253" s="2434"/>
      <c r="I253" s="2435"/>
    </row>
    <row r="254" spans="1:9" ht="15" hidden="1" customHeight="1" x14ac:dyDescent="0.2">
      <c r="A254" s="843"/>
      <c r="B254" s="1596" t="s">
        <v>4122</v>
      </c>
      <c r="C254" s="2420" t="s">
        <v>5039</v>
      </c>
      <c r="D254" s="2420"/>
      <c r="E254" s="1592">
        <v>1</v>
      </c>
      <c r="F254" s="2433">
        <f t="shared" si="71"/>
        <v>0</v>
      </c>
      <c r="G254" s="2434"/>
      <c r="H254" s="2434"/>
      <c r="I254" s="2435"/>
    </row>
    <row r="255" spans="1:9" ht="15" hidden="1" customHeight="1" x14ac:dyDescent="0.2">
      <c r="A255" s="843"/>
      <c r="B255" s="1596" t="s">
        <v>4123</v>
      </c>
      <c r="C255" s="2420" t="s">
        <v>5040</v>
      </c>
      <c r="D255" s="2420"/>
      <c r="E255" s="1592">
        <v>1</v>
      </c>
      <c r="F255" s="2433">
        <f t="shared" si="71"/>
        <v>0</v>
      </c>
      <c r="G255" s="2434"/>
      <c r="H255" s="2434"/>
      <c r="I255" s="2435"/>
    </row>
    <row r="256" spans="1:9" ht="15" hidden="1" customHeight="1" x14ac:dyDescent="0.2">
      <c r="A256" s="843"/>
      <c r="B256" s="1596" t="s">
        <v>4120</v>
      </c>
      <c r="C256" s="2420" t="s">
        <v>5041</v>
      </c>
      <c r="D256" s="2420"/>
      <c r="E256" s="1592">
        <v>1</v>
      </c>
      <c r="F256" s="2433">
        <f t="shared" ref="F256:F274" si="72">VLOOKUP(B256,всецены,4,FALSE)</f>
        <v>0</v>
      </c>
      <c r="G256" s="2434"/>
      <c r="H256" s="2434"/>
      <c r="I256" s="2435"/>
    </row>
    <row r="257" spans="1:82" ht="15" hidden="1" customHeight="1" x14ac:dyDescent="0.2">
      <c r="A257" s="843"/>
      <c r="B257" s="1596" t="s">
        <v>4118</v>
      </c>
      <c r="C257" s="2420" t="s">
        <v>5042</v>
      </c>
      <c r="D257" s="2420"/>
      <c r="E257" s="1592">
        <v>1</v>
      </c>
      <c r="F257" s="2433">
        <f t="shared" si="72"/>
        <v>0</v>
      </c>
      <c r="G257" s="2434"/>
      <c r="H257" s="2434"/>
      <c r="I257" s="2435"/>
    </row>
    <row r="258" spans="1:82" ht="15" hidden="1" customHeight="1" x14ac:dyDescent="0.2">
      <c r="A258" s="843"/>
      <c r="B258" s="1596" t="s">
        <v>4119</v>
      </c>
      <c r="C258" s="2420" t="s">
        <v>5043</v>
      </c>
      <c r="D258" s="2420"/>
      <c r="E258" s="1592">
        <v>1</v>
      </c>
      <c r="F258" s="2433">
        <f t="shared" si="72"/>
        <v>0</v>
      </c>
      <c r="G258" s="2434"/>
      <c r="H258" s="2434"/>
      <c r="I258" s="2435"/>
    </row>
    <row r="259" spans="1:82" ht="15" hidden="1" customHeight="1" x14ac:dyDescent="0.2">
      <c r="A259" s="843"/>
      <c r="B259" s="1596" t="s">
        <v>4146</v>
      </c>
      <c r="C259" s="2420" t="s">
        <v>5044</v>
      </c>
      <c r="D259" s="2420"/>
      <c r="E259" s="1592">
        <v>1</v>
      </c>
      <c r="F259" s="2433">
        <f t="shared" si="72"/>
        <v>0</v>
      </c>
      <c r="G259" s="2434"/>
      <c r="H259" s="2434"/>
      <c r="I259" s="2435"/>
      <c r="BE259" s="840"/>
      <c r="BF259" s="840"/>
      <c r="BG259" s="840"/>
      <c r="BH259" s="840"/>
      <c r="BI259" s="840"/>
      <c r="BJ259" s="840"/>
      <c r="BK259" s="840"/>
      <c r="BL259" s="840"/>
      <c r="BM259" s="840"/>
      <c r="BN259" s="840"/>
      <c r="BO259" s="840"/>
      <c r="BP259" s="840"/>
      <c r="BQ259" s="840"/>
      <c r="BR259" s="840"/>
      <c r="BS259" s="840"/>
      <c r="BT259" s="840"/>
      <c r="BU259" s="840"/>
      <c r="BV259" s="840"/>
      <c r="BW259" s="840"/>
      <c r="BX259" s="840"/>
      <c r="BY259" s="840"/>
      <c r="BZ259" s="840"/>
      <c r="CA259" s="840"/>
      <c r="CB259" s="840"/>
      <c r="CC259" s="840"/>
      <c r="CD259" s="840"/>
    </row>
    <row r="260" spans="1:82" ht="15" hidden="1" customHeight="1" x14ac:dyDescent="0.2">
      <c r="A260" s="843"/>
      <c r="B260" s="1596" t="s">
        <v>4150</v>
      </c>
      <c r="C260" s="2420" t="s">
        <v>5045</v>
      </c>
      <c r="D260" s="2420"/>
      <c r="E260" s="1592">
        <v>1</v>
      </c>
      <c r="F260" s="2433">
        <f t="shared" si="72"/>
        <v>0</v>
      </c>
      <c r="G260" s="2434"/>
      <c r="H260" s="2434"/>
      <c r="I260" s="2435"/>
      <c r="BE260" s="840"/>
      <c r="BF260" s="840"/>
      <c r="BG260" s="840"/>
      <c r="BH260" s="840"/>
      <c r="BI260" s="840"/>
      <c r="BJ260" s="840"/>
      <c r="BK260" s="840"/>
      <c r="BL260" s="840"/>
      <c r="BM260" s="840"/>
      <c r="BN260" s="840"/>
      <c r="BO260" s="840"/>
      <c r="BP260" s="840"/>
      <c r="BQ260" s="840"/>
      <c r="BR260" s="840"/>
      <c r="BS260" s="840"/>
      <c r="BT260" s="840"/>
      <c r="BU260" s="840"/>
      <c r="BV260" s="840"/>
      <c r="BW260" s="840"/>
      <c r="BX260" s="840"/>
      <c r="BY260" s="840"/>
      <c r="BZ260" s="840"/>
      <c r="CA260" s="840"/>
      <c r="CB260" s="840"/>
      <c r="CC260" s="840"/>
      <c r="CD260" s="840"/>
    </row>
    <row r="261" spans="1:82" ht="15" hidden="1" customHeight="1" x14ac:dyDescent="0.2">
      <c r="A261" s="843"/>
      <c r="B261" s="1596" t="s">
        <v>4153</v>
      </c>
      <c r="C261" s="2420" t="s">
        <v>5046</v>
      </c>
      <c r="D261" s="2420"/>
      <c r="E261" s="1592">
        <v>1</v>
      </c>
      <c r="F261" s="2433">
        <f t="shared" si="72"/>
        <v>0</v>
      </c>
      <c r="G261" s="2434"/>
      <c r="H261" s="2434"/>
      <c r="I261" s="2435"/>
      <c r="L261" s="840"/>
      <c r="M261" s="840"/>
      <c r="N261" s="840"/>
      <c r="O261" s="840"/>
      <c r="P261" s="840"/>
      <c r="Q261" s="840"/>
      <c r="R261" s="840"/>
      <c r="S261" s="840"/>
      <c r="T261" s="840"/>
      <c r="U261" s="840"/>
      <c r="V261" s="840"/>
      <c r="W261" s="840"/>
      <c r="X261" s="840"/>
      <c r="Y261" s="840"/>
      <c r="Z261" s="840"/>
      <c r="AA261" s="840"/>
      <c r="AB261" s="840"/>
      <c r="AC261" s="840"/>
      <c r="AD261" s="840"/>
      <c r="AE261" s="840"/>
      <c r="AF261" s="840"/>
      <c r="AG261" s="840"/>
      <c r="AH261" s="840"/>
      <c r="AI261" s="840"/>
      <c r="AJ261" s="840"/>
      <c r="AK261" s="840"/>
      <c r="AL261" s="840"/>
      <c r="AM261" s="840"/>
      <c r="AN261" s="840"/>
      <c r="AO261" s="840"/>
      <c r="AP261" s="840"/>
      <c r="AQ261" s="840"/>
      <c r="AR261" s="840"/>
      <c r="AS261" s="840"/>
      <c r="AT261" s="840"/>
      <c r="AU261" s="840"/>
      <c r="AV261" s="840"/>
      <c r="AW261" s="840"/>
      <c r="AX261" s="840"/>
      <c r="AY261" s="840"/>
      <c r="AZ261" s="840"/>
      <c r="BA261" s="840"/>
      <c r="BB261" s="840"/>
      <c r="BC261" s="840"/>
      <c r="BD261" s="840"/>
      <c r="BE261" s="840"/>
      <c r="BF261" s="840"/>
      <c r="BG261" s="840"/>
      <c r="BH261" s="840"/>
      <c r="BI261" s="840"/>
      <c r="BJ261" s="840"/>
      <c r="BK261" s="840"/>
      <c r="BL261" s="840"/>
      <c r="BM261" s="840"/>
      <c r="BN261" s="840"/>
      <c r="BO261" s="840"/>
      <c r="BP261" s="840"/>
      <c r="BQ261" s="840"/>
      <c r="BR261" s="840"/>
      <c r="BS261" s="840"/>
      <c r="BT261" s="840"/>
      <c r="BU261" s="840"/>
      <c r="BV261" s="840"/>
      <c r="BW261" s="840"/>
      <c r="BX261" s="840"/>
      <c r="BY261" s="840"/>
      <c r="BZ261" s="840"/>
      <c r="CA261" s="840"/>
      <c r="CB261" s="840"/>
      <c r="CC261" s="840"/>
      <c r="CD261" s="840"/>
    </row>
    <row r="262" spans="1:82" ht="15" hidden="1" customHeight="1" x14ac:dyDescent="0.2">
      <c r="A262" s="843"/>
      <c r="B262" s="1596" t="s">
        <v>4151</v>
      </c>
      <c r="C262" s="2420" t="s">
        <v>5047</v>
      </c>
      <c r="D262" s="2420"/>
      <c r="E262" s="1592">
        <v>1</v>
      </c>
      <c r="F262" s="2433">
        <f t="shared" si="72"/>
        <v>0</v>
      </c>
      <c r="G262" s="2434"/>
      <c r="H262" s="2434"/>
      <c r="I262" s="2435"/>
      <c r="L262" s="840"/>
      <c r="M262" s="840"/>
      <c r="N262" s="840"/>
      <c r="O262" s="840"/>
      <c r="P262" s="840"/>
      <c r="Q262" s="840"/>
      <c r="R262" s="840"/>
      <c r="S262" s="840"/>
      <c r="T262" s="840"/>
      <c r="U262" s="840"/>
      <c r="V262" s="840"/>
      <c r="W262" s="840"/>
      <c r="X262" s="840"/>
      <c r="Y262" s="840"/>
      <c r="Z262" s="840"/>
      <c r="AA262" s="840"/>
      <c r="AB262" s="840"/>
      <c r="AC262" s="840"/>
      <c r="AD262" s="840"/>
      <c r="AE262" s="840"/>
      <c r="AF262" s="840"/>
      <c r="AG262" s="840"/>
      <c r="AH262" s="840"/>
      <c r="AI262" s="840"/>
      <c r="AJ262" s="840"/>
      <c r="AK262" s="840"/>
      <c r="AL262" s="840"/>
      <c r="AM262" s="840"/>
      <c r="AN262" s="840"/>
      <c r="AO262" s="840"/>
      <c r="AP262" s="840"/>
      <c r="AQ262" s="840"/>
      <c r="AR262" s="840"/>
      <c r="AS262" s="840"/>
      <c r="AT262" s="840"/>
      <c r="AU262" s="840"/>
      <c r="AV262" s="840"/>
      <c r="AW262" s="840"/>
      <c r="AX262" s="840"/>
      <c r="AY262" s="840"/>
      <c r="AZ262" s="840"/>
      <c r="BA262" s="840"/>
      <c r="BB262" s="840"/>
      <c r="BC262" s="840"/>
      <c r="BD262" s="840"/>
      <c r="BE262" s="840"/>
      <c r="BF262" s="840"/>
      <c r="BG262" s="840"/>
      <c r="BH262" s="840"/>
      <c r="BI262" s="840"/>
      <c r="BJ262" s="840"/>
      <c r="BK262" s="840"/>
      <c r="BL262" s="840"/>
      <c r="BM262" s="840"/>
      <c r="BN262" s="840"/>
      <c r="BO262" s="840"/>
      <c r="BP262" s="840"/>
      <c r="BQ262" s="840"/>
      <c r="BR262" s="840"/>
      <c r="BS262" s="840"/>
      <c r="BT262" s="840"/>
      <c r="BU262" s="840"/>
      <c r="BV262" s="840"/>
      <c r="BW262" s="840"/>
      <c r="BX262" s="840"/>
      <c r="BY262" s="840"/>
      <c r="BZ262" s="840"/>
      <c r="CA262" s="840"/>
      <c r="CB262" s="840"/>
      <c r="CC262" s="840"/>
      <c r="CD262" s="840"/>
    </row>
    <row r="263" spans="1:82" ht="15" hidden="1" customHeight="1" x14ac:dyDescent="0.2">
      <c r="A263" s="843"/>
      <c r="B263" s="1596" t="s">
        <v>4152</v>
      </c>
      <c r="C263" s="2420" t="s">
        <v>5048</v>
      </c>
      <c r="D263" s="2420"/>
      <c r="E263" s="1592">
        <v>1</v>
      </c>
      <c r="F263" s="2433">
        <f t="shared" si="72"/>
        <v>0</v>
      </c>
      <c r="G263" s="2434"/>
      <c r="H263" s="2434"/>
      <c r="I263" s="2435"/>
      <c r="L263" s="840"/>
      <c r="M263" s="840"/>
      <c r="N263" s="840"/>
      <c r="O263" s="840"/>
      <c r="P263" s="840"/>
      <c r="Q263" s="840"/>
      <c r="R263" s="840"/>
      <c r="S263" s="840"/>
      <c r="T263" s="840"/>
      <c r="U263" s="840"/>
      <c r="V263" s="840"/>
      <c r="W263" s="840"/>
      <c r="X263" s="840"/>
      <c r="Y263" s="840"/>
      <c r="Z263" s="840"/>
      <c r="AA263" s="840"/>
      <c r="AB263" s="840"/>
      <c r="AC263" s="840"/>
      <c r="AD263" s="840"/>
      <c r="AE263" s="840"/>
      <c r="AF263" s="840"/>
      <c r="AG263" s="840"/>
      <c r="AH263" s="840"/>
      <c r="AI263" s="840"/>
      <c r="AJ263" s="840"/>
      <c r="AK263" s="840"/>
      <c r="AL263" s="840"/>
      <c r="AM263" s="840"/>
      <c r="AN263" s="840"/>
      <c r="AO263" s="840"/>
      <c r="AP263" s="840"/>
      <c r="AQ263" s="840"/>
      <c r="AR263" s="840"/>
      <c r="AS263" s="840"/>
      <c r="AT263" s="840"/>
      <c r="AU263" s="840"/>
      <c r="AV263" s="840"/>
      <c r="AW263" s="840"/>
      <c r="AX263" s="840"/>
      <c r="AY263" s="840"/>
      <c r="AZ263" s="840"/>
      <c r="BA263" s="840"/>
      <c r="BB263" s="840"/>
      <c r="BC263" s="840"/>
      <c r="BD263" s="840"/>
      <c r="BE263" s="840"/>
      <c r="BF263" s="840"/>
      <c r="BG263" s="840"/>
      <c r="BH263" s="840"/>
      <c r="BI263" s="840"/>
      <c r="BJ263" s="840"/>
      <c r="BK263" s="840"/>
      <c r="BL263" s="840"/>
      <c r="BM263" s="840"/>
      <c r="BN263" s="840"/>
      <c r="BO263" s="840"/>
      <c r="BP263" s="840"/>
      <c r="BQ263" s="840"/>
      <c r="BR263" s="840"/>
      <c r="BS263" s="840"/>
      <c r="BT263" s="840"/>
      <c r="BU263" s="840"/>
      <c r="BV263" s="840"/>
      <c r="BW263" s="840"/>
      <c r="BX263" s="840"/>
      <c r="BY263" s="840"/>
      <c r="BZ263" s="840"/>
      <c r="CA263" s="840"/>
      <c r="CB263" s="840"/>
      <c r="CC263" s="840"/>
      <c r="CD263" s="840"/>
    </row>
    <row r="264" spans="1:82" ht="15" hidden="1" customHeight="1" x14ac:dyDescent="0.2">
      <c r="A264" s="843"/>
      <c r="B264" s="1596" t="s">
        <v>4149</v>
      </c>
      <c r="C264" s="2420" t="s">
        <v>5049</v>
      </c>
      <c r="D264" s="2420"/>
      <c r="E264" s="1592">
        <v>1</v>
      </c>
      <c r="F264" s="2433">
        <f t="shared" si="72"/>
        <v>0</v>
      </c>
      <c r="G264" s="2434"/>
      <c r="H264" s="2434"/>
      <c r="I264" s="2435"/>
      <c r="L264" s="840"/>
      <c r="M264" s="840"/>
      <c r="N264" s="840"/>
      <c r="O264" s="840"/>
      <c r="P264" s="840"/>
      <c r="Q264" s="840"/>
      <c r="R264" s="840"/>
      <c r="S264" s="840"/>
      <c r="T264" s="840"/>
      <c r="U264" s="840"/>
      <c r="V264" s="840"/>
      <c r="W264" s="840"/>
      <c r="X264" s="840"/>
      <c r="Y264" s="840"/>
      <c r="Z264" s="840"/>
      <c r="AA264" s="840"/>
      <c r="AB264" s="840"/>
      <c r="AC264" s="840"/>
      <c r="AD264" s="840"/>
      <c r="AE264" s="840"/>
      <c r="AF264" s="840"/>
      <c r="AG264" s="840"/>
      <c r="AH264" s="840"/>
      <c r="AI264" s="840"/>
      <c r="AJ264" s="840"/>
      <c r="AK264" s="840"/>
      <c r="AL264" s="840"/>
      <c r="AM264" s="840"/>
      <c r="AN264" s="840"/>
      <c r="AO264" s="840"/>
      <c r="AP264" s="840"/>
      <c r="AQ264" s="840"/>
      <c r="AR264" s="840"/>
      <c r="AS264" s="840"/>
      <c r="AT264" s="840"/>
      <c r="AU264" s="840"/>
      <c r="AV264" s="840"/>
      <c r="AW264" s="840"/>
      <c r="AX264" s="840"/>
      <c r="AY264" s="840"/>
      <c r="AZ264" s="840"/>
      <c r="BA264" s="840"/>
      <c r="BB264" s="840"/>
      <c r="BC264" s="840"/>
      <c r="BD264" s="840"/>
      <c r="BE264" s="840"/>
      <c r="BF264" s="840"/>
      <c r="BG264" s="840"/>
      <c r="BH264" s="840"/>
      <c r="BI264" s="840"/>
      <c r="BJ264" s="840"/>
      <c r="BK264" s="840"/>
      <c r="BL264" s="840"/>
      <c r="BM264" s="840"/>
      <c r="BN264" s="840"/>
      <c r="BO264" s="840"/>
      <c r="BP264" s="840"/>
      <c r="BQ264" s="840"/>
      <c r="BR264" s="840"/>
      <c r="BS264" s="840"/>
      <c r="BT264" s="840"/>
      <c r="BU264" s="840"/>
      <c r="BV264" s="840"/>
      <c r="BW264" s="840"/>
      <c r="BX264" s="840"/>
      <c r="BY264" s="840"/>
      <c r="BZ264" s="840"/>
      <c r="CA264" s="840"/>
      <c r="CB264" s="840"/>
      <c r="CC264" s="840"/>
      <c r="CD264" s="840"/>
    </row>
    <row r="265" spans="1:82" ht="15" hidden="1" customHeight="1" x14ac:dyDescent="0.2">
      <c r="A265" s="843"/>
      <c r="B265" s="1596" t="s">
        <v>4147</v>
      </c>
      <c r="C265" s="2420" t="s">
        <v>5050</v>
      </c>
      <c r="D265" s="2420"/>
      <c r="E265" s="1592">
        <v>1</v>
      </c>
      <c r="F265" s="2433">
        <f t="shared" si="72"/>
        <v>0</v>
      </c>
      <c r="G265" s="2434"/>
      <c r="H265" s="2434"/>
      <c r="I265" s="2435"/>
      <c r="L265" s="840"/>
      <c r="M265" s="840"/>
      <c r="N265" s="840"/>
      <c r="O265" s="840"/>
      <c r="P265" s="840"/>
      <c r="Q265" s="840"/>
      <c r="R265" s="840"/>
      <c r="S265" s="840"/>
      <c r="T265" s="840"/>
      <c r="U265" s="840"/>
      <c r="V265" s="840"/>
      <c r="W265" s="840"/>
      <c r="X265" s="840"/>
      <c r="Y265" s="840"/>
      <c r="Z265" s="840"/>
      <c r="AA265" s="840"/>
      <c r="AB265" s="840"/>
      <c r="AC265" s="840"/>
      <c r="AD265" s="840"/>
      <c r="AE265" s="840"/>
      <c r="AF265" s="840"/>
      <c r="AG265" s="840"/>
      <c r="AH265" s="840"/>
      <c r="AI265" s="840"/>
      <c r="AJ265" s="840"/>
      <c r="AK265" s="840"/>
      <c r="AL265" s="840"/>
      <c r="AM265" s="840"/>
      <c r="AN265" s="840"/>
      <c r="AO265" s="840"/>
      <c r="AP265" s="840"/>
      <c r="AQ265" s="840"/>
      <c r="AR265" s="840"/>
      <c r="AS265" s="840"/>
      <c r="AT265" s="840"/>
      <c r="AU265" s="840"/>
      <c r="AV265" s="840"/>
      <c r="AW265" s="840"/>
      <c r="AX265" s="840"/>
      <c r="AY265" s="840"/>
      <c r="AZ265" s="840"/>
      <c r="BA265" s="840"/>
      <c r="BB265" s="840"/>
      <c r="BC265" s="840"/>
      <c r="BD265" s="840"/>
      <c r="BE265" s="840"/>
      <c r="BF265" s="840"/>
      <c r="BG265" s="840"/>
      <c r="BH265" s="840"/>
      <c r="BI265" s="840"/>
      <c r="BJ265" s="840"/>
      <c r="BK265" s="840"/>
      <c r="BL265" s="840"/>
      <c r="BM265" s="840"/>
      <c r="BN265" s="840"/>
      <c r="BO265" s="840"/>
      <c r="BP265" s="840"/>
      <c r="BQ265" s="840"/>
      <c r="BR265" s="840"/>
      <c r="BS265" s="840"/>
      <c r="BT265" s="840"/>
      <c r="BU265" s="840"/>
      <c r="BV265" s="840"/>
      <c r="BW265" s="840"/>
      <c r="BX265" s="840"/>
      <c r="BY265" s="840"/>
      <c r="BZ265" s="840"/>
      <c r="CA265" s="840"/>
      <c r="CB265" s="840"/>
      <c r="CC265" s="840"/>
      <c r="CD265" s="840"/>
    </row>
    <row r="266" spans="1:82" ht="15" hidden="1" customHeight="1" x14ac:dyDescent="0.2">
      <c r="A266" s="843"/>
      <c r="B266" s="1596" t="s">
        <v>4148</v>
      </c>
      <c r="C266" s="2420" t="s">
        <v>5051</v>
      </c>
      <c r="D266" s="2420"/>
      <c r="E266" s="1592">
        <v>1</v>
      </c>
      <c r="F266" s="2433">
        <f t="shared" si="72"/>
        <v>0</v>
      </c>
      <c r="G266" s="2434"/>
      <c r="H266" s="2434"/>
      <c r="I266" s="2435"/>
      <c r="L266" s="840"/>
      <c r="M266" s="840"/>
      <c r="N266" s="840"/>
      <c r="O266" s="840"/>
      <c r="P266" s="840"/>
      <c r="Q266" s="840"/>
      <c r="R266" s="840"/>
      <c r="S266" s="840"/>
      <c r="T266" s="840"/>
      <c r="U266" s="840"/>
      <c r="V266" s="840"/>
      <c r="W266" s="840"/>
      <c r="X266" s="840"/>
      <c r="Y266" s="840"/>
      <c r="Z266" s="840"/>
      <c r="AA266" s="840"/>
      <c r="AB266" s="840"/>
      <c r="AC266" s="840"/>
      <c r="AD266" s="840"/>
      <c r="AE266" s="840"/>
      <c r="AF266" s="840"/>
      <c r="AG266" s="840"/>
      <c r="AH266" s="840"/>
      <c r="AI266" s="840"/>
      <c r="AJ266" s="840"/>
      <c r="AK266" s="840"/>
      <c r="AL266" s="840"/>
      <c r="AM266" s="840"/>
      <c r="AN266" s="840"/>
      <c r="AO266" s="840"/>
      <c r="AP266" s="840"/>
      <c r="AQ266" s="840"/>
      <c r="AR266" s="840"/>
      <c r="AS266" s="840"/>
      <c r="AT266" s="840"/>
      <c r="AU266" s="840"/>
      <c r="AV266" s="840"/>
      <c r="AW266" s="840"/>
      <c r="AX266" s="840"/>
      <c r="AY266" s="840"/>
      <c r="AZ266" s="840"/>
      <c r="BA266" s="840"/>
      <c r="BB266" s="840"/>
      <c r="BC266" s="840"/>
      <c r="BD266" s="840"/>
      <c r="BE266" s="840"/>
      <c r="BF266" s="840"/>
      <c r="BG266" s="840"/>
      <c r="BH266" s="840"/>
      <c r="BI266" s="840"/>
      <c r="BJ266" s="840"/>
      <c r="BK266" s="840"/>
      <c r="BL266" s="840"/>
      <c r="BM266" s="840"/>
      <c r="BN266" s="840"/>
      <c r="BO266" s="840"/>
      <c r="BP266" s="840"/>
      <c r="BQ266" s="840"/>
      <c r="BR266" s="840"/>
      <c r="BS266" s="840"/>
      <c r="BT266" s="840"/>
      <c r="BU266" s="840"/>
      <c r="BV266" s="840"/>
      <c r="BW266" s="840"/>
      <c r="BX266" s="840"/>
      <c r="BY266" s="840"/>
      <c r="BZ266" s="840"/>
      <c r="CA266" s="840"/>
      <c r="CB266" s="840"/>
      <c r="CC266" s="840"/>
      <c r="CD266" s="840"/>
    </row>
    <row r="267" spans="1:82" ht="15" hidden="1" customHeight="1" x14ac:dyDescent="0.2">
      <c r="A267" s="843"/>
      <c r="B267" s="1596" t="s">
        <v>4154</v>
      </c>
      <c r="C267" s="2420" t="s">
        <v>5052</v>
      </c>
      <c r="D267" s="2420"/>
      <c r="E267" s="1592">
        <v>1</v>
      </c>
      <c r="F267" s="2433">
        <f t="shared" si="72"/>
        <v>0</v>
      </c>
      <c r="G267" s="2434"/>
      <c r="H267" s="2434"/>
      <c r="I267" s="2435"/>
      <c r="L267" s="840"/>
      <c r="M267" s="840"/>
      <c r="N267" s="840"/>
      <c r="O267" s="840"/>
      <c r="P267" s="840"/>
      <c r="Q267" s="840"/>
      <c r="R267" s="840"/>
      <c r="S267" s="840"/>
      <c r="T267" s="840"/>
      <c r="U267" s="840"/>
      <c r="V267" s="840"/>
      <c r="W267" s="840"/>
      <c r="X267" s="840"/>
      <c r="Y267" s="840"/>
      <c r="Z267" s="840"/>
      <c r="AA267" s="840"/>
      <c r="AB267" s="840"/>
      <c r="AC267" s="840"/>
      <c r="AD267" s="840"/>
      <c r="AE267" s="840"/>
      <c r="AF267" s="840"/>
      <c r="AG267" s="840"/>
      <c r="AH267" s="840"/>
      <c r="AI267" s="840"/>
      <c r="AJ267" s="840"/>
      <c r="AK267" s="840"/>
      <c r="AL267" s="840"/>
      <c r="AM267" s="840"/>
      <c r="AN267" s="840"/>
      <c r="AO267" s="840"/>
      <c r="AP267" s="840"/>
      <c r="AQ267" s="840"/>
      <c r="AR267" s="840"/>
      <c r="AS267" s="840"/>
      <c r="AT267" s="840"/>
      <c r="AU267" s="840"/>
      <c r="AV267" s="840"/>
      <c r="AW267" s="840"/>
      <c r="AX267" s="840"/>
      <c r="AY267" s="840"/>
      <c r="AZ267" s="840"/>
      <c r="BA267" s="840"/>
      <c r="BB267" s="840"/>
      <c r="BC267" s="840"/>
      <c r="BD267" s="840"/>
      <c r="BE267" s="840"/>
      <c r="BF267" s="840"/>
      <c r="BG267" s="840"/>
      <c r="BH267" s="840"/>
      <c r="BI267" s="840"/>
      <c r="BJ267" s="840"/>
      <c r="BK267" s="840"/>
      <c r="BL267" s="840"/>
      <c r="BM267" s="840"/>
      <c r="BN267" s="840"/>
      <c r="BO267" s="840"/>
      <c r="BP267" s="840"/>
      <c r="BQ267" s="840"/>
      <c r="BR267" s="840"/>
      <c r="BS267" s="840"/>
      <c r="BT267" s="840"/>
      <c r="BU267" s="840"/>
      <c r="BV267" s="840"/>
      <c r="BW267" s="840"/>
      <c r="BX267" s="840"/>
      <c r="BY267" s="840"/>
      <c r="BZ267" s="840"/>
      <c r="CA267" s="840"/>
      <c r="CB267" s="840"/>
      <c r="CC267" s="840"/>
      <c r="CD267" s="840"/>
    </row>
    <row r="268" spans="1:82" ht="15" hidden="1" customHeight="1" x14ac:dyDescent="0.2">
      <c r="A268" s="843"/>
      <c r="B268" s="1596" t="s">
        <v>4157</v>
      </c>
      <c r="C268" s="2420" t="s">
        <v>5053</v>
      </c>
      <c r="D268" s="2420"/>
      <c r="E268" s="1592">
        <v>1</v>
      </c>
      <c r="F268" s="2433">
        <f t="shared" si="72"/>
        <v>0</v>
      </c>
      <c r="G268" s="2434"/>
      <c r="H268" s="2434"/>
      <c r="I268" s="2435"/>
      <c r="L268" s="840"/>
      <c r="M268" s="840"/>
      <c r="N268" s="840"/>
      <c r="O268" s="840"/>
      <c r="P268" s="840"/>
      <c r="Q268" s="840"/>
      <c r="R268" s="840"/>
      <c r="S268" s="840"/>
      <c r="T268" s="840"/>
      <c r="U268" s="840"/>
      <c r="V268" s="840"/>
      <c r="W268" s="840"/>
      <c r="X268" s="840"/>
      <c r="Y268" s="840"/>
      <c r="Z268" s="840"/>
      <c r="AA268" s="840"/>
      <c r="AB268" s="840"/>
      <c r="AC268" s="840"/>
      <c r="AD268" s="840"/>
      <c r="AE268" s="840"/>
      <c r="AF268" s="840"/>
      <c r="AG268" s="840"/>
      <c r="AH268" s="840"/>
      <c r="AI268" s="840"/>
      <c r="AJ268" s="840"/>
      <c r="AK268" s="840"/>
      <c r="AL268" s="840"/>
      <c r="AM268" s="840"/>
      <c r="AN268" s="840"/>
      <c r="AO268" s="840"/>
      <c r="AP268" s="840"/>
      <c r="AQ268" s="840"/>
      <c r="AR268" s="840"/>
      <c r="AS268" s="840"/>
      <c r="AT268" s="840"/>
      <c r="AU268" s="840"/>
      <c r="AV268" s="840"/>
      <c r="AW268" s="840"/>
      <c r="AX268" s="840"/>
      <c r="AY268" s="840"/>
      <c r="AZ268" s="840"/>
      <c r="BA268" s="840"/>
      <c r="BB268" s="840"/>
      <c r="BC268" s="840"/>
      <c r="BD268" s="840"/>
      <c r="BE268" s="840"/>
      <c r="BF268" s="840"/>
      <c r="BG268" s="840"/>
      <c r="BH268" s="840"/>
      <c r="BI268" s="840"/>
      <c r="BJ268" s="840"/>
      <c r="BK268" s="840"/>
      <c r="BL268" s="840"/>
      <c r="BM268" s="840"/>
      <c r="BN268" s="840"/>
      <c r="BO268" s="840"/>
      <c r="BP268" s="840"/>
      <c r="BQ268" s="840"/>
      <c r="BR268" s="840"/>
      <c r="BS268" s="840"/>
      <c r="BT268" s="840"/>
      <c r="BU268" s="840"/>
      <c r="BV268" s="840"/>
      <c r="BW268" s="840"/>
      <c r="BX268" s="840"/>
      <c r="BY268" s="840"/>
      <c r="BZ268" s="840"/>
      <c r="CA268" s="840"/>
      <c r="CB268" s="840"/>
      <c r="CC268" s="840"/>
      <c r="CD268" s="840"/>
    </row>
    <row r="269" spans="1:82" ht="15" hidden="1" customHeight="1" x14ac:dyDescent="0.2">
      <c r="A269" s="843"/>
      <c r="B269" s="1596" t="s">
        <v>4155</v>
      </c>
      <c r="C269" s="2420" t="s">
        <v>5054</v>
      </c>
      <c r="D269" s="2420"/>
      <c r="E269" s="1592">
        <v>1</v>
      </c>
      <c r="F269" s="2433">
        <f t="shared" si="72"/>
        <v>0</v>
      </c>
      <c r="G269" s="2434"/>
      <c r="H269" s="2434"/>
      <c r="I269" s="2435"/>
      <c r="L269" s="840"/>
      <c r="M269" s="840"/>
      <c r="N269" s="840"/>
      <c r="O269" s="840"/>
      <c r="P269" s="840"/>
      <c r="Q269" s="840"/>
      <c r="R269" s="840"/>
      <c r="S269" s="840"/>
      <c r="T269" s="840"/>
      <c r="U269" s="840"/>
      <c r="V269" s="840"/>
      <c r="W269" s="840"/>
      <c r="X269" s="840"/>
      <c r="Y269" s="840"/>
      <c r="Z269" s="840"/>
      <c r="AA269" s="840"/>
      <c r="AB269" s="840"/>
      <c r="AC269" s="840"/>
      <c r="AD269" s="840"/>
      <c r="AE269" s="840"/>
      <c r="AF269" s="840"/>
      <c r="AG269" s="840"/>
      <c r="AH269" s="840"/>
      <c r="AI269" s="840"/>
      <c r="AJ269" s="840"/>
      <c r="AK269" s="840"/>
      <c r="AL269" s="840"/>
      <c r="AM269" s="840"/>
      <c r="AN269" s="840"/>
      <c r="AO269" s="840"/>
      <c r="AP269" s="840"/>
      <c r="AQ269" s="840"/>
      <c r="AR269" s="840"/>
      <c r="AS269" s="840"/>
      <c r="AT269" s="840"/>
      <c r="AU269" s="840"/>
      <c r="AV269" s="840"/>
      <c r="AW269" s="840"/>
      <c r="AX269" s="840"/>
      <c r="AY269" s="840"/>
      <c r="AZ269" s="840"/>
      <c r="BA269" s="840"/>
      <c r="BB269" s="840"/>
      <c r="BC269" s="840"/>
      <c r="BD269" s="840"/>
      <c r="BE269" s="840"/>
      <c r="BF269" s="840"/>
      <c r="BG269" s="840"/>
      <c r="BH269" s="840"/>
      <c r="BI269" s="840"/>
      <c r="BJ269" s="840"/>
      <c r="BK269" s="840"/>
      <c r="BL269" s="840"/>
      <c r="BM269" s="840"/>
      <c r="BN269" s="840"/>
      <c r="BO269" s="840"/>
      <c r="BP269" s="840"/>
      <c r="BQ269" s="840"/>
      <c r="BR269" s="840"/>
      <c r="BS269" s="840"/>
      <c r="BT269" s="840"/>
      <c r="BU269" s="840"/>
      <c r="BV269" s="840"/>
      <c r="BW269" s="840"/>
      <c r="BX269" s="840"/>
      <c r="BY269" s="840"/>
      <c r="BZ269" s="840"/>
      <c r="CA269" s="840"/>
      <c r="CB269" s="840"/>
      <c r="CC269" s="840"/>
      <c r="CD269" s="840"/>
    </row>
    <row r="270" spans="1:82" ht="15" hidden="1" customHeight="1" x14ac:dyDescent="0.2">
      <c r="A270" s="843"/>
      <c r="B270" s="1596" t="s">
        <v>4156</v>
      </c>
      <c r="C270" s="2420" t="s">
        <v>5055</v>
      </c>
      <c r="D270" s="2420"/>
      <c r="E270" s="1592">
        <v>1</v>
      </c>
      <c r="F270" s="2433">
        <f t="shared" si="72"/>
        <v>0</v>
      </c>
      <c r="G270" s="2434"/>
      <c r="H270" s="2434"/>
      <c r="I270" s="2435"/>
      <c r="L270" s="840"/>
      <c r="M270" s="840"/>
      <c r="N270" s="840"/>
      <c r="O270" s="840"/>
      <c r="P270" s="840"/>
      <c r="Q270" s="840"/>
      <c r="R270" s="840"/>
      <c r="S270" s="840"/>
      <c r="T270" s="840"/>
      <c r="U270" s="840"/>
      <c r="V270" s="840"/>
      <c r="W270" s="840"/>
      <c r="X270" s="840"/>
      <c r="Y270" s="840"/>
      <c r="Z270" s="840"/>
      <c r="AA270" s="840"/>
      <c r="AB270" s="840"/>
      <c r="AC270" s="840"/>
      <c r="AD270" s="840"/>
      <c r="AE270" s="840"/>
      <c r="AF270" s="840"/>
      <c r="AG270" s="840"/>
      <c r="AH270" s="840"/>
      <c r="AI270" s="840"/>
      <c r="AJ270" s="840"/>
      <c r="AK270" s="840"/>
      <c r="AL270" s="840"/>
      <c r="AM270" s="840"/>
      <c r="AN270" s="840"/>
      <c r="AO270" s="840"/>
      <c r="AP270" s="840"/>
      <c r="AQ270" s="840"/>
      <c r="AR270" s="840"/>
      <c r="AS270" s="840"/>
      <c r="AT270" s="840"/>
      <c r="AU270" s="840"/>
      <c r="AV270" s="840"/>
      <c r="AW270" s="840"/>
      <c r="AX270" s="840"/>
      <c r="AY270" s="840"/>
      <c r="AZ270" s="840"/>
      <c r="BA270" s="840"/>
      <c r="BB270" s="840"/>
      <c r="BC270" s="840"/>
      <c r="BD270" s="840"/>
      <c r="BE270" s="840"/>
      <c r="BF270" s="840"/>
      <c r="BG270" s="840"/>
      <c r="BH270" s="840"/>
      <c r="BI270" s="840"/>
      <c r="BJ270" s="840"/>
      <c r="BK270" s="840"/>
      <c r="BL270" s="840"/>
      <c r="BM270" s="840"/>
      <c r="BN270" s="840"/>
      <c r="BO270" s="840"/>
      <c r="BP270" s="840"/>
      <c r="BQ270" s="840"/>
      <c r="BR270" s="840"/>
      <c r="BS270" s="840"/>
      <c r="BT270" s="840"/>
      <c r="BU270" s="840"/>
      <c r="BV270" s="840"/>
      <c r="BW270" s="840"/>
      <c r="BX270" s="840"/>
      <c r="BY270" s="840"/>
      <c r="BZ270" s="840"/>
      <c r="CA270" s="840"/>
      <c r="CB270" s="840"/>
      <c r="CC270" s="840"/>
      <c r="CD270" s="840"/>
    </row>
    <row r="271" spans="1:82" ht="15" hidden="1" customHeight="1" x14ac:dyDescent="0.2">
      <c r="A271" s="843"/>
      <c r="B271" s="1596" t="s">
        <v>4138</v>
      </c>
      <c r="C271" s="2420" t="s">
        <v>5056</v>
      </c>
      <c r="D271" s="2420"/>
      <c r="E271" s="1592">
        <v>1</v>
      </c>
      <c r="F271" s="2433">
        <f t="shared" si="72"/>
        <v>0</v>
      </c>
      <c r="G271" s="2434"/>
      <c r="H271" s="2434"/>
      <c r="I271" s="2435"/>
      <c r="L271" s="840"/>
      <c r="M271" s="840"/>
      <c r="N271" s="840"/>
      <c r="O271" s="840"/>
      <c r="P271" s="840"/>
      <c r="Q271" s="840"/>
      <c r="R271" s="840"/>
      <c r="S271" s="840"/>
      <c r="T271" s="840"/>
      <c r="U271" s="840"/>
      <c r="V271" s="840"/>
      <c r="W271" s="840"/>
      <c r="X271" s="840"/>
      <c r="Y271" s="840"/>
      <c r="Z271" s="840"/>
      <c r="AA271" s="840"/>
      <c r="AB271" s="840"/>
      <c r="AC271" s="840"/>
      <c r="AD271" s="840"/>
      <c r="AE271" s="840"/>
      <c r="AF271" s="840"/>
      <c r="AG271" s="840"/>
      <c r="AH271" s="840"/>
      <c r="AI271" s="840"/>
      <c r="AJ271" s="840"/>
      <c r="AK271" s="840"/>
      <c r="AL271" s="840"/>
      <c r="AM271" s="840"/>
      <c r="AN271" s="840"/>
      <c r="AO271" s="840"/>
      <c r="AP271" s="840"/>
      <c r="AQ271" s="840"/>
      <c r="AR271" s="840"/>
      <c r="AS271" s="840"/>
      <c r="AT271" s="840"/>
      <c r="AU271" s="840"/>
      <c r="AV271" s="840"/>
      <c r="AW271" s="840"/>
      <c r="AX271" s="840"/>
      <c r="AY271" s="840"/>
      <c r="AZ271" s="840"/>
      <c r="BA271" s="840"/>
      <c r="BB271" s="840"/>
      <c r="BC271" s="840"/>
      <c r="BD271" s="840"/>
      <c r="BE271" s="840"/>
      <c r="BF271" s="840"/>
      <c r="BG271" s="840"/>
      <c r="BH271" s="840"/>
      <c r="BI271" s="840"/>
      <c r="BJ271" s="840"/>
      <c r="BK271" s="840"/>
      <c r="BL271" s="840"/>
      <c r="BM271" s="840"/>
      <c r="BN271" s="840"/>
      <c r="BO271" s="840"/>
      <c r="BP271" s="840"/>
      <c r="BQ271" s="840"/>
      <c r="BR271" s="840"/>
      <c r="BS271" s="840"/>
      <c r="BT271" s="840"/>
      <c r="BU271" s="840"/>
      <c r="BV271" s="840"/>
      <c r="BW271" s="840"/>
      <c r="BX271" s="840"/>
      <c r="BY271" s="840"/>
      <c r="BZ271" s="840"/>
      <c r="CA271" s="840"/>
      <c r="CB271" s="840"/>
      <c r="CC271" s="840"/>
      <c r="CD271" s="840"/>
    </row>
    <row r="272" spans="1:82" ht="15" hidden="1" customHeight="1" x14ac:dyDescent="0.2">
      <c r="A272" s="843"/>
      <c r="B272" s="1596" t="s">
        <v>4141</v>
      </c>
      <c r="C272" s="2420" t="s">
        <v>5057</v>
      </c>
      <c r="D272" s="2420"/>
      <c r="E272" s="1592">
        <v>1</v>
      </c>
      <c r="F272" s="2433">
        <f t="shared" si="72"/>
        <v>0</v>
      </c>
      <c r="G272" s="2434"/>
      <c r="H272" s="2434"/>
      <c r="I272" s="2435"/>
      <c r="L272" s="840"/>
      <c r="M272" s="840"/>
      <c r="N272" s="840"/>
      <c r="O272" s="840"/>
      <c r="P272" s="840"/>
      <c r="Q272" s="840"/>
      <c r="R272" s="840"/>
      <c r="S272" s="840"/>
      <c r="T272" s="840"/>
      <c r="U272" s="840"/>
      <c r="V272" s="840"/>
      <c r="W272" s="840"/>
      <c r="X272" s="840"/>
      <c r="Y272" s="840"/>
      <c r="Z272" s="840"/>
      <c r="AA272" s="840"/>
      <c r="AB272" s="840"/>
      <c r="AC272" s="840"/>
      <c r="AD272" s="840"/>
      <c r="AE272" s="840"/>
      <c r="AF272" s="840"/>
      <c r="AG272" s="840"/>
      <c r="AH272" s="840"/>
      <c r="AI272" s="840"/>
      <c r="AJ272" s="840"/>
      <c r="AK272" s="840"/>
      <c r="AL272" s="840"/>
      <c r="AM272" s="840"/>
      <c r="AN272" s="840"/>
      <c r="AO272" s="840"/>
      <c r="AP272" s="840"/>
      <c r="AQ272" s="840"/>
      <c r="AR272" s="840"/>
      <c r="AS272" s="840"/>
      <c r="AT272" s="840"/>
      <c r="AU272" s="840"/>
      <c r="AV272" s="840"/>
      <c r="AW272" s="840"/>
      <c r="AX272" s="840"/>
      <c r="AY272" s="840"/>
      <c r="AZ272" s="840"/>
      <c r="BA272" s="840"/>
      <c r="BB272" s="840"/>
      <c r="BC272" s="840"/>
      <c r="BD272" s="840"/>
      <c r="BE272" s="840"/>
      <c r="BF272" s="840"/>
      <c r="BG272" s="840"/>
      <c r="BH272" s="840"/>
      <c r="BI272" s="840"/>
      <c r="BJ272" s="840"/>
      <c r="BK272" s="840"/>
      <c r="BL272" s="840"/>
      <c r="BM272" s="840"/>
      <c r="BN272" s="840"/>
      <c r="BO272" s="840"/>
      <c r="BP272" s="840"/>
      <c r="BQ272" s="840"/>
      <c r="BR272" s="840"/>
      <c r="BS272" s="840"/>
      <c r="BT272" s="840"/>
      <c r="BU272" s="840"/>
      <c r="BV272" s="840"/>
      <c r="BW272" s="840"/>
      <c r="BX272" s="840"/>
      <c r="BY272" s="840"/>
      <c r="BZ272" s="840"/>
      <c r="CA272" s="840"/>
      <c r="CB272" s="840"/>
      <c r="CC272" s="840"/>
      <c r="CD272" s="840"/>
    </row>
    <row r="273" spans="1:82" ht="15" hidden="1" customHeight="1" x14ac:dyDescent="0.2">
      <c r="A273" s="843"/>
      <c r="B273" s="1596" t="s">
        <v>4139</v>
      </c>
      <c r="C273" s="2420" t="s">
        <v>5058</v>
      </c>
      <c r="D273" s="2420"/>
      <c r="E273" s="1592">
        <v>1</v>
      </c>
      <c r="F273" s="2433">
        <f t="shared" si="72"/>
        <v>0</v>
      </c>
      <c r="G273" s="2434"/>
      <c r="H273" s="2434"/>
      <c r="I273" s="2435"/>
      <c r="L273" s="840"/>
      <c r="M273" s="840"/>
      <c r="N273" s="840"/>
      <c r="O273" s="840"/>
      <c r="P273" s="840"/>
      <c r="Q273" s="840"/>
      <c r="R273" s="840"/>
      <c r="S273" s="840"/>
      <c r="T273" s="840"/>
      <c r="U273" s="840"/>
      <c r="V273" s="840"/>
      <c r="W273" s="840"/>
      <c r="X273" s="840"/>
      <c r="Y273" s="840"/>
      <c r="Z273" s="840"/>
      <c r="AA273" s="840"/>
      <c r="AB273" s="840"/>
      <c r="AC273" s="840"/>
      <c r="AD273" s="840"/>
      <c r="AE273" s="840"/>
      <c r="AF273" s="840"/>
      <c r="AG273" s="840"/>
      <c r="AH273" s="840"/>
      <c r="AI273" s="840"/>
      <c r="AJ273" s="840"/>
      <c r="AK273" s="840"/>
      <c r="AL273" s="840"/>
      <c r="AM273" s="840"/>
      <c r="AN273" s="840"/>
      <c r="AO273" s="840"/>
      <c r="AP273" s="840"/>
      <c r="AQ273" s="840"/>
      <c r="AR273" s="840"/>
      <c r="AS273" s="840"/>
      <c r="AT273" s="840"/>
      <c r="AU273" s="840"/>
      <c r="AV273" s="840"/>
      <c r="AW273" s="840"/>
      <c r="AX273" s="840"/>
      <c r="AY273" s="840"/>
      <c r="AZ273" s="840"/>
      <c r="BA273" s="840"/>
      <c r="BB273" s="840"/>
      <c r="BC273" s="840"/>
      <c r="BD273" s="840"/>
      <c r="BE273" s="840"/>
      <c r="BF273" s="840"/>
      <c r="BG273" s="840"/>
      <c r="BH273" s="840"/>
      <c r="BI273" s="840"/>
      <c r="BJ273" s="840"/>
      <c r="BK273" s="840"/>
      <c r="BL273" s="840"/>
      <c r="BM273" s="840"/>
      <c r="BN273" s="840"/>
      <c r="BO273" s="840"/>
      <c r="BP273" s="840"/>
      <c r="BQ273" s="840"/>
      <c r="BR273" s="840"/>
      <c r="BS273" s="840"/>
      <c r="BT273" s="840"/>
      <c r="BU273" s="840"/>
      <c r="BV273" s="840"/>
      <c r="BW273" s="840"/>
      <c r="BX273" s="840"/>
      <c r="BY273" s="840"/>
      <c r="BZ273" s="840"/>
      <c r="CA273" s="840"/>
      <c r="CB273" s="840"/>
      <c r="CC273" s="840"/>
      <c r="CD273" s="840"/>
    </row>
    <row r="274" spans="1:82" ht="15.75" hidden="1" customHeight="1" thickBot="1" x14ac:dyDescent="0.25">
      <c r="A274" s="889"/>
      <c r="B274" s="1597" t="s">
        <v>4140</v>
      </c>
      <c r="C274" s="2432" t="s">
        <v>5059</v>
      </c>
      <c r="D274" s="2432"/>
      <c r="E274" s="1468">
        <v>1</v>
      </c>
      <c r="F274" s="2433">
        <f t="shared" si="72"/>
        <v>0</v>
      </c>
      <c r="G274" s="2434"/>
      <c r="H274" s="2434"/>
      <c r="I274" s="2435"/>
      <c r="L274" s="840"/>
      <c r="M274" s="840"/>
      <c r="N274" s="840"/>
      <c r="O274" s="840"/>
      <c r="P274" s="840"/>
      <c r="Q274" s="840"/>
      <c r="R274" s="840"/>
      <c r="S274" s="840"/>
      <c r="T274" s="840"/>
      <c r="U274" s="840"/>
      <c r="V274" s="840"/>
      <c r="W274" s="840"/>
      <c r="X274" s="840"/>
      <c r="Y274" s="840"/>
      <c r="Z274" s="840"/>
      <c r="AA274" s="840"/>
      <c r="AB274" s="840"/>
      <c r="AC274" s="840"/>
      <c r="AD274" s="840"/>
      <c r="AE274" s="840"/>
      <c r="AF274" s="840"/>
      <c r="AG274" s="840"/>
      <c r="AH274" s="840"/>
      <c r="AI274" s="840"/>
      <c r="AJ274" s="840"/>
      <c r="AK274" s="840"/>
      <c r="AL274" s="840"/>
      <c r="AM274" s="840"/>
      <c r="AN274" s="840"/>
      <c r="AO274" s="840"/>
      <c r="AP274" s="840"/>
      <c r="AQ274" s="840"/>
      <c r="AR274" s="840"/>
      <c r="AS274" s="840"/>
      <c r="AT274" s="840"/>
      <c r="AU274" s="840"/>
      <c r="AV274" s="840"/>
      <c r="AW274" s="840"/>
      <c r="AX274" s="840"/>
      <c r="AY274" s="840"/>
      <c r="AZ274" s="840"/>
      <c r="BA274" s="840"/>
      <c r="BB274" s="840"/>
      <c r="BC274" s="840"/>
      <c r="BD274" s="840"/>
      <c r="BE274" s="840"/>
      <c r="BF274" s="840"/>
      <c r="BG274" s="840"/>
      <c r="BH274" s="840"/>
      <c r="BI274" s="840"/>
      <c r="BJ274" s="840"/>
      <c r="BK274" s="840"/>
      <c r="BL274" s="840"/>
      <c r="BM274" s="840"/>
      <c r="BN274" s="840"/>
      <c r="BO274" s="840"/>
      <c r="BP274" s="840"/>
      <c r="BQ274" s="840"/>
      <c r="BR274" s="840"/>
      <c r="BS274" s="840"/>
      <c r="BT274" s="840"/>
      <c r="BU274" s="840"/>
      <c r="BV274" s="840"/>
      <c r="BW274" s="840"/>
      <c r="BX274" s="840"/>
      <c r="BY274" s="840"/>
      <c r="BZ274" s="840"/>
      <c r="CA274" s="840"/>
      <c r="CB274" s="840"/>
      <c r="CC274" s="840"/>
      <c r="CD274" s="840"/>
    </row>
    <row r="275" spans="1:82" ht="15" hidden="1" customHeight="1" x14ac:dyDescent="0.2">
      <c r="B275" s="771"/>
      <c r="C275" s="771"/>
      <c r="D275" s="771"/>
      <c r="E275" s="774"/>
      <c r="F275" s="1438"/>
      <c r="G275" s="1438"/>
      <c r="H275" s="801"/>
      <c r="I275" s="887"/>
      <c r="L275" s="840"/>
      <c r="M275" s="840"/>
      <c r="N275" s="840"/>
      <c r="O275" s="840"/>
      <c r="P275" s="840"/>
      <c r="Q275" s="840"/>
      <c r="R275" s="840"/>
      <c r="S275" s="840"/>
      <c r="T275" s="840"/>
      <c r="U275" s="840"/>
      <c r="V275" s="840"/>
      <c r="W275" s="840"/>
      <c r="X275" s="840"/>
      <c r="Y275" s="840"/>
      <c r="Z275" s="840"/>
      <c r="AA275" s="840"/>
      <c r="AB275" s="840"/>
      <c r="AC275" s="840"/>
      <c r="AD275" s="840"/>
      <c r="AE275" s="840"/>
      <c r="AF275" s="840"/>
      <c r="AG275" s="840"/>
      <c r="AH275" s="840"/>
      <c r="AI275" s="840"/>
      <c r="AJ275" s="840"/>
      <c r="AK275" s="840"/>
      <c r="AL275" s="840"/>
      <c r="AM275" s="840"/>
      <c r="AN275" s="840"/>
      <c r="AO275" s="840"/>
      <c r="AP275" s="840"/>
      <c r="AQ275" s="840"/>
      <c r="AR275" s="840"/>
      <c r="AS275" s="840"/>
      <c r="AT275" s="840"/>
      <c r="AU275" s="840"/>
      <c r="AV275" s="840"/>
      <c r="AW275" s="840"/>
      <c r="AX275" s="840"/>
      <c r="AY275" s="840"/>
      <c r="AZ275" s="840"/>
      <c r="BA275" s="840"/>
      <c r="BB275" s="840"/>
      <c r="BC275" s="840"/>
      <c r="BD275" s="840"/>
      <c r="BE275" s="840"/>
      <c r="BF275" s="840"/>
      <c r="BG275" s="840"/>
      <c r="BH275" s="840"/>
      <c r="BI275" s="840"/>
      <c r="BJ275" s="840"/>
      <c r="BK275" s="840"/>
      <c r="BL275" s="840"/>
      <c r="BM275" s="840"/>
      <c r="BN275" s="840"/>
      <c r="BO275" s="840"/>
      <c r="BP275" s="840"/>
      <c r="BQ275" s="840"/>
      <c r="BR275" s="840"/>
      <c r="BS275" s="840"/>
      <c r="BT275" s="840"/>
      <c r="BU275" s="840"/>
      <c r="BV275" s="840"/>
      <c r="BW275" s="840"/>
      <c r="BX275" s="840"/>
      <c r="BY275" s="840"/>
      <c r="BZ275" s="840"/>
      <c r="CA275" s="840"/>
      <c r="CB275" s="840"/>
      <c r="CC275" s="840"/>
      <c r="CD275" s="840"/>
    </row>
    <row r="276" spans="1:82" ht="15" customHeight="1" x14ac:dyDescent="0.2">
      <c r="B276" s="771"/>
      <c r="C276" s="771"/>
      <c r="D276" s="771"/>
      <c r="E276" s="774"/>
      <c r="F276" s="1438"/>
      <c r="G276" s="1438"/>
      <c r="H276" s="801"/>
      <c r="I276" s="887"/>
      <c r="L276" s="840"/>
      <c r="M276" s="840"/>
      <c r="N276" s="840"/>
      <c r="O276" s="840"/>
      <c r="P276" s="840"/>
      <c r="Q276" s="840"/>
      <c r="R276" s="840"/>
      <c r="S276" s="840"/>
      <c r="T276" s="840"/>
      <c r="U276" s="840"/>
      <c r="V276" s="840"/>
      <c r="W276" s="840"/>
      <c r="X276" s="840"/>
      <c r="Y276" s="840"/>
      <c r="Z276" s="840"/>
      <c r="AA276" s="840"/>
      <c r="AB276" s="840"/>
      <c r="AC276" s="840"/>
      <c r="AD276" s="840"/>
      <c r="AE276" s="840"/>
      <c r="AF276" s="840"/>
      <c r="AG276" s="840"/>
      <c r="AH276" s="840"/>
      <c r="AI276" s="840"/>
      <c r="AJ276" s="840"/>
      <c r="AK276" s="840"/>
      <c r="AL276" s="840"/>
      <c r="AM276" s="840"/>
      <c r="AN276" s="840"/>
      <c r="AO276" s="840"/>
      <c r="AP276" s="840"/>
      <c r="AQ276" s="840"/>
      <c r="AR276" s="840"/>
      <c r="AS276" s="840"/>
      <c r="AT276" s="840"/>
      <c r="AU276" s="840"/>
      <c r="AV276" s="840"/>
      <c r="AW276" s="840"/>
      <c r="AX276" s="840"/>
      <c r="AY276" s="840"/>
      <c r="AZ276" s="840"/>
      <c r="BA276" s="840"/>
      <c r="BB276" s="840"/>
      <c r="BC276" s="840"/>
      <c r="BD276" s="840"/>
      <c r="BE276" s="840"/>
      <c r="BF276" s="840"/>
      <c r="BG276" s="840"/>
      <c r="BH276" s="840"/>
      <c r="BI276" s="840"/>
      <c r="BJ276" s="840"/>
      <c r="BK276" s="840"/>
      <c r="BL276" s="840"/>
      <c r="BM276" s="840"/>
      <c r="BN276" s="840"/>
      <c r="BO276" s="840"/>
      <c r="BP276" s="840"/>
      <c r="BQ276" s="840"/>
      <c r="BR276" s="840"/>
      <c r="BS276" s="840"/>
      <c r="BT276" s="840"/>
      <c r="BU276" s="840"/>
      <c r="BV276" s="840"/>
      <c r="BW276" s="840"/>
      <c r="BX276" s="840"/>
      <c r="BY276" s="840"/>
      <c r="BZ276" s="840"/>
      <c r="CA276" s="840"/>
      <c r="CB276" s="840"/>
      <c r="CC276" s="840"/>
      <c r="CD276" s="840"/>
    </row>
    <row r="277" spans="1:82" ht="15" customHeight="1" x14ac:dyDescent="0.2">
      <c r="B277" s="771"/>
      <c r="C277" s="771"/>
      <c r="D277" s="771"/>
      <c r="E277" s="774"/>
      <c r="F277" s="1438"/>
      <c r="G277" s="1438"/>
      <c r="H277" s="801"/>
      <c r="I277" s="887"/>
      <c r="L277" s="840"/>
      <c r="M277" s="840"/>
      <c r="N277" s="840"/>
      <c r="O277" s="840"/>
      <c r="P277" s="840"/>
      <c r="Q277" s="840"/>
      <c r="R277" s="840"/>
      <c r="S277" s="840"/>
      <c r="T277" s="840"/>
      <c r="U277" s="840"/>
      <c r="V277" s="840"/>
      <c r="W277" s="840"/>
      <c r="X277" s="840"/>
      <c r="Y277" s="840"/>
      <c r="Z277" s="840"/>
      <c r="AA277" s="840"/>
      <c r="AB277" s="840"/>
      <c r="AC277" s="840"/>
      <c r="AD277" s="840"/>
      <c r="AE277" s="840"/>
      <c r="AF277" s="840"/>
      <c r="AG277" s="840"/>
      <c r="AH277" s="840"/>
      <c r="AI277" s="840"/>
      <c r="AJ277" s="840"/>
      <c r="AK277" s="840"/>
      <c r="AL277" s="840"/>
      <c r="AM277" s="840"/>
      <c r="AN277" s="840"/>
      <c r="AO277" s="840"/>
      <c r="AP277" s="840"/>
      <c r="AQ277" s="840"/>
      <c r="AR277" s="840"/>
      <c r="AS277" s="840"/>
      <c r="AT277" s="840"/>
      <c r="AU277" s="840"/>
      <c r="AV277" s="840"/>
      <c r="AW277" s="840"/>
      <c r="AX277" s="840"/>
      <c r="AY277" s="840"/>
      <c r="AZ277" s="840"/>
      <c r="BA277" s="840"/>
      <c r="BB277" s="840"/>
      <c r="BC277" s="840"/>
      <c r="BD277" s="840"/>
      <c r="BE277" s="840"/>
      <c r="BF277" s="840"/>
      <c r="BG277" s="840"/>
      <c r="BH277" s="840"/>
      <c r="BI277" s="840"/>
      <c r="BJ277" s="840"/>
      <c r="BK277" s="840"/>
      <c r="BL277" s="840"/>
      <c r="BM277" s="840"/>
      <c r="BN277" s="840"/>
      <c r="BO277" s="840"/>
      <c r="BP277" s="840"/>
      <c r="BQ277" s="840"/>
      <c r="BR277" s="840"/>
      <c r="BS277" s="840"/>
      <c r="BT277" s="840"/>
      <c r="BU277" s="840"/>
      <c r="BV277" s="840"/>
      <c r="BW277" s="840"/>
      <c r="BX277" s="840"/>
      <c r="BY277" s="840"/>
      <c r="BZ277" s="840"/>
      <c r="CA277" s="840"/>
      <c r="CB277" s="840"/>
      <c r="CC277" s="840"/>
      <c r="CD277" s="840"/>
    </row>
    <row r="278" spans="1:82" ht="15" customHeight="1" x14ac:dyDescent="0.2">
      <c r="B278" s="771"/>
      <c r="C278" s="771"/>
      <c r="D278" s="771"/>
      <c r="E278" s="774"/>
      <c r="F278" s="1438"/>
      <c r="G278" s="1438"/>
      <c r="H278" s="801"/>
      <c r="I278" s="887"/>
      <c r="L278" s="840"/>
      <c r="M278" s="840"/>
      <c r="N278" s="840"/>
      <c r="O278" s="840"/>
      <c r="P278" s="840"/>
      <c r="Q278" s="840"/>
      <c r="R278" s="840"/>
      <c r="S278" s="840"/>
      <c r="T278" s="840"/>
      <c r="U278" s="840"/>
      <c r="V278" s="840"/>
      <c r="W278" s="840"/>
      <c r="X278" s="840"/>
      <c r="Y278" s="840"/>
      <c r="Z278" s="840"/>
      <c r="AA278" s="840"/>
      <c r="AB278" s="840"/>
      <c r="AC278" s="840"/>
      <c r="AD278" s="840"/>
      <c r="AE278" s="840"/>
      <c r="AF278" s="840"/>
      <c r="AG278" s="840"/>
      <c r="AH278" s="840"/>
      <c r="AI278" s="840"/>
      <c r="AJ278" s="840"/>
      <c r="AK278" s="840"/>
      <c r="AL278" s="840"/>
      <c r="AM278" s="840"/>
      <c r="AN278" s="840"/>
      <c r="AO278" s="840"/>
      <c r="AP278" s="840"/>
      <c r="AQ278" s="840"/>
      <c r="AR278" s="840"/>
      <c r="AS278" s="840"/>
      <c r="AT278" s="840"/>
      <c r="AU278" s="840"/>
      <c r="AV278" s="840"/>
      <c r="AW278" s="840"/>
      <c r="AX278" s="840"/>
      <c r="AY278" s="840"/>
      <c r="AZ278" s="840"/>
      <c r="BA278" s="840"/>
      <c r="BB278" s="840"/>
      <c r="BC278" s="840"/>
      <c r="BD278" s="840"/>
      <c r="BE278" s="840"/>
      <c r="BF278" s="840"/>
      <c r="BG278" s="840"/>
      <c r="BH278" s="840"/>
      <c r="BI278" s="840"/>
      <c r="BJ278" s="840"/>
      <c r="BK278" s="840"/>
      <c r="BL278" s="840"/>
      <c r="BM278" s="840"/>
      <c r="BN278" s="840"/>
      <c r="BO278" s="840"/>
      <c r="BP278" s="840"/>
      <c r="BQ278" s="840"/>
      <c r="BR278" s="840"/>
      <c r="BS278" s="840"/>
      <c r="BT278" s="840"/>
      <c r="BU278" s="840"/>
      <c r="BV278" s="840"/>
      <c r="BW278" s="840"/>
      <c r="BX278" s="840"/>
      <c r="BY278" s="840"/>
      <c r="BZ278" s="840"/>
      <c r="CA278" s="840"/>
      <c r="CB278" s="840"/>
      <c r="CC278" s="840"/>
      <c r="CD278" s="840"/>
    </row>
    <row r="279" spans="1:82" ht="15" customHeight="1" x14ac:dyDescent="0.2">
      <c r="B279" s="771"/>
      <c r="C279" s="771"/>
      <c r="D279" s="771"/>
      <c r="E279" s="774"/>
      <c r="F279" s="1438"/>
      <c r="G279" s="1438"/>
      <c r="H279" s="801"/>
      <c r="I279" s="887"/>
      <c r="L279" s="840"/>
      <c r="M279" s="840"/>
      <c r="N279" s="840"/>
      <c r="O279" s="840"/>
      <c r="P279" s="840"/>
      <c r="Q279" s="840"/>
      <c r="R279" s="840"/>
      <c r="S279" s="840"/>
      <c r="T279" s="840"/>
      <c r="U279" s="840"/>
      <c r="V279" s="840"/>
      <c r="W279" s="840"/>
      <c r="X279" s="840"/>
      <c r="Y279" s="840"/>
      <c r="Z279" s="840"/>
      <c r="AA279" s="840"/>
      <c r="AB279" s="840"/>
      <c r="AC279" s="840"/>
      <c r="AD279" s="840"/>
      <c r="AE279" s="840"/>
      <c r="AF279" s="840"/>
      <c r="AG279" s="840"/>
      <c r="AH279" s="840"/>
      <c r="AI279" s="840"/>
      <c r="AJ279" s="840"/>
      <c r="AK279" s="840"/>
      <c r="AL279" s="840"/>
      <c r="AM279" s="840"/>
      <c r="AN279" s="840"/>
      <c r="AO279" s="840"/>
      <c r="AP279" s="840"/>
      <c r="AQ279" s="840"/>
      <c r="AR279" s="840"/>
      <c r="AS279" s="840"/>
      <c r="AT279" s="840"/>
      <c r="AU279" s="840"/>
      <c r="AV279" s="840"/>
      <c r="AW279" s="840"/>
      <c r="AX279" s="840"/>
      <c r="AY279" s="840"/>
      <c r="AZ279" s="840"/>
      <c r="BA279" s="840"/>
      <c r="BB279" s="840"/>
      <c r="BC279" s="840"/>
      <c r="BD279" s="840"/>
      <c r="BE279" s="840"/>
      <c r="BF279" s="840"/>
      <c r="BG279" s="840"/>
      <c r="BH279" s="840"/>
      <c r="BI279" s="840"/>
      <c r="BJ279" s="840"/>
      <c r="BK279" s="840"/>
      <c r="BL279" s="840"/>
      <c r="BM279" s="840"/>
      <c r="BN279" s="840"/>
      <c r="BO279" s="840"/>
      <c r="BP279" s="840"/>
      <c r="BQ279" s="840"/>
      <c r="BR279" s="840"/>
      <c r="BS279" s="840"/>
      <c r="BT279" s="840"/>
      <c r="BU279" s="840"/>
      <c r="BV279" s="840"/>
      <c r="BW279" s="840"/>
      <c r="BX279" s="840"/>
      <c r="BY279" s="840"/>
      <c r="BZ279" s="840"/>
      <c r="CA279" s="840"/>
      <c r="CB279" s="840"/>
      <c r="CC279" s="840"/>
      <c r="CD279" s="840"/>
    </row>
    <row r="280" spans="1:82" ht="15" customHeight="1" x14ac:dyDescent="0.2">
      <c r="B280" s="771"/>
      <c r="C280" s="771"/>
      <c r="D280" s="771"/>
      <c r="E280" s="774"/>
      <c r="F280" s="1438"/>
      <c r="G280" s="1438"/>
      <c r="H280" s="801"/>
      <c r="I280" s="887"/>
      <c r="L280" s="840"/>
      <c r="M280" s="840"/>
      <c r="N280" s="840"/>
      <c r="O280" s="840"/>
      <c r="P280" s="840"/>
      <c r="Q280" s="840"/>
      <c r="R280" s="840"/>
      <c r="S280" s="840"/>
      <c r="T280" s="840"/>
      <c r="U280" s="840"/>
      <c r="V280" s="840"/>
      <c r="W280" s="840"/>
      <c r="X280" s="840"/>
      <c r="Y280" s="840"/>
      <c r="Z280" s="840"/>
      <c r="AA280" s="840"/>
      <c r="AB280" s="840"/>
      <c r="AC280" s="840"/>
      <c r="AD280" s="840"/>
      <c r="AE280" s="840"/>
      <c r="AF280" s="840"/>
      <c r="AG280" s="840"/>
      <c r="AH280" s="840"/>
      <c r="AI280" s="840"/>
      <c r="AJ280" s="840"/>
      <c r="AK280" s="840"/>
      <c r="AL280" s="840"/>
      <c r="AM280" s="840"/>
      <c r="AN280" s="840"/>
      <c r="AO280" s="840"/>
      <c r="AP280" s="840"/>
      <c r="AQ280" s="840"/>
      <c r="AR280" s="840"/>
      <c r="AS280" s="840"/>
      <c r="AT280" s="840"/>
      <c r="AU280" s="840"/>
      <c r="AV280" s="840"/>
      <c r="AW280" s="840"/>
      <c r="AX280" s="840"/>
      <c r="AY280" s="840"/>
      <c r="AZ280" s="840"/>
      <c r="BA280" s="840"/>
      <c r="BB280" s="840"/>
      <c r="BC280" s="840"/>
      <c r="BD280" s="840"/>
      <c r="BE280" s="840"/>
      <c r="BF280" s="840"/>
      <c r="BG280" s="840"/>
      <c r="BH280" s="840"/>
      <c r="BI280" s="840"/>
      <c r="BJ280" s="840"/>
      <c r="BK280" s="840"/>
      <c r="BL280" s="840"/>
      <c r="BM280" s="840"/>
      <c r="BN280" s="840"/>
      <c r="BO280" s="840"/>
      <c r="BP280" s="840"/>
      <c r="BQ280" s="840"/>
      <c r="BR280" s="840"/>
      <c r="BS280" s="840"/>
      <c r="BT280" s="840"/>
      <c r="BU280" s="840"/>
      <c r="BV280" s="840"/>
      <c r="BW280" s="840"/>
      <c r="BX280" s="840"/>
      <c r="BY280" s="840"/>
      <c r="BZ280" s="840"/>
      <c r="CA280" s="840"/>
      <c r="CB280" s="840"/>
      <c r="CC280" s="840"/>
      <c r="CD280" s="840"/>
    </row>
    <row r="281" spans="1:82" ht="15" customHeight="1" x14ac:dyDescent="0.2">
      <c r="B281" s="771"/>
      <c r="C281" s="771"/>
      <c r="D281" s="771"/>
      <c r="E281" s="774"/>
      <c r="F281" s="1438"/>
      <c r="G281" s="1438"/>
      <c r="H281" s="801"/>
      <c r="I281" s="887"/>
      <c r="L281" s="840"/>
      <c r="M281" s="840"/>
      <c r="N281" s="840"/>
      <c r="O281" s="840"/>
      <c r="P281" s="840"/>
      <c r="Q281" s="840"/>
      <c r="R281" s="840"/>
      <c r="S281" s="840"/>
      <c r="T281" s="840"/>
      <c r="U281" s="840"/>
      <c r="V281" s="840"/>
      <c r="W281" s="840"/>
      <c r="X281" s="840"/>
      <c r="Y281" s="840"/>
      <c r="Z281" s="840"/>
      <c r="AA281" s="840"/>
      <c r="AB281" s="840"/>
      <c r="AC281" s="840"/>
      <c r="AD281" s="840"/>
      <c r="AE281" s="840"/>
      <c r="AF281" s="840"/>
      <c r="AG281" s="840"/>
      <c r="AH281" s="840"/>
      <c r="AI281" s="840"/>
      <c r="AJ281" s="840"/>
      <c r="AK281" s="840"/>
      <c r="AL281" s="840"/>
      <c r="AM281" s="840"/>
      <c r="AN281" s="840"/>
      <c r="AO281" s="840"/>
      <c r="AP281" s="840"/>
      <c r="AQ281" s="840"/>
      <c r="AR281" s="840"/>
      <c r="AS281" s="840"/>
      <c r="AT281" s="840"/>
      <c r="AU281" s="840"/>
      <c r="AV281" s="840"/>
      <c r="AW281" s="840"/>
      <c r="AX281" s="840"/>
      <c r="AY281" s="840"/>
      <c r="AZ281" s="840"/>
      <c r="BA281" s="840"/>
      <c r="BB281" s="840"/>
      <c r="BC281" s="840"/>
      <c r="BD281" s="840"/>
      <c r="BE281" s="840"/>
      <c r="BF281" s="840"/>
      <c r="BG281" s="840"/>
      <c r="BH281" s="840"/>
      <c r="BI281" s="840"/>
      <c r="BJ281" s="840"/>
      <c r="BK281" s="840"/>
      <c r="BL281" s="840"/>
      <c r="BM281" s="840"/>
      <c r="BN281" s="840"/>
      <c r="BO281" s="840"/>
      <c r="BP281" s="840"/>
      <c r="BQ281" s="840"/>
      <c r="BR281" s="840"/>
      <c r="BS281" s="840"/>
      <c r="BT281" s="840"/>
      <c r="BU281" s="840"/>
      <c r="BV281" s="840"/>
      <c r="BW281" s="840"/>
      <c r="BX281" s="840"/>
      <c r="BY281" s="840"/>
      <c r="BZ281" s="840"/>
      <c r="CA281" s="840"/>
      <c r="CB281" s="840"/>
      <c r="CC281" s="840"/>
      <c r="CD281" s="840"/>
    </row>
    <row r="282" spans="1:82" ht="15" customHeight="1" x14ac:dyDescent="0.2">
      <c r="B282" s="771"/>
      <c r="C282" s="771"/>
      <c r="D282" s="771"/>
      <c r="E282" s="774"/>
      <c r="F282" s="1438"/>
      <c r="G282" s="1438"/>
      <c r="H282" s="801"/>
      <c r="I282" s="887"/>
      <c r="L282" s="840"/>
      <c r="M282" s="840"/>
      <c r="N282" s="840"/>
      <c r="O282" s="840"/>
      <c r="P282" s="840"/>
      <c r="Q282" s="840"/>
      <c r="R282" s="840"/>
      <c r="S282" s="840"/>
      <c r="T282" s="840"/>
      <c r="U282" s="840"/>
      <c r="V282" s="840"/>
      <c r="W282" s="840"/>
      <c r="X282" s="840"/>
      <c r="Y282" s="840"/>
      <c r="Z282" s="840"/>
      <c r="AA282" s="840"/>
      <c r="AB282" s="840"/>
      <c r="AC282" s="840"/>
      <c r="AD282" s="840"/>
      <c r="AE282" s="840"/>
      <c r="AF282" s="840"/>
      <c r="AG282" s="840"/>
      <c r="AH282" s="840"/>
      <c r="AI282" s="840"/>
      <c r="AJ282" s="840"/>
      <c r="AK282" s="840"/>
      <c r="AL282" s="840"/>
      <c r="AM282" s="840"/>
      <c r="AN282" s="840"/>
      <c r="AO282" s="840"/>
      <c r="AP282" s="840"/>
      <c r="AQ282" s="840"/>
      <c r="AR282" s="840"/>
      <c r="AS282" s="840"/>
      <c r="AT282" s="840"/>
      <c r="AU282" s="840"/>
      <c r="AV282" s="840"/>
      <c r="AW282" s="840"/>
      <c r="AX282" s="840"/>
      <c r="AY282" s="840"/>
      <c r="AZ282" s="840"/>
      <c r="BA282" s="840"/>
      <c r="BB282" s="840"/>
      <c r="BC282" s="840"/>
      <c r="BD282" s="840"/>
      <c r="BE282" s="840"/>
      <c r="BF282" s="840"/>
      <c r="BG282" s="840"/>
      <c r="BH282" s="840"/>
      <c r="BI282" s="840"/>
      <c r="BJ282" s="840"/>
      <c r="BK282" s="840"/>
      <c r="BL282" s="840"/>
      <c r="BM282" s="840"/>
      <c r="BN282" s="840"/>
      <c r="BO282" s="840"/>
      <c r="BP282" s="840"/>
      <c r="BQ282" s="840"/>
      <c r="BR282" s="840"/>
      <c r="BS282" s="840"/>
      <c r="BT282" s="840"/>
      <c r="BU282" s="840"/>
      <c r="BV282" s="840"/>
      <c r="BW282" s="840"/>
      <c r="BX282" s="840"/>
      <c r="BY282" s="840"/>
      <c r="BZ282" s="840"/>
      <c r="CA282" s="840"/>
      <c r="CB282" s="840"/>
      <c r="CC282" s="840"/>
      <c r="CD282" s="840"/>
    </row>
    <row r="283" spans="1:82" ht="15" customHeight="1" x14ac:dyDescent="0.2">
      <c r="B283" s="771"/>
      <c r="C283" s="771"/>
      <c r="D283" s="771"/>
      <c r="E283" s="774"/>
      <c r="F283" s="1438"/>
      <c r="G283" s="1438"/>
      <c r="H283" s="801"/>
      <c r="I283" s="887"/>
      <c r="L283" s="840"/>
      <c r="M283" s="840"/>
      <c r="N283" s="840"/>
      <c r="O283" s="840"/>
      <c r="P283" s="840"/>
      <c r="Q283" s="840"/>
      <c r="R283" s="840"/>
      <c r="S283" s="840"/>
      <c r="T283" s="840"/>
      <c r="U283" s="840"/>
      <c r="V283" s="840"/>
      <c r="W283" s="840"/>
      <c r="X283" s="840"/>
      <c r="Y283" s="840"/>
      <c r="Z283" s="840"/>
      <c r="AA283" s="840"/>
      <c r="AB283" s="840"/>
      <c r="AC283" s="840"/>
      <c r="AD283" s="840"/>
      <c r="AE283" s="840"/>
      <c r="AF283" s="840"/>
      <c r="AG283" s="840"/>
      <c r="AH283" s="840"/>
      <c r="AI283" s="840"/>
      <c r="AJ283" s="840"/>
      <c r="AK283" s="840"/>
      <c r="AL283" s="840"/>
      <c r="AM283" s="840"/>
      <c r="AN283" s="840"/>
      <c r="AO283" s="840"/>
      <c r="AP283" s="840"/>
      <c r="AQ283" s="840"/>
      <c r="AR283" s="840"/>
      <c r="AS283" s="840"/>
      <c r="AT283" s="840"/>
      <c r="AU283" s="840"/>
      <c r="AV283" s="840"/>
      <c r="AW283" s="840"/>
      <c r="AX283" s="840"/>
      <c r="AY283" s="840"/>
      <c r="AZ283" s="840"/>
      <c r="BA283" s="840"/>
      <c r="BB283" s="840"/>
      <c r="BC283" s="840"/>
      <c r="BD283" s="840"/>
      <c r="BE283" s="840"/>
      <c r="BF283" s="840"/>
      <c r="BG283" s="840"/>
      <c r="BH283" s="840"/>
      <c r="BI283" s="840"/>
      <c r="BJ283" s="840"/>
      <c r="BK283" s="840"/>
      <c r="BL283" s="840"/>
      <c r="BM283" s="840"/>
      <c r="BN283" s="840"/>
      <c r="BO283" s="840"/>
      <c r="BP283" s="840"/>
      <c r="BQ283" s="840"/>
      <c r="BR283" s="840"/>
      <c r="BS283" s="840"/>
      <c r="BT283" s="840"/>
      <c r="BU283" s="840"/>
      <c r="BV283" s="840"/>
      <c r="BW283" s="840"/>
      <c r="BX283" s="840"/>
      <c r="BY283" s="840"/>
      <c r="BZ283" s="840"/>
      <c r="CA283" s="840"/>
      <c r="CB283" s="840"/>
      <c r="CC283" s="840"/>
      <c r="CD283" s="840"/>
    </row>
    <row r="284" spans="1:82" ht="15" customHeight="1" x14ac:dyDescent="0.2">
      <c r="B284" s="771"/>
      <c r="C284" s="771"/>
      <c r="D284" s="771"/>
      <c r="E284" s="774"/>
      <c r="F284" s="1438"/>
      <c r="G284" s="1438"/>
      <c r="H284" s="801"/>
      <c r="I284" s="887"/>
      <c r="L284" s="840"/>
      <c r="M284" s="840"/>
      <c r="N284" s="840"/>
      <c r="O284" s="840"/>
      <c r="P284" s="840"/>
      <c r="Q284" s="840"/>
      <c r="R284" s="840"/>
      <c r="S284" s="840"/>
      <c r="T284" s="840"/>
      <c r="U284" s="840"/>
      <c r="V284" s="840"/>
      <c r="W284" s="840"/>
      <c r="X284" s="840"/>
      <c r="Y284" s="840"/>
      <c r="Z284" s="840"/>
      <c r="AA284" s="840"/>
      <c r="AB284" s="840"/>
      <c r="AC284" s="840"/>
      <c r="AD284" s="840"/>
      <c r="AE284" s="840"/>
      <c r="AF284" s="840"/>
      <c r="AG284" s="840"/>
      <c r="AH284" s="840"/>
      <c r="AI284" s="840"/>
      <c r="AJ284" s="840"/>
      <c r="AK284" s="840"/>
      <c r="AL284" s="840"/>
      <c r="AM284" s="840"/>
      <c r="AN284" s="840"/>
      <c r="AO284" s="840"/>
      <c r="AP284" s="840"/>
      <c r="AQ284" s="840"/>
      <c r="AR284" s="840"/>
      <c r="AS284" s="840"/>
      <c r="AT284" s="840"/>
      <c r="AU284" s="840"/>
      <c r="AV284" s="840"/>
      <c r="AW284" s="840"/>
      <c r="AX284" s="840"/>
      <c r="AY284" s="840"/>
      <c r="AZ284" s="840"/>
      <c r="BA284" s="840"/>
      <c r="BB284" s="840"/>
      <c r="BC284" s="840"/>
      <c r="BD284" s="840"/>
      <c r="BE284" s="840"/>
      <c r="BF284" s="840"/>
      <c r="BG284" s="840"/>
      <c r="BH284" s="840"/>
      <c r="BI284" s="840"/>
      <c r="BJ284" s="840"/>
      <c r="BK284" s="840"/>
      <c r="BL284" s="840"/>
      <c r="BM284" s="840"/>
      <c r="BN284" s="840"/>
      <c r="BO284" s="840"/>
      <c r="BP284" s="840"/>
      <c r="BQ284" s="840"/>
      <c r="BR284" s="840"/>
      <c r="BS284" s="840"/>
      <c r="BT284" s="840"/>
      <c r="BU284" s="840"/>
      <c r="BV284" s="840"/>
      <c r="BW284" s="840"/>
      <c r="BX284" s="840"/>
      <c r="BY284" s="840"/>
      <c r="BZ284" s="840"/>
      <c r="CA284" s="840"/>
      <c r="CB284" s="840"/>
      <c r="CC284" s="840"/>
      <c r="CD284" s="840"/>
    </row>
    <row r="285" spans="1:82" ht="15" customHeight="1" x14ac:dyDescent="0.2">
      <c r="B285" s="771"/>
      <c r="C285" s="771"/>
      <c r="D285" s="771"/>
      <c r="E285" s="774"/>
      <c r="F285" s="1438"/>
      <c r="G285" s="1438"/>
      <c r="H285" s="801"/>
      <c r="I285" s="887"/>
      <c r="L285" s="840"/>
      <c r="M285" s="840"/>
      <c r="N285" s="840"/>
      <c r="O285" s="840"/>
      <c r="P285" s="840"/>
      <c r="Q285" s="840"/>
      <c r="R285" s="840"/>
      <c r="S285" s="840"/>
      <c r="T285" s="840"/>
      <c r="U285" s="840"/>
      <c r="V285" s="840"/>
      <c r="W285" s="840"/>
      <c r="X285" s="840"/>
      <c r="Y285" s="840"/>
      <c r="Z285" s="840"/>
      <c r="AA285" s="840"/>
      <c r="AB285" s="840"/>
      <c r="AC285" s="840"/>
      <c r="AD285" s="840"/>
      <c r="AE285" s="840"/>
      <c r="AF285" s="840"/>
      <c r="AG285" s="840"/>
      <c r="AH285" s="840"/>
      <c r="AI285" s="840"/>
      <c r="AJ285" s="840"/>
      <c r="AK285" s="840"/>
      <c r="AL285" s="840"/>
      <c r="AM285" s="840"/>
      <c r="AN285" s="840"/>
      <c r="AO285" s="840"/>
      <c r="AP285" s="840"/>
      <c r="AQ285" s="840"/>
      <c r="AR285" s="840"/>
      <c r="AS285" s="840"/>
      <c r="AT285" s="840"/>
      <c r="AU285" s="840"/>
      <c r="AV285" s="840"/>
      <c r="AW285" s="840"/>
      <c r="AX285" s="840"/>
      <c r="AY285" s="840"/>
      <c r="AZ285" s="840"/>
      <c r="BA285" s="840"/>
      <c r="BB285" s="840"/>
      <c r="BC285" s="840"/>
      <c r="BD285" s="840"/>
      <c r="BE285" s="840"/>
      <c r="BF285" s="840"/>
      <c r="BG285" s="840"/>
      <c r="BH285" s="840"/>
      <c r="BI285" s="840"/>
      <c r="BJ285" s="840"/>
      <c r="BK285" s="840"/>
      <c r="BL285" s="840"/>
      <c r="BM285" s="840"/>
      <c r="BN285" s="840"/>
      <c r="BO285" s="840"/>
      <c r="BP285" s="840"/>
      <c r="BQ285" s="840"/>
      <c r="BR285" s="840"/>
      <c r="BS285" s="840"/>
      <c r="BT285" s="840"/>
      <c r="BU285" s="840"/>
      <c r="BV285" s="840"/>
      <c r="BW285" s="840"/>
      <c r="BX285" s="840"/>
      <c r="BY285" s="840"/>
      <c r="BZ285" s="840"/>
      <c r="CA285" s="840"/>
      <c r="CB285" s="840"/>
      <c r="CC285" s="840"/>
      <c r="CD285" s="840"/>
    </row>
    <row r="286" spans="1:82" ht="15" customHeight="1" x14ac:dyDescent="0.2">
      <c r="B286" s="771"/>
      <c r="C286" s="771"/>
      <c r="D286" s="771"/>
      <c r="E286" s="774"/>
      <c r="F286" s="1438"/>
      <c r="G286" s="1438"/>
      <c r="H286" s="801"/>
      <c r="I286" s="887"/>
      <c r="L286" s="840"/>
      <c r="M286" s="840"/>
      <c r="N286" s="840"/>
      <c r="O286" s="840"/>
      <c r="P286" s="840"/>
      <c r="Q286" s="840"/>
      <c r="R286" s="840"/>
      <c r="S286" s="840"/>
      <c r="T286" s="840"/>
      <c r="U286" s="840"/>
      <c r="V286" s="840"/>
      <c r="W286" s="840"/>
      <c r="X286" s="840"/>
      <c r="Y286" s="840"/>
      <c r="Z286" s="840"/>
      <c r="AA286" s="840"/>
      <c r="AB286" s="840"/>
      <c r="AC286" s="840"/>
      <c r="AD286" s="840"/>
      <c r="AE286" s="840"/>
      <c r="AF286" s="840"/>
      <c r="AG286" s="840"/>
      <c r="AH286" s="840"/>
      <c r="AI286" s="840"/>
      <c r="AJ286" s="840"/>
      <c r="AK286" s="840"/>
      <c r="AL286" s="840"/>
      <c r="AM286" s="840"/>
      <c r="AN286" s="840"/>
      <c r="AO286" s="840"/>
      <c r="AP286" s="840"/>
      <c r="AQ286" s="840"/>
      <c r="AR286" s="840"/>
      <c r="AS286" s="840"/>
      <c r="AT286" s="840"/>
      <c r="AU286" s="840"/>
      <c r="AV286" s="840"/>
      <c r="AW286" s="840"/>
      <c r="AX286" s="840"/>
      <c r="AY286" s="840"/>
      <c r="AZ286" s="840"/>
      <c r="BA286" s="840"/>
      <c r="BB286" s="840"/>
      <c r="BC286" s="840"/>
      <c r="BD286" s="840"/>
      <c r="BE286" s="840"/>
      <c r="BF286" s="840"/>
      <c r="BG286" s="840"/>
      <c r="BH286" s="840"/>
      <c r="BI286" s="840"/>
      <c r="BJ286" s="840"/>
      <c r="BK286" s="840"/>
      <c r="BL286" s="840"/>
      <c r="BM286" s="840"/>
      <c r="BN286" s="840"/>
      <c r="BO286" s="840"/>
      <c r="BP286" s="840"/>
      <c r="BQ286" s="840"/>
      <c r="BR286" s="840"/>
      <c r="BS286" s="840"/>
      <c r="BT286" s="840"/>
      <c r="BU286" s="840"/>
      <c r="BV286" s="840"/>
      <c r="BW286" s="840"/>
      <c r="BX286" s="840"/>
      <c r="BY286" s="840"/>
      <c r="BZ286" s="840"/>
      <c r="CA286" s="840"/>
      <c r="CB286" s="840"/>
      <c r="CC286" s="840"/>
      <c r="CD286" s="840"/>
    </row>
    <row r="287" spans="1:82" ht="15" customHeight="1" x14ac:dyDescent="0.2">
      <c r="B287" s="771"/>
      <c r="C287" s="771"/>
      <c r="D287" s="771"/>
      <c r="E287" s="774"/>
      <c r="F287" s="1438"/>
      <c r="G287" s="1438"/>
      <c r="H287" s="801"/>
      <c r="I287" s="887"/>
      <c r="L287" s="840"/>
      <c r="M287" s="840"/>
      <c r="N287" s="840"/>
      <c r="O287" s="840"/>
      <c r="P287" s="840"/>
      <c r="Q287" s="840"/>
      <c r="R287" s="840"/>
      <c r="S287" s="840"/>
      <c r="T287" s="840"/>
      <c r="U287" s="840"/>
      <c r="V287" s="840"/>
      <c r="W287" s="840"/>
      <c r="X287" s="840"/>
      <c r="Y287" s="840"/>
      <c r="Z287" s="840"/>
      <c r="AA287" s="840"/>
      <c r="AB287" s="840"/>
      <c r="AC287" s="840"/>
      <c r="AD287" s="840"/>
      <c r="AE287" s="840"/>
      <c r="AF287" s="840"/>
      <c r="AG287" s="840"/>
      <c r="AH287" s="840"/>
      <c r="AI287" s="840"/>
      <c r="AJ287" s="840"/>
      <c r="AK287" s="840"/>
      <c r="AL287" s="840"/>
      <c r="AM287" s="840"/>
      <c r="AN287" s="840"/>
      <c r="AO287" s="840"/>
      <c r="AP287" s="840"/>
      <c r="AQ287" s="840"/>
      <c r="AR287" s="840"/>
      <c r="AS287" s="840"/>
      <c r="AT287" s="840"/>
      <c r="AU287" s="840"/>
      <c r="AV287" s="840"/>
      <c r="AW287" s="840"/>
      <c r="AX287" s="840"/>
      <c r="AY287" s="840"/>
      <c r="AZ287" s="840"/>
      <c r="BA287" s="840"/>
      <c r="BB287" s="840"/>
      <c r="BC287" s="840"/>
      <c r="BD287" s="840"/>
      <c r="BE287" s="840"/>
      <c r="BF287" s="840"/>
      <c r="BG287" s="840"/>
      <c r="BH287" s="840"/>
      <c r="BI287" s="840"/>
      <c r="BJ287" s="840"/>
      <c r="BK287" s="840"/>
      <c r="BL287" s="840"/>
      <c r="BM287" s="840"/>
      <c r="BN287" s="840"/>
      <c r="BO287" s="840"/>
      <c r="BP287" s="840"/>
      <c r="BQ287" s="840"/>
      <c r="BR287" s="840"/>
      <c r="BS287" s="840"/>
      <c r="BT287" s="840"/>
      <c r="BU287" s="840"/>
      <c r="BV287" s="840"/>
      <c r="BW287" s="840"/>
      <c r="BX287" s="840"/>
      <c r="BY287" s="840"/>
      <c r="BZ287" s="840"/>
      <c r="CA287" s="840"/>
      <c r="CB287" s="840"/>
      <c r="CC287" s="840"/>
      <c r="CD287" s="840"/>
    </row>
    <row r="288" spans="1:82" ht="15" customHeight="1" x14ac:dyDescent="0.2">
      <c r="B288" s="771"/>
      <c r="C288" s="771"/>
      <c r="D288" s="771"/>
      <c r="E288" s="774"/>
      <c r="F288" s="1438"/>
      <c r="G288" s="1438"/>
      <c r="H288" s="801"/>
      <c r="I288" s="887"/>
      <c r="L288" s="840"/>
      <c r="M288" s="840"/>
      <c r="N288" s="840"/>
      <c r="O288" s="840"/>
      <c r="P288" s="840"/>
      <c r="Q288" s="840"/>
      <c r="R288" s="840"/>
      <c r="S288" s="840"/>
      <c r="T288" s="840"/>
      <c r="U288" s="840"/>
      <c r="V288" s="840"/>
      <c r="W288" s="840"/>
      <c r="X288" s="840"/>
      <c r="Y288" s="840"/>
      <c r="Z288" s="840"/>
      <c r="AA288" s="840"/>
      <c r="AB288" s="840"/>
      <c r="AC288" s="840"/>
      <c r="AD288" s="840"/>
      <c r="AE288" s="840"/>
      <c r="AF288" s="840"/>
      <c r="AG288" s="840"/>
      <c r="AH288" s="840"/>
      <c r="AI288" s="840"/>
      <c r="AJ288" s="840"/>
      <c r="AK288" s="840"/>
      <c r="AL288" s="840"/>
      <c r="AM288" s="840"/>
      <c r="AN288" s="840"/>
      <c r="AO288" s="840"/>
      <c r="AP288" s="840"/>
      <c r="AQ288" s="840"/>
      <c r="AR288" s="840"/>
      <c r="AS288" s="840"/>
      <c r="AT288" s="840"/>
      <c r="AU288" s="840"/>
      <c r="AV288" s="840"/>
      <c r="AW288" s="840"/>
      <c r="AX288" s="840"/>
      <c r="AY288" s="840"/>
      <c r="AZ288" s="840"/>
      <c r="BA288" s="840"/>
      <c r="BB288" s="840"/>
      <c r="BC288" s="840"/>
      <c r="BD288" s="840"/>
      <c r="BE288" s="840"/>
      <c r="BF288" s="840"/>
      <c r="BG288" s="840"/>
      <c r="BH288" s="840"/>
      <c r="BI288" s="840"/>
      <c r="BJ288" s="840"/>
      <c r="BK288" s="840"/>
      <c r="BL288" s="840"/>
      <c r="BM288" s="840"/>
      <c r="BN288" s="840"/>
      <c r="BO288" s="840"/>
      <c r="BP288" s="840"/>
      <c r="BQ288" s="840"/>
      <c r="BR288" s="840"/>
      <c r="BS288" s="840"/>
      <c r="BT288" s="840"/>
      <c r="BU288" s="840"/>
      <c r="BV288" s="840"/>
      <c r="BW288" s="840"/>
      <c r="BX288" s="840"/>
      <c r="BY288" s="840"/>
      <c r="BZ288" s="840"/>
      <c r="CA288" s="840"/>
      <c r="CB288" s="840"/>
      <c r="CC288" s="840"/>
      <c r="CD288" s="840"/>
    </row>
    <row r="289" spans="2:82" ht="15" customHeight="1" x14ac:dyDescent="0.2">
      <c r="B289" s="771"/>
      <c r="C289" s="771"/>
      <c r="D289" s="771"/>
      <c r="E289" s="774"/>
      <c r="F289" s="1438"/>
      <c r="G289" s="1438"/>
      <c r="H289" s="801"/>
      <c r="I289" s="887"/>
      <c r="L289" s="840"/>
      <c r="M289" s="840"/>
      <c r="N289" s="840"/>
      <c r="O289" s="840"/>
      <c r="P289" s="840"/>
      <c r="Q289" s="840"/>
      <c r="R289" s="840"/>
      <c r="S289" s="840"/>
      <c r="T289" s="840"/>
      <c r="U289" s="840"/>
      <c r="V289" s="840"/>
      <c r="W289" s="840"/>
      <c r="X289" s="840"/>
      <c r="Y289" s="840"/>
      <c r="Z289" s="840"/>
      <c r="AA289" s="840"/>
      <c r="AB289" s="840"/>
      <c r="AC289" s="840"/>
      <c r="AD289" s="840"/>
      <c r="AE289" s="840"/>
      <c r="AF289" s="840"/>
      <c r="AG289" s="840"/>
      <c r="AH289" s="840"/>
      <c r="AI289" s="840"/>
      <c r="AJ289" s="840"/>
      <c r="AK289" s="840"/>
      <c r="AL289" s="840"/>
      <c r="AM289" s="840"/>
      <c r="AN289" s="840"/>
      <c r="AO289" s="840"/>
      <c r="AP289" s="840"/>
      <c r="AQ289" s="840"/>
      <c r="AR289" s="840"/>
      <c r="AS289" s="840"/>
      <c r="AT289" s="840"/>
      <c r="AU289" s="840"/>
      <c r="AV289" s="840"/>
      <c r="AW289" s="840"/>
      <c r="AX289" s="840"/>
      <c r="AY289" s="840"/>
      <c r="AZ289" s="840"/>
      <c r="BA289" s="840"/>
      <c r="BB289" s="840"/>
      <c r="BC289" s="840"/>
      <c r="BD289" s="840"/>
      <c r="BE289" s="840"/>
      <c r="BF289" s="840"/>
      <c r="BG289" s="840"/>
      <c r="BH289" s="840"/>
      <c r="BI289" s="840"/>
      <c r="BJ289" s="840"/>
      <c r="BK289" s="840"/>
      <c r="BL289" s="840"/>
      <c r="BM289" s="840"/>
      <c r="BN289" s="840"/>
      <c r="BO289" s="840"/>
      <c r="BP289" s="840"/>
      <c r="BQ289" s="840"/>
      <c r="BR289" s="840"/>
      <c r="BS289" s="840"/>
      <c r="BT289" s="840"/>
      <c r="BU289" s="840"/>
      <c r="BV289" s="840"/>
      <c r="BW289" s="840"/>
      <c r="BX289" s="840"/>
      <c r="BY289" s="840"/>
      <c r="BZ289" s="840"/>
      <c r="CA289" s="840"/>
      <c r="CB289" s="840"/>
      <c r="CC289" s="840"/>
      <c r="CD289" s="840"/>
    </row>
    <row r="290" spans="2:82" ht="15" customHeight="1" x14ac:dyDescent="0.2">
      <c r="B290" s="771"/>
      <c r="C290" s="771"/>
      <c r="D290" s="771"/>
      <c r="E290" s="774"/>
      <c r="F290" s="1438"/>
      <c r="G290" s="1438"/>
      <c r="H290" s="801"/>
      <c r="I290" s="887"/>
      <c r="L290" s="840"/>
      <c r="M290" s="840"/>
      <c r="N290" s="840"/>
      <c r="O290" s="840"/>
      <c r="P290" s="840"/>
      <c r="Q290" s="840"/>
      <c r="R290" s="840"/>
      <c r="S290" s="840"/>
      <c r="T290" s="840"/>
      <c r="U290" s="840"/>
      <c r="V290" s="840"/>
      <c r="W290" s="840"/>
      <c r="X290" s="840"/>
      <c r="Y290" s="840"/>
      <c r="Z290" s="840"/>
      <c r="AA290" s="840"/>
      <c r="AB290" s="840"/>
      <c r="AC290" s="840"/>
      <c r="AD290" s="840"/>
      <c r="AE290" s="840"/>
      <c r="AF290" s="840"/>
      <c r="AG290" s="840"/>
      <c r="AH290" s="840"/>
      <c r="AI290" s="840"/>
      <c r="AJ290" s="840"/>
      <c r="AK290" s="840"/>
      <c r="AL290" s="840"/>
      <c r="AM290" s="840"/>
      <c r="AN290" s="840"/>
      <c r="AO290" s="840"/>
      <c r="AP290" s="840"/>
      <c r="AQ290" s="840"/>
      <c r="AR290" s="840"/>
      <c r="AS290" s="840"/>
      <c r="AT290" s="840"/>
      <c r="AU290" s="840"/>
      <c r="AV290" s="840"/>
      <c r="AW290" s="840"/>
      <c r="AX290" s="840"/>
      <c r="AY290" s="840"/>
      <c r="AZ290" s="840"/>
      <c r="BA290" s="840"/>
      <c r="BB290" s="840"/>
      <c r="BC290" s="840"/>
      <c r="BD290" s="840"/>
      <c r="BE290" s="840"/>
      <c r="BF290" s="840"/>
      <c r="BG290" s="840"/>
      <c r="BH290" s="840"/>
      <c r="BI290" s="840"/>
      <c r="BJ290" s="840"/>
      <c r="BK290" s="840"/>
      <c r="BL290" s="840"/>
      <c r="BM290" s="840"/>
      <c r="BN290" s="840"/>
      <c r="BO290" s="840"/>
      <c r="BP290" s="840"/>
      <c r="BQ290" s="840"/>
      <c r="BR290" s="840"/>
      <c r="BS290" s="840"/>
      <c r="BT290" s="840"/>
      <c r="BU290" s="840"/>
      <c r="BV290" s="840"/>
      <c r="BW290" s="840"/>
      <c r="BX290" s="840"/>
      <c r="BY290" s="840"/>
      <c r="BZ290" s="840"/>
      <c r="CA290" s="840"/>
      <c r="CB290" s="840"/>
      <c r="CC290" s="840"/>
      <c r="CD290" s="840"/>
    </row>
    <row r="291" spans="2:82" ht="15" customHeight="1" x14ac:dyDescent="0.2">
      <c r="B291" s="771"/>
      <c r="C291" s="771"/>
      <c r="D291" s="771"/>
      <c r="E291" s="774"/>
      <c r="F291" s="1438"/>
      <c r="G291" s="1438"/>
      <c r="H291" s="801"/>
      <c r="I291" s="887"/>
      <c r="L291" s="840"/>
      <c r="M291" s="840"/>
      <c r="N291" s="840"/>
      <c r="O291" s="840"/>
      <c r="P291" s="840"/>
      <c r="Q291" s="840"/>
      <c r="R291" s="840"/>
      <c r="S291" s="840"/>
      <c r="T291" s="840"/>
      <c r="U291" s="840"/>
      <c r="V291" s="840"/>
      <c r="W291" s="840"/>
      <c r="X291" s="840"/>
      <c r="Y291" s="840"/>
      <c r="Z291" s="840"/>
      <c r="AA291" s="840"/>
      <c r="AB291" s="840"/>
      <c r="AC291" s="840"/>
      <c r="AD291" s="840"/>
      <c r="AE291" s="840"/>
      <c r="AF291" s="840"/>
      <c r="AG291" s="840"/>
      <c r="AH291" s="840"/>
      <c r="AI291" s="840"/>
      <c r="AJ291" s="840"/>
      <c r="AK291" s="840"/>
      <c r="AL291" s="840"/>
      <c r="AM291" s="840"/>
      <c r="AN291" s="840"/>
      <c r="AO291" s="840"/>
      <c r="AP291" s="840"/>
      <c r="AQ291" s="840"/>
      <c r="AR291" s="840"/>
      <c r="AS291" s="840"/>
      <c r="AT291" s="840"/>
      <c r="AU291" s="840"/>
      <c r="AV291" s="840"/>
      <c r="AW291" s="840"/>
      <c r="AX291" s="840"/>
      <c r="AY291" s="840"/>
      <c r="AZ291" s="840"/>
      <c r="BA291" s="840"/>
      <c r="BB291" s="840"/>
      <c r="BC291" s="840"/>
      <c r="BD291" s="840"/>
      <c r="BE291" s="840"/>
      <c r="BF291" s="840"/>
      <c r="BG291" s="840"/>
      <c r="BH291" s="840"/>
      <c r="BI291" s="840"/>
      <c r="BJ291" s="840"/>
      <c r="BK291" s="840"/>
      <c r="BL291" s="840"/>
      <c r="BM291" s="840"/>
      <c r="BN291" s="840"/>
      <c r="BO291" s="840"/>
      <c r="BP291" s="840"/>
      <c r="BQ291" s="840"/>
      <c r="BR291" s="840"/>
      <c r="BS291" s="840"/>
      <c r="BT291" s="840"/>
      <c r="BU291" s="840"/>
      <c r="BV291" s="840"/>
      <c r="BW291" s="840"/>
      <c r="BX291" s="840"/>
      <c r="BY291" s="840"/>
      <c r="BZ291" s="840"/>
      <c r="CA291" s="840"/>
      <c r="CB291" s="840"/>
      <c r="CC291" s="840"/>
      <c r="CD291" s="840"/>
    </row>
    <row r="292" spans="2:82" ht="15" customHeight="1" x14ac:dyDescent="0.2">
      <c r="B292" s="771"/>
      <c r="C292" s="771"/>
      <c r="D292" s="771"/>
      <c r="E292" s="774"/>
      <c r="F292" s="1438"/>
      <c r="G292" s="1438"/>
      <c r="H292" s="801"/>
      <c r="I292" s="887"/>
      <c r="L292" s="840"/>
      <c r="M292" s="840"/>
      <c r="N292" s="840"/>
      <c r="O292" s="840"/>
      <c r="P292" s="840"/>
      <c r="Q292" s="840"/>
      <c r="R292" s="840"/>
      <c r="S292" s="840"/>
      <c r="T292" s="840"/>
      <c r="U292" s="840"/>
      <c r="V292" s="840"/>
      <c r="W292" s="840"/>
      <c r="X292" s="840"/>
      <c r="Y292" s="840"/>
      <c r="Z292" s="840"/>
      <c r="AA292" s="840"/>
      <c r="AB292" s="840"/>
      <c r="AC292" s="840"/>
      <c r="AD292" s="840"/>
      <c r="AE292" s="840"/>
      <c r="AF292" s="840"/>
      <c r="AG292" s="840"/>
      <c r="AH292" s="840"/>
      <c r="AI292" s="840"/>
      <c r="AJ292" s="840"/>
      <c r="AK292" s="840"/>
      <c r="AL292" s="840"/>
      <c r="AM292" s="840"/>
      <c r="AN292" s="840"/>
      <c r="AO292" s="840"/>
      <c r="AP292" s="840"/>
      <c r="AQ292" s="840"/>
      <c r="AR292" s="840"/>
      <c r="AS292" s="840"/>
      <c r="AT292" s="840"/>
      <c r="AU292" s="840"/>
      <c r="AV292" s="840"/>
      <c r="AW292" s="840"/>
      <c r="AX292" s="840"/>
      <c r="AY292" s="840"/>
      <c r="AZ292" s="840"/>
      <c r="BA292" s="840"/>
      <c r="BB292" s="840"/>
      <c r="BC292" s="840"/>
      <c r="BD292" s="840"/>
      <c r="BE292" s="840"/>
      <c r="BF292" s="840"/>
      <c r="BG292" s="840"/>
      <c r="BH292" s="840"/>
      <c r="BI292" s="840"/>
      <c r="BJ292" s="840"/>
      <c r="BK292" s="840"/>
      <c r="BL292" s="840"/>
      <c r="BM292" s="840"/>
      <c r="BN292" s="840"/>
      <c r="BO292" s="840"/>
      <c r="BP292" s="840"/>
      <c r="BQ292" s="840"/>
      <c r="BR292" s="840"/>
      <c r="BS292" s="840"/>
      <c r="BT292" s="840"/>
      <c r="BU292" s="840"/>
      <c r="BV292" s="840"/>
      <c r="BW292" s="840"/>
      <c r="BX292" s="840"/>
      <c r="BY292" s="840"/>
      <c r="BZ292" s="840"/>
      <c r="CA292" s="840"/>
      <c r="CB292" s="840"/>
      <c r="CC292" s="840"/>
      <c r="CD292" s="840"/>
    </row>
    <row r="293" spans="2:82" ht="15" customHeight="1" x14ac:dyDescent="0.2">
      <c r="B293" s="771"/>
      <c r="C293" s="771"/>
      <c r="D293" s="771"/>
      <c r="E293" s="774"/>
      <c r="F293" s="1438"/>
      <c r="G293" s="1438"/>
      <c r="H293" s="801"/>
      <c r="I293" s="887"/>
      <c r="L293" s="840"/>
      <c r="M293" s="840"/>
      <c r="N293" s="840"/>
      <c r="O293" s="840"/>
      <c r="P293" s="840"/>
      <c r="Q293" s="840"/>
      <c r="R293" s="840"/>
      <c r="S293" s="840"/>
      <c r="T293" s="840"/>
      <c r="U293" s="840"/>
      <c r="V293" s="840"/>
      <c r="W293" s="840"/>
      <c r="X293" s="840"/>
      <c r="Y293" s="840"/>
      <c r="Z293" s="840"/>
      <c r="AA293" s="840"/>
      <c r="AB293" s="840"/>
      <c r="AC293" s="840"/>
      <c r="AD293" s="840"/>
      <c r="AE293" s="840"/>
      <c r="AF293" s="840"/>
      <c r="AG293" s="840"/>
      <c r="AH293" s="840"/>
      <c r="AI293" s="840"/>
      <c r="AJ293" s="840"/>
      <c r="AK293" s="840"/>
      <c r="AL293" s="840"/>
      <c r="AM293" s="840"/>
      <c r="AN293" s="840"/>
      <c r="AO293" s="840"/>
      <c r="AP293" s="840"/>
      <c r="AQ293" s="840"/>
      <c r="AR293" s="840"/>
      <c r="AS293" s="840"/>
      <c r="AT293" s="840"/>
      <c r="AU293" s="840"/>
      <c r="AV293" s="840"/>
      <c r="AW293" s="840"/>
      <c r="AX293" s="840"/>
      <c r="AY293" s="840"/>
      <c r="AZ293" s="840"/>
      <c r="BA293" s="840"/>
      <c r="BB293" s="840"/>
      <c r="BC293" s="840"/>
      <c r="BD293" s="840"/>
      <c r="BE293" s="840"/>
      <c r="BF293" s="840"/>
      <c r="BG293" s="840"/>
      <c r="BH293" s="840"/>
      <c r="BI293" s="840"/>
      <c r="BJ293" s="840"/>
      <c r="BK293" s="840"/>
      <c r="BL293" s="840"/>
      <c r="BM293" s="840"/>
      <c r="BN293" s="840"/>
      <c r="BO293" s="840"/>
      <c r="BP293" s="840"/>
      <c r="BQ293" s="840"/>
      <c r="BR293" s="840"/>
      <c r="BS293" s="840"/>
      <c r="BT293" s="840"/>
      <c r="BU293" s="840"/>
      <c r="BV293" s="840"/>
      <c r="BW293" s="840"/>
      <c r="BX293" s="840"/>
      <c r="BY293" s="840"/>
      <c r="BZ293" s="840"/>
      <c r="CA293" s="840"/>
      <c r="CB293" s="840"/>
      <c r="CC293" s="840"/>
      <c r="CD293" s="840"/>
    </row>
    <row r="294" spans="2:82" ht="15" customHeight="1" x14ac:dyDescent="0.2">
      <c r="B294" s="771"/>
      <c r="C294" s="771"/>
      <c r="D294" s="771"/>
      <c r="E294" s="774"/>
      <c r="F294" s="1438"/>
      <c r="G294" s="1438"/>
      <c r="H294" s="801"/>
      <c r="I294" s="887"/>
      <c r="L294" s="840"/>
      <c r="M294" s="840"/>
      <c r="N294" s="840"/>
      <c r="O294" s="840"/>
      <c r="P294" s="840"/>
      <c r="Q294" s="840"/>
      <c r="R294" s="840"/>
      <c r="S294" s="840"/>
      <c r="T294" s="840"/>
      <c r="U294" s="840"/>
      <c r="V294" s="840"/>
      <c r="W294" s="840"/>
      <c r="X294" s="840"/>
      <c r="Y294" s="840"/>
      <c r="Z294" s="840"/>
      <c r="AA294" s="840"/>
      <c r="AB294" s="840"/>
      <c r="AC294" s="840"/>
      <c r="AD294" s="840"/>
      <c r="AE294" s="840"/>
      <c r="AF294" s="840"/>
      <c r="AG294" s="840"/>
      <c r="AH294" s="840"/>
      <c r="AI294" s="840"/>
      <c r="AJ294" s="840"/>
      <c r="AK294" s="840"/>
      <c r="AL294" s="840"/>
      <c r="AM294" s="840"/>
      <c r="AN294" s="840"/>
      <c r="AO294" s="840"/>
      <c r="AP294" s="840"/>
      <c r="AQ294" s="840"/>
      <c r="AR294" s="840"/>
      <c r="AS294" s="840"/>
      <c r="AT294" s="840"/>
      <c r="AU294" s="840"/>
      <c r="AV294" s="840"/>
      <c r="AW294" s="840"/>
      <c r="AX294" s="840"/>
      <c r="AY294" s="840"/>
      <c r="AZ294" s="840"/>
      <c r="BA294" s="840"/>
      <c r="BB294" s="840"/>
      <c r="BC294" s="840"/>
      <c r="BD294" s="840"/>
      <c r="BE294" s="840"/>
      <c r="BF294" s="840"/>
      <c r="BG294" s="840"/>
      <c r="BH294" s="840"/>
      <c r="BI294" s="840"/>
      <c r="BJ294" s="840"/>
      <c r="BK294" s="840"/>
      <c r="BL294" s="840"/>
      <c r="BM294" s="840"/>
      <c r="BN294" s="840"/>
      <c r="BO294" s="840"/>
      <c r="BP294" s="840"/>
      <c r="BQ294" s="840"/>
      <c r="BR294" s="840"/>
      <c r="BS294" s="840"/>
      <c r="BT294" s="840"/>
      <c r="BU294" s="840"/>
      <c r="BV294" s="840"/>
      <c r="BW294" s="840"/>
      <c r="BX294" s="840"/>
      <c r="BY294" s="840"/>
      <c r="BZ294" s="840"/>
      <c r="CA294" s="840"/>
      <c r="CB294" s="840"/>
      <c r="CC294" s="840"/>
      <c r="CD294" s="840"/>
    </row>
    <row r="295" spans="2:82" ht="15" customHeight="1" x14ac:dyDescent="0.2">
      <c r="B295" s="771"/>
      <c r="C295" s="771"/>
      <c r="D295" s="771"/>
      <c r="E295" s="774"/>
      <c r="F295" s="1438"/>
      <c r="G295" s="1438"/>
      <c r="H295" s="801"/>
      <c r="I295" s="887"/>
      <c r="L295" s="840"/>
      <c r="M295" s="840"/>
      <c r="N295" s="840"/>
      <c r="O295" s="840"/>
      <c r="P295" s="840"/>
      <c r="Q295" s="840"/>
      <c r="R295" s="840"/>
      <c r="S295" s="840"/>
      <c r="T295" s="840"/>
      <c r="U295" s="840"/>
      <c r="V295" s="840"/>
      <c r="W295" s="840"/>
      <c r="X295" s="840"/>
      <c r="Y295" s="840"/>
      <c r="Z295" s="840"/>
      <c r="AA295" s="840"/>
      <c r="AB295" s="840"/>
      <c r="AC295" s="840"/>
      <c r="AD295" s="840"/>
      <c r="AE295" s="840"/>
      <c r="AF295" s="840"/>
      <c r="AG295" s="840"/>
      <c r="AH295" s="840"/>
      <c r="AI295" s="840"/>
      <c r="AJ295" s="840"/>
      <c r="AK295" s="840"/>
      <c r="AL295" s="840"/>
      <c r="AM295" s="840"/>
      <c r="AN295" s="840"/>
      <c r="AO295" s="840"/>
      <c r="AP295" s="840"/>
      <c r="AQ295" s="840"/>
      <c r="AR295" s="840"/>
      <c r="AS295" s="840"/>
      <c r="AT295" s="840"/>
      <c r="AU295" s="840"/>
      <c r="AV295" s="840"/>
      <c r="AW295" s="840"/>
      <c r="AX295" s="840"/>
      <c r="AY295" s="840"/>
      <c r="AZ295" s="840"/>
      <c r="BA295" s="840"/>
      <c r="BB295" s="840"/>
      <c r="BC295" s="840"/>
      <c r="BD295" s="840"/>
    </row>
    <row r="296" spans="2:82" ht="15" customHeight="1" x14ac:dyDescent="0.2">
      <c r="B296" s="771"/>
      <c r="C296" s="771"/>
      <c r="D296" s="771"/>
      <c r="E296" s="774"/>
      <c r="F296" s="1438"/>
      <c r="G296" s="1438"/>
      <c r="H296" s="801"/>
      <c r="I296" s="887"/>
      <c r="L296" s="840"/>
      <c r="M296" s="840"/>
      <c r="N296" s="840"/>
      <c r="O296" s="840"/>
      <c r="P296" s="840"/>
      <c r="Q296" s="840"/>
      <c r="R296" s="840"/>
      <c r="S296" s="840"/>
      <c r="T296" s="840"/>
      <c r="U296" s="840"/>
      <c r="V296" s="840"/>
      <c r="W296" s="840"/>
      <c r="X296" s="840"/>
      <c r="Y296" s="840"/>
      <c r="Z296" s="840"/>
      <c r="AA296" s="840"/>
      <c r="AB296" s="840"/>
      <c r="AC296" s="840"/>
      <c r="AD296" s="840"/>
      <c r="AE296" s="840"/>
      <c r="AF296" s="840"/>
      <c r="AG296" s="840"/>
      <c r="AH296" s="840"/>
      <c r="AI296" s="840"/>
      <c r="AJ296" s="840"/>
      <c r="AK296" s="840"/>
      <c r="AL296" s="840"/>
      <c r="AM296" s="840"/>
      <c r="AN296" s="840"/>
      <c r="AO296" s="840"/>
      <c r="AP296" s="840"/>
      <c r="AQ296" s="840"/>
      <c r="AR296" s="840"/>
      <c r="AS296" s="840"/>
      <c r="AT296" s="840"/>
      <c r="AU296" s="840"/>
      <c r="AV296" s="840"/>
      <c r="AW296" s="840"/>
      <c r="AX296" s="840"/>
      <c r="AY296" s="840"/>
      <c r="AZ296" s="840"/>
      <c r="BA296" s="840"/>
      <c r="BB296" s="840"/>
      <c r="BC296" s="840"/>
      <c r="BD296" s="840"/>
    </row>
    <row r="297" spans="2:82" ht="15" customHeight="1" x14ac:dyDescent="0.2">
      <c r="B297" s="771"/>
      <c r="C297" s="771"/>
      <c r="D297" s="771"/>
      <c r="E297" s="774"/>
      <c r="F297" s="1438"/>
      <c r="G297" s="1438"/>
      <c r="H297" s="801"/>
      <c r="I297" s="887"/>
    </row>
    <row r="298" spans="2:82" ht="15" customHeight="1" x14ac:dyDescent="0.2">
      <c r="B298" s="771"/>
      <c r="C298" s="771"/>
      <c r="D298" s="771"/>
      <c r="E298" s="774"/>
      <c r="F298" s="1438"/>
      <c r="G298" s="1438"/>
      <c r="H298" s="801"/>
      <c r="I298" s="887"/>
    </row>
    <row r="299" spans="2:82" ht="15" customHeight="1" x14ac:dyDescent="0.2">
      <c r="B299" s="771"/>
      <c r="C299" s="771"/>
      <c r="D299" s="771"/>
      <c r="E299" s="774"/>
      <c r="F299" s="1438"/>
      <c r="G299" s="1438"/>
      <c r="H299" s="801"/>
      <c r="I299" s="887"/>
    </row>
    <row r="300" spans="2:82" ht="15" customHeight="1" x14ac:dyDescent="0.2">
      <c r="B300" s="771"/>
      <c r="C300" s="771"/>
      <c r="D300" s="771"/>
      <c r="E300" s="774"/>
      <c r="F300" s="1438"/>
      <c r="G300" s="1438"/>
      <c r="H300" s="801"/>
      <c r="I300" s="887"/>
    </row>
    <row r="301" spans="2:82" ht="15" customHeight="1" x14ac:dyDescent="0.2">
      <c r="B301" s="771"/>
      <c r="C301" s="771"/>
      <c r="D301" s="771"/>
      <c r="E301" s="774"/>
      <c r="F301" s="1438"/>
      <c r="G301" s="1438"/>
      <c r="H301" s="801"/>
      <c r="I301" s="887"/>
    </row>
    <row r="302" spans="2:82" ht="15" customHeight="1" x14ac:dyDescent="0.2">
      <c r="B302" s="771"/>
      <c r="C302" s="771"/>
      <c r="D302" s="771"/>
      <c r="E302" s="774"/>
      <c r="F302" s="1438"/>
      <c r="G302" s="1438"/>
      <c r="H302" s="801"/>
      <c r="I302" s="887"/>
    </row>
    <row r="303" spans="2:82" ht="15" customHeight="1" x14ac:dyDescent="0.2">
      <c r="B303" s="771"/>
      <c r="C303" s="771"/>
      <c r="D303" s="771"/>
      <c r="E303" s="774"/>
      <c r="F303" s="1438"/>
      <c r="G303" s="1438"/>
      <c r="H303" s="801"/>
      <c r="I303" s="887"/>
    </row>
    <row r="304" spans="2:82" ht="15" customHeight="1" x14ac:dyDescent="0.2">
      <c r="B304" s="771"/>
      <c r="C304" s="771"/>
      <c r="D304" s="771"/>
      <c r="E304" s="774"/>
      <c r="F304" s="1438"/>
      <c r="G304" s="1438"/>
      <c r="H304" s="801"/>
      <c r="I304" s="887"/>
    </row>
    <row r="305" spans="2:9" ht="15" customHeight="1" x14ac:dyDescent="0.2">
      <c r="B305" s="771"/>
      <c r="C305" s="771"/>
      <c r="D305" s="771"/>
      <c r="E305" s="774"/>
      <c r="F305" s="1438"/>
      <c r="G305" s="1438"/>
      <c r="H305" s="801"/>
      <c r="I305" s="887"/>
    </row>
    <row r="306" spans="2:9" ht="15" customHeight="1" x14ac:dyDescent="0.2">
      <c r="B306" s="771"/>
      <c r="C306" s="771"/>
      <c r="D306" s="771"/>
      <c r="E306" s="774"/>
      <c r="F306" s="1438"/>
      <c r="G306" s="1438"/>
      <c r="H306" s="801"/>
      <c r="I306" s="887"/>
    </row>
    <row r="307" spans="2:9" ht="15" customHeight="1" x14ac:dyDescent="0.2">
      <c r="B307" s="771"/>
      <c r="C307" s="771"/>
      <c r="D307" s="771"/>
      <c r="E307" s="774"/>
      <c r="F307" s="1438"/>
      <c r="G307" s="1438"/>
      <c r="H307" s="801"/>
      <c r="I307" s="887"/>
    </row>
    <row r="308" spans="2:9" ht="15" customHeight="1" x14ac:dyDescent="0.2">
      <c r="B308" s="771"/>
      <c r="C308" s="771"/>
      <c r="D308" s="771"/>
      <c r="E308" s="774"/>
      <c r="F308" s="1438"/>
      <c r="G308" s="1438"/>
      <c r="H308" s="801"/>
      <c r="I308" s="887"/>
    </row>
    <row r="309" spans="2:9" ht="15" customHeight="1" x14ac:dyDescent="0.2">
      <c r="B309" s="771"/>
      <c r="C309" s="771"/>
      <c r="D309" s="771"/>
      <c r="E309" s="774"/>
      <c r="F309" s="1438"/>
      <c r="G309" s="1438"/>
      <c r="H309" s="801"/>
      <c r="I309" s="887"/>
    </row>
    <row r="310" spans="2:9" ht="15" customHeight="1" x14ac:dyDescent="0.2">
      <c r="B310" s="771"/>
      <c r="C310" s="771"/>
      <c r="D310" s="771"/>
      <c r="E310" s="774"/>
      <c r="F310" s="1438"/>
      <c r="G310" s="1438"/>
      <c r="H310" s="801"/>
      <c r="I310" s="887"/>
    </row>
    <row r="311" spans="2:9" ht="15" customHeight="1" x14ac:dyDescent="0.2">
      <c r="B311" s="771"/>
      <c r="C311" s="771"/>
      <c r="D311" s="771"/>
      <c r="E311" s="774"/>
      <c r="F311" s="1438"/>
      <c r="G311" s="1438"/>
      <c r="H311" s="801"/>
      <c r="I311" s="887"/>
    </row>
    <row r="312" spans="2:9" ht="15" customHeight="1" x14ac:dyDescent="0.2">
      <c r="B312" s="771"/>
      <c r="C312" s="771"/>
      <c r="D312" s="771"/>
      <c r="E312" s="774"/>
      <c r="F312" s="1438"/>
      <c r="G312" s="1438"/>
      <c r="H312" s="801"/>
      <c r="I312" s="887"/>
    </row>
    <row r="313" spans="2:9" ht="15" customHeight="1" x14ac:dyDescent="0.2">
      <c r="B313" s="771"/>
      <c r="C313" s="771"/>
      <c r="D313" s="771"/>
      <c r="E313" s="774"/>
      <c r="F313" s="1438"/>
      <c r="G313" s="1438"/>
      <c r="H313" s="801"/>
      <c r="I313" s="887"/>
    </row>
    <row r="314" spans="2:9" ht="15" customHeight="1" x14ac:dyDescent="0.2">
      <c r="B314" s="771"/>
      <c r="C314" s="771"/>
      <c r="D314" s="771"/>
      <c r="E314" s="774"/>
      <c r="F314" s="1438"/>
      <c r="G314" s="1438"/>
      <c r="H314" s="801"/>
      <c r="I314" s="887"/>
    </row>
    <row r="315" spans="2:9" ht="15" customHeight="1" x14ac:dyDescent="0.2">
      <c r="B315" s="771"/>
      <c r="C315" s="771"/>
      <c r="D315" s="771"/>
      <c r="E315" s="774"/>
      <c r="F315" s="1438"/>
      <c r="G315" s="1438"/>
      <c r="H315" s="801"/>
      <c r="I315" s="887"/>
    </row>
    <row r="316" spans="2:9" ht="15" customHeight="1" x14ac:dyDescent="0.2">
      <c r="B316" s="771"/>
      <c r="C316" s="771"/>
      <c r="D316" s="771"/>
      <c r="E316" s="774"/>
      <c r="F316" s="1438"/>
      <c r="G316" s="1438"/>
      <c r="H316" s="801"/>
      <c r="I316" s="887"/>
    </row>
    <row r="317" spans="2:9" ht="15" customHeight="1" x14ac:dyDescent="0.2">
      <c r="B317" s="771"/>
      <c r="C317" s="771"/>
      <c r="D317" s="771"/>
      <c r="E317" s="774"/>
      <c r="F317" s="1438"/>
      <c r="G317" s="1438"/>
      <c r="H317" s="801"/>
      <c r="I317" s="887"/>
    </row>
    <row r="318" spans="2:9" ht="15" customHeight="1" x14ac:dyDescent="0.2">
      <c r="B318" s="771"/>
      <c r="C318" s="771"/>
      <c r="D318" s="771"/>
      <c r="E318" s="774"/>
      <c r="F318" s="1438"/>
      <c r="G318" s="1438"/>
      <c r="H318" s="801"/>
      <c r="I318" s="887"/>
    </row>
    <row r="319" spans="2:9" ht="15" customHeight="1" x14ac:dyDescent="0.2">
      <c r="B319" s="771"/>
      <c r="C319" s="771"/>
      <c r="D319" s="771"/>
      <c r="E319" s="774"/>
      <c r="F319" s="1438"/>
      <c r="G319" s="1438"/>
      <c r="H319" s="801"/>
      <c r="I319" s="887"/>
    </row>
    <row r="320" spans="2:9" ht="15" customHeight="1" x14ac:dyDescent="0.2">
      <c r="B320" s="771"/>
      <c r="C320" s="771"/>
      <c r="D320" s="771"/>
      <c r="E320" s="774"/>
      <c r="F320" s="1438"/>
      <c r="G320" s="1438"/>
      <c r="H320" s="801"/>
      <c r="I320" s="887"/>
    </row>
    <row r="321" spans="2:9" ht="15" customHeight="1" x14ac:dyDescent="0.2">
      <c r="B321" s="771"/>
      <c r="C321" s="771"/>
      <c r="D321" s="771"/>
      <c r="E321" s="774"/>
      <c r="F321" s="1438"/>
      <c r="G321" s="1438"/>
      <c r="H321" s="801"/>
      <c r="I321" s="887"/>
    </row>
    <row r="322" spans="2:9" ht="15" customHeight="1" x14ac:dyDescent="0.2">
      <c r="B322" s="771"/>
      <c r="C322" s="771"/>
      <c r="D322" s="771"/>
      <c r="E322" s="774"/>
      <c r="F322" s="1438"/>
      <c r="G322" s="1438"/>
      <c r="H322" s="801"/>
      <c r="I322" s="887"/>
    </row>
    <row r="323" spans="2:9" ht="15" customHeight="1" x14ac:dyDescent="0.2">
      <c r="B323" s="771"/>
      <c r="C323" s="771"/>
      <c r="D323" s="771"/>
      <c r="E323" s="774"/>
      <c r="F323" s="1438"/>
      <c r="G323" s="1438"/>
      <c r="H323" s="801"/>
      <c r="I323" s="887"/>
    </row>
    <row r="324" spans="2:9" ht="15" customHeight="1" x14ac:dyDescent="0.2">
      <c r="B324" s="771"/>
      <c r="C324" s="771"/>
      <c r="D324" s="771"/>
      <c r="E324" s="774"/>
      <c r="F324" s="1438"/>
      <c r="G324" s="1438"/>
      <c r="H324" s="801"/>
      <c r="I324" s="887"/>
    </row>
    <row r="325" spans="2:9" ht="15" customHeight="1" x14ac:dyDescent="0.2">
      <c r="B325" s="771"/>
      <c r="C325" s="771"/>
      <c r="D325" s="771"/>
      <c r="E325" s="774"/>
      <c r="F325" s="1438"/>
      <c r="G325" s="1438"/>
      <c r="H325" s="801"/>
      <c r="I325" s="887"/>
    </row>
    <row r="326" spans="2:9" ht="15" customHeight="1" x14ac:dyDescent="0.2">
      <c r="B326" s="771"/>
      <c r="C326" s="771"/>
      <c r="D326" s="771"/>
      <c r="E326" s="774"/>
      <c r="F326" s="1438"/>
      <c r="G326" s="1438"/>
      <c r="H326" s="801"/>
      <c r="I326" s="887"/>
    </row>
    <row r="327" spans="2:9" ht="15" customHeight="1" x14ac:dyDescent="0.2">
      <c r="B327" s="771"/>
      <c r="C327" s="771"/>
      <c r="D327" s="771"/>
      <c r="E327" s="774"/>
      <c r="F327" s="1438"/>
      <c r="G327" s="1438"/>
      <c r="H327" s="801"/>
      <c r="I327" s="887"/>
    </row>
    <row r="328" spans="2:9" ht="15" customHeight="1" x14ac:dyDescent="0.2">
      <c r="B328" s="771"/>
      <c r="C328" s="771"/>
      <c r="D328" s="771"/>
      <c r="E328" s="774"/>
      <c r="F328" s="1438"/>
      <c r="G328" s="1438"/>
      <c r="H328" s="801"/>
      <c r="I328" s="887"/>
    </row>
    <row r="329" spans="2:9" ht="15" customHeight="1" x14ac:dyDescent="0.2">
      <c r="B329" s="771"/>
      <c r="C329" s="771"/>
      <c r="D329" s="771"/>
      <c r="E329" s="774"/>
      <c r="F329" s="1438"/>
      <c r="G329" s="1438"/>
      <c r="H329" s="801"/>
      <c r="I329" s="887"/>
    </row>
    <row r="330" spans="2:9" ht="15" customHeight="1" x14ac:dyDescent="0.2">
      <c r="B330" s="771"/>
      <c r="C330" s="771"/>
      <c r="D330" s="771"/>
      <c r="E330" s="774"/>
      <c r="F330" s="1438"/>
      <c r="G330" s="1438"/>
      <c r="H330" s="801"/>
      <c r="I330" s="887"/>
    </row>
    <row r="331" spans="2:9" ht="15" customHeight="1" x14ac:dyDescent="0.2">
      <c r="B331" s="771"/>
      <c r="C331" s="771"/>
      <c r="D331" s="771"/>
      <c r="E331" s="774"/>
      <c r="F331" s="1438"/>
      <c r="G331" s="1438"/>
      <c r="H331" s="801"/>
      <c r="I331" s="887"/>
    </row>
    <row r="332" spans="2:9" ht="15" customHeight="1" x14ac:dyDescent="0.2">
      <c r="B332" s="771"/>
      <c r="C332" s="771"/>
      <c r="D332" s="771"/>
      <c r="E332" s="774"/>
      <c r="F332" s="1438"/>
      <c r="G332" s="1438"/>
      <c r="H332" s="801"/>
      <c r="I332" s="887"/>
    </row>
    <row r="333" spans="2:9" ht="15" customHeight="1" x14ac:dyDescent="0.2">
      <c r="B333" s="771"/>
      <c r="C333" s="771"/>
      <c r="D333" s="771"/>
      <c r="E333" s="774"/>
      <c r="F333" s="1438"/>
      <c r="G333" s="1438"/>
      <c r="H333" s="801"/>
      <c r="I333" s="887"/>
    </row>
    <row r="334" spans="2:9" ht="15" customHeight="1" x14ac:dyDescent="0.2">
      <c r="B334" s="771"/>
      <c r="C334" s="771"/>
      <c r="D334" s="771"/>
      <c r="E334" s="774"/>
      <c r="F334" s="1438"/>
      <c r="G334" s="1438"/>
      <c r="H334" s="801"/>
      <c r="I334" s="887"/>
    </row>
    <row r="335" spans="2:9" ht="15" customHeight="1" x14ac:dyDescent="0.2">
      <c r="B335" s="771"/>
      <c r="C335" s="771"/>
      <c r="D335" s="771"/>
      <c r="E335" s="774"/>
      <c r="F335" s="1438"/>
      <c r="G335" s="1438"/>
      <c r="H335" s="801"/>
      <c r="I335" s="887"/>
    </row>
    <row r="336" spans="2:9" ht="15" customHeight="1" x14ac:dyDescent="0.2">
      <c r="B336" s="771"/>
      <c r="C336" s="771"/>
      <c r="D336" s="771"/>
      <c r="E336" s="774"/>
      <c r="F336" s="1438"/>
      <c r="G336" s="1438"/>
      <c r="H336" s="801"/>
      <c r="I336" s="887"/>
    </row>
    <row r="337" spans="2:9" ht="15" customHeight="1" x14ac:dyDescent="0.2">
      <c r="B337" s="771"/>
      <c r="C337" s="771"/>
      <c r="D337" s="771"/>
      <c r="E337" s="774"/>
      <c r="F337" s="1438"/>
      <c r="G337" s="1438"/>
      <c r="H337" s="801"/>
      <c r="I337" s="887"/>
    </row>
    <row r="338" spans="2:9" ht="15" customHeight="1" x14ac:dyDescent="0.2">
      <c r="B338" s="771"/>
      <c r="C338" s="771"/>
      <c r="D338" s="771"/>
      <c r="E338" s="774"/>
      <c r="F338" s="1438"/>
      <c r="G338" s="1438"/>
      <c r="H338" s="801"/>
      <c r="I338" s="887"/>
    </row>
    <row r="339" spans="2:9" ht="15" customHeight="1" x14ac:dyDescent="0.2">
      <c r="B339" s="771"/>
      <c r="C339" s="771"/>
      <c r="D339" s="771"/>
      <c r="E339" s="774"/>
      <c r="F339" s="1438"/>
      <c r="G339" s="1438"/>
      <c r="H339" s="801"/>
      <c r="I339" s="887"/>
    </row>
    <row r="340" spans="2:9" ht="15" customHeight="1" x14ac:dyDescent="0.2">
      <c r="B340" s="771"/>
      <c r="C340" s="771"/>
      <c r="D340" s="771"/>
      <c r="E340" s="774"/>
      <c r="F340" s="1438"/>
      <c r="G340" s="1438"/>
      <c r="H340" s="801"/>
      <c r="I340" s="887"/>
    </row>
    <row r="341" spans="2:9" ht="15" customHeight="1" x14ac:dyDescent="0.2">
      <c r="B341" s="771"/>
      <c r="C341" s="771"/>
      <c r="D341" s="771"/>
      <c r="E341" s="774"/>
      <c r="F341" s="1438"/>
      <c r="G341" s="1438"/>
      <c r="H341" s="801"/>
      <c r="I341" s="887"/>
    </row>
    <row r="342" spans="2:9" ht="15" customHeight="1" x14ac:dyDescent="0.2">
      <c r="B342" s="771"/>
      <c r="C342" s="771"/>
      <c r="D342" s="771"/>
      <c r="E342" s="774"/>
      <c r="F342" s="1438"/>
      <c r="G342" s="1438"/>
      <c r="H342" s="801"/>
      <c r="I342" s="887"/>
    </row>
    <row r="343" spans="2:9" ht="15" customHeight="1" x14ac:dyDescent="0.2">
      <c r="B343" s="771"/>
      <c r="C343" s="771"/>
      <c r="D343" s="771"/>
      <c r="E343" s="774"/>
      <c r="F343" s="1438"/>
      <c r="G343" s="1438"/>
      <c r="H343" s="801"/>
      <c r="I343" s="887"/>
    </row>
    <row r="344" spans="2:9" ht="15" customHeight="1" x14ac:dyDescent="0.2">
      <c r="B344" s="771"/>
      <c r="C344" s="771"/>
      <c r="D344" s="771"/>
      <c r="E344" s="774"/>
      <c r="F344" s="1438"/>
      <c r="G344" s="1438"/>
      <c r="H344" s="801"/>
      <c r="I344" s="887"/>
    </row>
    <row r="345" spans="2:9" ht="15" customHeight="1" x14ac:dyDescent="0.2">
      <c r="B345" s="771"/>
      <c r="C345" s="771"/>
      <c r="D345" s="771"/>
      <c r="E345" s="774"/>
      <c r="F345" s="1438"/>
      <c r="G345" s="1438"/>
      <c r="H345" s="801"/>
      <c r="I345" s="887"/>
    </row>
    <row r="346" spans="2:9" ht="15" customHeight="1" x14ac:dyDescent="0.2">
      <c r="B346" s="771"/>
      <c r="C346" s="771"/>
      <c r="D346" s="771"/>
      <c r="E346" s="774"/>
      <c r="F346" s="1438"/>
      <c r="G346" s="1438"/>
      <c r="H346" s="801"/>
      <c r="I346" s="887"/>
    </row>
    <row r="347" spans="2:9" ht="15" customHeight="1" x14ac:dyDescent="0.2">
      <c r="B347" s="771"/>
      <c r="C347" s="771"/>
      <c r="D347" s="771"/>
      <c r="E347" s="774"/>
      <c r="F347" s="1438"/>
      <c r="G347" s="1438"/>
      <c r="H347" s="801"/>
      <c r="I347" s="887"/>
    </row>
    <row r="348" spans="2:9" ht="15" customHeight="1" x14ac:dyDescent="0.2">
      <c r="B348" s="771"/>
      <c r="C348" s="771"/>
      <c r="D348" s="771"/>
      <c r="E348" s="774"/>
      <c r="F348" s="1438"/>
      <c r="G348" s="1438"/>
      <c r="H348" s="801"/>
      <c r="I348" s="887"/>
    </row>
    <row r="349" spans="2:9" ht="15" customHeight="1" x14ac:dyDescent="0.2">
      <c r="B349" s="771"/>
      <c r="C349" s="771"/>
      <c r="D349" s="771"/>
      <c r="E349" s="774"/>
      <c r="F349" s="1438"/>
      <c r="G349" s="1438"/>
      <c r="H349" s="801"/>
      <c r="I349" s="887"/>
    </row>
    <row r="350" spans="2:9" ht="15" customHeight="1" x14ac:dyDescent="0.2">
      <c r="B350" s="771"/>
      <c r="C350" s="771"/>
      <c r="D350" s="771"/>
      <c r="E350" s="774"/>
      <c r="F350" s="1438"/>
      <c r="G350" s="1438"/>
      <c r="H350" s="801"/>
      <c r="I350" s="887"/>
    </row>
    <row r="351" spans="2:9" ht="15" customHeight="1" x14ac:dyDescent="0.2">
      <c r="B351" s="771"/>
      <c r="C351" s="771"/>
      <c r="D351" s="771"/>
      <c r="E351" s="774"/>
      <c r="F351" s="1438"/>
      <c r="G351" s="1438"/>
      <c r="H351" s="801"/>
      <c r="I351" s="887"/>
    </row>
    <row r="352" spans="2:9" ht="15" customHeight="1" x14ac:dyDescent="0.2">
      <c r="B352" s="771"/>
      <c r="C352" s="771"/>
      <c r="D352" s="771"/>
      <c r="E352" s="774"/>
      <c r="F352" s="1438"/>
      <c r="G352" s="1438"/>
      <c r="H352" s="801"/>
      <c r="I352" s="887"/>
    </row>
    <row r="353" spans="2:9" ht="15" customHeight="1" x14ac:dyDescent="0.2">
      <c r="B353" s="771"/>
      <c r="C353" s="771"/>
      <c r="D353" s="771"/>
      <c r="E353" s="774"/>
      <c r="F353" s="1438"/>
      <c r="G353" s="1438"/>
      <c r="H353" s="801"/>
      <c r="I353" s="887"/>
    </row>
    <row r="354" spans="2:9" ht="15" customHeight="1" x14ac:dyDescent="0.2">
      <c r="B354" s="771"/>
      <c r="C354" s="771"/>
      <c r="D354" s="771"/>
      <c r="E354" s="774"/>
      <c r="F354" s="1438"/>
      <c r="G354" s="1438"/>
      <c r="H354" s="801"/>
      <c r="I354" s="887"/>
    </row>
    <row r="355" spans="2:9" ht="15" customHeight="1" x14ac:dyDescent="0.2">
      <c r="B355" s="771"/>
      <c r="C355" s="771"/>
      <c r="D355" s="771"/>
      <c r="E355" s="774"/>
      <c r="F355" s="1438"/>
      <c r="G355" s="1438"/>
      <c r="H355" s="801"/>
      <c r="I355" s="887"/>
    </row>
    <row r="356" spans="2:9" ht="15" customHeight="1" x14ac:dyDescent="0.2">
      <c r="B356" s="771"/>
      <c r="C356" s="771"/>
      <c r="D356" s="771"/>
      <c r="E356" s="774"/>
      <c r="F356" s="1438"/>
      <c r="G356" s="1438"/>
      <c r="H356" s="801"/>
      <c r="I356" s="887"/>
    </row>
    <row r="357" spans="2:9" ht="15" customHeight="1" x14ac:dyDescent="0.2">
      <c r="B357" s="771"/>
      <c r="C357" s="771"/>
      <c r="D357" s="771"/>
      <c r="E357" s="774"/>
      <c r="F357" s="1438"/>
      <c r="G357" s="1438"/>
      <c r="H357" s="801"/>
      <c r="I357" s="887"/>
    </row>
    <row r="358" spans="2:9" ht="15" customHeight="1" x14ac:dyDescent="0.2">
      <c r="B358" s="771"/>
      <c r="C358" s="771"/>
      <c r="D358" s="771"/>
      <c r="E358" s="774"/>
      <c r="F358" s="1438"/>
      <c r="G358" s="1438"/>
      <c r="H358" s="801"/>
      <c r="I358" s="887"/>
    </row>
    <row r="359" spans="2:9" ht="15" customHeight="1" x14ac:dyDescent="0.2">
      <c r="B359" s="771"/>
      <c r="C359" s="771"/>
      <c r="D359" s="771"/>
      <c r="E359" s="774"/>
      <c r="F359" s="1438"/>
      <c r="G359" s="1438"/>
      <c r="H359" s="801"/>
      <c r="I359" s="887"/>
    </row>
    <row r="360" spans="2:9" ht="15" customHeight="1" x14ac:dyDescent="0.2">
      <c r="B360" s="771"/>
      <c r="C360" s="771"/>
      <c r="D360" s="771"/>
      <c r="E360" s="774"/>
      <c r="F360" s="1438"/>
      <c r="G360" s="1438"/>
      <c r="H360" s="801"/>
      <c r="I360" s="887"/>
    </row>
    <row r="361" spans="2:9" ht="15" customHeight="1" x14ac:dyDescent="0.2">
      <c r="B361" s="771"/>
      <c r="C361" s="771"/>
      <c r="D361" s="771"/>
      <c r="E361" s="774"/>
      <c r="F361" s="1438"/>
      <c r="G361" s="1438"/>
      <c r="H361" s="801"/>
      <c r="I361" s="887"/>
    </row>
    <row r="362" spans="2:9" ht="15" customHeight="1" x14ac:dyDescent="0.2">
      <c r="B362" s="771"/>
      <c r="C362" s="771"/>
      <c r="D362" s="771"/>
      <c r="E362" s="774"/>
      <c r="F362" s="1438"/>
      <c r="G362" s="1438"/>
      <c r="H362" s="801"/>
      <c r="I362" s="887"/>
    </row>
    <row r="363" spans="2:9" ht="15" customHeight="1" x14ac:dyDescent="0.2">
      <c r="B363" s="771"/>
      <c r="C363" s="771"/>
      <c r="D363" s="771"/>
      <c r="E363" s="774"/>
      <c r="F363" s="1438"/>
      <c r="G363" s="1438"/>
      <c r="H363" s="801"/>
      <c r="I363" s="887"/>
    </row>
    <row r="364" spans="2:9" ht="15" customHeight="1" x14ac:dyDescent="0.2">
      <c r="B364" s="771"/>
      <c r="C364" s="771"/>
      <c r="D364" s="771"/>
      <c r="E364" s="774"/>
      <c r="F364" s="1438"/>
      <c r="G364" s="1438"/>
      <c r="H364" s="801"/>
      <c r="I364" s="887"/>
    </row>
    <row r="365" spans="2:9" ht="15" customHeight="1" x14ac:dyDescent="0.2">
      <c r="B365" s="771"/>
      <c r="C365" s="771"/>
      <c r="D365" s="771"/>
      <c r="E365" s="774"/>
      <c r="F365" s="1438"/>
      <c r="G365" s="1438"/>
      <c r="H365" s="801"/>
      <c r="I365" s="887"/>
    </row>
    <row r="366" spans="2:9" ht="15" customHeight="1" x14ac:dyDescent="0.2">
      <c r="B366" s="771"/>
      <c r="C366" s="771"/>
      <c r="D366" s="771"/>
      <c r="E366" s="774"/>
      <c r="F366" s="1438"/>
      <c r="G366" s="1438"/>
      <c r="H366" s="801"/>
      <c r="I366" s="887"/>
    </row>
    <row r="367" spans="2:9" ht="15" customHeight="1" x14ac:dyDescent="0.2">
      <c r="B367" s="771"/>
      <c r="C367" s="771"/>
      <c r="D367" s="771"/>
      <c r="E367" s="774"/>
      <c r="F367" s="1438"/>
      <c r="G367" s="1438"/>
      <c r="H367" s="801"/>
      <c r="I367" s="887"/>
    </row>
    <row r="368" spans="2:9" ht="15" customHeight="1" x14ac:dyDescent="0.2">
      <c r="B368" s="771"/>
      <c r="C368" s="771"/>
      <c r="D368" s="771"/>
      <c r="E368" s="774"/>
      <c r="F368" s="1438"/>
      <c r="G368" s="1438"/>
      <c r="H368" s="801"/>
      <c r="I368" s="887"/>
    </row>
    <row r="369" spans="2:9" ht="15" customHeight="1" x14ac:dyDescent="0.2">
      <c r="B369" s="771"/>
      <c r="C369" s="771"/>
      <c r="D369" s="771"/>
      <c r="E369" s="774"/>
      <c r="F369" s="1438"/>
      <c r="G369" s="1438"/>
      <c r="H369" s="801"/>
      <c r="I369" s="887"/>
    </row>
    <row r="370" spans="2:9" ht="15" customHeight="1" x14ac:dyDescent="0.2">
      <c r="B370" s="771"/>
      <c r="C370" s="771"/>
      <c r="D370" s="771"/>
      <c r="E370" s="774"/>
      <c r="F370" s="1438"/>
      <c r="G370" s="1438"/>
      <c r="H370" s="801"/>
      <c r="I370" s="887"/>
    </row>
    <row r="371" spans="2:9" ht="15" customHeight="1" x14ac:dyDescent="0.2">
      <c r="B371" s="771"/>
      <c r="C371" s="771"/>
      <c r="D371" s="771"/>
      <c r="E371" s="774"/>
      <c r="F371" s="1438"/>
      <c r="G371" s="1438"/>
      <c r="H371" s="801"/>
      <c r="I371" s="887"/>
    </row>
    <row r="372" spans="2:9" ht="15" customHeight="1" x14ac:dyDescent="0.2">
      <c r="B372" s="771"/>
      <c r="C372" s="771"/>
      <c r="D372" s="771"/>
      <c r="E372" s="774"/>
      <c r="F372" s="1438"/>
      <c r="G372" s="1438"/>
      <c r="H372" s="801"/>
      <c r="I372" s="887"/>
    </row>
    <row r="373" spans="2:9" ht="15" customHeight="1" x14ac:dyDescent="0.2">
      <c r="B373" s="771"/>
      <c r="C373" s="771"/>
      <c r="D373" s="771"/>
      <c r="E373" s="774"/>
      <c r="F373" s="1438"/>
      <c r="G373" s="1438"/>
      <c r="H373" s="801"/>
      <c r="I373" s="887"/>
    </row>
    <row r="374" spans="2:9" ht="15" customHeight="1" x14ac:dyDescent="0.2">
      <c r="B374" s="771"/>
      <c r="C374" s="771"/>
      <c r="D374" s="771"/>
      <c r="E374" s="774"/>
      <c r="F374" s="1438"/>
      <c r="G374" s="1438"/>
      <c r="H374" s="801"/>
      <c r="I374" s="887"/>
    </row>
    <row r="375" spans="2:9" ht="15" customHeight="1" x14ac:dyDescent="0.2">
      <c r="B375" s="771"/>
      <c r="C375" s="771"/>
      <c r="D375" s="771"/>
      <c r="E375" s="774"/>
      <c r="F375" s="1438"/>
      <c r="G375" s="1438"/>
      <c r="H375" s="801"/>
      <c r="I375" s="887"/>
    </row>
    <row r="376" spans="2:9" ht="15" customHeight="1" x14ac:dyDescent="0.2">
      <c r="B376" s="771"/>
      <c r="C376" s="771"/>
      <c r="D376" s="771"/>
      <c r="E376" s="774"/>
      <c r="F376" s="1438"/>
      <c r="G376" s="1438"/>
      <c r="H376" s="801"/>
      <c r="I376" s="887"/>
    </row>
    <row r="377" spans="2:9" ht="15" customHeight="1" x14ac:dyDescent="0.2">
      <c r="B377" s="771"/>
      <c r="C377" s="771"/>
      <c r="D377" s="771"/>
      <c r="E377" s="774"/>
      <c r="F377" s="1438"/>
      <c r="G377" s="1438"/>
      <c r="H377" s="801"/>
      <c r="I377" s="887"/>
    </row>
    <row r="378" spans="2:9" ht="15" customHeight="1" x14ac:dyDescent="0.2">
      <c r="B378" s="771"/>
      <c r="C378" s="771"/>
      <c r="D378" s="771"/>
      <c r="E378" s="774"/>
      <c r="F378" s="1438"/>
      <c r="G378" s="1438"/>
      <c r="H378" s="801"/>
      <c r="I378" s="887"/>
    </row>
    <row r="379" spans="2:9" ht="15" customHeight="1" x14ac:dyDescent="0.2">
      <c r="B379" s="771"/>
      <c r="C379" s="771"/>
      <c r="D379" s="771"/>
      <c r="E379" s="774"/>
      <c r="F379" s="1438"/>
      <c r="G379" s="1438"/>
      <c r="H379" s="801"/>
      <c r="I379" s="887"/>
    </row>
    <row r="380" spans="2:9" ht="15" customHeight="1" x14ac:dyDescent="0.2">
      <c r="B380" s="771"/>
      <c r="C380" s="771"/>
      <c r="D380" s="771"/>
      <c r="E380" s="774"/>
      <c r="F380" s="1438"/>
      <c r="G380" s="1438"/>
      <c r="H380" s="801"/>
      <c r="I380" s="887"/>
    </row>
    <row r="381" spans="2:9" ht="15" customHeight="1" x14ac:dyDescent="0.2">
      <c r="B381" s="771"/>
      <c r="C381" s="771"/>
      <c r="D381" s="771"/>
      <c r="E381" s="774"/>
      <c r="F381" s="1438"/>
      <c r="G381" s="1438"/>
      <c r="H381" s="801"/>
      <c r="I381" s="887"/>
    </row>
    <row r="382" spans="2:9" ht="15" customHeight="1" x14ac:dyDescent="0.2">
      <c r="B382" s="771"/>
      <c r="C382" s="771"/>
      <c r="D382" s="771"/>
      <c r="E382" s="774"/>
      <c r="F382" s="1438"/>
      <c r="G382" s="1438"/>
      <c r="H382" s="801"/>
      <c r="I382" s="887"/>
    </row>
    <row r="383" spans="2:9" ht="15" customHeight="1" x14ac:dyDescent="0.2">
      <c r="B383" s="771"/>
      <c r="C383" s="771"/>
      <c r="D383" s="771"/>
      <c r="E383" s="774"/>
      <c r="F383" s="1438"/>
      <c r="G383" s="1438"/>
      <c r="H383" s="801"/>
      <c r="I383" s="887"/>
    </row>
    <row r="384" spans="2:9" ht="15" customHeight="1" x14ac:dyDescent="0.2">
      <c r="B384" s="771"/>
      <c r="C384" s="771"/>
      <c r="D384" s="771"/>
      <c r="E384" s="774"/>
      <c r="F384" s="1438"/>
      <c r="G384" s="1438"/>
      <c r="H384" s="801"/>
      <c r="I384" s="887"/>
    </row>
    <row r="385" spans="2:9" ht="15" customHeight="1" x14ac:dyDescent="0.2">
      <c r="B385" s="771"/>
      <c r="C385" s="771"/>
      <c r="D385" s="771"/>
      <c r="E385" s="774"/>
      <c r="F385" s="1438"/>
      <c r="G385" s="1438"/>
      <c r="H385" s="801"/>
      <c r="I385" s="887"/>
    </row>
    <row r="386" spans="2:9" ht="15" customHeight="1" x14ac:dyDescent="0.2">
      <c r="B386" s="771"/>
      <c r="C386" s="771"/>
      <c r="D386" s="771"/>
      <c r="E386" s="774"/>
      <c r="F386" s="1438"/>
      <c r="G386" s="1438"/>
      <c r="H386" s="801"/>
      <c r="I386" s="887"/>
    </row>
    <row r="387" spans="2:9" ht="15" customHeight="1" x14ac:dyDescent="0.2">
      <c r="B387" s="771"/>
      <c r="C387" s="771"/>
      <c r="D387" s="771"/>
      <c r="E387" s="774"/>
      <c r="F387" s="1438"/>
      <c r="G387" s="1438"/>
      <c r="H387" s="801"/>
      <c r="I387" s="887"/>
    </row>
    <row r="388" spans="2:9" ht="15" customHeight="1" x14ac:dyDescent="0.2">
      <c r="B388" s="771"/>
      <c r="C388" s="771"/>
      <c r="D388" s="771"/>
      <c r="E388" s="774"/>
      <c r="F388" s="1438"/>
      <c r="G388" s="1438"/>
      <c r="H388" s="801"/>
      <c r="I388" s="887"/>
    </row>
    <row r="389" spans="2:9" ht="15" customHeight="1" x14ac:dyDescent="0.2">
      <c r="B389" s="771"/>
      <c r="C389" s="771"/>
      <c r="D389" s="771"/>
      <c r="E389" s="774"/>
      <c r="F389" s="1438"/>
      <c r="G389" s="1438"/>
      <c r="H389" s="801"/>
      <c r="I389" s="887"/>
    </row>
    <row r="390" spans="2:9" ht="15" customHeight="1" x14ac:dyDescent="0.2">
      <c r="B390" s="771"/>
      <c r="C390" s="771"/>
      <c r="D390" s="771"/>
      <c r="E390" s="774"/>
      <c r="F390" s="1438"/>
      <c r="G390" s="1438"/>
      <c r="H390" s="801"/>
      <c r="I390" s="887"/>
    </row>
    <row r="391" spans="2:9" ht="15" customHeight="1" x14ac:dyDescent="0.2">
      <c r="B391" s="771"/>
      <c r="C391" s="771"/>
      <c r="D391" s="771"/>
      <c r="E391" s="774"/>
      <c r="F391" s="1438"/>
      <c r="G391" s="1438"/>
      <c r="H391" s="801"/>
      <c r="I391" s="887"/>
    </row>
    <row r="392" spans="2:9" ht="15" customHeight="1" x14ac:dyDescent="0.2">
      <c r="B392" s="771"/>
      <c r="C392" s="771"/>
      <c r="D392" s="771"/>
      <c r="E392" s="774"/>
      <c r="F392" s="1438"/>
      <c r="G392" s="1438"/>
      <c r="H392" s="801"/>
      <c r="I392" s="887"/>
    </row>
    <row r="393" spans="2:9" ht="15" customHeight="1" x14ac:dyDescent="0.2">
      <c r="B393" s="771"/>
      <c r="C393" s="771"/>
      <c r="D393" s="771"/>
      <c r="E393" s="774"/>
      <c r="F393" s="1438"/>
      <c r="G393" s="1438"/>
      <c r="H393" s="801"/>
      <c r="I393" s="887"/>
    </row>
    <row r="394" spans="2:9" ht="15" customHeight="1" x14ac:dyDescent="0.2">
      <c r="B394" s="771"/>
      <c r="C394" s="771"/>
      <c r="D394" s="771"/>
      <c r="E394" s="774"/>
      <c r="F394" s="1438"/>
      <c r="G394" s="1438"/>
      <c r="H394" s="801"/>
      <c r="I394" s="887"/>
    </row>
    <row r="395" spans="2:9" ht="15" customHeight="1" x14ac:dyDescent="0.2">
      <c r="B395" s="771"/>
      <c r="C395" s="771"/>
      <c r="D395" s="771"/>
      <c r="E395" s="774"/>
      <c r="F395" s="1438"/>
      <c r="G395" s="1438"/>
      <c r="H395" s="801"/>
      <c r="I395" s="887"/>
    </row>
    <row r="396" spans="2:9" ht="15" customHeight="1" x14ac:dyDescent="0.2">
      <c r="B396" s="771"/>
      <c r="C396" s="771"/>
      <c r="D396" s="771"/>
      <c r="E396" s="774"/>
      <c r="F396" s="1438"/>
      <c r="G396" s="1438"/>
      <c r="H396" s="801"/>
      <c r="I396" s="887"/>
    </row>
    <row r="397" spans="2:9" ht="15" customHeight="1" x14ac:dyDescent="0.2">
      <c r="B397" s="771"/>
      <c r="C397" s="771"/>
      <c r="D397" s="771"/>
      <c r="E397" s="774"/>
      <c r="F397" s="1438"/>
      <c r="G397" s="1438"/>
      <c r="H397" s="801"/>
      <c r="I397" s="887"/>
    </row>
    <row r="398" spans="2:9" ht="15" customHeight="1" x14ac:dyDescent="0.2">
      <c r="B398" s="771"/>
      <c r="C398" s="771"/>
      <c r="D398" s="771"/>
      <c r="E398" s="774"/>
      <c r="F398" s="1438"/>
      <c r="G398" s="1438"/>
      <c r="H398" s="801"/>
      <c r="I398" s="887"/>
    </row>
    <row r="399" spans="2:9" ht="15" customHeight="1" x14ac:dyDescent="0.2">
      <c r="B399" s="771"/>
      <c r="C399" s="771"/>
      <c r="D399" s="771"/>
      <c r="E399" s="774"/>
      <c r="F399" s="1438"/>
      <c r="G399" s="1438"/>
      <c r="H399" s="801"/>
      <c r="I399" s="887"/>
    </row>
  </sheetData>
  <protectedRanges>
    <protectedRange sqref="C11 C26 C63 C77 C39 C109 C144 C165 C180 C201 C96 C130" name="Диапазон1"/>
  </protectedRanges>
  <mergeCells count="196">
    <mergeCell ref="F272:I272"/>
    <mergeCell ref="F273:I273"/>
    <mergeCell ref="F274:I274"/>
    <mergeCell ref="F223:I223"/>
    <mergeCell ref="A221:E222"/>
    <mergeCell ref="F267:I267"/>
    <mergeCell ref="F268:I268"/>
    <mergeCell ref="F269:I269"/>
    <mergeCell ref="F270:I270"/>
    <mergeCell ref="F271:I271"/>
    <mergeCell ref="F262:I262"/>
    <mergeCell ref="F263:I263"/>
    <mergeCell ref="F264:I264"/>
    <mergeCell ref="F265:I265"/>
    <mergeCell ref="F266:I266"/>
    <mergeCell ref="F257:I257"/>
    <mergeCell ref="F258:I258"/>
    <mergeCell ref="F259:I259"/>
    <mergeCell ref="F260:I260"/>
    <mergeCell ref="F261:I261"/>
    <mergeCell ref="F252:I252"/>
    <mergeCell ref="F253:I253"/>
    <mergeCell ref="F254:I254"/>
    <mergeCell ref="F255:I255"/>
    <mergeCell ref="F256:I256"/>
    <mergeCell ref="F247:I247"/>
    <mergeCell ref="F248:I248"/>
    <mergeCell ref="F249:I249"/>
    <mergeCell ref="F250:I250"/>
    <mergeCell ref="F251:I251"/>
    <mergeCell ref="F242:I242"/>
    <mergeCell ref="F243:I243"/>
    <mergeCell ref="F244:I244"/>
    <mergeCell ref="F245:I245"/>
    <mergeCell ref="F246:I246"/>
    <mergeCell ref="F237:I237"/>
    <mergeCell ref="F238:I238"/>
    <mergeCell ref="F239:I239"/>
    <mergeCell ref="F240:I240"/>
    <mergeCell ref="F241:I241"/>
    <mergeCell ref="F232:I232"/>
    <mergeCell ref="F233:I233"/>
    <mergeCell ref="F234:I234"/>
    <mergeCell ref="F235:I235"/>
    <mergeCell ref="F236:I236"/>
    <mergeCell ref="F227:I227"/>
    <mergeCell ref="F228:I228"/>
    <mergeCell ref="F229:I229"/>
    <mergeCell ref="F230:I230"/>
    <mergeCell ref="F231:I231"/>
    <mergeCell ref="F38:I38"/>
    <mergeCell ref="F10:I10"/>
    <mergeCell ref="F224:I224"/>
    <mergeCell ref="F225:I225"/>
    <mergeCell ref="F226:I226"/>
    <mergeCell ref="I146:I158"/>
    <mergeCell ref="C271:D271"/>
    <mergeCell ref="C272:D272"/>
    <mergeCell ref="C273:D273"/>
    <mergeCell ref="C274:D274"/>
    <mergeCell ref="C266:D266"/>
    <mergeCell ref="C267:D267"/>
    <mergeCell ref="C268:D268"/>
    <mergeCell ref="C269:D269"/>
    <mergeCell ref="C270:D270"/>
    <mergeCell ref="C261:D261"/>
    <mergeCell ref="C262:D262"/>
    <mergeCell ref="C263:D263"/>
    <mergeCell ref="C264:D264"/>
    <mergeCell ref="C265:D265"/>
    <mergeCell ref="C256:D256"/>
    <mergeCell ref="C257:D257"/>
    <mergeCell ref="C258:D258"/>
    <mergeCell ref="C259:D259"/>
    <mergeCell ref="C260:D260"/>
    <mergeCell ref="C251:D251"/>
    <mergeCell ref="C252:D252"/>
    <mergeCell ref="C253:D253"/>
    <mergeCell ref="C254:D254"/>
    <mergeCell ref="C255:D255"/>
    <mergeCell ref="C246:D246"/>
    <mergeCell ref="C247:D247"/>
    <mergeCell ref="C248:D248"/>
    <mergeCell ref="C249:D249"/>
    <mergeCell ref="C250:D250"/>
    <mergeCell ref="C241:D241"/>
    <mergeCell ref="C242:D242"/>
    <mergeCell ref="C243:D243"/>
    <mergeCell ref="C244:D244"/>
    <mergeCell ref="C245:D245"/>
    <mergeCell ref="C236:D236"/>
    <mergeCell ref="C237:D237"/>
    <mergeCell ref="C238:D238"/>
    <mergeCell ref="C239:D239"/>
    <mergeCell ref="C240:D240"/>
    <mergeCell ref="C231:D231"/>
    <mergeCell ref="C232:D232"/>
    <mergeCell ref="C233:D233"/>
    <mergeCell ref="C234:D234"/>
    <mergeCell ref="C235:D235"/>
    <mergeCell ref="C226:D226"/>
    <mergeCell ref="C227:D227"/>
    <mergeCell ref="C228:D228"/>
    <mergeCell ref="C229:D229"/>
    <mergeCell ref="C230:D230"/>
    <mergeCell ref="C224:D224"/>
    <mergeCell ref="C225:D225"/>
    <mergeCell ref="C223:D223"/>
    <mergeCell ref="BQ11:BR11"/>
    <mergeCell ref="BX99:BY99"/>
    <mergeCell ref="BX100:BY100"/>
    <mergeCell ref="BI160:BM160"/>
    <mergeCell ref="AW168:BD168"/>
    <mergeCell ref="B166:B177"/>
    <mergeCell ref="I165:I166"/>
    <mergeCell ref="M168:T168"/>
    <mergeCell ref="V168:AC168"/>
    <mergeCell ref="AE168:AL168"/>
    <mergeCell ref="AN168:AU168"/>
    <mergeCell ref="AW11:BD11"/>
    <mergeCell ref="AW26:BD26"/>
    <mergeCell ref="AW97:BD97"/>
    <mergeCell ref="AW132:BD132"/>
    <mergeCell ref="AN97:AU97"/>
    <mergeCell ref="AN132:AU132"/>
    <mergeCell ref="AN11:AU11"/>
    <mergeCell ref="AN26:AU26"/>
    <mergeCell ref="V97:AC97"/>
    <mergeCell ref="V132:AC132"/>
    <mergeCell ref="A167:A177"/>
    <mergeCell ref="I167:I177"/>
    <mergeCell ref="A202:A212"/>
    <mergeCell ref="B202:B218"/>
    <mergeCell ref="I202:I218"/>
    <mergeCell ref="D179:I179"/>
    <mergeCell ref="A181:A192"/>
    <mergeCell ref="B181:B198"/>
    <mergeCell ref="I181:I198"/>
    <mergeCell ref="D200:I200"/>
    <mergeCell ref="AE132:AL132"/>
    <mergeCell ref="AE97:AL97"/>
    <mergeCell ref="V26:AC26"/>
    <mergeCell ref="AE26:AL26"/>
    <mergeCell ref="A27:A36"/>
    <mergeCell ref="B27:B36"/>
    <mergeCell ref="I28:I36"/>
    <mergeCell ref="M26:T26"/>
    <mergeCell ref="AE11:AL11"/>
    <mergeCell ref="A98:A106"/>
    <mergeCell ref="I98:I106"/>
    <mergeCell ref="D76:I76"/>
    <mergeCell ref="I77:I78"/>
    <mergeCell ref="B110:B125"/>
    <mergeCell ref="A78:A88"/>
    <mergeCell ref="B78:B91"/>
    <mergeCell ref="I79:I91"/>
    <mergeCell ref="A110:A122"/>
    <mergeCell ref="I110:I125"/>
    <mergeCell ref="B93:H94"/>
    <mergeCell ref="I96:I97"/>
    <mergeCell ref="B97:B106"/>
    <mergeCell ref="B127:H128"/>
    <mergeCell ref="I130:I131"/>
    <mergeCell ref="B12:B21"/>
    <mergeCell ref="I13:I21"/>
    <mergeCell ref="M11:T11"/>
    <mergeCell ref="V11:AC11"/>
    <mergeCell ref="A64:A74"/>
    <mergeCell ref="B64:B74"/>
    <mergeCell ref="I65:I74"/>
    <mergeCell ref="I63:I64"/>
    <mergeCell ref="D54:G54"/>
    <mergeCell ref="B131:B141"/>
    <mergeCell ref="A132:A141"/>
    <mergeCell ref="I132:I141"/>
    <mergeCell ref="D143:I143"/>
    <mergeCell ref="I144:I145"/>
    <mergeCell ref="B145:B158"/>
    <mergeCell ref="A2:I2"/>
    <mergeCell ref="S204:U204"/>
    <mergeCell ref="C10:D10"/>
    <mergeCell ref="C129:D129"/>
    <mergeCell ref="D108:I108"/>
    <mergeCell ref="I40:I52"/>
    <mergeCell ref="B23:H24"/>
    <mergeCell ref="I26:I27"/>
    <mergeCell ref="B40:B52"/>
    <mergeCell ref="B60:H61"/>
    <mergeCell ref="M97:T97"/>
    <mergeCell ref="M132:T132"/>
    <mergeCell ref="B162:H163"/>
    <mergeCell ref="A146:A155"/>
    <mergeCell ref="A8:A9"/>
    <mergeCell ref="B8:H9"/>
    <mergeCell ref="I11:I12"/>
    <mergeCell ref="A12:A16"/>
  </mergeCells>
  <conditionalFormatting sqref="D3">
    <cfRule type="cellIs" dxfId="102" priority="37" operator="equal">
      <formula>"Гавана Коричневый"</formula>
    </cfRule>
    <cfRule type="cellIs" dxfId="101" priority="50" operator="equal">
      <formula>$X$5</formula>
    </cfRule>
    <cfRule type="cellIs" priority="51" operator="equal">
      <formula>$X$5</formula>
    </cfRule>
    <cfRule type="cellIs" dxfId="100" priority="52" operator="equal">
      <formula>$X$4</formula>
    </cfRule>
    <cfRule type="cellIs" dxfId="99" priority="53" operator="equal">
      <formula>$X$3</formula>
    </cfRule>
  </conditionalFormatting>
  <conditionalFormatting sqref="CG13">
    <cfRule type="expression" dxfId="98" priority="55">
      <formula>$D$3=$X$5</formula>
    </cfRule>
  </conditionalFormatting>
  <conditionalFormatting sqref="CI11">
    <cfRule type="expression" dxfId="97" priority="56">
      <formula>$D$3=$X$3</formula>
    </cfRule>
  </conditionalFormatting>
  <conditionalFormatting sqref="CJ11">
    <cfRule type="expression" dxfId="96" priority="57">
      <formula>$D$3=$X$4</formula>
    </cfRule>
  </conditionalFormatting>
  <conditionalFormatting sqref="CH11 CH9">
    <cfRule type="expression" dxfId="95" priority="36">
      <formula>$D$3=$X$6</formula>
    </cfRule>
  </conditionalFormatting>
  <conditionalFormatting sqref="B160">
    <cfRule type="cellIs" dxfId="94" priority="34" operator="equal">
      <formula>$X$3</formula>
    </cfRule>
  </conditionalFormatting>
  <conditionalFormatting sqref="D4">
    <cfRule type="cellIs" dxfId="93" priority="29" operator="equal">
      <formula>"Гавана Коричневый"</formula>
    </cfRule>
    <cfRule type="cellIs" dxfId="92" priority="30" operator="equal">
      <formula>$X$5</formula>
    </cfRule>
    <cfRule type="cellIs" priority="31" operator="equal">
      <formula>$X$5</formula>
    </cfRule>
    <cfRule type="cellIs" dxfId="91" priority="32" operator="equal">
      <formula>$X$4</formula>
    </cfRule>
    <cfRule type="cellIs" dxfId="90" priority="33" operator="equal">
      <formula>$X$3</formula>
    </cfRule>
  </conditionalFormatting>
  <conditionalFormatting sqref="G1 G3:G9 E140:F169 E175:F177 E178:G181 E182:F190 E196:F198 G182:G198 E219:G220 E199:G202 E203:F210 E216:F218 G203:G218 E171:F173 E192:F194 E212:F214 E223 E275:G1048576 E224:F224 E225:E274 G11:G24 G26:G37 G39:G53 G55:G177">
    <cfRule type="cellIs" dxfId="89" priority="25" operator="equal">
      <formula>0</formula>
    </cfRule>
  </conditionalFormatting>
  <conditionalFormatting sqref="I1 F10 F38 I3:I9 F223 I275:I1048576 I39:I220 I11:I37">
    <cfRule type="cellIs" dxfId="88" priority="24" operator="equal">
      <formula>0</formula>
    </cfRule>
  </conditionalFormatting>
  <conditionalFormatting sqref="E1:F1 E49:F52 E107:F119 E103:F105 E126:F135 E122:F124 E138:F138 E3:F9 E39:F46 E38 E11:F37 E10 E55:F100">
    <cfRule type="cellIs" dxfId="87" priority="23" operator="equal">
      <formula>0</formula>
    </cfRule>
  </conditionalFormatting>
  <conditionalFormatting sqref="E47:F48">
    <cfRule type="cellIs" dxfId="86" priority="22" operator="equal">
      <formula>0</formula>
    </cfRule>
  </conditionalFormatting>
  <conditionalFormatting sqref="E106:F106">
    <cfRule type="cellIs" dxfId="85" priority="21" operator="equal">
      <formula>0</formula>
    </cfRule>
  </conditionalFormatting>
  <conditionalFormatting sqref="E101:F102">
    <cfRule type="cellIs" dxfId="84" priority="20" operator="equal">
      <formula>0</formula>
    </cfRule>
  </conditionalFormatting>
  <conditionalFormatting sqref="E125:F125">
    <cfRule type="cellIs" dxfId="83" priority="19" operator="equal">
      <formula>0</formula>
    </cfRule>
  </conditionalFormatting>
  <conditionalFormatting sqref="E120:F121">
    <cfRule type="cellIs" dxfId="82" priority="18" operator="equal">
      <formula>0</formula>
    </cfRule>
  </conditionalFormatting>
  <conditionalFormatting sqref="E139:F139">
    <cfRule type="cellIs" dxfId="81" priority="17" operator="equal">
      <formula>0</formula>
    </cfRule>
  </conditionalFormatting>
  <conditionalFormatting sqref="E136:F137">
    <cfRule type="cellIs" dxfId="80" priority="16" operator="equal">
      <formula>0</formula>
    </cfRule>
  </conditionalFormatting>
  <conditionalFormatting sqref="A2">
    <cfRule type="cellIs" dxfId="79" priority="15" operator="equal">
      <formula>$W$3</formula>
    </cfRule>
  </conditionalFormatting>
  <conditionalFormatting sqref="E174">
    <cfRule type="cellIs" dxfId="78" priority="14" operator="equal">
      <formula>0</formula>
    </cfRule>
  </conditionalFormatting>
  <conditionalFormatting sqref="F174">
    <cfRule type="cellIs" dxfId="77" priority="12" operator="equal">
      <formula>0</formula>
    </cfRule>
  </conditionalFormatting>
  <conditionalFormatting sqref="E195">
    <cfRule type="cellIs" dxfId="76" priority="10" operator="equal">
      <formula>0</formula>
    </cfRule>
  </conditionalFormatting>
  <conditionalFormatting sqref="F195">
    <cfRule type="cellIs" dxfId="75" priority="9" operator="equal">
      <formula>0</formula>
    </cfRule>
  </conditionalFormatting>
  <conditionalFormatting sqref="E215">
    <cfRule type="cellIs" dxfId="74" priority="7" operator="equal">
      <formula>0</formula>
    </cfRule>
  </conditionalFormatting>
  <conditionalFormatting sqref="F215">
    <cfRule type="cellIs" dxfId="73" priority="6" operator="equal">
      <formula>0</formula>
    </cfRule>
  </conditionalFormatting>
  <conditionalFormatting sqref="E170:F170">
    <cfRule type="cellIs" dxfId="72" priority="5" operator="equal">
      <formula>0</formula>
    </cfRule>
  </conditionalFormatting>
  <conditionalFormatting sqref="E191:F191">
    <cfRule type="cellIs" dxfId="71" priority="4" operator="equal">
      <formula>0</formula>
    </cfRule>
  </conditionalFormatting>
  <conditionalFormatting sqref="E211:F211">
    <cfRule type="cellIs" dxfId="70" priority="3" operator="equal">
      <formula>0</formula>
    </cfRule>
  </conditionalFormatting>
  <conditionalFormatting sqref="A221">
    <cfRule type="cellIs" dxfId="69" priority="2" operator="equal">
      <formula>$W$3</formula>
    </cfRule>
  </conditionalFormatting>
  <conditionalFormatting sqref="F225:F274">
    <cfRule type="cellIs" dxfId="68" priority="1" operator="equal">
      <formula>0</formula>
    </cfRule>
  </conditionalFormatting>
  <dataValidations count="8">
    <dataValidation type="list" allowBlank="1" showInputMessage="1" showErrorMessage="1" sqref="C63" xr:uid="{00000000-0002-0000-1B00-000000000000}">
      <formula1>$U$68:$U$72</formula1>
    </dataValidation>
    <dataValidation type="list" allowBlank="1" showInputMessage="1" showErrorMessage="1" sqref="C164 C62 C77" xr:uid="{00000000-0002-0000-1B00-000001000000}">
      <formula1>$U$69:$U$72</formula1>
    </dataValidation>
    <dataValidation type="list" allowBlank="1" showInputMessage="1" showErrorMessage="1" sqref="D3" xr:uid="{00000000-0002-0000-1B00-000002000000}">
      <formula1>$X$3:$X$6</formula1>
    </dataValidation>
    <dataValidation type="list" allowBlank="1" showInputMessage="1" showErrorMessage="1" sqref="C144 C165" xr:uid="{00000000-0002-0000-1B00-000003000000}">
      <formula1>$AA$5:$AA$6</formula1>
    </dataValidation>
    <dataValidation type="list" allowBlank="1" showInputMessage="1" showErrorMessage="1" sqref="D4" xr:uid="{00000000-0002-0000-1B00-000004000000}">
      <formula1>$V$3:$V$5</formula1>
    </dataValidation>
    <dataValidation type="list" allowBlank="1" showInputMessage="1" showErrorMessage="1" sqref="C11" xr:uid="{00000000-0002-0000-1B00-000005000000}">
      <formula1>$AB$2:$AB$3</formula1>
    </dataValidation>
    <dataValidation type="list" allowBlank="1" showInputMessage="1" showErrorMessage="1" sqref="C26 C96" xr:uid="{00000000-0002-0000-1B00-000006000000}">
      <formula1>$AA$1:$AA$6</formula1>
    </dataValidation>
    <dataValidation type="list" allowBlank="1" showInputMessage="1" showErrorMessage="1" sqref="C130" xr:uid="{00000000-0002-0000-1B00-000007000000}">
      <formula1>IF(OR($D$4="Торговая",$D$4="Индивидуальная"),$L$140:$L$141,$L$136:$L$141)</formula1>
    </dataValidation>
  </dataValidations>
  <pageMargins left="0.25" right="0.25" top="0.75" bottom="0.75" header="0.3" footer="0.3"/>
  <pageSetup paperSize="9"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 codeName="Лист23"/>
  <dimension ref="A1:BG142"/>
  <sheetViews>
    <sheetView showGridLines="0" zoomScaleNormal="100" workbookViewId="0">
      <selection activeCell="AC1" sqref="AC1:AZ1048576"/>
    </sheetView>
  </sheetViews>
  <sheetFormatPr defaultRowHeight="15" x14ac:dyDescent="0.2"/>
  <cols>
    <col min="1" max="1" width="2.85546875" style="314" customWidth="1"/>
    <col min="2" max="2" width="29.5703125" style="1033" customWidth="1"/>
    <col min="3" max="3" width="17.42578125" style="1033" bestFit="1" customWidth="1"/>
    <col min="4" max="4" width="39.85546875" style="1033" customWidth="1"/>
    <col min="5" max="5" width="3.42578125" style="10" customWidth="1"/>
    <col min="6" max="6" width="9.140625" style="1033" hidden="1" customWidth="1"/>
    <col min="7" max="7" width="8" style="6" customWidth="1"/>
    <col min="8" max="8" width="10" style="20" customWidth="1"/>
    <col min="9" max="9" width="3.140625" style="771" customWidth="1"/>
    <col min="10" max="10" width="9.140625" style="771"/>
    <col min="11" max="11" width="14" style="771" hidden="1" customWidth="1"/>
    <col min="12" max="12" width="9.5703125" style="771" hidden="1" customWidth="1"/>
    <col min="13" max="13" width="8.5703125" style="771" hidden="1" customWidth="1"/>
    <col min="14" max="14" width="14" style="771" hidden="1" customWidth="1"/>
    <col min="15" max="15" width="9.140625" style="771" hidden="1" customWidth="1"/>
    <col min="16" max="16" width="14" style="771" hidden="1" customWidth="1"/>
    <col min="17" max="17" width="13.140625" style="771" hidden="1" customWidth="1"/>
    <col min="18" max="19" width="9.140625" style="771" hidden="1" customWidth="1"/>
    <col min="20" max="20" width="9.140625" style="771" customWidth="1"/>
    <col min="21" max="28" width="9.140625" style="771"/>
    <col min="29" max="29" width="0" style="771" hidden="1" customWidth="1"/>
    <col min="30" max="47" width="14.140625" style="771" hidden="1" customWidth="1"/>
    <col min="48" max="52" width="0" style="771" hidden="1" customWidth="1"/>
    <col min="53" max="54" width="9.140625" style="771"/>
    <col min="55" max="16384" width="9.140625" style="1033"/>
  </cols>
  <sheetData>
    <row r="1" spans="1:59" s="771" customFormat="1" x14ac:dyDescent="0.2">
      <c r="A1" s="889"/>
      <c r="E1" s="774"/>
      <c r="G1" s="801"/>
      <c r="H1" s="887"/>
    </row>
    <row r="2" spans="1:59" s="1035" customFormat="1" x14ac:dyDescent="0.2">
      <c r="A2" s="848"/>
      <c r="B2" s="2393" t="s">
        <v>3142</v>
      </c>
      <c r="C2" s="2394"/>
      <c r="D2" s="2394"/>
      <c r="E2" s="2394"/>
      <c r="F2" s="2394"/>
      <c r="G2" s="2395"/>
      <c r="H2" s="611"/>
      <c r="I2" s="771"/>
      <c r="J2" s="771"/>
      <c r="K2" s="771"/>
      <c r="L2" s="771"/>
      <c r="M2" s="771" t="s">
        <v>2834</v>
      </c>
      <c r="N2" s="771" t="s">
        <v>2835</v>
      </c>
      <c r="O2" s="771" t="s">
        <v>3143</v>
      </c>
      <c r="P2" s="771" t="s">
        <v>3145</v>
      </c>
      <c r="Q2" s="771" t="s">
        <v>3148</v>
      </c>
      <c r="R2" s="771" t="s">
        <v>3146</v>
      </c>
      <c r="S2" s="771"/>
      <c r="T2" s="771"/>
      <c r="U2" s="771"/>
      <c r="V2" s="771"/>
      <c r="W2" s="771"/>
      <c r="X2" s="771"/>
      <c r="Y2" s="771"/>
      <c r="Z2" s="771"/>
      <c r="AA2" s="771"/>
      <c r="AB2" s="771"/>
      <c r="AC2" s="771"/>
      <c r="AD2" s="771"/>
      <c r="AE2" s="771"/>
      <c r="AF2" s="771"/>
      <c r="AG2" s="771"/>
      <c r="AH2" s="771"/>
      <c r="AI2" s="771"/>
      <c r="AJ2" s="771"/>
      <c r="AK2" s="771"/>
      <c r="AL2" s="771"/>
      <c r="AM2" s="771"/>
      <c r="AN2" s="771"/>
      <c r="AO2" s="771"/>
      <c r="AP2" s="771"/>
      <c r="AQ2" s="771"/>
      <c r="AR2" s="771"/>
      <c r="AS2" s="771"/>
      <c r="AT2" s="771"/>
      <c r="AU2" s="771"/>
      <c r="AV2" s="771"/>
      <c r="AW2" s="771"/>
      <c r="AX2" s="771"/>
      <c r="AY2" s="771"/>
      <c r="AZ2" s="771"/>
      <c r="BA2" s="771"/>
      <c r="BB2" s="771"/>
      <c r="BC2" s="771"/>
      <c r="BD2" s="771"/>
      <c r="BE2" s="771"/>
      <c r="BF2" s="771"/>
      <c r="BG2" s="771"/>
    </row>
    <row r="3" spans="1:59" s="1035" customFormat="1" ht="15.75" thickBot="1" x14ac:dyDescent="0.25">
      <c r="A3" s="848"/>
      <c r="B3" s="2394"/>
      <c r="C3" s="2394"/>
      <c r="D3" s="2394"/>
      <c r="E3" s="2394"/>
      <c r="F3" s="2394"/>
      <c r="G3" s="2395"/>
      <c r="H3" s="611"/>
      <c r="I3" s="771"/>
      <c r="J3" s="771"/>
      <c r="K3" s="771"/>
      <c r="L3" s="771"/>
      <c r="M3" s="771"/>
      <c r="N3" s="771"/>
      <c r="O3" s="771"/>
      <c r="P3" s="771"/>
      <c r="Q3" s="771"/>
      <c r="R3" s="771"/>
      <c r="S3" s="771"/>
      <c r="T3" s="771"/>
      <c r="U3" s="771"/>
      <c r="V3" s="771"/>
      <c r="W3" s="771"/>
      <c r="X3" s="771"/>
      <c r="Y3" s="771"/>
      <c r="Z3" s="771"/>
      <c r="AA3" s="771"/>
      <c r="AB3" s="771"/>
      <c r="AC3" s="771"/>
      <c r="AD3" s="771" t="str">
        <f>C4</f>
        <v>серый</v>
      </c>
      <c r="AE3" s="771" t="str">
        <f>C4</f>
        <v>серый</v>
      </c>
      <c r="AF3" s="771" t="str">
        <f>C4</f>
        <v>серый</v>
      </c>
      <c r="AG3" s="771"/>
      <c r="AH3" s="771"/>
      <c r="AI3" s="1911" t="s">
        <v>2834</v>
      </c>
      <c r="AJ3" s="1910" t="s">
        <v>2835</v>
      </c>
      <c r="AK3" s="1911" t="s">
        <v>3143</v>
      </c>
      <c r="AL3" s="1910" t="s">
        <v>3145</v>
      </c>
      <c r="AM3" s="1911" t="s">
        <v>3144</v>
      </c>
      <c r="AN3" s="1910" t="s">
        <v>3146</v>
      </c>
      <c r="AO3" s="1911" t="s">
        <v>2834</v>
      </c>
      <c r="AP3" s="1910" t="s">
        <v>2835</v>
      </c>
      <c r="AQ3" s="1911" t="s">
        <v>3143</v>
      </c>
      <c r="AR3" s="1910" t="s">
        <v>3145</v>
      </c>
      <c r="AS3" s="1911" t="s">
        <v>3144</v>
      </c>
      <c r="AT3" s="1910" t="s">
        <v>3146</v>
      </c>
      <c r="AU3" s="1911" t="s">
        <v>2834</v>
      </c>
      <c r="AV3" s="1910" t="s">
        <v>2835</v>
      </c>
      <c r="AW3" s="1911" t="s">
        <v>3143</v>
      </c>
      <c r="AX3" s="1910" t="s">
        <v>3145</v>
      </c>
      <c r="AY3" s="1911" t="s">
        <v>3144</v>
      </c>
      <c r="AZ3" s="1910" t="s">
        <v>3146</v>
      </c>
      <c r="BA3" s="771"/>
      <c r="BB3" s="771"/>
      <c r="BC3" s="771"/>
      <c r="BD3" s="771"/>
      <c r="BE3" s="771"/>
      <c r="BF3" s="771"/>
      <c r="BG3" s="771"/>
    </row>
    <row r="4" spans="1:59" s="1035" customFormat="1" ht="15" customHeight="1" x14ac:dyDescent="0.2">
      <c r="A4" s="849"/>
      <c r="B4" s="717" t="s">
        <v>2845</v>
      </c>
      <c r="C4" s="2442" t="s">
        <v>2834</v>
      </c>
      <c r="D4" s="2442"/>
      <c r="E4" s="2442"/>
      <c r="F4" s="2442"/>
      <c r="G4" s="2442"/>
      <c r="H4" s="2443"/>
      <c r="I4" s="771"/>
      <c r="J4" s="771"/>
      <c r="K4" s="771" t="s">
        <v>2834</v>
      </c>
      <c r="L4" s="1063">
        <v>300</v>
      </c>
      <c r="M4" s="1063" t="s">
        <v>2574</v>
      </c>
      <c r="N4" s="995" t="s">
        <v>2461</v>
      </c>
      <c r="O4" s="995" t="s">
        <v>2412</v>
      </c>
      <c r="P4" s="995" t="s">
        <v>2465</v>
      </c>
      <c r="Q4" s="995" t="s">
        <v>2601</v>
      </c>
      <c r="R4" s="995" t="s">
        <v>2411</v>
      </c>
      <c r="S4" s="713"/>
      <c r="T4" s="771"/>
      <c r="U4" s="771"/>
      <c r="V4" s="771"/>
      <c r="W4" s="771"/>
      <c r="X4" s="771"/>
      <c r="Y4" s="771"/>
      <c r="Z4" s="771"/>
      <c r="AA4" s="771"/>
      <c r="AB4" s="771"/>
      <c r="AC4" s="771"/>
      <c r="AD4" s="771" t="s">
        <v>7036</v>
      </c>
      <c r="AE4" s="771" t="s">
        <v>7037</v>
      </c>
      <c r="AF4" s="771" t="s">
        <v>7038</v>
      </c>
      <c r="AG4" s="771"/>
      <c r="AH4" s="771"/>
      <c r="AI4" s="1911" t="s">
        <v>7036</v>
      </c>
      <c r="AJ4" s="1910" t="s">
        <v>7036</v>
      </c>
      <c r="AK4" s="1911" t="s">
        <v>7036</v>
      </c>
      <c r="AL4" s="1910" t="s">
        <v>7036</v>
      </c>
      <c r="AM4" s="1911" t="s">
        <v>7036</v>
      </c>
      <c r="AN4" s="1910" t="s">
        <v>7036</v>
      </c>
      <c r="AO4" s="1911" t="s">
        <v>7037</v>
      </c>
      <c r="AP4" s="1910" t="s">
        <v>7037</v>
      </c>
      <c r="AQ4" s="1911" t="s">
        <v>7037</v>
      </c>
      <c r="AR4" s="1910" t="s">
        <v>7037</v>
      </c>
      <c r="AS4" s="1911" t="s">
        <v>7037</v>
      </c>
      <c r="AT4" s="1910" t="s">
        <v>7037</v>
      </c>
      <c r="AU4" s="1911" t="s">
        <v>7038</v>
      </c>
      <c r="AV4" s="1910" t="s">
        <v>7038</v>
      </c>
      <c r="AW4" s="1911" t="s">
        <v>7038</v>
      </c>
      <c r="AX4" s="1910" t="s">
        <v>7038</v>
      </c>
      <c r="AY4" s="1911" t="s">
        <v>7038</v>
      </c>
      <c r="AZ4" s="1910" t="s">
        <v>7038</v>
      </c>
      <c r="BA4" s="771"/>
      <c r="BB4" s="771"/>
      <c r="BC4" s="771"/>
      <c r="BD4" s="771"/>
      <c r="BE4" s="771"/>
      <c r="BF4" s="771"/>
      <c r="BG4" s="771"/>
    </row>
    <row r="5" spans="1:59" s="1035" customFormat="1" x14ac:dyDescent="0.2">
      <c r="A5" s="849"/>
      <c r="B5" s="844" t="s">
        <v>3147</v>
      </c>
      <c r="C5" s="1734">
        <v>1200</v>
      </c>
      <c r="D5" s="852"/>
      <c r="E5" s="852"/>
      <c r="F5" s="852"/>
      <c r="G5" s="853"/>
      <c r="H5" s="2388" t="s">
        <v>1850</v>
      </c>
      <c r="I5" s="771"/>
      <c r="J5" s="771"/>
      <c r="K5" s="771" t="s">
        <v>2835</v>
      </c>
      <c r="L5" s="1063">
        <v>400</v>
      </c>
      <c r="M5" s="1063" t="s">
        <v>2257</v>
      </c>
      <c r="N5" s="1063" t="s">
        <v>2257</v>
      </c>
      <c r="O5" s="1063" t="s">
        <v>2257</v>
      </c>
      <c r="P5" s="1063" t="s">
        <v>2257</v>
      </c>
      <c r="Q5" s="1063" t="s">
        <v>2257</v>
      </c>
      <c r="R5" s="1063" t="s">
        <v>2257</v>
      </c>
      <c r="S5" s="782"/>
      <c r="U5" s="771"/>
      <c r="V5" s="771"/>
      <c r="W5" s="771"/>
      <c r="X5" s="771"/>
      <c r="Y5" s="771"/>
      <c r="Z5" s="771"/>
      <c r="AA5" s="771"/>
      <c r="AB5" s="771"/>
      <c r="AC5" s="1063">
        <v>300</v>
      </c>
      <c r="AD5" s="771">
        <f>HLOOKUP($AD$3,$AI$3:$AN$15,AG5,0)</f>
        <v>0</v>
      </c>
      <c r="AE5" s="771" t="str">
        <f>HLOOKUP($AE$3,$AO$3:$AT$15,AG5,0)</f>
        <v>8693820/</v>
      </c>
      <c r="AF5" s="771">
        <f>HLOOKUP($AF$3,$AU$3:$AZ$15,AG5,0)</f>
        <v>0</v>
      </c>
      <c r="AG5" s="771">
        <v>3</v>
      </c>
      <c r="AH5" s="1063">
        <v>300</v>
      </c>
      <c r="AI5" s="1912"/>
      <c r="AJ5" s="771"/>
      <c r="AK5" s="1912"/>
      <c r="AL5" s="771"/>
      <c r="AM5" s="1912"/>
      <c r="AN5" s="771"/>
      <c r="AO5" s="1912" t="s">
        <v>2574</v>
      </c>
      <c r="AP5" s="771" t="s">
        <v>2461</v>
      </c>
      <c r="AQ5" s="1912" t="s">
        <v>2412</v>
      </c>
      <c r="AR5" s="771" t="s">
        <v>2465</v>
      </c>
      <c r="AS5" s="1912" t="s">
        <v>2601</v>
      </c>
      <c r="AT5" s="771" t="s">
        <v>2411</v>
      </c>
      <c r="AU5" s="1912"/>
      <c r="AV5" s="771"/>
      <c r="AW5" s="1912"/>
      <c r="AX5" s="771"/>
      <c r="AY5" s="1912"/>
      <c r="AZ5" s="771"/>
      <c r="BA5" s="771"/>
      <c r="BB5" s="771"/>
      <c r="BC5" s="771"/>
      <c r="BD5" s="771"/>
      <c r="BE5" s="771"/>
      <c r="BF5" s="771"/>
      <c r="BG5" s="771"/>
    </row>
    <row r="6" spans="1:59" s="1035" customFormat="1" ht="9" customHeight="1" x14ac:dyDescent="0.2">
      <c r="A6" s="896"/>
      <c r="B6" s="2441"/>
      <c r="C6" s="172" t="s">
        <v>1301</v>
      </c>
      <c r="D6" s="991" t="s">
        <v>784</v>
      </c>
      <c r="E6" s="1059" t="s">
        <v>2117</v>
      </c>
      <c r="F6" s="1060"/>
      <c r="G6" s="994" t="s">
        <v>2116</v>
      </c>
      <c r="H6" s="2389"/>
      <c r="I6" s="771"/>
      <c r="J6" s="771"/>
      <c r="K6" s="771" t="s">
        <v>3143</v>
      </c>
      <c r="L6" s="1063">
        <v>450</v>
      </c>
      <c r="M6" s="1063" t="s">
        <v>2257</v>
      </c>
      <c r="N6" s="1063" t="s">
        <v>2257</v>
      </c>
      <c r="O6" s="1063" t="s">
        <v>2257</v>
      </c>
      <c r="P6" s="1063" t="s">
        <v>2257</v>
      </c>
      <c r="Q6" s="1063" t="s">
        <v>2257</v>
      </c>
      <c r="R6" s="1063" t="s">
        <v>2257</v>
      </c>
      <c r="S6" s="782"/>
      <c r="U6" s="771"/>
      <c r="V6" s="771"/>
      <c r="W6" s="771"/>
      <c r="X6" s="771"/>
      <c r="Y6" s="771"/>
      <c r="Z6" s="771"/>
      <c r="AA6" s="771"/>
      <c r="AB6" s="771"/>
      <c r="AC6" s="1063">
        <v>400</v>
      </c>
      <c r="AD6" s="771" t="str">
        <f t="shared" ref="AD6:AD15" si="0">HLOOKUP($AD$3,$AI$3:$AN$15,AG6,0)</f>
        <v>4497947/</v>
      </c>
      <c r="AE6" s="771">
        <f t="shared" ref="AE6:AE15" si="1">HLOOKUP($AE$3,$AO$3:$AT$15,AG6,0)</f>
        <v>0</v>
      </c>
      <c r="AF6" s="771">
        <f t="shared" ref="AF6:AF15" si="2">HLOOKUP($AF$3,$AU$3:$AZ$15,AG6,0)</f>
        <v>0</v>
      </c>
      <c r="AG6" s="771">
        <f>AG5+1</f>
        <v>4</v>
      </c>
      <c r="AH6" s="1063">
        <v>400</v>
      </c>
      <c r="AI6" s="1912" t="s">
        <v>2464</v>
      </c>
      <c r="AJ6" s="771" t="s">
        <v>2591</v>
      </c>
      <c r="AK6" s="1912" t="s">
        <v>2488</v>
      </c>
      <c r="AL6" s="771" t="s">
        <v>2499</v>
      </c>
      <c r="AM6" s="1912" t="s">
        <v>2409</v>
      </c>
      <c r="AN6" s="771" t="s">
        <v>2434</v>
      </c>
      <c r="AO6" s="1912"/>
      <c r="AP6" s="771"/>
      <c r="AQ6" s="1912"/>
      <c r="AR6" s="771"/>
      <c r="AS6" s="1912"/>
      <c r="AT6" s="771"/>
      <c r="AU6" s="1912"/>
      <c r="AV6" s="771"/>
      <c r="AW6" s="1912"/>
      <c r="AX6" s="771"/>
      <c r="AY6" s="1912"/>
      <c r="AZ6" s="771"/>
      <c r="BA6" s="771"/>
      <c r="BB6" s="771"/>
      <c r="BC6" s="771"/>
      <c r="BD6" s="771"/>
      <c r="BE6" s="771"/>
      <c r="BF6" s="771"/>
      <c r="BG6" s="771"/>
    </row>
    <row r="7" spans="1:59" s="1035" customFormat="1" ht="12.75" customHeight="1" x14ac:dyDescent="0.2">
      <c r="A7" s="896"/>
      <c r="B7" s="2073"/>
      <c r="C7" s="995" t="str">
        <f>VLOOKUP(C5,$AC$5:$AF$15,2,0)</f>
        <v>4497947/</v>
      </c>
      <c r="D7" s="995" t="str">
        <f>IF(C7=0,"",VLOOKUP(C7,всецены,2,FALSE))</f>
        <v xml:space="preserve">AMB, Лоток 500мм, сер ZC7S500BS3        </v>
      </c>
      <c r="E7" s="1041">
        <f>IF(C5&gt;=900,2,1)</f>
        <v>2</v>
      </c>
      <c r="F7" s="996">
        <f>VLOOKUP(C7,всецены,4,FALSE)</f>
        <v>5502.1950983999996</v>
      </c>
      <c r="G7" s="997">
        <f>IF(D7="",0,F7*E7)</f>
        <v>11004.390196799999</v>
      </c>
      <c r="H7" s="2444">
        <f>SUM(G7:G9)</f>
        <v>16873.344087599999</v>
      </c>
      <c r="I7" s="771"/>
      <c r="J7" s="771"/>
      <c r="K7" s="771" t="s">
        <v>3145</v>
      </c>
      <c r="L7" s="1063">
        <v>500</v>
      </c>
      <c r="M7" s="1063" t="s">
        <v>2257</v>
      </c>
      <c r="N7" s="1063" t="s">
        <v>2257</v>
      </c>
      <c r="O7" s="1063" t="s">
        <v>2257</v>
      </c>
      <c r="P7" s="1063" t="s">
        <v>2257</v>
      </c>
      <c r="Q7" s="1063" t="s">
        <v>2257</v>
      </c>
      <c r="R7" s="1063" t="s">
        <v>2257</v>
      </c>
      <c r="S7" s="782"/>
      <c r="U7" s="771"/>
      <c r="V7" s="771"/>
      <c r="W7" s="771"/>
      <c r="X7" s="771"/>
      <c r="Y7" s="771"/>
      <c r="Z7" s="771"/>
      <c r="AA7" s="771"/>
      <c r="AB7" s="771"/>
      <c r="AC7" s="1063">
        <v>450</v>
      </c>
      <c r="AD7" s="771" t="str">
        <f t="shared" si="0"/>
        <v>4497947/</v>
      </c>
      <c r="AE7" s="771">
        <f t="shared" si="1"/>
        <v>0</v>
      </c>
      <c r="AF7" s="771">
        <f t="shared" si="2"/>
        <v>0</v>
      </c>
      <c r="AG7" s="771">
        <f t="shared" ref="AG7:AG15" si="3">AG6+1</f>
        <v>5</v>
      </c>
      <c r="AH7" s="1063">
        <v>450</v>
      </c>
      <c r="AI7" s="1912" t="str">
        <f t="shared" ref="AI7:AI15" si="4">AI6</f>
        <v>4497947/</v>
      </c>
      <c r="AJ7" s="771" t="str">
        <f t="shared" ref="AJ7:AJ15" si="5">AJ6</f>
        <v>8830585/</v>
      </c>
      <c r="AK7" s="1912" t="str">
        <f t="shared" ref="AK7:AK15" si="6">AK6</f>
        <v>6081951/</v>
      </c>
      <c r="AL7" s="771" t="str">
        <f t="shared" ref="AL7:AL15" si="7">AL6</f>
        <v>6608218/</v>
      </c>
      <c r="AM7" s="1912" t="str">
        <f t="shared" ref="AM7:AM15" si="8">AM6</f>
        <v>1520200/</v>
      </c>
      <c r="AN7" s="771" t="str">
        <f t="shared" ref="AN7:AN15" si="9">AN6</f>
        <v>2709332/</v>
      </c>
      <c r="AO7" s="1912"/>
      <c r="AP7" s="771"/>
      <c r="AQ7" s="1912"/>
      <c r="AR7" s="771"/>
      <c r="AS7" s="1912"/>
      <c r="AT7" s="771"/>
      <c r="AU7" s="1912"/>
      <c r="AV7" s="771"/>
      <c r="AW7" s="1912"/>
      <c r="AX7" s="771"/>
      <c r="AY7" s="1912"/>
      <c r="AZ7" s="771"/>
      <c r="BA7" s="771"/>
      <c r="BB7" s="771"/>
      <c r="BC7" s="771"/>
      <c r="BD7" s="771"/>
      <c r="BE7" s="771"/>
      <c r="BF7" s="771"/>
      <c r="BG7" s="771"/>
    </row>
    <row r="8" spans="1:59" s="1035" customFormat="1" ht="12.75" customHeight="1" x14ac:dyDescent="0.2">
      <c r="A8" s="896"/>
      <c r="B8" s="2073"/>
      <c r="C8" s="995" t="str">
        <f>VLOOKUP(C5,$AC$5:$AF$15,3,0)</f>
        <v>8693820/</v>
      </c>
      <c r="D8" s="995" t="str">
        <f>IF(C8=0,"",VLOOKUP(C8,всецены,2,FALSE))</f>
        <v xml:space="preserve">AMB, Рамка 500/100, сер ZC7S500RS1      </v>
      </c>
      <c r="E8" s="1041">
        <f>IF(C5=1000,2,1)</f>
        <v>1</v>
      </c>
      <c r="F8" s="996">
        <f>VLOOKUP(C8,всецены,4,FALSE)</f>
        <v>1703.6799779999999</v>
      </c>
      <c r="G8" s="997">
        <f>IF(D8="",0,F8*E8)</f>
        <v>1703.6799779999999</v>
      </c>
      <c r="H8" s="2386"/>
      <c r="I8" s="771"/>
      <c r="J8" s="771"/>
      <c r="K8" s="771" t="s">
        <v>3144</v>
      </c>
      <c r="L8" s="1909">
        <v>550</v>
      </c>
      <c r="M8" s="1909"/>
      <c r="N8" s="995" t="s">
        <v>2461</v>
      </c>
      <c r="O8" s="1909"/>
      <c r="P8" s="1909"/>
      <c r="Q8" s="1909"/>
      <c r="R8" s="1909"/>
      <c r="S8" s="782"/>
      <c r="U8" s="771"/>
      <c r="V8" s="771"/>
      <c r="W8" s="771"/>
      <c r="X8" s="771"/>
      <c r="Y8" s="771"/>
      <c r="Z8" s="771"/>
      <c r="AA8" s="771"/>
      <c r="AB8" s="771"/>
      <c r="AC8" s="1063">
        <v>500</v>
      </c>
      <c r="AD8" s="771" t="str">
        <f t="shared" si="0"/>
        <v>4497947/</v>
      </c>
      <c r="AE8" s="771">
        <f t="shared" si="1"/>
        <v>0</v>
      </c>
      <c r="AF8" s="771">
        <f t="shared" si="2"/>
        <v>0</v>
      </c>
      <c r="AG8" s="771">
        <f t="shared" si="3"/>
        <v>6</v>
      </c>
      <c r="AH8" s="1063">
        <v>500</v>
      </c>
      <c r="AI8" s="1912" t="str">
        <f t="shared" si="4"/>
        <v>4497947/</v>
      </c>
      <c r="AJ8" s="771" t="str">
        <f t="shared" si="5"/>
        <v>8830585/</v>
      </c>
      <c r="AK8" s="1912" t="str">
        <f t="shared" si="6"/>
        <v>6081951/</v>
      </c>
      <c r="AL8" s="771" t="str">
        <f t="shared" si="7"/>
        <v>6608218/</v>
      </c>
      <c r="AM8" s="1912" t="str">
        <f t="shared" si="8"/>
        <v>1520200/</v>
      </c>
      <c r="AN8" s="771" t="str">
        <f t="shared" si="9"/>
        <v>2709332/</v>
      </c>
      <c r="AO8" s="1912"/>
      <c r="AP8" s="771"/>
      <c r="AQ8" s="1912"/>
      <c r="AR8" s="771"/>
      <c r="AS8" s="1912"/>
      <c r="AT8" s="771"/>
      <c r="AU8" s="1912"/>
      <c r="AV8" s="771"/>
      <c r="AW8" s="1912"/>
      <c r="AX8" s="771"/>
      <c r="AY8" s="1912"/>
      <c r="AZ8" s="771"/>
      <c r="BA8" s="771"/>
      <c r="BB8" s="771"/>
      <c r="BC8" s="771"/>
      <c r="BD8" s="771"/>
      <c r="BE8" s="771"/>
      <c r="BF8" s="771"/>
      <c r="BG8" s="771"/>
    </row>
    <row r="9" spans="1:59" s="1035" customFormat="1" ht="12.75" customHeight="1" thickBot="1" x14ac:dyDescent="0.25">
      <c r="A9" s="897"/>
      <c r="B9" s="2074"/>
      <c r="C9" s="998" t="str">
        <f>VLOOKUP(C5,$AC$5:$AF$15,4,0)</f>
        <v>4595319/</v>
      </c>
      <c r="D9" s="998" t="str">
        <f>IF(C9=0,"",VLOOKUP(C9,всецены,2,FALSE))</f>
        <v xml:space="preserve">AMB, Рамка 500/200, сер ZC7S500RS2      </v>
      </c>
      <c r="E9" s="1061">
        <f>IF(C5=1200,2,1)</f>
        <v>2</v>
      </c>
      <c r="F9" s="999">
        <f>VLOOKUP(C9,всецены,4,FALSE)</f>
        <v>2082.6369564000001</v>
      </c>
      <c r="G9" s="1000">
        <f>IF(D9="",0,F9*E9)</f>
        <v>4165.2739128000003</v>
      </c>
      <c r="H9" s="2387"/>
      <c r="I9" s="771"/>
      <c r="J9" s="771"/>
      <c r="K9" s="771" t="s">
        <v>3146</v>
      </c>
      <c r="L9" s="1063">
        <v>600</v>
      </c>
      <c r="M9" s="1063" t="s">
        <v>2574</v>
      </c>
      <c r="N9" s="995" t="s">
        <v>2461</v>
      </c>
      <c r="O9" s="995" t="s">
        <v>2412</v>
      </c>
      <c r="P9" s="995" t="s">
        <v>2465</v>
      </c>
      <c r="Q9" s="995" t="s">
        <v>2601</v>
      </c>
      <c r="R9" s="995" t="s">
        <v>2411</v>
      </c>
      <c r="S9" s="713"/>
      <c r="U9" s="771"/>
      <c r="V9" s="771"/>
      <c r="W9" s="771"/>
      <c r="X9" s="771"/>
      <c r="Y9" s="771"/>
      <c r="Z9" s="771"/>
      <c r="AA9" s="771"/>
      <c r="AB9" s="771"/>
      <c r="AC9" s="1909">
        <v>550</v>
      </c>
      <c r="AD9" s="771" t="str">
        <f t="shared" si="0"/>
        <v>4497947/</v>
      </c>
      <c r="AE9" s="771" t="str">
        <f t="shared" si="1"/>
        <v>8693820/</v>
      </c>
      <c r="AF9" s="771">
        <f t="shared" si="2"/>
        <v>0</v>
      </c>
      <c r="AG9" s="771">
        <f t="shared" si="3"/>
        <v>7</v>
      </c>
      <c r="AH9" s="1909">
        <v>550</v>
      </c>
      <c r="AI9" s="1912" t="str">
        <f t="shared" si="4"/>
        <v>4497947/</v>
      </c>
      <c r="AJ9" s="771" t="str">
        <f t="shared" si="5"/>
        <v>8830585/</v>
      </c>
      <c r="AK9" s="1912" t="str">
        <f t="shared" si="6"/>
        <v>6081951/</v>
      </c>
      <c r="AL9" s="771" t="str">
        <f t="shared" si="7"/>
        <v>6608218/</v>
      </c>
      <c r="AM9" s="1912" t="str">
        <f t="shared" si="8"/>
        <v>1520200/</v>
      </c>
      <c r="AN9" s="771" t="str">
        <f t="shared" si="9"/>
        <v>2709332/</v>
      </c>
      <c r="AO9" s="1912" t="str">
        <f t="shared" ref="AO9:AT9" si="10">AO5</f>
        <v>8693820/</v>
      </c>
      <c r="AP9" s="771" t="str">
        <f t="shared" si="10"/>
        <v>4394675/</v>
      </c>
      <c r="AQ9" s="1912" t="str">
        <f t="shared" si="10"/>
        <v>2001978/</v>
      </c>
      <c r="AR9" s="771" t="str">
        <f t="shared" si="10"/>
        <v>4542306/</v>
      </c>
      <c r="AS9" s="1912" t="str">
        <f t="shared" si="10"/>
        <v>9278001/</v>
      </c>
      <c r="AT9" s="771" t="str">
        <f t="shared" si="10"/>
        <v>1918643/</v>
      </c>
      <c r="AU9" s="1912"/>
      <c r="AV9" s="771"/>
      <c r="AW9" s="1912"/>
      <c r="AX9" s="771"/>
      <c r="AY9" s="1912"/>
      <c r="AZ9" s="771"/>
      <c r="BA9" s="771"/>
      <c r="BB9" s="771"/>
      <c r="BC9" s="771"/>
      <c r="BD9" s="771"/>
      <c r="BE9" s="771"/>
      <c r="BF9" s="771"/>
      <c r="BG9" s="771"/>
    </row>
    <row r="10" spans="1:59" ht="14.25" customHeight="1" x14ac:dyDescent="0.2">
      <c r="B10" s="28"/>
      <c r="C10" s="8"/>
      <c r="D10" s="8"/>
      <c r="E10" s="1034"/>
      <c r="F10" s="8"/>
      <c r="G10" s="37"/>
      <c r="H10" s="35"/>
      <c r="I10" s="782"/>
      <c r="L10" s="1063">
        <v>700</v>
      </c>
      <c r="M10" s="1063" t="s">
        <v>2466</v>
      </c>
      <c r="N10" s="995" t="s">
        <v>2435</v>
      </c>
      <c r="O10" s="995" t="s">
        <v>2558</v>
      </c>
      <c r="P10" s="995" t="s">
        <v>2439</v>
      </c>
      <c r="Q10" s="995" t="s">
        <v>2512</v>
      </c>
      <c r="R10" s="1064" t="s">
        <v>2445</v>
      </c>
      <c r="S10" s="1692"/>
      <c r="T10" s="1033"/>
      <c r="AC10" s="1063">
        <v>600</v>
      </c>
      <c r="AD10" s="771" t="str">
        <f t="shared" si="0"/>
        <v>4497947/</v>
      </c>
      <c r="AE10" s="771" t="str">
        <f t="shared" si="1"/>
        <v>8693820/</v>
      </c>
      <c r="AF10" s="771">
        <f t="shared" si="2"/>
        <v>0</v>
      </c>
      <c r="AG10" s="771">
        <f t="shared" si="3"/>
        <v>8</v>
      </c>
      <c r="AH10" s="1063">
        <v>600</v>
      </c>
      <c r="AI10" s="1912" t="str">
        <f t="shared" si="4"/>
        <v>4497947/</v>
      </c>
      <c r="AJ10" s="771" t="str">
        <f t="shared" si="5"/>
        <v>8830585/</v>
      </c>
      <c r="AK10" s="1912" t="str">
        <f t="shared" si="6"/>
        <v>6081951/</v>
      </c>
      <c r="AL10" s="771" t="str">
        <f t="shared" si="7"/>
        <v>6608218/</v>
      </c>
      <c r="AM10" s="1912" t="str">
        <f t="shared" si="8"/>
        <v>1520200/</v>
      </c>
      <c r="AN10" s="771" t="str">
        <f t="shared" si="9"/>
        <v>2709332/</v>
      </c>
      <c r="AO10" s="1912" t="str">
        <f t="shared" ref="AO10:AT10" si="11">AO9</f>
        <v>8693820/</v>
      </c>
      <c r="AP10" s="771" t="str">
        <f t="shared" si="11"/>
        <v>4394675/</v>
      </c>
      <c r="AQ10" s="1912" t="str">
        <f t="shared" si="11"/>
        <v>2001978/</v>
      </c>
      <c r="AR10" s="771" t="str">
        <f t="shared" si="11"/>
        <v>4542306/</v>
      </c>
      <c r="AS10" s="1912" t="str">
        <f t="shared" si="11"/>
        <v>9278001/</v>
      </c>
      <c r="AT10" s="771" t="str">
        <f t="shared" si="11"/>
        <v>1918643/</v>
      </c>
      <c r="AU10" s="1912"/>
      <c r="AW10" s="1912"/>
      <c r="AY10" s="1912"/>
      <c r="BC10" s="771"/>
      <c r="BD10" s="771"/>
      <c r="BE10" s="771"/>
      <c r="BF10" s="771"/>
      <c r="BG10" s="771"/>
    </row>
    <row r="11" spans="1:59" s="1709" customFormat="1" ht="14.25" customHeight="1" x14ac:dyDescent="0.2">
      <c r="A11" s="314"/>
      <c r="B11" s="28"/>
      <c r="C11" s="8"/>
      <c r="D11" s="8"/>
      <c r="E11" s="1711"/>
      <c r="F11" s="8"/>
      <c r="G11" s="37"/>
      <c r="H11" s="35"/>
      <c r="I11" s="782"/>
      <c r="J11" s="771"/>
      <c r="K11" s="771"/>
      <c r="L11" s="1063">
        <v>800</v>
      </c>
      <c r="M11" s="1063" t="s">
        <v>2464</v>
      </c>
      <c r="N11" s="1065" t="s">
        <v>2591</v>
      </c>
      <c r="O11" s="995" t="s">
        <v>2488</v>
      </c>
      <c r="P11" s="995" t="s">
        <v>2499</v>
      </c>
      <c r="Q11" s="995" t="s">
        <v>2409</v>
      </c>
      <c r="R11" s="995" t="s">
        <v>2434</v>
      </c>
      <c r="S11" s="713"/>
      <c r="U11" s="771"/>
      <c r="V11" s="771"/>
      <c r="W11" s="771"/>
      <c r="X11" s="771"/>
      <c r="Y11" s="771"/>
      <c r="Z11" s="771"/>
      <c r="AA11" s="771"/>
      <c r="AB11" s="771"/>
      <c r="AC11" s="1063">
        <v>700</v>
      </c>
      <c r="AD11" s="771" t="str">
        <f t="shared" si="0"/>
        <v>4497947/</v>
      </c>
      <c r="AE11" s="771">
        <f t="shared" si="1"/>
        <v>0</v>
      </c>
      <c r="AF11" s="771" t="str">
        <f t="shared" si="2"/>
        <v>4595319/</v>
      </c>
      <c r="AG11" s="771">
        <f t="shared" si="3"/>
        <v>9</v>
      </c>
      <c r="AH11" s="1063">
        <v>700</v>
      </c>
      <c r="AI11" s="1912" t="str">
        <f t="shared" si="4"/>
        <v>4497947/</v>
      </c>
      <c r="AJ11" s="771" t="str">
        <f t="shared" si="5"/>
        <v>8830585/</v>
      </c>
      <c r="AK11" s="1912" t="str">
        <f t="shared" si="6"/>
        <v>6081951/</v>
      </c>
      <c r="AL11" s="771" t="str">
        <f t="shared" si="7"/>
        <v>6608218/</v>
      </c>
      <c r="AM11" s="1912" t="str">
        <f t="shared" si="8"/>
        <v>1520200/</v>
      </c>
      <c r="AN11" s="771" t="str">
        <f t="shared" si="9"/>
        <v>2709332/</v>
      </c>
      <c r="AO11" s="1912"/>
      <c r="AP11" s="771"/>
      <c r="AQ11" s="1912"/>
      <c r="AR11" s="771"/>
      <c r="AS11" s="1912"/>
      <c r="AT11" s="771"/>
      <c r="AU11" s="1912" t="s">
        <v>2466</v>
      </c>
      <c r="AV11" s="771" t="s">
        <v>2435</v>
      </c>
      <c r="AW11" s="1912" t="s">
        <v>2558</v>
      </c>
      <c r="AX11" s="771" t="s">
        <v>2439</v>
      </c>
      <c r="AY11" s="1912" t="s">
        <v>2512</v>
      </c>
      <c r="AZ11" s="771" t="s">
        <v>2445</v>
      </c>
      <c r="BA11" s="771"/>
      <c r="BB11" s="771"/>
      <c r="BC11" s="771"/>
      <c r="BD11" s="771"/>
      <c r="BE11" s="771"/>
      <c r="BF11" s="771"/>
      <c r="BG11" s="771"/>
    </row>
    <row r="12" spans="1:59" ht="15.75" customHeight="1" x14ac:dyDescent="0.2">
      <c r="A12" s="848"/>
      <c r="B12" s="2393" t="s">
        <v>5161</v>
      </c>
      <c r="C12" s="2394"/>
      <c r="D12" s="2394"/>
      <c r="E12" s="2394"/>
      <c r="F12" s="2394"/>
      <c r="G12" s="2395"/>
      <c r="H12" s="618"/>
      <c r="I12" s="782"/>
      <c r="L12" s="1063">
        <v>900</v>
      </c>
      <c r="M12" s="1063" t="s">
        <v>2464</v>
      </c>
      <c r="N12" s="1065" t="s">
        <v>2591</v>
      </c>
      <c r="O12" s="995" t="s">
        <v>2488</v>
      </c>
      <c r="P12" s="995" t="s">
        <v>2499</v>
      </c>
      <c r="Q12" s="995" t="s">
        <v>2409</v>
      </c>
      <c r="R12" s="995" t="s">
        <v>2434</v>
      </c>
      <c r="S12" s="713"/>
      <c r="T12" s="1033"/>
      <c r="AC12" s="1063">
        <v>800</v>
      </c>
      <c r="AD12" s="771" t="str">
        <f t="shared" si="0"/>
        <v>4497947/</v>
      </c>
      <c r="AE12" s="771" t="str">
        <f t="shared" si="1"/>
        <v>8693820/</v>
      </c>
      <c r="AF12" s="771" t="str">
        <f t="shared" si="2"/>
        <v>4595319/</v>
      </c>
      <c r="AG12" s="771">
        <f t="shared" si="3"/>
        <v>10</v>
      </c>
      <c r="AH12" s="1063">
        <v>800</v>
      </c>
      <c r="AI12" s="1912" t="str">
        <f t="shared" si="4"/>
        <v>4497947/</v>
      </c>
      <c r="AJ12" s="771" t="str">
        <f t="shared" si="5"/>
        <v>8830585/</v>
      </c>
      <c r="AK12" s="1912" t="str">
        <f t="shared" si="6"/>
        <v>6081951/</v>
      </c>
      <c r="AL12" s="771" t="str">
        <f t="shared" si="7"/>
        <v>6608218/</v>
      </c>
      <c r="AM12" s="1912" t="str">
        <f t="shared" si="8"/>
        <v>1520200/</v>
      </c>
      <c r="AN12" s="771" t="str">
        <f t="shared" si="9"/>
        <v>2709332/</v>
      </c>
      <c r="AO12" s="1912" t="str">
        <f t="shared" ref="AO12:AT12" si="12">AO10</f>
        <v>8693820/</v>
      </c>
      <c r="AP12" s="771" t="str">
        <f t="shared" si="12"/>
        <v>4394675/</v>
      </c>
      <c r="AQ12" s="1912" t="str">
        <f t="shared" si="12"/>
        <v>2001978/</v>
      </c>
      <c r="AR12" s="771" t="str">
        <f t="shared" si="12"/>
        <v>4542306/</v>
      </c>
      <c r="AS12" s="1912" t="str">
        <f t="shared" si="12"/>
        <v>9278001/</v>
      </c>
      <c r="AT12" s="771" t="str">
        <f t="shared" si="12"/>
        <v>1918643/</v>
      </c>
      <c r="AU12" s="1912" t="str">
        <f t="shared" ref="AU12:AZ12" si="13">AU11</f>
        <v>4595319/</v>
      </c>
      <c r="AV12" s="771" t="str">
        <f t="shared" si="13"/>
        <v>2921190/</v>
      </c>
      <c r="AW12" s="1912" t="str">
        <f t="shared" si="13"/>
        <v>8524202/</v>
      </c>
      <c r="AX12" s="771" t="str">
        <f t="shared" si="13"/>
        <v>3134316/</v>
      </c>
      <c r="AY12" s="1912" t="str">
        <f t="shared" si="13"/>
        <v>7540872/</v>
      </c>
      <c r="AZ12" s="771" t="str">
        <f t="shared" si="13"/>
        <v>3427726/</v>
      </c>
      <c r="BC12" s="771"/>
      <c r="BD12" s="771"/>
      <c r="BE12" s="771"/>
      <c r="BF12" s="771"/>
      <c r="BG12" s="771"/>
    </row>
    <row r="13" spans="1:59" ht="15.75" customHeight="1" thickBot="1" x14ac:dyDescent="0.25">
      <c r="A13" s="848"/>
      <c r="B13" s="2394"/>
      <c r="C13" s="2394"/>
      <c r="D13" s="2394"/>
      <c r="E13" s="2394"/>
      <c r="F13" s="2394"/>
      <c r="G13" s="2395"/>
      <c r="H13" s="618"/>
      <c r="I13" s="782"/>
      <c r="L13" s="1063">
        <v>1000</v>
      </c>
      <c r="M13" s="1063" t="s">
        <v>2464</v>
      </c>
      <c r="N13" s="1065" t="s">
        <v>2591</v>
      </c>
      <c r="O13" s="995" t="s">
        <v>2488</v>
      </c>
      <c r="P13" s="995" t="s">
        <v>2499</v>
      </c>
      <c r="Q13" s="995" t="s">
        <v>2409</v>
      </c>
      <c r="R13" s="995" t="s">
        <v>2434</v>
      </c>
      <c r="S13" s="713"/>
      <c r="T13" s="1033"/>
      <c r="AC13" s="1063">
        <v>900</v>
      </c>
      <c r="AD13" s="771" t="str">
        <f t="shared" si="0"/>
        <v>4497947/</v>
      </c>
      <c r="AE13" s="771" t="str">
        <f t="shared" si="1"/>
        <v>8693820/</v>
      </c>
      <c r="AF13" s="771">
        <f t="shared" si="2"/>
        <v>0</v>
      </c>
      <c r="AG13" s="771">
        <f t="shared" si="3"/>
        <v>11</v>
      </c>
      <c r="AH13" s="1063">
        <v>900</v>
      </c>
      <c r="AI13" s="1912" t="str">
        <f t="shared" si="4"/>
        <v>4497947/</v>
      </c>
      <c r="AJ13" s="771" t="str">
        <f t="shared" si="5"/>
        <v>8830585/</v>
      </c>
      <c r="AK13" s="1912" t="str">
        <f t="shared" si="6"/>
        <v>6081951/</v>
      </c>
      <c r="AL13" s="771" t="str">
        <f t="shared" si="7"/>
        <v>6608218/</v>
      </c>
      <c r="AM13" s="1912" t="str">
        <f t="shared" si="8"/>
        <v>1520200/</v>
      </c>
      <c r="AN13" s="771" t="str">
        <f t="shared" si="9"/>
        <v>2709332/</v>
      </c>
      <c r="AO13" s="1912" t="str">
        <f t="shared" ref="AO13:AT13" si="14">AO10</f>
        <v>8693820/</v>
      </c>
      <c r="AP13" s="771" t="str">
        <f t="shared" si="14"/>
        <v>4394675/</v>
      </c>
      <c r="AQ13" s="1912" t="str">
        <f t="shared" si="14"/>
        <v>2001978/</v>
      </c>
      <c r="AR13" s="771" t="str">
        <f t="shared" si="14"/>
        <v>4542306/</v>
      </c>
      <c r="AS13" s="1912" t="str">
        <f t="shared" si="14"/>
        <v>9278001/</v>
      </c>
      <c r="AT13" s="771" t="str">
        <f t="shared" si="14"/>
        <v>1918643/</v>
      </c>
      <c r="AU13" s="1912"/>
      <c r="AW13" s="1912"/>
      <c r="AY13" s="1912"/>
      <c r="BC13" s="771"/>
      <c r="BD13" s="771"/>
      <c r="BE13" s="771"/>
      <c r="BF13" s="771"/>
      <c r="BG13" s="771"/>
    </row>
    <row r="14" spans="1:59" ht="12.75" customHeight="1" x14ac:dyDescent="0.2">
      <c r="A14" s="849"/>
      <c r="B14" s="717" t="s">
        <v>2845</v>
      </c>
      <c r="C14" s="2442" t="s">
        <v>2389</v>
      </c>
      <c r="D14" s="2442"/>
      <c r="E14" s="2442"/>
      <c r="F14" s="1693"/>
      <c r="G14" s="1693"/>
      <c r="H14" s="2439" t="s">
        <v>1850</v>
      </c>
      <c r="I14" s="782"/>
      <c r="L14" s="1063"/>
      <c r="M14" s="1063" t="s">
        <v>2257</v>
      </c>
      <c r="N14" s="1063" t="s">
        <v>2257</v>
      </c>
      <c r="O14" s="1063" t="s">
        <v>2257</v>
      </c>
      <c r="P14" s="1063" t="s">
        <v>2257</v>
      </c>
      <c r="Q14" s="1063" t="s">
        <v>2257</v>
      </c>
      <c r="R14" s="1063" t="s">
        <v>2257</v>
      </c>
      <c r="S14" s="713"/>
      <c r="T14" s="1033"/>
      <c r="AC14" s="1063">
        <v>1000</v>
      </c>
      <c r="AD14" s="771" t="str">
        <f t="shared" si="0"/>
        <v>4497947/</v>
      </c>
      <c r="AE14" s="771" t="str">
        <f t="shared" si="1"/>
        <v>8693820/</v>
      </c>
      <c r="AF14" s="771">
        <f t="shared" si="2"/>
        <v>0</v>
      </c>
      <c r="AG14" s="771">
        <f t="shared" si="3"/>
        <v>12</v>
      </c>
      <c r="AH14" s="1063">
        <v>1000</v>
      </c>
      <c r="AI14" s="1912" t="str">
        <f t="shared" si="4"/>
        <v>4497947/</v>
      </c>
      <c r="AJ14" s="771" t="str">
        <f t="shared" si="5"/>
        <v>8830585/</v>
      </c>
      <c r="AK14" s="1912" t="str">
        <f t="shared" si="6"/>
        <v>6081951/</v>
      </c>
      <c r="AL14" s="771" t="str">
        <f t="shared" si="7"/>
        <v>6608218/</v>
      </c>
      <c r="AM14" s="1912" t="str">
        <f t="shared" si="8"/>
        <v>1520200/</v>
      </c>
      <c r="AN14" s="771" t="str">
        <f t="shared" si="9"/>
        <v>2709332/</v>
      </c>
      <c r="AO14" s="1912" t="str">
        <f t="shared" ref="AO14:AT15" si="15">AO13</f>
        <v>8693820/</v>
      </c>
      <c r="AP14" s="771" t="str">
        <f t="shared" si="15"/>
        <v>4394675/</v>
      </c>
      <c r="AQ14" s="1912" t="str">
        <f t="shared" si="15"/>
        <v>2001978/</v>
      </c>
      <c r="AR14" s="771" t="str">
        <f t="shared" si="15"/>
        <v>4542306/</v>
      </c>
      <c r="AS14" s="1912" t="str">
        <f t="shared" si="15"/>
        <v>9278001/</v>
      </c>
      <c r="AT14" s="771" t="str">
        <f t="shared" si="15"/>
        <v>1918643/</v>
      </c>
      <c r="AU14" s="1912"/>
      <c r="AW14" s="1912"/>
      <c r="AY14" s="1912"/>
      <c r="BC14" s="771"/>
      <c r="BD14" s="771"/>
      <c r="BE14" s="771"/>
      <c r="BF14" s="771"/>
      <c r="BG14" s="771"/>
    </row>
    <row r="15" spans="1:59" ht="9.9499999999999993" customHeight="1" x14ac:dyDescent="0.2">
      <c r="A15" s="849"/>
      <c r="B15" s="1621"/>
      <c r="C15" s="1694" t="s">
        <v>1301</v>
      </c>
      <c r="D15" s="1695" t="s">
        <v>784</v>
      </c>
      <c r="E15" s="1696" t="s">
        <v>2117</v>
      </c>
      <c r="F15" s="1697"/>
      <c r="G15" s="1698" t="s">
        <v>2116</v>
      </c>
      <c r="H15" s="2389"/>
      <c r="I15" s="782"/>
      <c r="L15" s="1063">
        <v>900</v>
      </c>
      <c r="M15" s="995" t="s">
        <v>2574</v>
      </c>
      <c r="N15" s="995" t="s">
        <v>2461</v>
      </c>
      <c r="O15" s="995" t="s">
        <v>2412</v>
      </c>
      <c r="P15" s="995" t="s">
        <v>2465</v>
      </c>
      <c r="Q15" s="995" t="s">
        <v>2601</v>
      </c>
      <c r="R15" s="995" t="s">
        <v>2411</v>
      </c>
      <c r="S15" s="782"/>
      <c r="T15" s="1033"/>
      <c r="AC15" s="771">
        <v>1200</v>
      </c>
      <c r="AD15" s="771" t="str">
        <f t="shared" si="0"/>
        <v>4497947/</v>
      </c>
      <c r="AE15" s="771" t="str">
        <f t="shared" si="1"/>
        <v>8693820/</v>
      </c>
      <c r="AF15" s="771" t="str">
        <f t="shared" si="2"/>
        <v>4595319/</v>
      </c>
      <c r="AG15" s="771">
        <f t="shared" si="3"/>
        <v>13</v>
      </c>
      <c r="AH15" s="771">
        <v>1200</v>
      </c>
      <c r="AI15" s="1912" t="str">
        <f t="shared" si="4"/>
        <v>4497947/</v>
      </c>
      <c r="AJ15" s="771" t="str">
        <f t="shared" si="5"/>
        <v>8830585/</v>
      </c>
      <c r="AK15" s="1912" t="str">
        <f t="shared" si="6"/>
        <v>6081951/</v>
      </c>
      <c r="AL15" s="771" t="str">
        <f t="shared" si="7"/>
        <v>6608218/</v>
      </c>
      <c r="AM15" s="1912" t="str">
        <f t="shared" si="8"/>
        <v>1520200/</v>
      </c>
      <c r="AN15" s="771" t="str">
        <f t="shared" si="9"/>
        <v>2709332/</v>
      </c>
      <c r="AO15" s="1912" t="str">
        <f t="shared" si="15"/>
        <v>8693820/</v>
      </c>
      <c r="AP15" s="771" t="str">
        <f t="shared" si="15"/>
        <v>4394675/</v>
      </c>
      <c r="AQ15" s="1912" t="str">
        <f t="shared" si="15"/>
        <v>2001978/</v>
      </c>
      <c r="AR15" s="771" t="str">
        <f t="shared" si="15"/>
        <v>4542306/</v>
      </c>
      <c r="AS15" s="1912" t="str">
        <f t="shared" si="15"/>
        <v>9278001/</v>
      </c>
      <c r="AT15" s="771" t="str">
        <f t="shared" si="15"/>
        <v>1918643/</v>
      </c>
      <c r="AU15" s="1912" t="str">
        <f t="shared" ref="AU15:AZ15" si="16">AU12</f>
        <v>4595319/</v>
      </c>
      <c r="AV15" s="771" t="str">
        <f t="shared" si="16"/>
        <v>2921190/</v>
      </c>
      <c r="AW15" s="1912" t="str">
        <f t="shared" si="16"/>
        <v>8524202/</v>
      </c>
      <c r="AX15" s="771" t="str">
        <f t="shared" si="16"/>
        <v>3134316/</v>
      </c>
      <c r="AY15" s="1912" t="str">
        <f t="shared" si="16"/>
        <v>7540872/</v>
      </c>
      <c r="AZ15" s="771" t="str">
        <f t="shared" si="16"/>
        <v>3427726/</v>
      </c>
      <c r="BC15" s="771"/>
      <c r="BD15" s="771"/>
      <c r="BE15" s="771"/>
      <c r="BF15" s="771"/>
      <c r="BG15" s="771"/>
    </row>
    <row r="16" spans="1:59" ht="12.95" customHeight="1" x14ac:dyDescent="0.2">
      <c r="A16" s="896"/>
      <c r="B16" s="1621"/>
      <c r="C16" s="1699" t="str">
        <f>VLOOKUP($C$14,$L$46:$O$49,2)</f>
        <v>7053143/</v>
      </c>
      <c r="D16" s="1699" t="str">
        <f>VLOOKUP(C16,всецены,2,FALSE)</f>
        <v xml:space="preserve">LBX, Поп рел п/раскрой, 1080 мм., бел   </v>
      </c>
      <c r="E16" s="1700">
        <v>1</v>
      </c>
      <c r="F16" s="1701">
        <f>VLOOKUP(C16,всецены,4,FALSE)</f>
        <v>550.54479479999998</v>
      </c>
      <c r="G16" s="715">
        <f>F16*E16</f>
        <v>550.54479479999998</v>
      </c>
      <c r="H16" s="2445">
        <f>SUM(G16:G18)</f>
        <v>928.6885608</v>
      </c>
      <c r="I16" s="786"/>
      <c r="L16" s="1063">
        <v>1000</v>
      </c>
      <c r="M16" s="995" t="s">
        <v>2466</v>
      </c>
      <c r="N16" s="995" t="s">
        <v>2435</v>
      </c>
      <c r="O16" s="995" t="s">
        <v>2558</v>
      </c>
      <c r="P16" s="995" t="s">
        <v>2439</v>
      </c>
      <c r="Q16" s="995" t="s">
        <v>2512</v>
      </c>
      <c r="R16" s="1064" t="s">
        <v>2445</v>
      </c>
      <c r="S16" s="713"/>
      <c r="T16" s="1033"/>
      <c r="BC16" s="771"/>
      <c r="BD16" s="771"/>
      <c r="BE16" s="771"/>
      <c r="BF16" s="771"/>
      <c r="BG16" s="771"/>
    </row>
    <row r="17" spans="1:59" ht="12.95" customHeight="1" x14ac:dyDescent="0.2">
      <c r="A17" s="896"/>
      <c r="B17" s="1621"/>
      <c r="C17" s="1699" t="str">
        <f>VLOOKUP($C$14,$L$46:$O$49,3)</f>
        <v>9779494/</v>
      </c>
      <c r="D17" s="1699" t="str">
        <f>VLOOKUP(C17,всецены,2,FALSE)</f>
        <v>AMB, Держатель попер. релинга, pure, бел</v>
      </c>
      <c r="E17" s="1700">
        <v>2</v>
      </c>
      <c r="F17" s="1701">
        <f>VLOOKUP(C17,всецены,4,FALSE)</f>
        <v>152.88393120000001</v>
      </c>
      <c r="G17" s="715">
        <f>F17*E17</f>
        <v>305.76786240000001</v>
      </c>
      <c r="H17" s="2386"/>
      <c r="I17" s="782"/>
      <c r="K17" s="1033"/>
      <c r="L17" s="1033"/>
      <c r="M17" s="1033"/>
      <c r="N17" s="1033"/>
      <c r="O17" s="1033"/>
      <c r="P17" s="1033"/>
      <c r="Q17" s="1033"/>
      <c r="R17" s="1033"/>
      <c r="S17" s="1692"/>
      <c r="T17" s="1033"/>
      <c r="BC17" s="771"/>
      <c r="BD17" s="771"/>
      <c r="BE17" s="771"/>
      <c r="BF17" s="771"/>
      <c r="BG17" s="771"/>
    </row>
    <row r="18" spans="1:59" ht="12.95" customHeight="1" thickBot="1" x14ac:dyDescent="0.25">
      <c r="A18" s="1702"/>
      <c r="B18" s="1630"/>
      <c r="C18" s="1536" t="str">
        <f>VLOOKUP($C$14,$L$46:$O$49,4)</f>
        <v>4189322/</v>
      </c>
      <c r="D18" s="1536" t="str">
        <f>VLOOKUP(C18,всецены,2,FALSE)</f>
        <v xml:space="preserve">AMB, Прод. разд. д/попер. релинга, бел  </v>
      </c>
      <c r="E18" s="1635">
        <v>1</v>
      </c>
      <c r="F18" s="1703">
        <f>VLOOKUP(C18,всецены,4,FALSE)</f>
        <v>72.375903600000015</v>
      </c>
      <c r="G18" s="1704">
        <f>F18*E18</f>
        <v>72.375903600000015</v>
      </c>
      <c r="H18" s="2387"/>
      <c r="I18" s="782"/>
      <c r="K18" s="1033"/>
      <c r="L18" s="1033"/>
      <c r="M18" s="1033"/>
      <c r="N18" s="1033"/>
      <c r="O18" s="1033"/>
      <c r="P18" s="1033"/>
      <c r="Q18" s="1033"/>
      <c r="R18" s="1033"/>
      <c r="S18" s="1855"/>
      <c r="T18" s="1033"/>
    </row>
    <row r="19" spans="1:59" ht="12.75" customHeight="1" x14ac:dyDescent="0.2">
      <c r="B19" s="28"/>
      <c r="C19" s="8"/>
      <c r="D19" s="8"/>
      <c r="E19" s="1660"/>
      <c r="F19" s="8"/>
      <c r="G19" s="37"/>
      <c r="H19" s="35"/>
      <c r="I19" s="782"/>
      <c r="S19" s="1855"/>
    </row>
    <row r="20" spans="1:59" s="1709" customFormat="1" ht="12.75" customHeight="1" x14ac:dyDescent="0.2">
      <c r="A20" s="314"/>
      <c r="B20" s="28"/>
      <c r="C20" s="8"/>
      <c r="D20" s="8"/>
      <c r="E20" s="1711"/>
      <c r="F20" s="8"/>
      <c r="G20" s="37"/>
      <c r="H20" s="35"/>
      <c r="I20" s="782"/>
      <c r="J20" s="771"/>
      <c r="K20" s="771"/>
      <c r="L20" s="771"/>
      <c r="M20" s="771"/>
      <c r="N20" s="771"/>
      <c r="O20" s="771"/>
      <c r="P20" s="771"/>
      <c r="Q20" s="771"/>
      <c r="R20" s="771"/>
      <c r="S20" s="771"/>
      <c r="T20" s="771"/>
      <c r="U20" s="771"/>
      <c r="V20" s="771"/>
      <c r="W20" s="771"/>
      <c r="X20" s="771"/>
      <c r="Y20" s="771"/>
      <c r="Z20" s="771"/>
      <c r="AA20" s="771"/>
      <c r="AB20" s="771"/>
      <c r="AC20" s="771"/>
      <c r="AD20" s="771"/>
      <c r="AE20" s="771"/>
      <c r="AF20" s="771"/>
      <c r="AG20" s="771"/>
      <c r="AH20" s="771"/>
      <c r="AI20" s="771"/>
      <c r="AJ20" s="771"/>
      <c r="AK20" s="771"/>
      <c r="AL20" s="771"/>
      <c r="AM20" s="771"/>
      <c r="AN20" s="771"/>
      <c r="AO20" s="771"/>
      <c r="AP20" s="771"/>
      <c r="AQ20" s="771"/>
      <c r="AR20" s="771"/>
      <c r="AS20" s="771"/>
      <c r="AT20" s="771"/>
      <c r="AU20" s="771"/>
      <c r="AV20" s="771"/>
      <c r="AW20" s="771"/>
      <c r="AX20" s="771"/>
      <c r="AY20" s="771"/>
      <c r="AZ20" s="771"/>
      <c r="BA20" s="771"/>
      <c r="BB20" s="771"/>
    </row>
    <row r="21" spans="1:59" s="1709" customFormat="1" ht="12.75" customHeight="1" x14ac:dyDescent="0.2">
      <c r="A21" s="848"/>
      <c r="B21" s="2393" t="s">
        <v>5168</v>
      </c>
      <c r="C21" s="2394"/>
      <c r="D21" s="2394"/>
      <c r="E21" s="2394"/>
      <c r="F21" s="2394"/>
      <c r="G21" s="2395"/>
      <c r="H21" s="35"/>
      <c r="I21" s="782"/>
      <c r="J21" s="771"/>
      <c r="K21" s="771"/>
      <c r="L21" s="771"/>
      <c r="M21" s="771"/>
      <c r="N21" s="771"/>
      <c r="O21" s="771"/>
      <c r="P21" s="771"/>
      <c r="Q21" s="771"/>
      <c r="R21" s="771"/>
      <c r="S21" s="771"/>
      <c r="T21" s="771"/>
      <c r="U21" s="771"/>
      <c r="V21" s="771"/>
      <c r="W21" s="771"/>
      <c r="X21" s="771"/>
      <c r="Y21" s="771"/>
      <c r="Z21" s="771"/>
      <c r="AA21" s="771"/>
      <c r="AB21" s="771"/>
      <c r="AC21" s="771"/>
      <c r="AD21" s="771"/>
      <c r="AE21" s="771"/>
      <c r="AF21" s="771"/>
      <c r="AG21" s="771"/>
      <c r="AH21" s="771"/>
      <c r="AI21" s="771"/>
      <c r="AJ21" s="771"/>
      <c r="AK21" s="771"/>
      <c r="AL21" s="771"/>
      <c r="AM21" s="771"/>
      <c r="AN21" s="771"/>
      <c r="AO21" s="771"/>
      <c r="AP21" s="771"/>
      <c r="AQ21" s="771"/>
      <c r="AR21" s="771"/>
      <c r="AS21" s="771"/>
      <c r="AT21" s="771"/>
      <c r="AU21" s="771"/>
      <c r="AV21" s="771"/>
      <c r="AW21" s="771"/>
      <c r="AX21" s="771"/>
      <c r="AY21" s="771"/>
      <c r="AZ21" s="771"/>
      <c r="BA21" s="771"/>
      <c r="BB21" s="771"/>
    </row>
    <row r="22" spans="1:59" s="1709" customFormat="1" ht="12.75" customHeight="1" thickBot="1" x14ac:dyDescent="0.25">
      <c r="A22" s="848"/>
      <c r="B22" s="2394"/>
      <c r="C22" s="2394"/>
      <c r="D22" s="2394"/>
      <c r="E22" s="2394"/>
      <c r="F22" s="2394"/>
      <c r="G22" s="2395"/>
      <c r="H22" s="35"/>
      <c r="I22" s="782"/>
      <c r="J22" s="771"/>
      <c r="K22" s="771"/>
      <c r="L22" s="771"/>
      <c r="M22" s="771"/>
      <c r="N22" s="771"/>
      <c r="O22" s="771"/>
      <c r="P22" s="771"/>
      <c r="Q22" s="771"/>
      <c r="R22" s="771"/>
      <c r="S22" s="771"/>
      <c r="T22" s="771"/>
      <c r="U22" s="771"/>
      <c r="V22" s="771"/>
      <c r="W22" s="771"/>
      <c r="X22" s="771"/>
      <c r="Y22" s="771"/>
      <c r="Z22" s="771"/>
      <c r="AA22" s="771"/>
      <c r="AB22" s="771"/>
      <c r="AC22" s="771"/>
      <c r="AD22" s="771"/>
      <c r="AE22" s="771"/>
      <c r="AF22" s="771"/>
      <c r="AG22" s="771"/>
      <c r="AH22" s="771"/>
      <c r="AI22" s="771"/>
      <c r="AJ22" s="771"/>
      <c r="AK22" s="771"/>
      <c r="AL22" s="771"/>
      <c r="AM22" s="771"/>
      <c r="AN22" s="771"/>
      <c r="AO22" s="771"/>
      <c r="AP22" s="771"/>
      <c r="AQ22" s="771"/>
      <c r="AR22" s="771"/>
      <c r="AS22" s="771"/>
      <c r="AT22" s="771"/>
      <c r="AU22" s="771"/>
      <c r="AV22" s="771"/>
      <c r="AW22" s="771"/>
      <c r="AX22" s="771"/>
      <c r="AY22" s="771"/>
      <c r="AZ22" s="771"/>
      <c r="BA22" s="771"/>
      <c r="BB22" s="771"/>
    </row>
    <row r="23" spans="1:59" s="1709" customFormat="1" ht="14.25" customHeight="1" x14ac:dyDescent="0.2">
      <c r="A23" s="849"/>
      <c r="B23" s="1735"/>
      <c r="C23" s="1754" t="s">
        <v>1301</v>
      </c>
      <c r="D23" s="1757" t="s">
        <v>784</v>
      </c>
      <c r="E23" s="1737" t="s">
        <v>2117</v>
      </c>
      <c r="F23" s="1738"/>
      <c r="G23" s="1758" t="s">
        <v>2116</v>
      </c>
      <c r="H23" s="1712" t="s">
        <v>1850</v>
      </c>
      <c r="I23" s="782"/>
      <c r="J23" s="771"/>
      <c r="K23" s="771"/>
      <c r="L23" s="771"/>
      <c r="M23" s="771"/>
      <c r="N23" s="771"/>
      <c r="O23" s="771"/>
      <c r="P23" s="771"/>
      <c r="Q23" s="771"/>
      <c r="R23" s="771"/>
      <c r="S23" s="771"/>
      <c r="T23" s="771"/>
      <c r="U23" s="771"/>
      <c r="V23" s="771"/>
      <c r="W23" s="771"/>
      <c r="X23" s="771"/>
      <c r="Y23" s="771"/>
      <c r="Z23" s="771"/>
      <c r="AA23" s="771"/>
      <c r="AB23" s="771"/>
      <c r="AC23" s="771"/>
      <c r="AD23" s="771"/>
      <c r="AE23" s="771"/>
      <c r="AF23" s="771"/>
      <c r="AG23" s="771"/>
      <c r="AH23" s="771"/>
      <c r="AI23" s="771"/>
      <c r="AJ23" s="771"/>
      <c r="AK23" s="771"/>
      <c r="AL23" s="771"/>
      <c r="AM23" s="771"/>
      <c r="AN23" s="771"/>
      <c r="AO23" s="771"/>
      <c r="AP23" s="771"/>
      <c r="AQ23" s="771"/>
      <c r="AR23" s="771"/>
      <c r="AS23" s="771"/>
      <c r="AT23" s="771"/>
      <c r="AU23" s="771"/>
      <c r="AV23" s="771"/>
      <c r="AW23" s="771"/>
      <c r="AX23" s="771"/>
      <c r="AY23" s="771"/>
      <c r="AZ23" s="771"/>
      <c r="BA23" s="771"/>
      <c r="BB23" s="771"/>
    </row>
    <row r="24" spans="1:59" s="1709" customFormat="1" ht="21.75" customHeight="1" x14ac:dyDescent="0.2">
      <c r="A24" s="896"/>
      <c r="B24" s="433"/>
      <c r="C24" s="1739" t="s">
        <v>3778</v>
      </c>
      <c r="D24" s="1740" t="str">
        <f>VLOOKUP(C24,всецены,2,FALSE)</f>
        <v xml:space="preserve">AMB, Держ д/ножей, ZC7M0200             </v>
      </c>
      <c r="E24" s="1682">
        <v>1</v>
      </c>
      <c r="F24" s="1741">
        <f>VLOOKUP(C24,всецены,4,FALSE)</f>
        <v>2179.409232</v>
      </c>
      <c r="G24" s="715">
        <f>H24</f>
        <v>2179.409232</v>
      </c>
      <c r="H24" s="1756">
        <f>F24*E24</f>
        <v>2179.409232</v>
      </c>
      <c r="I24" s="782"/>
      <c r="J24" s="771"/>
      <c r="K24" s="771"/>
      <c r="L24" s="771"/>
      <c r="M24" s="771"/>
      <c r="N24" s="771"/>
      <c r="O24" s="771"/>
      <c r="P24" s="771"/>
      <c r="Q24" s="771"/>
      <c r="R24" s="771"/>
      <c r="S24" s="771"/>
      <c r="T24" s="771"/>
      <c r="U24" s="771"/>
      <c r="V24" s="771"/>
      <c r="W24" s="771"/>
      <c r="X24" s="771"/>
      <c r="Y24" s="771"/>
      <c r="Z24" s="771"/>
      <c r="AA24" s="771"/>
      <c r="AB24" s="771"/>
      <c r="AC24" s="771"/>
      <c r="AD24" s="771"/>
      <c r="AE24" s="771"/>
      <c r="AF24" s="771"/>
      <c r="AG24" s="771"/>
      <c r="AH24" s="771"/>
      <c r="AI24" s="771"/>
      <c r="AJ24" s="771"/>
      <c r="AK24" s="771"/>
      <c r="AL24" s="771"/>
      <c r="AM24" s="771"/>
      <c r="AN24" s="771"/>
      <c r="AO24" s="771"/>
      <c r="AP24" s="771"/>
      <c r="AQ24" s="771"/>
      <c r="AR24" s="771"/>
      <c r="AS24" s="771"/>
      <c r="AT24" s="771"/>
      <c r="AU24" s="771"/>
      <c r="AV24" s="771"/>
      <c r="AW24" s="771"/>
      <c r="AX24" s="771"/>
      <c r="AY24" s="771"/>
      <c r="AZ24" s="771"/>
      <c r="BA24" s="771"/>
      <c r="BB24" s="771"/>
    </row>
    <row r="25" spans="1:59" s="1709" customFormat="1" ht="21.75" customHeight="1" x14ac:dyDescent="0.2">
      <c r="A25" s="896"/>
      <c r="B25" s="433"/>
      <c r="C25" s="1739" t="s">
        <v>3330</v>
      </c>
      <c r="D25" s="1740" t="str">
        <f>VLOOKUP(C25,всецены,2,FALSE)</f>
        <v xml:space="preserve">AMB, Держ д/пленки и фольги, ZC7C0000   </v>
      </c>
      <c r="E25" s="1682">
        <v>1</v>
      </c>
      <c r="F25" s="1741">
        <f>VLOOKUP(C25,всецены,4,FALSE)</f>
        <v>5357.4432912000002</v>
      </c>
      <c r="G25" s="1759">
        <f>H25</f>
        <v>5357.4432912000002</v>
      </c>
      <c r="H25" s="1756">
        <f>F25*E25</f>
        <v>5357.4432912000002</v>
      </c>
      <c r="I25" s="782"/>
      <c r="J25" s="771"/>
      <c r="K25" s="771"/>
      <c r="L25" s="771"/>
      <c r="M25" s="771"/>
      <c r="N25" s="771"/>
      <c r="O25" s="771"/>
      <c r="P25" s="771"/>
      <c r="Q25" s="771"/>
      <c r="R25" s="771"/>
      <c r="S25" s="771"/>
      <c r="T25" s="771"/>
      <c r="U25" s="771"/>
      <c r="V25" s="771"/>
      <c r="W25" s="771"/>
      <c r="X25" s="771"/>
      <c r="Y25" s="771"/>
      <c r="Z25" s="771"/>
      <c r="AA25" s="771"/>
      <c r="AB25" s="771"/>
      <c r="AC25" s="771"/>
      <c r="AD25" s="771"/>
      <c r="AE25" s="771"/>
      <c r="AF25" s="771"/>
      <c r="AG25" s="771"/>
      <c r="AH25" s="771"/>
      <c r="AI25" s="771"/>
      <c r="AJ25" s="771"/>
      <c r="AK25" s="771"/>
      <c r="AL25" s="771"/>
      <c r="AM25" s="771"/>
      <c r="AN25" s="771"/>
      <c r="AO25" s="771"/>
      <c r="AP25" s="771"/>
      <c r="AQ25" s="771"/>
      <c r="AR25" s="771"/>
      <c r="AS25" s="771"/>
      <c r="AT25" s="771"/>
      <c r="AU25" s="771"/>
      <c r="AV25" s="771"/>
      <c r="AW25" s="771"/>
      <c r="AX25" s="771"/>
      <c r="AY25" s="771"/>
      <c r="AZ25" s="771"/>
      <c r="BA25" s="771"/>
      <c r="BB25" s="771"/>
    </row>
    <row r="26" spans="1:59" s="1709" customFormat="1" ht="21.75" customHeight="1" x14ac:dyDescent="0.2">
      <c r="A26" s="1639"/>
      <c r="B26" s="433"/>
      <c r="C26" s="1739" t="s">
        <v>3292</v>
      </c>
      <c r="D26" s="1740" t="str">
        <f>VLOOKUP(C26,всецены,2,FALSE)</f>
        <v xml:space="preserve">ORG, Держ-ль тарелок унив-ный, ZC7T0350 </v>
      </c>
      <c r="E26" s="1682">
        <v>1</v>
      </c>
      <c r="F26" s="1741">
        <f>VLOOKUP(C26,всецены,4,FALSE)</f>
        <v>3245.5306884000001</v>
      </c>
      <c r="G26" s="1759">
        <f>H26</f>
        <v>3245.5306884000001</v>
      </c>
      <c r="H26" s="1756">
        <f>F26*E26</f>
        <v>3245.5306884000001</v>
      </c>
      <c r="I26" s="782"/>
      <c r="J26" s="771"/>
      <c r="K26" s="771"/>
      <c r="L26" s="771"/>
      <c r="M26" s="771"/>
      <c r="N26" s="771"/>
      <c r="O26" s="771"/>
      <c r="P26" s="771"/>
      <c r="Q26" s="771"/>
      <c r="R26" s="771"/>
      <c r="S26" s="771"/>
      <c r="T26" s="771"/>
      <c r="U26" s="771"/>
      <c r="V26" s="771"/>
      <c r="W26" s="771"/>
      <c r="X26" s="771"/>
      <c r="Y26" s="771"/>
      <c r="Z26" s="771"/>
      <c r="AA26" s="771"/>
      <c r="AB26" s="771"/>
      <c r="AC26" s="771"/>
      <c r="AD26" s="771"/>
      <c r="AE26" s="771"/>
      <c r="AF26" s="771"/>
      <c r="AG26" s="771"/>
      <c r="AH26" s="771"/>
      <c r="AI26" s="771"/>
      <c r="AJ26" s="771"/>
      <c r="AK26" s="771"/>
      <c r="AL26" s="771"/>
      <c r="AM26" s="771"/>
      <c r="AN26" s="771"/>
      <c r="AO26" s="771"/>
      <c r="AP26" s="771"/>
      <c r="AQ26" s="771"/>
      <c r="AR26" s="771"/>
      <c r="AS26" s="771"/>
      <c r="AT26" s="771"/>
      <c r="AU26" s="771"/>
      <c r="AV26" s="771"/>
      <c r="AW26" s="771"/>
      <c r="AX26" s="771"/>
      <c r="AY26" s="771"/>
      <c r="AZ26" s="771"/>
      <c r="BA26" s="771"/>
      <c r="BB26" s="771"/>
    </row>
    <row r="27" spans="1:59" s="1709" customFormat="1" ht="21.75" customHeight="1" thickBot="1" x14ac:dyDescent="0.25">
      <c r="A27" s="314"/>
      <c r="B27" s="1736"/>
      <c r="C27" s="1742" t="s">
        <v>3332</v>
      </c>
      <c r="D27" s="1743" t="str">
        <f>VLOOKUP(C27,всецены,2,FALSE)</f>
        <v xml:space="preserve">AMB, Держ д/специй, ZC7G0P0I            </v>
      </c>
      <c r="E27" s="1688">
        <v>1</v>
      </c>
      <c r="F27" s="1744">
        <f>VLOOKUP(C27,всецены,4,FALSE)</f>
        <v>3284.5648836</v>
      </c>
      <c r="G27" s="1704">
        <f>H27</f>
        <v>3284.5648836</v>
      </c>
      <c r="H27" s="1755">
        <f>F27*E27</f>
        <v>3284.5648836</v>
      </c>
      <c r="I27" s="782"/>
      <c r="J27" s="771"/>
      <c r="K27" s="771"/>
      <c r="L27" s="771"/>
      <c r="M27" s="771"/>
      <c r="N27" s="771"/>
      <c r="O27" s="771"/>
      <c r="P27" s="771"/>
      <c r="Q27" s="771"/>
      <c r="R27" s="771"/>
      <c r="S27" s="771"/>
      <c r="T27" s="771"/>
      <c r="U27" s="771"/>
      <c r="V27" s="771"/>
      <c r="W27" s="771"/>
      <c r="X27" s="771"/>
      <c r="Y27" s="771"/>
      <c r="Z27" s="771"/>
      <c r="AA27" s="771"/>
      <c r="AB27" s="771"/>
      <c r="AC27" s="771"/>
      <c r="AD27" s="771"/>
      <c r="AE27" s="771"/>
      <c r="AF27" s="771"/>
      <c r="AG27" s="771"/>
      <c r="AH27" s="771"/>
      <c r="AI27" s="771"/>
      <c r="AJ27" s="771"/>
      <c r="AK27" s="771"/>
      <c r="AL27" s="771"/>
      <c r="AM27" s="771"/>
      <c r="AN27" s="771"/>
      <c r="AO27" s="771"/>
      <c r="AP27" s="771"/>
      <c r="AQ27" s="771"/>
      <c r="AR27" s="771"/>
      <c r="AS27" s="771"/>
      <c r="AT27" s="771"/>
      <c r="AU27" s="771"/>
      <c r="AV27" s="771"/>
      <c r="AW27" s="771"/>
      <c r="AX27" s="771"/>
      <c r="AY27" s="771"/>
      <c r="AZ27" s="771"/>
      <c r="BA27" s="771"/>
      <c r="BB27" s="771"/>
    </row>
    <row r="28" spans="1:59" s="1709" customFormat="1" ht="12.75" customHeight="1" x14ac:dyDescent="0.2">
      <c r="A28" s="314"/>
      <c r="B28" s="28"/>
      <c r="C28" s="8"/>
      <c r="D28" s="8"/>
      <c r="E28" s="1711"/>
      <c r="F28" s="8"/>
      <c r="G28" s="37"/>
      <c r="H28" s="35"/>
      <c r="I28" s="782"/>
      <c r="J28" s="771"/>
      <c r="K28" s="771"/>
      <c r="L28" s="771" t="s">
        <v>2389</v>
      </c>
      <c r="M28" s="771" t="s">
        <v>4634</v>
      </c>
      <c r="N28" s="1745" t="s">
        <v>2435</v>
      </c>
      <c r="P28" s="771"/>
      <c r="Q28" s="771"/>
      <c r="R28" s="771"/>
      <c r="S28" s="771"/>
      <c r="T28" s="771"/>
      <c r="U28" s="771"/>
      <c r="V28" s="771"/>
      <c r="W28" s="771"/>
      <c r="X28" s="771"/>
      <c r="Y28" s="771"/>
      <c r="Z28" s="771"/>
      <c r="AA28" s="771"/>
      <c r="AB28" s="771"/>
      <c r="AC28" s="771"/>
      <c r="AD28" s="771"/>
      <c r="AE28" s="771"/>
      <c r="AF28" s="771"/>
      <c r="AG28" s="771"/>
      <c r="AH28" s="771"/>
      <c r="AI28" s="771"/>
      <c r="AJ28" s="771"/>
      <c r="AK28" s="771"/>
      <c r="AL28" s="771"/>
      <c r="AM28" s="771"/>
      <c r="AN28" s="771"/>
      <c r="AO28" s="771"/>
      <c r="AP28" s="771"/>
      <c r="AQ28" s="771"/>
      <c r="AR28" s="771"/>
      <c r="AS28" s="771"/>
      <c r="AT28" s="771"/>
      <c r="AU28" s="771"/>
      <c r="AV28" s="771"/>
      <c r="AW28" s="771"/>
      <c r="AX28" s="771"/>
      <c r="AY28" s="771"/>
      <c r="AZ28" s="771"/>
      <c r="BA28" s="771"/>
      <c r="BB28" s="771"/>
    </row>
    <row r="29" spans="1:59" s="1709" customFormat="1" ht="12.75" customHeight="1" x14ac:dyDescent="0.2">
      <c r="A29" s="314"/>
      <c r="B29" s="28"/>
      <c r="C29" s="8"/>
      <c r="D29" s="8"/>
      <c r="E29" s="1711"/>
      <c r="F29" s="8"/>
      <c r="G29" s="37"/>
      <c r="H29" s="35"/>
      <c r="I29" s="782"/>
      <c r="J29" s="771"/>
      <c r="K29" s="771"/>
      <c r="L29" s="771" t="s">
        <v>2357</v>
      </c>
      <c r="M29" s="771" t="s">
        <v>4633</v>
      </c>
      <c r="N29" s="885" t="s">
        <v>2466</v>
      </c>
      <c r="O29" s="771"/>
      <c r="P29" s="771"/>
      <c r="Q29" s="771"/>
      <c r="R29" s="771"/>
      <c r="S29" s="771"/>
      <c r="T29" s="771"/>
      <c r="U29" s="771"/>
      <c r="V29" s="771"/>
      <c r="W29" s="771"/>
      <c r="X29" s="771"/>
      <c r="Y29" s="771"/>
      <c r="Z29" s="771"/>
      <c r="AA29" s="771"/>
      <c r="AB29" s="771"/>
      <c r="AC29" s="771"/>
      <c r="AD29" s="771"/>
      <c r="AE29" s="771"/>
      <c r="AF29" s="771"/>
      <c r="AG29" s="771"/>
      <c r="AH29" s="771"/>
      <c r="AI29" s="771"/>
      <c r="AJ29" s="771"/>
      <c r="AK29" s="771"/>
      <c r="AL29" s="771"/>
      <c r="AM29" s="771"/>
      <c r="AN29" s="771"/>
      <c r="AO29" s="771"/>
      <c r="AP29" s="771"/>
      <c r="AQ29" s="771"/>
      <c r="AR29" s="771"/>
      <c r="AS29" s="771"/>
      <c r="AT29" s="771"/>
      <c r="AU29" s="771"/>
      <c r="AV29" s="771"/>
      <c r="AW29" s="771"/>
      <c r="AX29" s="771"/>
      <c r="AY29" s="771"/>
      <c r="AZ29" s="771"/>
      <c r="BA29" s="771"/>
      <c r="BB29" s="771"/>
    </row>
    <row r="30" spans="1:59" s="1709" customFormat="1" ht="12.75" customHeight="1" x14ac:dyDescent="0.2">
      <c r="A30" s="848"/>
      <c r="B30" s="2393" t="s">
        <v>5169</v>
      </c>
      <c r="C30" s="2394"/>
      <c r="D30" s="2394"/>
      <c r="E30" s="2394"/>
      <c r="F30" s="2394"/>
      <c r="G30" s="2395"/>
      <c r="H30" s="35"/>
      <c r="I30" s="782"/>
      <c r="J30" s="771"/>
      <c r="K30" s="771"/>
      <c r="L30" s="771" t="s">
        <v>2390</v>
      </c>
      <c r="M30" s="771" t="s">
        <v>4642</v>
      </c>
      <c r="N30" s="1510" t="s">
        <v>2558</v>
      </c>
      <c r="O30" s="771"/>
      <c r="P30" s="771"/>
      <c r="Q30" s="771"/>
      <c r="R30" s="771"/>
      <c r="S30" s="771"/>
      <c r="T30" s="771"/>
      <c r="U30" s="771"/>
      <c r="V30" s="771"/>
      <c r="W30" s="771"/>
      <c r="X30" s="771"/>
      <c r="Y30" s="771"/>
      <c r="Z30" s="771"/>
      <c r="AA30" s="771"/>
      <c r="AB30" s="771"/>
      <c r="AC30" s="771"/>
      <c r="AD30" s="771"/>
      <c r="AE30" s="771"/>
      <c r="AF30" s="771"/>
      <c r="AG30" s="771"/>
      <c r="AH30" s="771"/>
      <c r="AI30" s="771"/>
      <c r="AJ30" s="771"/>
      <c r="AK30" s="771"/>
      <c r="AL30" s="771"/>
      <c r="AM30" s="771"/>
      <c r="AN30" s="771"/>
      <c r="AO30" s="771"/>
      <c r="AP30" s="771"/>
      <c r="AQ30" s="771"/>
      <c r="AR30" s="771"/>
      <c r="AS30" s="771"/>
      <c r="AT30" s="771"/>
      <c r="AU30" s="771"/>
      <c r="AV30" s="771"/>
      <c r="AW30" s="771"/>
      <c r="AX30" s="771"/>
      <c r="AY30" s="771"/>
      <c r="AZ30" s="771"/>
      <c r="BA30" s="771"/>
      <c r="BB30" s="771"/>
    </row>
    <row r="31" spans="1:59" s="1709" customFormat="1" ht="12.75" customHeight="1" thickBot="1" x14ac:dyDescent="0.25">
      <c r="A31" s="848"/>
      <c r="B31" s="2394"/>
      <c r="C31" s="2394"/>
      <c r="D31" s="2394"/>
      <c r="E31" s="2394"/>
      <c r="F31" s="2394"/>
      <c r="G31" s="2395"/>
      <c r="H31" s="35"/>
      <c r="I31" s="782"/>
      <c r="J31" s="771"/>
      <c r="K31" s="771"/>
      <c r="L31" s="771"/>
      <c r="M31" s="771"/>
      <c r="N31" s="771"/>
      <c r="O31" s="771"/>
      <c r="P31" s="771"/>
      <c r="Q31" s="771"/>
      <c r="R31" s="771"/>
      <c r="S31" s="771"/>
      <c r="T31" s="771"/>
      <c r="U31" s="771"/>
      <c r="V31" s="771"/>
      <c r="W31" s="771"/>
      <c r="X31" s="771"/>
      <c r="Y31" s="771"/>
      <c r="Z31" s="771"/>
      <c r="AA31" s="771"/>
      <c r="AB31" s="771"/>
      <c r="AC31" s="771"/>
      <c r="AD31" s="771"/>
      <c r="AE31" s="771"/>
      <c r="AF31" s="771"/>
      <c r="AG31" s="771"/>
      <c r="AH31" s="771"/>
      <c r="AI31" s="771"/>
      <c r="AJ31" s="771"/>
      <c r="AK31" s="771"/>
      <c r="AL31" s="771"/>
      <c r="AM31" s="771"/>
      <c r="AN31" s="771"/>
      <c r="AO31" s="771"/>
      <c r="AP31" s="771"/>
      <c r="AQ31" s="771"/>
      <c r="AR31" s="771"/>
      <c r="AS31" s="771"/>
      <c r="AT31" s="771"/>
      <c r="AU31" s="771"/>
      <c r="AV31" s="771"/>
      <c r="AW31" s="771"/>
      <c r="AX31" s="771"/>
      <c r="AY31" s="771"/>
      <c r="AZ31" s="771"/>
      <c r="BA31" s="771"/>
      <c r="BB31" s="771"/>
    </row>
    <row r="32" spans="1:59" s="1709" customFormat="1" ht="12.75" customHeight="1" x14ac:dyDescent="0.2">
      <c r="A32" s="849"/>
      <c r="B32" s="1750"/>
      <c r="C32" s="1713" t="s">
        <v>2845</v>
      </c>
      <c r="D32" s="1713" t="s">
        <v>2389</v>
      </c>
      <c r="E32" s="1693"/>
      <c r="F32" s="1693"/>
      <c r="G32" s="1693"/>
      <c r="H32" s="2439" t="s">
        <v>1850</v>
      </c>
      <c r="I32" s="782"/>
      <c r="J32" s="771"/>
      <c r="K32" s="771"/>
      <c r="L32" s="771"/>
      <c r="M32" s="771"/>
      <c r="N32" s="771"/>
      <c r="O32" s="771"/>
      <c r="P32" s="771"/>
      <c r="Q32" s="771"/>
      <c r="R32" s="771"/>
      <c r="S32" s="771"/>
      <c r="T32" s="771"/>
      <c r="U32" s="771"/>
      <c r="V32" s="771"/>
      <c r="W32" s="771"/>
      <c r="X32" s="771"/>
      <c r="Y32" s="771"/>
      <c r="Z32" s="771"/>
      <c r="AA32" s="771"/>
      <c r="AB32" s="771"/>
      <c r="AC32" s="771"/>
      <c r="AD32" s="771"/>
      <c r="AE32" s="771"/>
      <c r="AF32" s="771"/>
      <c r="AG32" s="771"/>
      <c r="AH32" s="771"/>
      <c r="AI32" s="771"/>
      <c r="AJ32" s="771"/>
      <c r="AK32" s="771"/>
      <c r="AL32" s="771"/>
      <c r="AM32" s="771"/>
      <c r="AN32" s="771"/>
      <c r="AO32" s="771"/>
      <c r="AP32" s="771"/>
      <c r="AQ32" s="771"/>
      <c r="AR32" s="771"/>
      <c r="AS32" s="771"/>
      <c r="AT32" s="771"/>
      <c r="AU32" s="771"/>
      <c r="AV32" s="771"/>
      <c r="AW32" s="771"/>
      <c r="AX32" s="771"/>
      <c r="AY32" s="771"/>
      <c r="AZ32" s="771"/>
      <c r="BA32" s="771"/>
      <c r="BB32" s="771"/>
    </row>
    <row r="33" spans="1:54" s="1709" customFormat="1" ht="12.75" customHeight="1" x14ac:dyDescent="0.2">
      <c r="A33" s="849"/>
      <c r="B33" s="1621"/>
      <c r="C33" s="1752" t="s">
        <v>1301</v>
      </c>
      <c r="D33" s="1753" t="s">
        <v>784</v>
      </c>
      <c r="E33" s="1696" t="s">
        <v>2117</v>
      </c>
      <c r="F33" s="1697"/>
      <c r="G33" s="1746" t="s">
        <v>2116</v>
      </c>
      <c r="H33" s="2389"/>
      <c r="I33" s="782"/>
      <c r="J33" s="771"/>
      <c r="K33" s="771"/>
      <c r="L33" s="771"/>
      <c r="M33" s="771"/>
      <c r="N33" s="771"/>
      <c r="O33" s="771"/>
      <c r="P33" s="771"/>
      <c r="Q33" s="771"/>
      <c r="R33" s="771"/>
      <c r="S33" s="771"/>
      <c r="T33" s="771"/>
      <c r="U33" s="771"/>
      <c r="V33" s="771"/>
      <c r="W33" s="771"/>
      <c r="X33" s="771"/>
      <c r="Y33" s="771"/>
      <c r="Z33" s="771"/>
      <c r="AA33" s="771"/>
      <c r="AB33" s="771"/>
      <c r="AC33" s="771"/>
      <c r="AD33" s="771"/>
      <c r="AE33" s="771"/>
      <c r="AF33" s="771"/>
      <c r="AG33" s="771"/>
      <c r="AH33" s="771"/>
      <c r="AI33" s="771"/>
      <c r="AJ33" s="771"/>
      <c r="AK33" s="771"/>
      <c r="AL33" s="771"/>
      <c r="AM33" s="771"/>
      <c r="AN33" s="771"/>
      <c r="AO33" s="771"/>
      <c r="AP33" s="771"/>
      <c r="AQ33" s="771"/>
      <c r="AR33" s="771"/>
      <c r="AS33" s="771"/>
      <c r="AT33" s="771"/>
      <c r="AU33" s="771"/>
      <c r="AV33" s="771"/>
      <c r="AW33" s="771"/>
      <c r="AX33" s="771"/>
      <c r="AY33" s="771"/>
      <c r="AZ33" s="771"/>
      <c r="BA33" s="771"/>
      <c r="BB33" s="771"/>
    </row>
    <row r="34" spans="1:54" s="1709" customFormat="1" ht="27" customHeight="1" x14ac:dyDescent="0.2">
      <c r="A34" s="843"/>
      <c r="B34" s="433"/>
      <c r="C34" s="1739" t="str">
        <f>VLOOKUP($D$32,$L$28:$N$30,2,0)</f>
        <v>4478837/</v>
      </c>
      <c r="D34" s="1740" t="str">
        <f>VLOOKUP(C34,всецены,2,FALSE)</f>
        <v xml:space="preserve">AMB, Комплект д/бутылок, бел, ZC7B0200S </v>
      </c>
      <c r="E34" s="1747">
        <v>1</v>
      </c>
      <c r="F34" s="1741">
        <f>VLOOKUP(C34,всецены,4,FALSE)</f>
        <v>1957.4022468000001</v>
      </c>
      <c r="G34" s="1751">
        <f>H34</f>
        <v>1957.4022468000001</v>
      </c>
      <c r="H34" s="1756">
        <f>F34*E34</f>
        <v>1957.4022468000001</v>
      </c>
      <c r="I34" s="782"/>
      <c r="J34" s="771"/>
      <c r="K34" s="771"/>
      <c r="L34" s="771"/>
      <c r="M34" s="771"/>
      <c r="N34" s="771"/>
      <c r="O34" s="771"/>
      <c r="P34" s="771"/>
      <c r="Q34" s="771"/>
      <c r="R34" s="771"/>
      <c r="S34" s="771"/>
      <c r="T34" s="771"/>
      <c r="U34" s="771"/>
      <c r="V34" s="771"/>
      <c r="W34" s="771"/>
      <c r="X34" s="771"/>
      <c r="Y34" s="771"/>
      <c r="Z34" s="771"/>
      <c r="AA34" s="771"/>
      <c r="AB34" s="771"/>
      <c r="AC34" s="771"/>
      <c r="AD34" s="771"/>
      <c r="AE34" s="771"/>
      <c r="AF34" s="771"/>
      <c r="AG34" s="771"/>
      <c r="AH34" s="771"/>
      <c r="AI34" s="771"/>
      <c r="AJ34" s="771"/>
      <c r="AK34" s="771"/>
      <c r="AL34" s="771"/>
      <c r="AM34" s="771"/>
      <c r="AN34" s="771"/>
      <c r="AO34" s="771"/>
      <c r="AP34" s="771"/>
      <c r="AQ34" s="771"/>
      <c r="AR34" s="771"/>
      <c r="AS34" s="771"/>
      <c r="AT34" s="771"/>
      <c r="AU34" s="771"/>
      <c r="AV34" s="771"/>
      <c r="AW34" s="771"/>
      <c r="AX34" s="771"/>
      <c r="AY34" s="771"/>
      <c r="AZ34" s="771"/>
      <c r="BA34" s="771"/>
      <c r="BB34" s="771"/>
    </row>
    <row r="35" spans="1:54" s="1709" customFormat="1" ht="27" customHeight="1" thickBot="1" x14ac:dyDescent="0.25">
      <c r="A35" s="314"/>
      <c r="B35" s="1736"/>
      <c r="C35" s="1742" t="str">
        <f>VLOOKUP($D$32,$L$28:$N$30,3,0)</f>
        <v>2921190/</v>
      </c>
      <c r="D35" s="1743" t="str">
        <f>VLOOKUP(C35,всецены,2,FALSE)</f>
        <v xml:space="preserve">AMB, Рамка 500/200, бел ZC7S500RS2      </v>
      </c>
      <c r="E35" s="1748">
        <v>1</v>
      </c>
      <c r="F35" s="1744">
        <f>VLOOKUP(C35,всецены,4,FALSE)</f>
        <v>2082.6369564000001</v>
      </c>
      <c r="G35" s="1749">
        <f>H35</f>
        <v>2082.6369564000001</v>
      </c>
      <c r="H35" s="1755">
        <f>F35*E35</f>
        <v>2082.6369564000001</v>
      </c>
      <c r="I35" s="782"/>
      <c r="J35" s="771"/>
      <c r="K35" s="771"/>
      <c r="L35" s="771"/>
      <c r="M35" s="771"/>
      <c r="N35" s="771"/>
      <c r="O35" s="771"/>
      <c r="P35" s="771"/>
      <c r="Q35" s="771"/>
      <c r="R35" s="771"/>
      <c r="S35" s="771"/>
      <c r="T35" s="771"/>
      <c r="U35" s="771"/>
      <c r="V35" s="771"/>
      <c r="W35" s="771"/>
      <c r="X35" s="771"/>
      <c r="Y35" s="771"/>
      <c r="Z35" s="771"/>
      <c r="AA35" s="771"/>
      <c r="AB35" s="771"/>
      <c r="AC35" s="771"/>
      <c r="AD35" s="771"/>
      <c r="AE35" s="771"/>
      <c r="AF35" s="771"/>
      <c r="AG35" s="771"/>
      <c r="AH35" s="771"/>
      <c r="AI35" s="771"/>
      <c r="AJ35" s="771"/>
      <c r="AK35" s="771"/>
      <c r="AL35" s="771"/>
      <c r="AM35" s="771"/>
      <c r="AN35" s="771"/>
      <c r="AO35" s="771"/>
      <c r="AP35" s="771"/>
      <c r="AQ35" s="771"/>
      <c r="AR35" s="771"/>
      <c r="AS35" s="771"/>
      <c r="AT35" s="771"/>
      <c r="AU35" s="771"/>
      <c r="AV35" s="771"/>
      <c r="AW35" s="771"/>
      <c r="AX35" s="771"/>
      <c r="AY35" s="771"/>
      <c r="AZ35" s="771"/>
      <c r="BA35" s="771"/>
      <c r="BB35" s="771"/>
    </row>
    <row r="36" spans="1:54" s="1709" customFormat="1" ht="12.75" customHeight="1" x14ac:dyDescent="0.2">
      <c r="A36" s="314"/>
      <c r="B36" s="28"/>
      <c r="C36" s="8"/>
      <c r="D36" s="8"/>
      <c r="E36" s="1711"/>
      <c r="F36" s="8"/>
      <c r="G36" s="37"/>
      <c r="H36" s="35"/>
      <c r="I36" s="782"/>
      <c r="J36" s="771"/>
      <c r="K36" s="771"/>
      <c r="L36" s="771"/>
      <c r="M36" s="771"/>
      <c r="N36" s="771"/>
      <c r="O36" s="771"/>
      <c r="P36" s="771"/>
      <c r="Q36" s="771"/>
      <c r="R36" s="771"/>
      <c r="S36" s="771"/>
      <c r="T36" s="771"/>
      <c r="U36" s="771"/>
      <c r="V36" s="771"/>
      <c r="W36" s="771"/>
      <c r="X36" s="771"/>
      <c r="Y36" s="771"/>
      <c r="Z36" s="771"/>
      <c r="AA36" s="771"/>
      <c r="AB36" s="771"/>
      <c r="AC36" s="771"/>
      <c r="AD36" s="771"/>
      <c r="AE36" s="771"/>
      <c r="AF36" s="771"/>
      <c r="AG36" s="771"/>
      <c r="AH36" s="771"/>
      <c r="AI36" s="771"/>
      <c r="AJ36" s="771"/>
      <c r="AK36" s="771"/>
      <c r="AL36" s="771"/>
      <c r="AM36" s="771"/>
      <c r="AN36" s="771"/>
      <c r="AO36" s="771"/>
      <c r="AP36" s="771"/>
      <c r="AQ36" s="771"/>
      <c r="AR36" s="771"/>
      <c r="AS36" s="771"/>
      <c r="AT36" s="771"/>
      <c r="AU36" s="771"/>
      <c r="AV36" s="771"/>
      <c r="AW36" s="771"/>
      <c r="AX36" s="771"/>
      <c r="AY36" s="771"/>
      <c r="AZ36" s="771"/>
      <c r="BA36" s="771"/>
      <c r="BB36" s="771"/>
    </row>
    <row r="37" spans="1:54" s="1709" customFormat="1" ht="12.75" customHeight="1" x14ac:dyDescent="0.2">
      <c r="A37" s="314"/>
      <c r="B37" s="28"/>
      <c r="C37" s="8"/>
      <c r="D37" s="8"/>
      <c r="E37" s="1711"/>
      <c r="F37" s="8"/>
      <c r="G37" s="37"/>
      <c r="H37" s="35"/>
      <c r="I37" s="782"/>
      <c r="J37" s="771"/>
      <c r="K37" s="771"/>
      <c r="L37" s="771"/>
      <c r="M37" s="771"/>
      <c r="N37" s="771"/>
      <c r="O37" s="771"/>
      <c r="P37" s="771"/>
      <c r="Q37" s="771"/>
      <c r="R37" s="771"/>
      <c r="S37" s="771"/>
      <c r="T37" s="771"/>
      <c r="U37" s="771"/>
      <c r="V37" s="771"/>
      <c r="W37" s="771"/>
      <c r="X37" s="771"/>
      <c r="Y37" s="771"/>
      <c r="Z37" s="771"/>
      <c r="AA37" s="771"/>
      <c r="AB37" s="771"/>
      <c r="AC37" s="771"/>
      <c r="AD37" s="771"/>
      <c r="AE37" s="771"/>
      <c r="AF37" s="771"/>
      <c r="AG37" s="771"/>
      <c r="AH37" s="771"/>
      <c r="AI37" s="771"/>
      <c r="AJ37" s="771"/>
      <c r="AK37" s="771"/>
      <c r="AL37" s="771"/>
      <c r="AM37" s="771"/>
      <c r="AN37" s="771"/>
      <c r="AO37" s="771"/>
      <c r="AP37" s="771"/>
      <c r="AQ37" s="771"/>
      <c r="AR37" s="771"/>
      <c r="AS37" s="771"/>
      <c r="AT37" s="771"/>
      <c r="AU37" s="771"/>
      <c r="AV37" s="771"/>
      <c r="AW37" s="771"/>
      <c r="AX37" s="771"/>
      <c r="AY37" s="771"/>
      <c r="AZ37" s="771"/>
      <c r="BA37" s="771"/>
      <c r="BB37" s="771"/>
    </row>
    <row r="38" spans="1:54" ht="9" customHeight="1" x14ac:dyDescent="0.2">
      <c r="A38" s="848"/>
      <c r="B38" s="2393" t="s">
        <v>2870</v>
      </c>
      <c r="C38" s="2394"/>
      <c r="D38" s="2394"/>
      <c r="E38" s="2394"/>
      <c r="F38" s="2394"/>
      <c r="G38" s="2395"/>
      <c r="H38" s="611"/>
      <c r="I38" s="782"/>
      <c r="K38" s="1033"/>
      <c r="L38" s="1033" t="s">
        <v>2834</v>
      </c>
      <c r="M38" s="1033">
        <v>2</v>
      </c>
      <c r="N38" s="1063" t="s">
        <v>2464</v>
      </c>
      <c r="O38" s="1033"/>
      <c r="P38" s="1033"/>
      <c r="Q38" s="1033"/>
      <c r="R38" s="1033"/>
    </row>
    <row r="39" spans="1:54" ht="12.75" customHeight="1" thickBot="1" x14ac:dyDescent="0.25">
      <c r="A39" s="848"/>
      <c r="B39" s="2396"/>
      <c r="C39" s="2396"/>
      <c r="D39" s="2396"/>
      <c r="E39" s="2396"/>
      <c r="F39" s="2396"/>
      <c r="G39" s="2397"/>
      <c r="H39" s="611"/>
      <c r="I39" s="782"/>
      <c r="K39" s="1033"/>
      <c r="L39" s="1033" t="s">
        <v>2835</v>
      </c>
      <c r="M39" s="1033">
        <v>3</v>
      </c>
      <c r="N39" s="1065" t="s">
        <v>2591</v>
      </c>
      <c r="O39" s="1033"/>
      <c r="P39" s="1033"/>
      <c r="Q39" s="1033"/>
      <c r="R39" s="1033"/>
      <c r="S39" s="1855"/>
    </row>
    <row r="40" spans="1:54" ht="20.25" x14ac:dyDescent="0.2">
      <c r="A40" s="849"/>
      <c r="B40" s="851"/>
      <c r="C40" s="698"/>
      <c r="D40" s="833"/>
      <c r="E40" s="833"/>
      <c r="F40" s="833"/>
      <c r="G40" s="834"/>
      <c r="H40" s="832" t="s">
        <v>2871</v>
      </c>
      <c r="I40" s="782"/>
      <c r="K40" s="1033"/>
      <c r="L40" s="1033" t="s">
        <v>3143</v>
      </c>
      <c r="M40" s="1033">
        <v>4</v>
      </c>
      <c r="N40" s="995" t="s">
        <v>2488</v>
      </c>
      <c r="O40" s="1033"/>
      <c r="P40" s="1033"/>
      <c r="Q40" s="1033"/>
      <c r="R40" s="1033"/>
      <c r="S40" s="1855"/>
    </row>
    <row r="41" spans="1:54" ht="9.9499999999999993" customHeight="1" x14ac:dyDescent="0.2">
      <c r="A41" s="849"/>
      <c r="B41" s="844"/>
      <c r="C41" s="1039"/>
      <c r="D41" s="852"/>
      <c r="E41" s="852"/>
      <c r="F41" s="852"/>
      <c r="G41" s="853"/>
      <c r="H41" s="2388" t="s">
        <v>1850</v>
      </c>
      <c r="I41" s="782"/>
      <c r="K41" s="1033"/>
      <c r="L41" s="1033" t="s">
        <v>3145</v>
      </c>
      <c r="M41" s="1033">
        <v>5</v>
      </c>
      <c r="N41" s="995" t="s">
        <v>2499</v>
      </c>
      <c r="O41" s="1033"/>
      <c r="P41" s="1033"/>
      <c r="Q41" s="1033"/>
      <c r="R41" s="1033"/>
      <c r="S41" s="1855"/>
    </row>
    <row r="42" spans="1:54" ht="12.75" customHeight="1" x14ac:dyDescent="0.2">
      <c r="A42" s="2412"/>
      <c r="B42" s="2440"/>
      <c r="C42" s="172" t="s">
        <v>1301</v>
      </c>
      <c r="D42" s="991" t="s">
        <v>784</v>
      </c>
      <c r="E42" s="992" t="s">
        <v>2117</v>
      </c>
      <c r="F42" s="993"/>
      <c r="G42" s="994" t="s">
        <v>2116</v>
      </c>
      <c r="H42" s="2389"/>
      <c r="I42" s="782"/>
      <c r="K42" s="1033"/>
      <c r="L42" s="1033" t="s">
        <v>3144</v>
      </c>
      <c r="M42" s="1033">
        <v>6</v>
      </c>
      <c r="N42" s="995" t="s">
        <v>2409</v>
      </c>
      <c r="O42" s="1033"/>
      <c r="P42" s="1033"/>
      <c r="Q42" s="1033"/>
      <c r="R42" s="1033"/>
      <c r="S42" s="1855"/>
    </row>
    <row r="43" spans="1:54" ht="12.75" customHeight="1" x14ac:dyDescent="0.2">
      <c r="A43" s="2412"/>
      <c r="B43" s="2073"/>
      <c r="C43" s="995" t="s">
        <v>2464</v>
      </c>
      <c r="D43" s="995" t="str">
        <f>VLOOKUP(C43,всецены,2,FALSE)</f>
        <v xml:space="preserve">AMB, Лоток 500мм, сер ZC7S500BS3        </v>
      </c>
      <c r="E43" s="1041">
        <v>1</v>
      </c>
      <c r="F43" s="996">
        <f>VLOOKUP(C43,всецены,4,FALSE)</f>
        <v>5502.1950983999996</v>
      </c>
      <c r="G43" s="997">
        <f>F43*E43</f>
        <v>5502.1950983999996</v>
      </c>
      <c r="H43" s="1040">
        <f>G43</f>
        <v>5502.1950983999996</v>
      </c>
      <c r="I43" s="782"/>
      <c r="K43" s="1033"/>
      <c r="L43" s="1033" t="s">
        <v>3146</v>
      </c>
      <c r="M43" s="1033">
        <v>7</v>
      </c>
      <c r="N43" s="995" t="s">
        <v>2434</v>
      </c>
      <c r="O43" s="1033"/>
      <c r="P43" s="1033"/>
      <c r="Q43" s="1033"/>
      <c r="R43" s="1033"/>
      <c r="S43" s="1855"/>
    </row>
    <row r="44" spans="1:54" ht="12.75" customHeight="1" x14ac:dyDescent="0.2">
      <c r="A44" s="2412"/>
      <c r="B44" s="2073"/>
      <c r="C44" s="995" t="s">
        <v>2488</v>
      </c>
      <c r="D44" s="995" t="str">
        <f>VLOOKUP(C44,всецены,2,FALSE)</f>
        <v xml:space="preserve">AMB, Лоток 500мм, черн ZC7S500BS3       </v>
      </c>
      <c r="E44" s="1041">
        <v>1</v>
      </c>
      <c r="F44" s="996">
        <f>VLOOKUP(C44,всецены,4,FALSE)</f>
        <v>5502.1950983999996</v>
      </c>
      <c r="G44" s="997">
        <f>F44*E44</f>
        <v>5502.1950983999996</v>
      </c>
      <c r="H44" s="1040">
        <f>G44</f>
        <v>5502.1950983999996</v>
      </c>
      <c r="I44" s="782"/>
      <c r="K44" s="1033"/>
      <c r="L44" s="1033"/>
      <c r="M44" s="1033"/>
      <c r="N44" s="1033"/>
      <c r="O44" s="1033"/>
      <c r="P44" s="1033"/>
      <c r="Q44" s="1033"/>
      <c r="R44" s="1033"/>
      <c r="S44" s="1855"/>
    </row>
    <row r="45" spans="1:54" ht="12.75" customHeight="1" thickBot="1" x14ac:dyDescent="0.25">
      <c r="A45" s="2412"/>
      <c r="B45" s="2074"/>
      <c r="C45" s="1062" t="s">
        <v>2591</v>
      </c>
      <c r="D45" s="705" t="str">
        <f>VLOOKUP(C45,всецены,2,FALSE)</f>
        <v xml:space="preserve">AMB, Лоток 500мм, бел ZC7S500BS3        </v>
      </c>
      <c r="E45" s="706">
        <v>1</v>
      </c>
      <c r="F45" s="736">
        <f>VLOOKUP(C45,всецены,4,FALSE)</f>
        <v>5502.1950983999996</v>
      </c>
      <c r="G45" s="707">
        <f>F45*E45</f>
        <v>5502.1950983999996</v>
      </c>
      <c r="H45" s="1044">
        <f>G45</f>
        <v>5502.1950983999996</v>
      </c>
      <c r="I45" s="782"/>
      <c r="K45" s="1033"/>
      <c r="L45" s="1033"/>
      <c r="M45" s="1033"/>
      <c r="N45" s="1033"/>
      <c r="O45" s="1033"/>
      <c r="P45" s="1033"/>
      <c r="Q45" s="1033"/>
      <c r="R45" s="1033"/>
      <c r="S45" s="1855"/>
    </row>
    <row r="46" spans="1:54" ht="12.75" customHeight="1" thickBot="1" x14ac:dyDescent="0.25">
      <c r="A46" s="849"/>
      <c r="B46" s="854"/>
      <c r="C46" s="855"/>
      <c r="D46" s="856"/>
      <c r="E46" s="857"/>
      <c r="F46" s="858"/>
      <c r="G46" s="859"/>
      <c r="H46" s="876"/>
      <c r="I46" s="782"/>
      <c r="K46" s="1033"/>
      <c r="L46" s="1659"/>
      <c r="M46" s="1659" t="s">
        <v>2839</v>
      </c>
      <c r="N46" s="1692" t="s">
        <v>5159</v>
      </c>
      <c r="O46" s="1659" t="s">
        <v>5160</v>
      </c>
      <c r="P46" s="1659"/>
      <c r="Q46" s="1033"/>
      <c r="R46" s="1033"/>
      <c r="S46" s="1855"/>
    </row>
    <row r="47" spans="1:54" ht="20.25" x14ac:dyDescent="0.2">
      <c r="A47" s="849"/>
      <c r="B47" s="851"/>
      <c r="C47" s="698"/>
      <c r="D47" s="2128" t="s">
        <v>2872</v>
      </c>
      <c r="E47" s="2128"/>
      <c r="F47" s="2128"/>
      <c r="G47" s="2128"/>
      <c r="H47" s="2139"/>
      <c r="I47" s="782"/>
      <c r="K47" s="1033"/>
      <c r="L47" s="1659" t="s">
        <v>2389</v>
      </c>
      <c r="M47" s="1659" t="s">
        <v>2328</v>
      </c>
      <c r="N47" s="1659" t="s">
        <v>4646</v>
      </c>
      <c r="O47" s="1659" t="s">
        <v>4632</v>
      </c>
      <c r="P47" s="1659"/>
      <c r="Q47" s="1033"/>
      <c r="R47" s="1033"/>
      <c r="S47" s="1855"/>
    </row>
    <row r="48" spans="1:54" ht="9" customHeight="1" x14ac:dyDescent="0.2">
      <c r="A48" s="849"/>
      <c r="B48" s="844"/>
      <c r="C48" s="1039"/>
      <c r="D48" s="852"/>
      <c r="E48" s="852"/>
      <c r="F48" s="852"/>
      <c r="G48" s="853"/>
      <c r="H48" s="2388" t="s">
        <v>1850</v>
      </c>
      <c r="I48" s="782"/>
      <c r="K48" s="1033"/>
      <c r="L48" s="1659" t="s">
        <v>2357</v>
      </c>
      <c r="M48" s="1659" t="s">
        <v>2293</v>
      </c>
      <c r="N48" s="1659" t="s">
        <v>4637</v>
      </c>
      <c r="O48" s="1659" t="s">
        <v>4636</v>
      </c>
      <c r="P48" s="1659"/>
      <c r="Q48" s="1033"/>
      <c r="R48" s="1033"/>
      <c r="S48" s="1855"/>
    </row>
    <row r="49" spans="1:19" ht="12.75" customHeight="1" x14ac:dyDescent="0.2">
      <c r="A49" s="896"/>
      <c r="B49" s="2440"/>
      <c r="C49" s="695" t="s">
        <v>1301</v>
      </c>
      <c r="D49" s="993" t="s">
        <v>784</v>
      </c>
      <c r="E49" s="992" t="s">
        <v>2117</v>
      </c>
      <c r="F49" s="993"/>
      <c r="G49" s="1045" t="s">
        <v>2116</v>
      </c>
      <c r="H49" s="2389"/>
      <c r="I49" s="782"/>
      <c r="K49" s="1033"/>
      <c r="L49" s="1659" t="s">
        <v>2390</v>
      </c>
      <c r="M49" s="1659" t="s">
        <v>3060</v>
      </c>
      <c r="N49" s="1659" t="s">
        <v>4639</v>
      </c>
      <c r="O49" s="1659" t="s">
        <v>4635</v>
      </c>
      <c r="P49" s="1659"/>
      <c r="Q49" s="1033"/>
      <c r="R49" s="1033"/>
      <c r="S49" s="1855"/>
    </row>
    <row r="50" spans="1:19" ht="12.75" customHeight="1" x14ac:dyDescent="0.2">
      <c r="A50" s="896"/>
      <c r="B50" s="2073"/>
      <c r="C50" s="995" t="s">
        <v>2499</v>
      </c>
      <c r="D50" s="738" t="str">
        <f>VLOOKUP(C50,всецены,2,FALSE)</f>
        <v xml:space="preserve">AMB, Лоток 500мм, дуб бард ZC7S500BH3   </v>
      </c>
      <c r="E50" s="739">
        <v>1</v>
      </c>
      <c r="F50" s="740">
        <f>VLOOKUP(C50,всецены,4,FALSE)</f>
        <v>4436.0736420000003</v>
      </c>
      <c r="G50" s="741">
        <f>F50*E50</f>
        <v>4436.0736420000003</v>
      </c>
      <c r="H50" s="1040">
        <f>G50</f>
        <v>4436.0736420000003</v>
      </c>
      <c r="I50" s="782"/>
      <c r="K50" s="1033"/>
      <c r="L50" s="1033"/>
      <c r="M50" s="1033"/>
      <c r="N50" s="1033"/>
      <c r="O50" s="1033"/>
      <c r="P50" s="1033"/>
      <c r="Q50" s="1033"/>
      <c r="R50" s="1033"/>
      <c r="S50" s="1855"/>
    </row>
    <row r="51" spans="1:19" ht="12.75" customHeight="1" x14ac:dyDescent="0.2">
      <c r="A51" s="896"/>
      <c r="B51" s="2073"/>
      <c r="C51" s="995" t="s">
        <v>2409</v>
      </c>
      <c r="D51" s="738" t="str">
        <f>VLOOKUP(C51,всецены,2,FALSE)</f>
        <v xml:space="preserve">AMB, Лоток 500мм, дуб небр ZC7S500BH3   </v>
      </c>
      <c r="E51" s="739">
        <v>1</v>
      </c>
      <c r="F51" s="740">
        <f>VLOOKUP(C51,всецены,4,FALSE)</f>
        <v>4436.0736420000003</v>
      </c>
      <c r="G51" s="741">
        <f>F51*E51</f>
        <v>4436.0736420000003</v>
      </c>
      <c r="H51" s="1040">
        <f>G51</f>
        <v>4436.0736420000003</v>
      </c>
      <c r="I51" s="782"/>
      <c r="K51" s="1033"/>
      <c r="L51" s="1033"/>
      <c r="M51" s="1033"/>
      <c r="N51" s="1033"/>
      <c r="O51" s="1033"/>
      <c r="P51" s="1033"/>
      <c r="Q51" s="1033"/>
      <c r="R51" s="1033"/>
      <c r="S51" s="1855"/>
    </row>
    <row r="52" spans="1:19" ht="12.75" customHeight="1" thickBot="1" x14ac:dyDescent="0.25">
      <c r="A52" s="896"/>
      <c r="B52" s="2074"/>
      <c r="C52" s="705" t="s">
        <v>2434</v>
      </c>
      <c r="D52" s="1046" t="str">
        <f>VLOOKUP(C52,всецены,2,FALSE)</f>
        <v xml:space="preserve">AMB, Лоток 500мм, орех тен ZC7S500BH3   </v>
      </c>
      <c r="E52" s="1047">
        <v>1</v>
      </c>
      <c r="F52" s="1048">
        <f>VLOOKUP(C52,всецены,4,FALSE)</f>
        <v>4436.0736420000003</v>
      </c>
      <c r="G52" s="1049">
        <f>F52*E52</f>
        <v>4436.0736420000003</v>
      </c>
      <c r="H52" s="1044">
        <f>G52</f>
        <v>4436.0736420000003</v>
      </c>
      <c r="I52" s="782"/>
      <c r="S52" s="1855"/>
    </row>
    <row r="53" spans="1:19" ht="12.75" customHeight="1" thickBot="1" x14ac:dyDescent="0.25">
      <c r="A53" s="849"/>
      <c r="B53" s="854"/>
      <c r="C53" s="855"/>
      <c r="D53" s="856"/>
      <c r="E53" s="857"/>
      <c r="F53" s="858"/>
      <c r="G53" s="859"/>
      <c r="H53" s="876"/>
      <c r="I53" s="782"/>
    </row>
    <row r="54" spans="1:19" ht="12.75" customHeight="1" x14ac:dyDescent="0.2">
      <c r="A54" s="849"/>
      <c r="B54" s="851"/>
      <c r="C54" s="698"/>
      <c r="D54" s="2128" t="s">
        <v>2874</v>
      </c>
      <c r="E54" s="2128"/>
      <c r="F54" s="2128"/>
      <c r="G54" s="2128"/>
      <c r="H54" s="2139"/>
      <c r="I54" s="782"/>
    </row>
    <row r="55" spans="1:19" ht="9" customHeight="1" x14ac:dyDescent="0.2">
      <c r="A55" s="849"/>
      <c r="B55" s="844"/>
      <c r="C55" s="1039"/>
      <c r="D55" s="852"/>
      <c r="E55" s="852"/>
      <c r="F55" s="852"/>
      <c r="G55" s="853"/>
      <c r="H55" s="2388" t="s">
        <v>1850</v>
      </c>
      <c r="I55" s="782"/>
    </row>
    <row r="56" spans="1:19" ht="12.75" customHeight="1" x14ac:dyDescent="0.2">
      <c r="A56" s="896"/>
      <c r="B56" s="2440"/>
      <c r="C56" s="695" t="s">
        <v>1301</v>
      </c>
      <c r="D56" s="993" t="s">
        <v>784</v>
      </c>
      <c r="E56" s="992" t="s">
        <v>2117</v>
      </c>
      <c r="F56" s="993"/>
      <c r="G56" s="1045" t="s">
        <v>2116</v>
      </c>
      <c r="H56" s="2389"/>
      <c r="I56" s="782"/>
    </row>
    <row r="57" spans="1:19" ht="15.75" x14ac:dyDescent="0.2">
      <c r="A57" s="896"/>
      <c r="B57" s="2073"/>
      <c r="C57" s="995" t="s">
        <v>2461</v>
      </c>
      <c r="D57" s="738" t="str">
        <f t="shared" ref="D57:D62" si="17">VLOOKUP(C57,всецены,2,FALSE)</f>
        <v xml:space="preserve">AMB, Рамка 500/100, бел ZC7S500RS1      </v>
      </c>
      <c r="E57" s="739">
        <v>1</v>
      </c>
      <c r="F57" s="740">
        <f t="shared" ref="F57:F62" si="18">VLOOKUP(C57,всецены,4,FALSE)</f>
        <v>1703.6799779999999</v>
      </c>
      <c r="G57" s="741">
        <f t="shared" ref="G57:G62" si="19">F57*E57</f>
        <v>1703.6799779999999</v>
      </c>
      <c r="H57" s="1040">
        <f t="shared" ref="H57:H62" si="20">G57</f>
        <v>1703.6799779999999</v>
      </c>
      <c r="I57" s="782"/>
    </row>
    <row r="58" spans="1:19" ht="9" customHeight="1" x14ac:dyDescent="0.2">
      <c r="A58" s="896"/>
      <c r="B58" s="2073"/>
      <c r="C58" s="995" t="s">
        <v>2574</v>
      </c>
      <c r="D58" s="738" t="str">
        <f>VLOOKUP(C58,всецены,2,FALSE)</f>
        <v xml:space="preserve">AMB, Рамка 500/100, сер ZC7S500RS1      </v>
      </c>
      <c r="E58" s="739">
        <v>1</v>
      </c>
      <c r="F58" s="740">
        <f>VLOOKUP(C58,всецены,4,FALSE)</f>
        <v>1703.6799779999999</v>
      </c>
      <c r="G58" s="741">
        <f>F58*E58</f>
        <v>1703.6799779999999</v>
      </c>
      <c r="H58" s="1040">
        <f t="shared" si="20"/>
        <v>1703.6799779999999</v>
      </c>
      <c r="I58" s="782"/>
    </row>
    <row r="59" spans="1:19" ht="12.75" customHeight="1" x14ac:dyDescent="0.2">
      <c r="A59" s="896"/>
      <c r="B59" s="2073"/>
      <c r="C59" s="995" t="s">
        <v>2412</v>
      </c>
      <c r="D59" s="738" t="str">
        <f>VLOOKUP(C59,всецены,2,FALSE)</f>
        <v xml:space="preserve">AMB, Рамка 500/100, черн ZC7S500RS1     </v>
      </c>
      <c r="E59" s="739">
        <v>1</v>
      </c>
      <c r="F59" s="740">
        <f>VLOOKUP(C59,всецены,4,FALSE)</f>
        <v>1703.6799779999999</v>
      </c>
      <c r="G59" s="741">
        <f>F59*E59</f>
        <v>1703.6799779999999</v>
      </c>
      <c r="H59" s="1040">
        <f t="shared" si="20"/>
        <v>1703.6799779999999</v>
      </c>
      <c r="I59" s="782"/>
    </row>
    <row r="60" spans="1:19" ht="12.75" customHeight="1" x14ac:dyDescent="0.2">
      <c r="A60" s="896"/>
      <c r="B60" s="2073"/>
      <c r="C60" s="995" t="s">
        <v>2435</v>
      </c>
      <c r="D60" s="738" t="str">
        <f>VLOOKUP(C60,всецены,2,FALSE)</f>
        <v xml:space="preserve">AMB, Рамка 500/200, бел ZC7S500RS2      </v>
      </c>
      <c r="E60" s="739">
        <v>1</v>
      </c>
      <c r="F60" s="740">
        <f>VLOOKUP(C60,всецены,4,FALSE)</f>
        <v>2082.6369564000001</v>
      </c>
      <c r="G60" s="741">
        <f>F60*E60</f>
        <v>2082.6369564000001</v>
      </c>
      <c r="H60" s="1040">
        <f t="shared" si="20"/>
        <v>2082.6369564000001</v>
      </c>
      <c r="I60" s="782"/>
    </row>
    <row r="61" spans="1:19" ht="12.75" customHeight="1" x14ac:dyDescent="0.2">
      <c r="A61" s="896"/>
      <c r="B61" s="2073"/>
      <c r="C61" s="995" t="s">
        <v>2466</v>
      </c>
      <c r="D61" s="738" t="str">
        <f t="shared" si="17"/>
        <v xml:space="preserve">AMB, Рамка 500/200, сер ZC7S500RS2      </v>
      </c>
      <c r="E61" s="739">
        <v>1</v>
      </c>
      <c r="F61" s="740">
        <f t="shared" si="18"/>
        <v>2082.6369564000001</v>
      </c>
      <c r="G61" s="741">
        <f t="shared" si="19"/>
        <v>2082.6369564000001</v>
      </c>
      <c r="H61" s="1040">
        <f t="shared" si="20"/>
        <v>2082.6369564000001</v>
      </c>
      <c r="I61" s="782"/>
    </row>
    <row r="62" spans="1:19" ht="12.75" customHeight="1" thickBot="1" x14ac:dyDescent="0.25">
      <c r="A62" s="896"/>
      <c r="B62" s="2074"/>
      <c r="C62" s="705" t="s">
        <v>2558</v>
      </c>
      <c r="D62" s="1046" t="str">
        <f t="shared" si="17"/>
        <v xml:space="preserve">AMB, Рамка 500/200, черн ZC7S500RS2     </v>
      </c>
      <c r="E62" s="1047">
        <v>1</v>
      </c>
      <c r="F62" s="1048">
        <f t="shared" si="18"/>
        <v>2082.6369564000001</v>
      </c>
      <c r="G62" s="1049">
        <f t="shared" si="19"/>
        <v>2082.6369564000001</v>
      </c>
      <c r="H62" s="1044">
        <f t="shared" si="20"/>
        <v>2082.6369564000001</v>
      </c>
      <c r="I62" s="782"/>
    </row>
    <row r="63" spans="1:19" ht="12.75" customHeight="1" thickBot="1" x14ac:dyDescent="0.25">
      <c r="A63" s="849"/>
      <c r="B63" s="854"/>
      <c r="C63" s="855"/>
      <c r="D63" s="856"/>
      <c r="E63" s="857"/>
      <c r="F63" s="858"/>
      <c r="G63" s="859"/>
      <c r="H63" s="876"/>
      <c r="I63" s="782"/>
    </row>
    <row r="64" spans="1:19" ht="12.75" customHeight="1" x14ac:dyDescent="0.2">
      <c r="A64" s="849"/>
      <c r="B64" s="851"/>
      <c r="C64" s="698"/>
      <c r="D64" s="2128" t="s">
        <v>2877</v>
      </c>
      <c r="E64" s="2128"/>
      <c r="F64" s="2128"/>
      <c r="G64" s="2128"/>
      <c r="H64" s="2139"/>
      <c r="I64" s="782"/>
    </row>
    <row r="65" spans="1:9" x14ac:dyDescent="0.2">
      <c r="A65" s="849"/>
      <c r="B65" s="844"/>
      <c r="C65" s="1039"/>
      <c r="D65" s="852"/>
      <c r="E65" s="852"/>
      <c r="F65" s="852"/>
      <c r="G65" s="853"/>
      <c r="H65" s="2388" t="s">
        <v>1850</v>
      </c>
      <c r="I65" s="782"/>
    </row>
    <row r="66" spans="1:9" ht="15.75" x14ac:dyDescent="0.2">
      <c r="A66" s="896"/>
      <c r="B66" s="2440"/>
      <c r="C66" s="695" t="s">
        <v>1301</v>
      </c>
      <c r="D66" s="993" t="s">
        <v>784</v>
      </c>
      <c r="E66" s="992" t="s">
        <v>2117</v>
      </c>
      <c r="F66" s="993"/>
      <c r="G66" s="1045" t="s">
        <v>2116</v>
      </c>
      <c r="H66" s="2389"/>
      <c r="I66" s="782"/>
    </row>
    <row r="67" spans="1:9" ht="15.75" x14ac:dyDescent="0.2">
      <c r="A67" s="896"/>
      <c r="B67" s="2073"/>
      <c r="C67" s="995" t="s">
        <v>2465</v>
      </c>
      <c r="D67" s="738" t="str">
        <f t="shared" ref="D67:D72" si="21">VLOOKUP(C67,всецены,2,FALSE)</f>
        <v xml:space="preserve">AMB, Рамка 500/100, дуб бард ZC7S500RH1 </v>
      </c>
      <c r="E67" s="739">
        <v>1</v>
      </c>
      <c r="F67" s="740">
        <f t="shared" ref="F67:F72" si="22">VLOOKUP(C67,всецены,4,FALSE)</f>
        <v>2893.4097191999999</v>
      </c>
      <c r="G67" s="741">
        <f t="shared" ref="G67:G72" si="23">F67*E67</f>
        <v>2893.4097191999999</v>
      </c>
      <c r="H67" s="1040">
        <f t="shared" ref="H67:H72" si="24">G67</f>
        <v>2893.4097191999999</v>
      </c>
      <c r="I67" s="782"/>
    </row>
    <row r="68" spans="1:9" ht="12.75" customHeight="1" x14ac:dyDescent="0.2">
      <c r="A68" s="896"/>
      <c r="B68" s="2073"/>
      <c r="C68" s="995" t="s">
        <v>2601</v>
      </c>
      <c r="D68" s="738" t="str">
        <f t="shared" si="21"/>
        <v xml:space="preserve">AMB, Рамка 500/100, дуб небр ZC7S500RH1 </v>
      </c>
      <c r="E68" s="739">
        <v>1</v>
      </c>
      <c r="F68" s="740">
        <f t="shared" si="22"/>
        <v>2893.4097191999999</v>
      </c>
      <c r="G68" s="741">
        <f t="shared" si="23"/>
        <v>2893.4097191999999</v>
      </c>
      <c r="H68" s="1040">
        <f t="shared" si="24"/>
        <v>2893.4097191999999</v>
      </c>
      <c r="I68" s="782"/>
    </row>
    <row r="69" spans="1:9" ht="15.75" x14ac:dyDescent="0.2">
      <c r="A69" s="896"/>
      <c r="B69" s="2073"/>
      <c r="C69" s="995" t="s">
        <v>2411</v>
      </c>
      <c r="D69" s="738" t="str">
        <f>VLOOKUP(C69,всецены,2,FALSE)</f>
        <v xml:space="preserve">AMB, Рамка 500/100, орех тен ZC7S500RH1 </v>
      </c>
      <c r="E69" s="739">
        <v>1</v>
      </c>
      <c r="F69" s="740">
        <f>VLOOKUP(C69,всецены,4,FALSE)</f>
        <v>2893.4097191999999</v>
      </c>
      <c r="G69" s="741">
        <f>F69*E69</f>
        <v>2893.4097191999999</v>
      </c>
      <c r="H69" s="1040">
        <f t="shared" si="24"/>
        <v>2893.4097191999999</v>
      </c>
      <c r="I69" s="782"/>
    </row>
    <row r="70" spans="1:9" ht="9" customHeight="1" x14ac:dyDescent="0.2">
      <c r="A70" s="896"/>
      <c r="B70" s="2073"/>
      <c r="C70" s="995" t="s">
        <v>2439</v>
      </c>
      <c r="D70" s="738" t="str">
        <f>VLOOKUP(C70,всецены,2,FALSE)</f>
        <v xml:space="preserve">AMB, Рамка 500/200, дуб бард ZC7S500RH2 </v>
      </c>
      <c r="E70" s="739">
        <v>1</v>
      </c>
      <c r="F70" s="740">
        <f>VLOOKUP(C70,всецены,4,FALSE)</f>
        <v>3278.8723968000004</v>
      </c>
      <c r="G70" s="741">
        <f>F70*E70</f>
        <v>3278.8723968000004</v>
      </c>
      <c r="H70" s="1040">
        <f t="shared" si="24"/>
        <v>3278.8723968000004</v>
      </c>
      <c r="I70" s="786"/>
    </row>
    <row r="71" spans="1:9" ht="12.75" customHeight="1" x14ac:dyDescent="0.2">
      <c r="A71" s="896"/>
      <c r="B71" s="2073"/>
      <c r="C71" s="995" t="s">
        <v>2512</v>
      </c>
      <c r="D71" s="738" t="str">
        <f>VLOOKUP(C71,всецены,2,FALSE)</f>
        <v xml:space="preserve">AMB, Рамка 500/200, дуб небр ZC7S500RH2 </v>
      </c>
      <c r="E71" s="739">
        <v>1</v>
      </c>
      <c r="F71" s="740">
        <f>VLOOKUP(C71,всецены,4,FALSE)</f>
        <v>3278.8723968000004</v>
      </c>
      <c r="G71" s="741">
        <f>F71*E71</f>
        <v>3278.8723968000004</v>
      </c>
      <c r="H71" s="1040">
        <f t="shared" si="24"/>
        <v>3278.8723968000004</v>
      </c>
      <c r="I71" s="782"/>
    </row>
    <row r="72" spans="1:9" ht="12.75" customHeight="1" thickBot="1" x14ac:dyDescent="0.25">
      <c r="A72" s="897"/>
      <c r="B72" s="2074"/>
      <c r="C72" s="1050" t="s">
        <v>2445</v>
      </c>
      <c r="D72" s="1046" t="str">
        <f t="shared" si="21"/>
        <v xml:space="preserve">AMB, Рамка 500/200, орех тен ZC7S500RH2 </v>
      </c>
      <c r="E72" s="1047">
        <v>1</v>
      </c>
      <c r="F72" s="1048">
        <f t="shared" si="22"/>
        <v>3278.8723968000004</v>
      </c>
      <c r="G72" s="1049">
        <f t="shared" si="23"/>
        <v>3278.8723968000004</v>
      </c>
      <c r="H72" s="1044">
        <f t="shared" si="24"/>
        <v>3278.8723968000004</v>
      </c>
      <c r="I72" s="782"/>
    </row>
    <row r="73" spans="1:9" ht="12.75" customHeight="1" x14ac:dyDescent="0.2">
      <c r="B73" s="1032"/>
      <c r="C73" s="712"/>
      <c r="D73" s="713"/>
      <c r="E73" s="235"/>
      <c r="F73" s="714"/>
      <c r="G73" s="715"/>
      <c r="H73" s="19"/>
      <c r="I73" s="782"/>
    </row>
    <row r="74" spans="1:9" ht="12.75" customHeight="1" x14ac:dyDescent="0.2">
      <c r="A74" s="843"/>
      <c r="B74" s="2393" t="s">
        <v>2873</v>
      </c>
      <c r="C74" s="2394"/>
      <c r="D74" s="2394"/>
      <c r="E74" s="2394"/>
      <c r="F74" s="2394"/>
      <c r="G74" s="2395"/>
      <c r="H74" s="611"/>
      <c r="I74" s="782"/>
    </row>
    <row r="75" spans="1:9" ht="12.75" customHeight="1" thickBot="1" x14ac:dyDescent="0.25">
      <c r="A75" s="843"/>
      <c r="B75" s="2396"/>
      <c r="C75" s="2396"/>
      <c r="D75" s="2396"/>
      <c r="E75" s="2396"/>
      <c r="F75" s="2396"/>
      <c r="G75" s="2397"/>
      <c r="H75" s="611"/>
      <c r="I75" s="782"/>
    </row>
    <row r="76" spans="1:9" ht="12.75" customHeight="1" x14ac:dyDescent="0.2">
      <c r="A76" s="843"/>
      <c r="B76" s="717"/>
      <c r="C76" s="718"/>
      <c r="D76" s="719"/>
      <c r="E76" s="719"/>
      <c r="F76" s="719"/>
      <c r="G76" s="720"/>
      <c r="H76" s="1051" t="s">
        <v>2875</v>
      </c>
      <c r="I76" s="782"/>
    </row>
    <row r="77" spans="1:9" ht="9" customHeight="1" x14ac:dyDescent="0.2">
      <c r="A77" s="843"/>
      <c r="B77" s="844"/>
      <c r="C77" s="1039"/>
      <c r="D77" s="852"/>
      <c r="E77" s="867"/>
      <c r="F77" s="867"/>
      <c r="G77" s="868"/>
      <c r="H77" s="2388" t="s">
        <v>1850</v>
      </c>
      <c r="I77" s="782"/>
    </row>
    <row r="78" spans="1:9" ht="12.75" customHeight="1" x14ac:dyDescent="0.2">
      <c r="A78" s="2384"/>
      <c r="B78" s="2440"/>
      <c r="C78" s="135" t="s">
        <v>1301</v>
      </c>
      <c r="D78" s="993" t="s">
        <v>784</v>
      </c>
      <c r="E78" s="992" t="s">
        <v>2117</v>
      </c>
      <c r="F78" s="993"/>
      <c r="G78" s="1045" t="s">
        <v>2116</v>
      </c>
      <c r="H78" s="2389"/>
      <c r="I78" s="782"/>
    </row>
    <row r="79" spans="1:9" ht="12.75" x14ac:dyDescent="0.2">
      <c r="A79" s="2384"/>
      <c r="B79" s="2073"/>
      <c r="C79" s="995" t="s">
        <v>2490</v>
      </c>
      <c r="D79" s="1043" t="str">
        <f t="shared" ref="D79:D84" si="25">VLOOKUP(C79,всецены,2,FALSE)</f>
        <v xml:space="preserve">AMB, Рамка 270/242/100, бел ZC7F300RSU  </v>
      </c>
      <c r="E79" s="1052">
        <v>1</v>
      </c>
      <c r="F79" s="1028">
        <f t="shared" ref="F79:F84" si="26">VLOOKUP(C79,всецены,4,FALSE)</f>
        <v>3407.3599559999998</v>
      </c>
      <c r="G79" s="1053">
        <f t="shared" ref="G79:G84" si="27">F79*E79</f>
        <v>3407.3599559999998</v>
      </c>
      <c r="H79" s="1040">
        <f t="shared" ref="H79:H84" si="28">G79</f>
        <v>3407.3599559999998</v>
      </c>
      <c r="I79" s="782"/>
    </row>
    <row r="80" spans="1:9" ht="12.75" x14ac:dyDescent="0.2">
      <c r="A80" s="2384"/>
      <c r="B80" s="2073"/>
      <c r="C80" s="995" t="s">
        <v>2523</v>
      </c>
      <c r="D80" s="1043" t="str">
        <f t="shared" si="25"/>
        <v xml:space="preserve">AMB, Рамка 270/242/100, сер ZC7F300RSU  </v>
      </c>
      <c r="E80" s="1052">
        <v>1</v>
      </c>
      <c r="F80" s="1028">
        <f t="shared" si="26"/>
        <v>3407.3599559999998</v>
      </c>
      <c r="G80" s="1053">
        <f t="shared" si="27"/>
        <v>3407.3599559999998</v>
      </c>
      <c r="H80" s="1040">
        <f t="shared" si="28"/>
        <v>3407.3599559999998</v>
      </c>
      <c r="I80" s="782"/>
    </row>
    <row r="81" spans="1:9" ht="12.75" customHeight="1" x14ac:dyDescent="0.2">
      <c r="A81" s="2384"/>
      <c r="B81" s="2073"/>
      <c r="C81" s="1043" t="s">
        <v>2495</v>
      </c>
      <c r="D81" s="1043" t="str">
        <f t="shared" si="25"/>
        <v xml:space="preserve">AMB, Рамка 270/242/100, черн ZC7F300RSU </v>
      </c>
      <c r="E81" s="1052">
        <v>1</v>
      </c>
      <c r="F81" s="1028">
        <f t="shared" si="26"/>
        <v>3407.3599559999998</v>
      </c>
      <c r="G81" s="1053">
        <f t="shared" si="27"/>
        <v>3407.3599559999998</v>
      </c>
      <c r="H81" s="1040">
        <f t="shared" si="28"/>
        <v>3407.3599559999998</v>
      </c>
      <c r="I81" s="782"/>
    </row>
    <row r="82" spans="1:9" ht="12.75" customHeight="1" x14ac:dyDescent="0.2">
      <c r="A82" s="2384"/>
      <c r="B82" s="2073"/>
      <c r="C82" s="1043" t="s">
        <v>2420</v>
      </c>
      <c r="D82" s="1043" t="str">
        <f t="shared" si="25"/>
        <v xml:space="preserve">AMB, Рамка 400/218/100, бел ZC7F400RSP  </v>
      </c>
      <c r="E82" s="1052">
        <v>1</v>
      </c>
      <c r="F82" s="1028">
        <f t="shared" si="26"/>
        <v>3596.8384452</v>
      </c>
      <c r="G82" s="1053">
        <f t="shared" si="27"/>
        <v>3596.8384452</v>
      </c>
      <c r="H82" s="1040">
        <f t="shared" si="28"/>
        <v>3596.8384452</v>
      </c>
      <c r="I82" s="782"/>
    </row>
    <row r="83" spans="1:9" ht="12.75" customHeight="1" x14ac:dyDescent="0.2">
      <c r="A83" s="2384"/>
      <c r="B83" s="2073"/>
      <c r="C83" s="1042" t="s">
        <v>2516</v>
      </c>
      <c r="D83" s="1043" t="str">
        <f t="shared" si="25"/>
        <v xml:space="preserve">AMB, Рамка 400/218/100, сер ZC7F400RSP  </v>
      </c>
      <c r="E83" s="1052">
        <v>1</v>
      </c>
      <c r="F83" s="1028">
        <f t="shared" si="26"/>
        <v>3596.8384452</v>
      </c>
      <c r="G83" s="1053">
        <f t="shared" si="27"/>
        <v>3596.8384452</v>
      </c>
      <c r="H83" s="1040">
        <f t="shared" si="28"/>
        <v>3596.8384452</v>
      </c>
      <c r="I83" s="782"/>
    </row>
    <row r="84" spans="1:9" ht="12.75" customHeight="1" thickBot="1" x14ac:dyDescent="0.25">
      <c r="A84" s="2384"/>
      <c r="B84" s="2074"/>
      <c r="C84" s="404" t="s">
        <v>2600</v>
      </c>
      <c r="D84" s="404" t="str">
        <f t="shared" si="25"/>
        <v xml:space="preserve">AMB, Рамка 400/218/100, черн            </v>
      </c>
      <c r="E84" s="381">
        <v>1</v>
      </c>
      <c r="F84" s="435">
        <f t="shared" si="26"/>
        <v>3596.8384452</v>
      </c>
      <c r="G84" s="726">
        <f t="shared" si="27"/>
        <v>3596.8384452</v>
      </c>
      <c r="H84" s="1044">
        <f t="shared" si="28"/>
        <v>3596.8384452</v>
      </c>
      <c r="I84" s="782"/>
    </row>
    <row r="85" spans="1:9" ht="12.75" customHeight="1" thickBot="1" x14ac:dyDescent="0.25">
      <c r="A85" s="843"/>
      <c r="B85" s="871"/>
      <c r="C85" s="862"/>
      <c r="D85" s="863"/>
      <c r="E85" s="864"/>
      <c r="F85" s="865"/>
      <c r="G85" s="866"/>
      <c r="H85" s="877"/>
      <c r="I85" s="782"/>
    </row>
    <row r="86" spans="1:9" ht="12.75" customHeight="1" x14ac:dyDescent="0.2">
      <c r="A86" s="843"/>
      <c r="B86" s="729"/>
      <c r="C86" s="719"/>
      <c r="D86" s="2144" t="s">
        <v>2876</v>
      </c>
      <c r="E86" s="2144"/>
      <c r="F86" s="2144"/>
      <c r="G86" s="2144"/>
      <c r="H86" s="2145"/>
      <c r="I86" s="782"/>
    </row>
    <row r="87" spans="1:9" ht="9" customHeight="1" x14ac:dyDescent="0.2">
      <c r="A87" s="843"/>
      <c r="B87" s="844"/>
      <c r="C87" s="1039"/>
      <c r="D87" s="852"/>
      <c r="E87" s="869"/>
      <c r="F87" s="869"/>
      <c r="G87" s="870"/>
      <c r="H87" s="2388" t="s">
        <v>1850</v>
      </c>
    </row>
    <row r="88" spans="1:9" ht="12.75" customHeight="1" x14ac:dyDescent="0.2">
      <c r="A88" s="2384"/>
      <c r="B88" s="2440"/>
      <c r="C88" s="135" t="s">
        <v>1301</v>
      </c>
      <c r="D88" s="993" t="s">
        <v>784</v>
      </c>
      <c r="E88" s="992" t="s">
        <v>2117</v>
      </c>
      <c r="F88" s="993"/>
      <c r="G88" s="1045" t="s">
        <v>2116</v>
      </c>
      <c r="H88" s="2389"/>
    </row>
    <row r="89" spans="1:9" ht="12.75" x14ac:dyDescent="0.2">
      <c r="A89" s="2384"/>
      <c r="B89" s="2073"/>
      <c r="C89" s="995" t="s">
        <v>2449</v>
      </c>
      <c r="D89" s="1043" t="str">
        <f t="shared" ref="D89:D94" si="29">VLOOKUP(C89,всецены,2,FALSE)</f>
        <v xml:space="preserve">AMB, Рамка 270/242/100, дуб бард        </v>
      </c>
      <c r="E89" s="1052">
        <v>1</v>
      </c>
      <c r="F89" s="1028">
        <f t="shared" ref="F89:F94" si="30">VLOOKUP(C89,всецены,4,FALSE)</f>
        <v>3857.8796256000001</v>
      </c>
      <c r="G89" s="1053">
        <f t="shared" ref="G89:G94" si="31">F89*E89</f>
        <v>3857.8796256000001</v>
      </c>
      <c r="H89" s="1040">
        <f t="shared" ref="H89:H94" si="32">G89</f>
        <v>3857.8796256000001</v>
      </c>
    </row>
    <row r="90" spans="1:9" ht="9" customHeight="1" x14ac:dyDescent="0.2">
      <c r="A90" s="2384"/>
      <c r="B90" s="2073"/>
      <c r="C90" s="995" t="s">
        <v>2606</v>
      </c>
      <c r="D90" s="1043" t="str">
        <f t="shared" si="29"/>
        <v xml:space="preserve">AMB, Рамка 270/242/100, дуб небр        </v>
      </c>
      <c r="E90" s="1052">
        <v>1</v>
      </c>
      <c r="F90" s="1028">
        <f t="shared" si="30"/>
        <v>3857.8796256000001</v>
      </c>
      <c r="G90" s="1053">
        <f t="shared" si="31"/>
        <v>3857.8796256000001</v>
      </c>
      <c r="H90" s="1040">
        <f t="shared" si="32"/>
        <v>3857.8796256000001</v>
      </c>
    </row>
    <row r="91" spans="1:9" ht="12.75" customHeight="1" x14ac:dyDescent="0.2">
      <c r="A91" s="2384"/>
      <c r="B91" s="2073"/>
      <c r="C91" s="1043" t="s">
        <v>2447</v>
      </c>
      <c r="D91" s="1043" t="str">
        <f t="shared" si="29"/>
        <v xml:space="preserve">AMB, Рамка 270/242/100, ор тен          </v>
      </c>
      <c r="E91" s="1052">
        <v>1</v>
      </c>
      <c r="F91" s="1028">
        <f t="shared" si="30"/>
        <v>3857.8796256000001</v>
      </c>
      <c r="G91" s="1053">
        <f t="shared" si="31"/>
        <v>3857.8796256000001</v>
      </c>
      <c r="H91" s="1040">
        <f t="shared" si="32"/>
        <v>3857.8796256000001</v>
      </c>
    </row>
    <row r="92" spans="1:9" ht="12.75" customHeight="1" x14ac:dyDescent="0.2">
      <c r="A92" s="2384"/>
      <c r="B92" s="2073"/>
      <c r="C92" s="1043" t="s">
        <v>2522</v>
      </c>
      <c r="D92" s="1043" t="str">
        <f t="shared" si="29"/>
        <v xml:space="preserve">AMB, Рамка 400/218/100, дуб бард        </v>
      </c>
      <c r="E92" s="1052">
        <v>1</v>
      </c>
      <c r="F92" s="1028">
        <f t="shared" si="30"/>
        <v>3857.8796256000001</v>
      </c>
      <c r="G92" s="1053">
        <f t="shared" si="31"/>
        <v>3857.8796256000001</v>
      </c>
      <c r="H92" s="1040">
        <f t="shared" si="32"/>
        <v>3857.8796256000001</v>
      </c>
    </row>
    <row r="93" spans="1:9" ht="12.75" customHeight="1" x14ac:dyDescent="0.2">
      <c r="A93" s="2384"/>
      <c r="B93" s="2073"/>
      <c r="C93" s="1043" t="s">
        <v>2511</v>
      </c>
      <c r="D93" s="1043" t="str">
        <f t="shared" si="29"/>
        <v xml:space="preserve">AMB, Рамка 400/218/100, дуб небр        </v>
      </c>
      <c r="E93" s="1052">
        <v>1</v>
      </c>
      <c r="F93" s="1028">
        <f t="shared" si="30"/>
        <v>3857.8796256000001</v>
      </c>
      <c r="G93" s="1053">
        <f t="shared" si="31"/>
        <v>3857.8796256000001</v>
      </c>
      <c r="H93" s="1040">
        <f t="shared" si="32"/>
        <v>3857.8796256000001</v>
      </c>
    </row>
    <row r="94" spans="1:9" ht="12.75" customHeight="1" thickBot="1" x14ac:dyDescent="0.25">
      <c r="A94" s="2384"/>
      <c r="B94" s="2074"/>
      <c r="C94" s="1054" t="s">
        <v>2524</v>
      </c>
      <c r="D94" s="404" t="str">
        <f t="shared" si="29"/>
        <v xml:space="preserve">AMB, Рамка 400/218/100, ор тен          </v>
      </c>
      <c r="E94" s="381">
        <v>1</v>
      </c>
      <c r="F94" s="435">
        <f t="shared" si="30"/>
        <v>3857.8796256000001</v>
      </c>
      <c r="G94" s="726">
        <f t="shared" si="31"/>
        <v>3857.8796256000001</v>
      </c>
      <c r="H94" s="1044">
        <f t="shared" si="32"/>
        <v>3857.8796256000001</v>
      </c>
    </row>
    <row r="95" spans="1:9" ht="12.75" customHeight="1" thickBot="1" x14ac:dyDescent="0.25">
      <c r="A95" s="843"/>
      <c r="B95" s="871"/>
      <c r="C95" s="862"/>
      <c r="D95" s="863"/>
      <c r="E95" s="864"/>
      <c r="F95" s="865"/>
      <c r="G95" s="866"/>
      <c r="H95" s="877"/>
    </row>
    <row r="96" spans="1:9" ht="12.75" customHeight="1" x14ac:dyDescent="0.2">
      <c r="A96" s="843"/>
      <c r="B96" s="729"/>
      <c r="C96" s="719"/>
      <c r="D96" s="2144" t="s">
        <v>2878</v>
      </c>
      <c r="E96" s="2144"/>
      <c r="F96" s="2144"/>
      <c r="G96" s="2144"/>
      <c r="H96" s="2145"/>
    </row>
    <row r="97" spans="1:8" x14ac:dyDescent="0.2">
      <c r="A97" s="843"/>
      <c r="B97" s="844"/>
      <c r="C97" s="1039"/>
      <c r="D97" s="852"/>
      <c r="E97" s="869"/>
      <c r="F97" s="869"/>
      <c r="G97" s="870"/>
      <c r="H97" s="2388" t="s">
        <v>1850</v>
      </c>
    </row>
    <row r="98" spans="1:8" ht="15.75" x14ac:dyDescent="0.2">
      <c r="A98" s="1055"/>
      <c r="B98" s="2440"/>
      <c r="C98" s="135" t="s">
        <v>1301</v>
      </c>
      <c r="D98" s="993" t="s">
        <v>784</v>
      </c>
      <c r="E98" s="992" t="s">
        <v>2117</v>
      </c>
      <c r="F98" s="993"/>
      <c r="G98" s="1045" t="s">
        <v>2116</v>
      </c>
      <c r="H98" s="2389"/>
    </row>
    <row r="99" spans="1:8" ht="15.75" x14ac:dyDescent="0.2">
      <c r="A99" s="1055"/>
      <c r="B99" s="2073"/>
      <c r="C99" s="995" t="s">
        <v>2540</v>
      </c>
      <c r="D99" s="1043" t="str">
        <f t="shared" ref="D99:D104" si="33">VLOOKUP(C99,всецены,2,FALSE)</f>
        <v xml:space="preserve">AMB, Адапт С, 218 мм, бел ZC7A0P0C      </v>
      </c>
      <c r="E99" s="1052">
        <v>1</v>
      </c>
      <c r="F99" s="1028">
        <f t="shared" ref="F99:F104" si="34">VLOOKUP(C99,всецены,4,FALSE)</f>
        <v>406.60620000000006</v>
      </c>
      <c r="G99" s="1053">
        <f t="shared" ref="G99:G104" si="35">F99*E99</f>
        <v>406.60620000000006</v>
      </c>
      <c r="H99" s="1040">
        <f t="shared" ref="H99:H104" si="36">G99</f>
        <v>406.60620000000006</v>
      </c>
    </row>
    <row r="100" spans="1:8" ht="15.75" x14ac:dyDescent="0.2">
      <c r="A100" s="1055"/>
      <c r="B100" s="2073"/>
      <c r="C100" s="995" t="s">
        <v>2424</v>
      </c>
      <c r="D100" s="1043" t="str">
        <f t="shared" si="33"/>
        <v xml:space="preserve">AMB, Адапт С, 218 мм, сер ZC7A0P0C      </v>
      </c>
      <c r="E100" s="1052">
        <v>1</v>
      </c>
      <c r="F100" s="1028">
        <f t="shared" si="34"/>
        <v>406.60620000000006</v>
      </c>
      <c r="G100" s="1053">
        <f t="shared" si="35"/>
        <v>406.60620000000006</v>
      </c>
      <c r="H100" s="1040">
        <f t="shared" si="36"/>
        <v>406.60620000000006</v>
      </c>
    </row>
    <row r="101" spans="1:8" ht="15.75" x14ac:dyDescent="0.2">
      <c r="A101" s="1055"/>
      <c r="B101" s="2073"/>
      <c r="C101" s="995" t="s">
        <v>2503</v>
      </c>
      <c r="D101" s="1043" t="str">
        <f>VLOOKUP(C101,всецены,2,FALSE)</f>
        <v xml:space="preserve">AMB, Адапт С, 218 мм, черн ZC7A0P0C     </v>
      </c>
      <c r="E101" s="1052">
        <v>1</v>
      </c>
      <c r="F101" s="1028">
        <f>VLOOKUP(C101,всецены,4,FALSE)</f>
        <v>406.60620000000006</v>
      </c>
      <c r="G101" s="1053">
        <f>F101*E101</f>
        <v>406.60620000000006</v>
      </c>
      <c r="H101" s="1040">
        <f t="shared" si="36"/>
        <v>406.60620000000006</v>
      </c>
    </row>
    <row r="102" spans="1:8" ht="12.75" customHeight="1" x14ac:dyDescent="0.2">
      <c r="A102" s="1055"/>
      <c r="B102" s="2073"/>
      <c r="C102" s="995" t="s">
        <v>2405</v>
      </c>
      <c r="D102" s="1043" t="str">
        <f>VLOOKUP(C102,всецены,2,FALSE)</f>
        <v xml:space="preserve">AMB, Адапт С, 242 мм, бел ZC7A0U0C      </v>
      </c>
      <c r="E102" s="1052">
        <v>1</v>
      </c>
      <c r="F102" s="1028">
        <f>VLOOKUP(C102,всецены,4,FALSE)</f>
        <v>406.60620000000006</v>
      </c>
      <c r="G102" s="1053">
        <f>F102*E102</f>
        <v>406.60620000000006</v>
      </c>
      <c r="H102" s="1040">
        <f t="shared" si="36"/>
        <v>406.60620000000006</v>
      </c>
    </row>
    <row r="103" spans="1:8" ht="12.75" customHeight="1" x14ac:dyDescent="0.2">
      <c r="A103" s="1055"/>
      <c r="B103" s="2073"/>
      <c r="C103" s="1043" t="s">
        <v>2458</v>
      </c>
      <c r="D103" s="1043" t="str">
        <f t="shared" si="33"/>
        <v xml:space="preserve">AMB, Адапт С, 242 мм, сер ZC7A0U0C      </v>
      </c>
      <c r="E103" s="1052">
        <v>1</v>
      </c>
      <c r="F103" s="1028">
        <f t="shared" si="34"/>
        <v>406.60620000000006</v>
      </c>
      <c r="G103" s="1053">
        <f t="shared" si="35"/>
        <v>406.60620000000006</v>
      </c>
      <c r="H103" s="1040">
        <f t="shared" si="36"/>
        <v>406.60620000000006</v>
      </c>
    </row>
    <row r="104" spans="1:8" ht="12.75" customHeight="1" thickBot="1" x14ac:dyDescent="0.25">
      <c r="A104" s="1056"/>
      <c r="B104" s="2074"/>
      <c r="C104" s="404" t="s">
        <v>2592</v>
      </c>
      <c r="D104" s="404" t="str">
        <f t="shared" si="33"/>
        <v xml:space="preserve">AMB, Адапт С, 242 мм, черн ZC7A0U0C     </v>
      </c>
      <c r="E104" s="381">
        <v>1</v>
      </c>
      <c r="F104" s="435">
        <f t="shared" si="34"/>
        <v>406.60620000000006</v>
      </c>
      <c r="G104" s="726">
        <f t="shared" si="35"/>
        <v>406.60620000000006</v>
      </c>
      <c r="H104" s="1044">
        <f t="shared" si="36"/>
        <v>406.60620000000006</v>
      </c>
    </row>
    <row r="105" spans="1:8" ht="12.75" customHeight="1" x14ac:dyDescent="0.2">
      <c r="A105" s="771"/>
      <c r="B105" s="8"/>
      <c r="C105" s="8"/>
      <c r="D105" s="8"/>
      <c r="E105" s="1034"/>
      <c r="F105" s="8"/>
      <c r="G105" s="37"/>
      <c r="H105" s="35"/>
    </row>
    <row r="106" spans="1:8" ht="12.75" customHeight="1" x14ac:dyDescent="0.2">
      <c r="A106" s="843"/>
      <c r="B106" s="2393" t="s">
        <v>5008</v>
      </c>
      <c r="C106" s="2394"/>
      <c r="D106" s="2394"/>
      <c r="E106" s="2394"/>
      <c r="F106" s="2394"/>
      <c r="G106" s="2395"/>
      <c r="H106" s="611"/>
    </row>
    <row r="107" spans="1:8" ht="12.75" customHeight="1" thickBot="1" x14ac:dyDescent="0.25">
      <c r="A107" s="843"/>
      <c r="B107" s="2396"/>
      <c r="C107" s="2396"/>
      <c r="D107" s="2396"/>
      <c r="E107" s="2396"/>
      <c r="F107" s="2396"/>
      <c r="G107" s="2397"/>
      <c r="H107" s="611"/>
    </row>
    <row r="108" spans="1:8" ht="13.5" customHeight="1" x14ac:dyDescent="0.2">
      <c r="A108" s="843"/>
      <c r="B108" s="717"/>
      <c r="C108" s="718"/>
      <c r="D108" s="719"/>
      <c r="E108" s="719"/>
      <c r="F108" s="719"/>
      <c r="G108" s="720"/>
      <c r="H108" s="1051" t="s">
        <v>5007</v>
      </c>
    </row>
    <row r="109" spans="1:8" x14ac:dyDescent="0.2">
      <c r="A109" s="843"/>
      <c r="B109" s="844"/>
      <c r="C109" s="1039"/>
      <c r="D109" s="852"/>
      <c r="E109" s="867"/>
      <c r="F109" s="867"/>
      <c r="G109" s="868"/>
      <c r="H109" s="2388" t="s">
        <v>1850</v>
      </c>
    </row>
    <row r="110" spans="1:8" ht="15.75" x14ac:dyDescent="0.2">
      <c r="A110" s="1055"/>
      <c r="B110" s="2440"/>
      <c r="C110" s="135" t="s">
        <v>1301</v>
      </c>
      <c r="D110" s="993" t="s">
        <v>784</v>
      </c>
      <c r="E110" s="992" t="s">
        <v>2117</v>
      </c>
      <c r="F110" s="993"/>
      <c r="G110" s="1045" t="s">
        <v>2116</v>
      </c>
      <c r="H110" s="2389"/>
    </row>
    <row r="111" spans="1:8" ht="15.75" x14ac:dyDescent="0.2">
      <c r="A111" s="1055"/>
      <c r="B111" s="2073"/>
      <c r="C111" s="995" t="s">
        <v>5002</v>
      </c>
      <c r="D111" s="1043" t="str">
        <f t="shared" ref="D111:D116" si="37">VLOOKUP(C111,всецены,2,FALSE)</f>
        <v xml:space="preserve">Move+, лоток 300/500, белый             </v>
      </c>
      <c r="E111" s="1052">
        <v>1</v>
      </c>
      <c r="F111" s="1028">
        <f t="shared" ref="F111:F116" si="38">VLOOKUP(C111,всецены,4,FALSE)</f>
        <v>721.31939879999993</v>
      </c>
      <c r="G111" s="1053">
        <f t="shared" ref="G111:G116" si="39">F111*E111</f>
        <v>721.31939879999993</v>
      </c>
      <c r="H111" s="1040">
        <f t="shared" ref="H111:H116" si="40">G111</f>
        <v>721.31939879999993</v>
      </c>
    </row>
    <row r="112" spans="1:8" ht="15.75" x14ac:dyDescent="0.2">
      <c r="A112" s="1055"/>
      <c r="B112" s="2073"/>
      <c r="C112" s="995" t="s">
        <v>5004</v>
      </c>
      <c r="D112" s="1043" t="str">
        <f t="shared" si="37"/>
        <v>Move+, лоток 300/500, гаванна коричневый</v>
      </c>
      <c r="E112" s="1052">
        <v>1</v>
      </c>
      <c r="F112" s="1028">
        <f t="shared" si="38"/>
        <v>721.31939879999993</v>
      </c>
      <c r="G112" s="1053">
        <f t="shared" si="39"/>
        <v>721.31939879999993</v>
      </c>
      <c r="H112" s="1040">
        <f t="shared" si="40"/>
        <v>721.31939879999993</v>
      </c>
    </row>
    <row r="113" spans="1:8" ht="15.75" x14ac:dyDescent="0.2">
      <c r="A113" s="1055"/>
      <c r="B113" s="2073"/>
      <c r="C113" s="1043" t="s">
        <v>5003</v>
      </c>
      <c r="D113" s="1043" t="str">
        <f t="shared" si="37"/>
        <v xml:space="preserve">Move+, лоток 300/500, серый             </v>
      </c>
      <c r="E113" s="1052">
        <v>1</v>
      </c>
      <c r="F113" s="1028">
        <f t="shared" si="38"/>
        <v>721.31939879999993</v>
      </c>
      <c r="G113" s="1053">
        <f t="shared" si="39"/>
        <v>721.31939879999993</v>
      </c>
      <c r="H113" s="1040">
        <f t="shared" si="40"/>
        <v>721.31939879999993</v>
      </c>
    </row>
    <row r="114" spans="1:8" ht="15.75" x14ac:dyDescent="0.2">
      <c r="A114" s="1055"/>
      <c r="B114" s="2073"/>
      <c r="C114" s="1043" t="s">
        <v>4993</v>
      </c>
      <c r="D114" s="1043" t="str">
        <f t="shared" si="37"/>
        <v xml:space="preserve">Move+, разделитель, белый               </v>
      </c>
      <c r="E114" s="1052">
        <v>1</v>
      </c>
      <c r="F114" s="1028">
        <f t="shared" si="38"/>
        <v>85.387302000000005</v>
      </c>
      <c r="G114" s="1053">
        <f t="shared" si="39"/>
        <v>85.387302000000005</v>
      </c>
      <c r="H114" s="1040">
        <f t="shared" si="40"/>
        <v>85.387302000000005</v>
      </c>
    </row>
    <row r="115" spans="1:8" ht="15.75" x14ac:dyDescent="0.2">
      <c r="A115" s="1055"/>
      <c r="B115" s="2073"/>
      <c r="C115" s="1042" t="s">
        <v>4994</v>
      </c>
      <c r="D115" s="1043" t="str">
        <f t="shared" si="37"/>
        <v xml:space="preserve">Move+, разделитель, серый               </v>
      </c>
      <c r="E115" s="1052">
        <v>1</v>
      </c>
      <c r="F115" s="1028">
        <f t="shared" si="38"/>
        <v>85.387302000000005</v>
      </c>
      <c r="G115" s="1053">
        <f t="shared" si="39"/>
        <v>85.387302000000005</v>
      </c>
      <c r="H115" s="1040">
        <f t="shared" si="40"/>
        <v>85.387302000000005</v>
      </c>
    </row>
    <row r="116" spans="1:8" ht="16.5" thickBot="1" x14ac:dyDescent="0.25">
      <c r="A116" s="1056"/>
      <c r="B116" s="2074"/>
      <c r="C116" s="404" t="s">
        <v>4995</v>
      </c>
      <c r="D116" s="404" t="str">
        <f t="shared" si="37"/>
        <v xml:space="preserve">Move+, разделитель, черный              </v>
      </c>
      <c r="E116" s="381">
        <v>1</v>
      </c>
      <c r="F116" s="435">
        <f t="shared" si="38"/>
        <v>85.387302000000005</v>
      </c>
      <c r="G116" s="726">
        <f t="shared" si="39"/>
        <v>85.387302000000005</v>
      </c>
      <c r="H116" s="1044">
        <f t="shared" si="40"/>
        <v>85.387302000000005</v>
      </c>
    </row>
    <row r="117" spans="1:8" x14ac:dyDescent="0.2">
      <c r="A117" s="889"/>
      <c r="B117" s="771"/>
      <c r="C117" s="771"/>
      <c r="D117" s="771"/>
      <c r="E117" s="774"/>
      <c r="F117" s="771"/>
      <c r="G117" s="801"/>
      <c r="H117" s="887"/>
    </row>
    <row r="118" spans="1:8" x14ac:dyDescent="0.2">
      <c r="A118" s="889"/>
      <c r="B118" s="771"/>
      <c r="C118" s="771"/>
      <c r="D118" s="771"/>
      <c r="E118" s="774"/>
      <c r="F118" s="771"/>
      <c r="G118" s="801"/>
      <c r="H118" s="887"/>
    </row>
    <row r="119" spans="1:8" x14ac:dyDescent="0.2">
      <c r="A119" s="889"/>
      <c r="B119" s="771"/>
      <c r="C119" s="771"/>
      <c r="D119" s="771"/>
      <c r="E119" s="774"/>
      <c r="F119" s="771"/>
      <c r="G119" s="801"/>
      <c r="H119" s="887"/>
    </row>
    <row r="120" spans="1:8" x14ac:dyDescent="0.2">
      <c r="A120" s="889"/>
      <c r="B120" s="771"/>
      <c r="C120" s="771"/>
      <c r="D120" s="771"/>
      <c r="E120" s="774"/>
      <c r="F120" s="771"/>
      <c r="G120" s="801"/>
      <c r="H120" s="887"/>
    </row>
    <row r="121" spans="1:8" x14ac:dyDescent="0.2">
      <c r="A121" s="889"/>
      <c r="B121" s="771"/>
      <c r="C121" s="771"/>
      <c r="D121" s="771"/>
      <c r="E121" s="774"/>
      <c r="F121" s="771"/>
      <c r="G121" s="801"/>
      <c r="H121" s="887"/>
    </row>
    <row r="122" spans="1:8" x14ac:dyDescent="0.2">
      <c r="A122" s="889"/>
      <c r="B122" s="771"/>
      <c r="C122" s="771"/>
      <c r="D122" s="771"/>
      <c r="E122" s="774"/>
      <c r="F122" s="771"/>
      <c r="G122" s="801"/>
      <c r="H122" s="887"/>
    </row>
    <row r="123" spans="1:8" x14ac:dyDescent="0.2">
      <c r="A123" s="889"/>
      <c r="B123" s="771"/>
      <c r="C123" s="771"/>
      <c r="D123" s="771"/>
      <c r="E123" s="774"/>
      <c r="F123" s="771"/>
      <c r="G123" s="801"/>
      <c r="H123" s="887"/>
    </row>
    <row r="124" spans="1:8" x14ac:dyDescent="0.2">
      <c r="A124" s="889"/>
      <c r="B124" s="771"/>
      <c r="C124" s="771"/>
      <c r="D124" s="771"/>
      <c r="E124" s="774"/>
      <c r="F124" s="771"/>
      <c r="G124" s="801"/>
      <c r="H124" s="887"/>
    </row>
    <row r="125" spans="1:8" x14ac:dyDescent="0.2">
      <c r="A125" s="889"/>
      <c r="B125" s="771"/>
      <c r="C125" s="771"/>
      <c r="D125" s="771"/>
      <c r="E125" s="774"/>
      <c r="F125" s="771"/>
      <c r="G125" s="801"/>
      <c r="H125" s="887"/>
    </row>
    <row r="126" spans="1:8" x14ac:dyDescent="0.2">
      <c r="A126" s="889"/>
      <c r="B126" s="771"/>
      <c r="C126" s="771"/>
      <c r="D126" s="771"/>
      <c r="E126" s="774"/>
      <c r="F126" s="771"/>
      <c r="G126" s="801"/>
      <c r="H126" s="887"/>
    </row>
    <row r="127" spans="1:8" x14ac:dyDescent="0.2">
      <c r="A127" s="889"/>
      <c r="B127" s="771"/>
      <c r="C127" s="771"/>
      <c r="D127" s="771"/>
      <c r="E127" s="774"/>
      <c r="F127" s="771"/>
      <c r="G127" s="801"/>
      <c r="H127" s="887"/>
    </row>
    <row r="128" spans="1:8" x14ac:dyDescent="0.2">
      <c r="A128" s="889"/>
      <c r="B128" s="771"/>
      <c r="C128" s="771"/>
      <c r="D128" s="771"/>
      <c r="E128" s="774"/>
      <c r="F128" s="771"/>
      <c r="G128" s="801"/>
      <c r="H128" s="887"/>
    </row>
    <row r="129" spans="1:8" x14ac:dyDescent="0.2">
      <c r="A129" s="889"/>
      <c r="B129" s="771"/>
      <c r="C129" s="771"/>
      <c r="D129" s="771"/>
      <c r="E129" s="774"/>
      <c r="F129" s="771"/>
      <c r="G129" s="801"/>
      <c r="H129" s="887"/>
    </row>
    <row r="130" spans="1:8" x14ac:dyDescent="0.2">
      <c r="A130" s="889"/>
      <c r="B130" s="771"/>
      <c r="C130" s="771"/>
      <c r="D130" s="771"/>
      <c r="E130" s="774"/>
      <c r="F130" s="771"/>
      <c r="G130" s="801"/>
      <c r="H130" s="887"/>
    </row>
    <row r="131" spans="1:8" x14ac:dyDescent="0.2">
      <c r="A131" s="889"/>
      <c r="B131" s="771"/>
      <c r="C131" s="771"/>
      <c r="D131" s="771"/>
      <c r="E131" s="774"/>
      <c r="F131" s="771"/>
      <c r="G131" s="801"/>
      <c r="H131" s="887"/>
    </row>
    <row r="132" spans="1:8" x14ac:dyDescent="0.2">
      <c r="A132" s="889"/>
      <c r="B132" s="771"/>
      <c r="C132" s="771"/>
      <c r="D132" s="771"/>
      <c r="E132" s="774"/>
      <c r="F132" s="771"/>
      <c r="G132" s="801"/>
      <c r="H132" s="887"/>
    </row>
    <row r="133" spans="1:8" x14ac:dyDescent="0.2">
      <c r="A133" s="889"/>
      <c r="B133" s="771"/>
      <c r="C133" s="771"/>
      <c r="D133" s="771"/>
      <c r="E133" s="774"/>
      <c r="F133" s="771"/>
      <c r="G133" s="801"/>
      <c r="H133" s="887"/>
    </row>
    <row r="134" spans="1:8" x14ac:dyDescent="0.2">
      <c r="A134" s="889"/>
      <c r="B134" s="771"/>
      <c r="C134" s="771"/>
      <c r="D134" s="771"/>
      <c r="E134" s="774"/>
      <c r="F134" s="771"/>
      <c r="G134" s="801"/>
      <c r="H134" s="887"/>
    </row>
    <row r="135" spans="1:8" x14ac:dyDescent="0.2">
      <c r="A135" s="889"/>
      <c r="B135" s="771"/>
      <c r="C135" s="771"/>
      <c r="D135" s="771"/>
      <c r="E135" s="774"/>
      <c r="F135" s="771"/>
      <c r="G135" s="801"/>
      <c r="H135" s="887"/>
    </row>
    <row r="136" spans="1:8" x14ac:dyDescent="0.2">
      <c r="A136" s="889"/>
      <c r="B136" s="771"/>
      <c r="C136" s="771"/>
      <c r="D136" s="771"/>
      <c r="E136" s="774"/>
      <c r="F136" s="771"/>
      <c r="G136" s="801"/>
      <c r="H136" s="887"/>
    </row>
    <row r="137" spans="1:8" x14ac:dyDescent="0.2">
      <c r="A137" s="889"/>
      <c r="B137" s="771"/>
      <c r="C137" s="771"/>
      <c r="D137" s="771"/>
      <c r="E137" s="774"/>
      <c r="F137" s="771"/>
      <c r="G137" s="801"/>
      <c r="H137" s="887"/>
    </row>
    <row r="138" spans="1:8" x14ac:dyDescent="0.2">
      <c r="A138" s="889"/>
      <c r="B138" s="771"/>
      <c r="C138" s="771"/>
      <c r="D138" s="771"/>
      <c r="E138" s="774"/>
      <c r="F138" s="771"/>
      <c r="G138" s="801"/>
      <c r="H138" s="887"/>
    </row>
    <row r="139" spans="1:8" x14ac:dyDescent="0.2">
      <c r="A139" s="889"/>
      <c r="B139" s="771"/>
      <c r="C139" s="771"/>
      <c r="D139" s="771"/>
      <c r="E139" s="774"/>
      <c r="F139" s="771"/>
      <c r="G139" s="801"/>
      <c r="H139" s="887"/>
    </row>
    <row r="140" spans="1:8" x14ac:dyDescent="0.2">
      <c r="A140" s="889"/>
      <c r="B140" s="771"/>
      <c r="C140" s="771"/>
      <c r="D140" s="771"/>
      <c r="E140" s="774"/>
      <c r="F140" s="771"/>
      <c r="G140" s="801"/>
      <c r="H140" s="887"/>
    </row>
    <row r="141" spans="1:8" x14ac:dyDescent="0.2">
      <c r="A141" s="889"/>
      <c r="B141" s="771"/>
      <c r="C141" s="771"/>
      <c r="D141" s="771"/>
      <c r="E141" s="774"/>
      <c r="F141" s="771"/>
      <c r="G141" s="801"/>
      <c r="H141" s="887"/>
    </row>
    <row r="142" spans="1:8" x14ac:dyDescent="0.2">
      <c r="A142" s="889"/>
      <c r="B142" s="771"/>
      <c r="C142" s="771"/>
      <c r="D142" s="771"/>
      <c r="E142" s="774"/>
      <c r="F142" s="771"/>
      <c r="G142" s="801"/>
      <c r="H142" s="887"/>
    </row>
  </sheetData>
  <protectedRanges>
    <protectedRange sqref="C97 C41 C77 C87 C48 C55 C65 C5 C109" name="Диапазон1"/>
  </protectedRanges>
  <mergeCells count="39">
    <mergeCell ref="B30:G31"/>
    <mergeCell ref="B12:G13"/>
    <mergeCell ref="C14:E14"/>
    <mergeCell ref="H14:H15"/>
    <mergeCell ref="H16:H18"/>
    <mergeCell ref="B21:G22"/>
    <mergeCell ref="B2:G3"/>
    <mergeCell ref="H5:H6"/>
    <mergeCell ref="B6:B9"/>
    <mergeCell ref="C4:H4"/>
    <mergeCell ref="H7:H9"/>
    <mergeCell ref="A42:A45"/>
    <mergeCell ref="B42:B45"/>
    <mergeCell ref="D47:H47"/>
    <mergeCell ref="H48:H49"/>
    <mergeCell ref="B49:B52"/>
    <mergeCell ref="H41:H42"/>
    <mergeCell ref="A88:A94"/>
    <mergeCell ref="B88:B94"/>
    <mergeCell ref="B74:G75"/>
    <mergeCell ref="H77:H78"/>
    <mergeCell ref="A78:A84"/>
    <mergeCell ref="B78:B84"/>
    <mergeCell ref="D86:H86"/>
    <mergeCell ref="H32:H33"/>
    <mergeCell ref="H109:H110"/>
    <mergeCell ref="B106:G107"/>
    <mergeCell ref="B110:B116"/>
    <mergeCell ref="B98:B104"/>
    <mergeCell ref="D54:H54"/>
    <mergeCell ref="H55:H56"/>
    <mergeCell ref="B56:B62"/>
    <mergeCell ref="D64:H64"/>
    <mergeCell ref="H65:H66"/>
    <mergeCell ref="B66:B72"/>
    <mergeCell ref="D96:H96"/>
    <mergeCell ref="H97:H98"/>
    <mergeCell ref="H87:H88"/>
    <mergeCell ref="B38:G39"/>
  </mergeCells>
  <conditionalFormatting sqref="C4:H4">
    <cfRule type="cellIs" dxfId="67" priority="66" operator="equal">
      <formula>$K$9</formula>
    </cfRule>
    <cfRule type="cellIs" dxfId="66" priority="67" operator="equal">
      <formula>$K$8</formula>
    </cfRule>
    <cfRule type="cellIs" dxfId="65" priority="68" operator="equal">
      <formula>$K$7</formula>
    </cfRule>
    <cfRule type="cellIs" dxfId="64" priority="69" operator="equal">
      <formula>$K$6</formula>
    </cfRule>
    <cfRule type="cellIs" dxfId="63" priority="70" operator="equal">
      <formula>$K$4</formula>
    </cfRule>
  </conditionalFormatting>
  <conditionalFormatting sqref="C14 F14:G14">
    <cfRule type="cellIs" dxfId="62" priority="11" operator="equal">
      <formula>$K$9</formula>
    </cfRule>
    <cfRule type="cellIs" dxfId="61" priority="12" operator="equal">
      <formula>$K$8</formula>
    </cfRule>
    <cfRule type="cellIs" dxfId="60" priority="13" operator="equal">
      <formula>$K$7</formula>
    </cfRule>
    <cfRule type="cellIs" dxfId="59" priority="14" operator="equal">
      <formula>$K$6</formula>
    </cfRule>
    <cfRule type="cellIs" dxfId="58" priority="15" operator="equal">
      <formula>$K$4</formula>
    </cfRule>
  </conditionalFormatting>
  <conditionalFormatting sqref="D32 F32:G32">
    <cfRule type="cellIs" dxfId="57" priority="1" operator="equal">
      <formula>$K$9</formula>
    </cfRule>
    <cfRule type="cellIs" dxfId="56" priority="2" operator="equal">
      <formula>$K$8</formula>
    </cfRule>
    <cfRule type="cellIs" dxfId="55" priority="3" operator="equal">
      <formula>$K$7</formula>
    </cfRule>
    <cfRule type="cellIs" dxfId="54" priority="4" operator="equal">
      <formula>$K$6</formula>
    </cfRule>
    <cfRule type="cellIs" dxfId="53" priority="5" operator="equal">
      <formula>$K$4</formula>
    </cfRule>
  </conditionalFormatting>
  <dataValidations count="5">
    <dataValidation type="list" allowBlank="1" showInputMessage="1" showErrorMessage="1" sqref="C76 C108" xr:uid="{00000000-0002-0000-1C00-000000000000}">
      <formula1>#REF!</formula1>
    </dataValidation>
    <dataValidation type="list" allowBlank="1" showInputMessage="1" showErrorMessage="1" sqref="C4" xr:uid="{00000000-0002-0000-1C00-000001000000}">
      <formula1>$K$4:$K$9</formula1>
    </dataValidation>
    <dataValidation type="list" allowBlank="1" showInputMessage="1" showErrorMessage="1" sqref="C14:E14 D32:E32" xr:uid="{00000000-0002-0000-1C00-000002000000}">
      <formula1>$L$47:$L$49</formula1>
    </dataValidation>
    <dataValidation type="list" allowBlank="1" showInputMessage="1" showErrorMessage="1" sqref="F14:G14 F32" xr:uid="{00000000-0002-0000-1C00-000003000000}">
      <formula1>$L$19:$L$40</formula1>
    </dataValidation>
    <dataValidation type="list" allowBlank="1" showInputMessage="1" showErrorMessage="1" sqref="C5" xr:uid="{00000000-0002-0000-1C00-000004000000}">
      <formula1>$AC$5:$AC$15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 codeName="Лист34"/>
  <dimension ref="A1:Y192"/>
  <sheetViews>
    <sheetView showGridLines="0" workbookViewId="0">
      <selection sqref="A1:F1"/>
    </sheetView>
  </sheetViews>
  <sheetFormatPr defaultRowHeight="12.75" x14ac:dyDescent="0.2"/>
  <cols>
    <col min="1" max="1" width="2.85546875" style="15" customWidth="1"/>
    <col min="2" max="3" width="13" style="15" customWidth="1"/>
    <col min="4" max="4" width="11.7109375" style="15" bestFit="1" customWidth="1"/>
    <col min="5" max="5" width="40" style="15" customWidth="1"/>
    <col min="6" max="7" width="9.140625" style="15"/>
    <col min="8" max="8" width="1.7109375" style="15" customWidth="1"/>
    <col min="9" max="17" width="9.140625" style="15" hidden="1" customWidth="1"/>
    <col min="18" max="18" width="12" style="15" hidden="1" customWidth="1"/>
    <col min="19" max="19" width="11.85546875" style="15" hidden="1" customWidth="1"/>
    <col min="20" max="20" width="38" style="15" hidden="1" customWidth="1"/>
    <col min="21" max="22" width="9.140625" style="15" customWidth="1"/>
    <col min="23" max="16384" width="9.140625" style="15"/>
  </cols>
  <sheetData>
    <row r="1" spans="1:25" ht="40.5" customHeight="1" x14ac:dyDescent="0.2">
      <c r="A1" s="2390" t="s">
        <v>5087</v>
      </c>
      <c r="B1" s="2390"/>
      <c r="C1" s="2390"/>
      <c r="D1" s="2390"/>
      <c r="E1" s="2390"/>
      <c r="F1" s="2390"/>
      <c r="G1" s="1661"/>
      <c r="H1" s="1662"/>
      <c r="K1" s="15" t="s">
        <v>5088</v>
      </c>
      <c r="L1" s="15" t="s">
        <v>5089</v>
      </c>
      <c r="M1" s="15" t="s">
        <v>5090</v>
      </c>
      <c r="N1" s="15" t="s">
        <v>2396</v>
      </c>
      <c r="O1" s="15" t="s">
        <v>5091</v>
      </c>
      <c r="P1" s="15" t="s">
        <v>5092</v>
      </c>
      <c r="Q1" s="15" t="s">
        <v>5090</v>
      </c>
      <c r="S1" s="1659" t="s">
        <v>5093</v>
      </c>
      <c r="T1" s="1659" t="s">
        <v>7168</v>
      </c>
    </row>
    <row r="2" spans="1:25" s="1663" customFormat="1" ht="0.75" customHeight="1" x14ac:dyDescent="0.2">
      <c r="K2" s="1663">
        <v>300</v>
      </c>
      <c r="L2" s="1663">
        <v>350</v>
      </c>
      <c r="M2" s="1664" t="s">
        <v>1333</v>
      </c>
      <c r="N2" s="1663" t="s">
        <v>2398</v>
      </c>
      <c r="O2" s="1663" t="str">
        <f t="shared" ref="O2:O30" si="0">MID(T2,23,7)</f>
        <v>300х500</v>
      </c>
      <c r="P2" s="1663" t="str">
        <f t="shared" ref="P2:P30" si="1">MID(T2,32,3)</f>
        <v>чер</v>
      </c>
      <c r="R2" s="1663" t="str">
        <f>O2&amp;P2&amp;Q2</f>
        <v>300х500чер</v>
      </c>
      <c r="S2" s="269" t="s">
        <v>4648</v>
      </c>
      <c r="T2" s="269" t="s">
        <v>7046</v>
      </c>
      <c r="Y2" s="1665"/>
    </row>
    <row r="3" spans="1:25" s="1663" customFormat="1" ht="14.1" customHeight="1" x14ac:dyDescent="0.2">
      <c r="A3" s="1666"/>
      <c r="B3" s="1667" t="s">
        <v>5094</v>
      </c>
      <c r="C3" s="1668"/>
      <c r="D3" s="1669"/>
      <c r="E3" s="1670" t="s">
        <v>2398</v>
      </c>
      <c r="I3" s="1663" t="str">
        <f>IF(E3=N1,E4&amp;"х"&amp;E5&amp;"сер",IF(E3=N2,E4&amp;"х"&amp;E5&amp;"бел",E4&amp;"х"&amp;E5&amp;"чер"))</f>
        <v>600х350бел</v>
      </c>
      <c r="K3" s="1663">
        <v>400</v>
      </c>
      <c r="L3" s="1663">
        <v>400</v>
      </c>
      <c r="M3" s="1664" t="s">
        <v>1344</v>
      </c>
      <c r="N3" s="1663" t="s">
        <v>2397</v>
      </c>
      <c r="O3" s="1663" t="str">
        <f t="shared" si="0"/>
        <v>400х350</v>
      </c>
      <c r="P3" s="1663" t="str">
        <f t="shared" si="1"/>
        <v>чер</v>
      </c>
      <c r="R3" s="1663" t="str">
        <f t="shared" ref="R3:R66" si="2">O3&amp;P3&amp;Q3</f>
        <v>400х350чер</v>
      </c>
      <c r="S3" s="269" t="s">
        <v>4649</v>
      </c>
      <c r="T3" s="269" t="s">
        <v>7047</v>
      </c>
    </row>
    <row r="4" spans="1:25" s="1663" customFormat="1" ht="14.1" customHeight="1" x14ac:dyDescent="0.2">
      <c r="A4" s="1671"/>
      <c r="B4" s="1672" t="s">
        <v>5095</v>
      </c>
      <c r="C4" s="1673"/>
      <c r="E4" s="1674">
        <v>600</v>
      </c>
      <c r="I4" s="1663" t="str">
        <f>IF(E3=N1,E4&amp;"сер"&amp;E6,IF(E3=N2,E4&amp;"бел"&amp;E6,E4&amp;"чер"&amp;E6))</f>
        <v>600белC</v>
      </c>
      <c r="K4" s="1663">
        <v>450</v>
      </c>
      <c r="L4" s="1663">
        <v>450</v>
      </c>
      <c r="M4" s="1664" t="s">
        <v>1346</v>
      </c>
      <c r="O4" s="1663" t="str">
        <f t="shared" si="0"/>
        <v>400х400</v>
      </c>
      <c r="P4" s="1663" t="str">
        <f t="shared" si="1"/>
        <v>чер</v>
      </c>
      <c r="R4" s="1663" t="str">
        <f t="shared" si="2"/>
        <v>400х400чер</v>
      </c>
      <c r="S4" s="269" t="s">
        <v>4650</v>
      </c>
      <c r="T4" s="269" t="s">
        <v>7048</v>
      </c>
    </row>
    <row r="5" spans="1:25" s="1663" customFormat="1" ht="14.1" customHeight="1" x14ac:dyDescent="0.2">
      <c r="B5" s="1672" t="s">
        <v>5096</v>
      </c>
      <c r="C5" s="1673"/>
      <c r="E5" s="1674">
        <v>350</v>
      </c>
      <c r="K5" s="1663">
        <v>500</v>
      </c>
      <c r="L5" s="1663">
        <v>500</v>
      </c>
      <c r="O5" s="1663" t="str">
        <f t="shared" si="0"/>
        <v>400х450</v>
      </c>
      <c r="P5" s="1663" t="str">
        <f t="shared" si="1"/>
        <v>чер</v>
      </c>
      <c r="R5" s="1663" t="str">
        <f t="shared" si="2"/>
        <v>400х450чер</v>
      </c>
      <c r="S5" s="269" t="s">
        <v>4651</v>
      </c>
      <c r="T5" s="269" t="s">
        <v>7049</v>
      </c>
    </row>
    <row r="6" spans="1:25" x14ac:dyDescent="0.2">
      <c r="A6" s="1663"/>
      <c r="B6" s="1672" t="s">
        <v>5097</v>
      </c>
      <c r="C6" s="1673"/>
      <c r="D6" s="1663"/>
      <c r="E6" s="1674" t="s">
        <v>1344</v>
      </c>
      <c r="F6" s="1663"/>
      <c r="G6" s="1663"/>
      <c r="H6" s="1663"/>
      <c r="K6" s="15">
        <v>600</v>
      </c>
      <c r="O6" s="15" t="str">
        <f t="shared" si="0"/>
        <v>400х500</v>
      </c>
      <c r="P6" s="15" t="str">
        <f t="shared" si="1"/>
        <v>чер</v>
      </c>
      <c r="R6" s="15" t="str">
        <f t="shared" si="2"/>
        <v>400х500чер</v>
      </c>
      <c r="S6" s="1659" t="s">
        <v>4652</v>
      </c>
      <c r="T6" s="1659" t="s">
        <v>7050</v>
      </c>
    </row>
    <row r="7" spans="1:25" x14ac:dyDescent="0.2">
      <c r="K7" s="15">
        <v>700</v>
      </c>
      <c r="O7" s="15" t="str">
        <f t="shared" si="0"/>
        <v>450х350</v>
      </c>
      <c r="P7" s="15" t="str">
        <f t="shared" si="1"/>
        <v>чер</v>
      </c>
      <c r="R7" s="15" t="str">
        <f t="shared" si="2"/>
        <v>450х350чер</v>
      </c>
      <c r="S7" s="1659" t="s">
        <v>4653</v>
      </c>
      <c r="T7" s="1659" t="s">
        <v>7051</v>
      </c>
    </row>
    <row r="8" spans="1:25" ht="15" customHeight="1" x14ac:dyDescent="0.2">
      <c r="A8" s="2393" t="s">
        <v>5098</v>
      </c>
      <c r="B8" s="2393"/>
      <c r="C8" s="2393"/>
      <c r="D8" s="2393"/>
      <c r="E8" s="2393"/>
      <c r="F8" s="2446"/>
      <c r="G8" s="611"/>
      <c r="K8" s="15">
        <v>800</v>
      </c>
      <c r="O8" s="15" t="str">
        <f t="shared" si="0"/>
        <v>450х400</v>
      </c>
      <c r="P8" s="15" t="str">
        <f t="shared" si="1"/>
        <v>чер</v>
      </c>
      <c r="R8" s="15" t="str">
        <f t="shared" si="2"/>
        <v>450х400чер</v>
      </c>
      <c r="S8" s="1659" t="s">
        <v>4654</v>
      </c>
      <c r="T8" s="1659" t="s">
        <v>7052</v>
      </c>
    </row>
    <row r="9" spans="1:25" ht="15.75" customHeight="1" thickBot="1" x14ac:dyDescent="0.25">
      <c r="A9" s="2393"/>
      <c r="B9" s="2393"/>
      <c r="C9" s="2393"/>
      <c r="D9" s="2393"/>
      <c r="E9" s="2393"/>
      <c r="F9" s="2446"/>
      <c r="G9" s="611"/>
      <c r="H9" s="1675"/>
      <c r="K9" s="15">
        <v>900</v>
      </c>
      <c r="O9" s="15" t="str">
        <f t="shared" si="0"/>
        <v>450х450</v>
      </c>
      <c r="P9" s="15" t="str">
        <f t="shared" si="1"/>
        <v>чер</v>
      </c>
      <c r="R9" s="15" t="str">
        <f t="shared" si="2"/>
        <v>450х450чер</v>
      </c>
      <c r="S9" s="1659" t="s">
        <v>4655</v>
      </c>
      <c r="T9" s="1659" t="s">
        <v>7053</v>
      </c>
    </row>
    <row r="10" spans="1:25" ht="15" customHeight="1" x14ac:dyDescent="0.2">
      <c r="A10" s="849"/>
      <c r="B10" s="851"/>
      <c r="C10" s="698"/>
      <c r="D10" s="833"/>
      <c r="E10" s="833"/>
      <c r="F10" s="834"/>
      <c r="G10" s="832"/>
      <c r="H10" s="1675"/>
      <c r="K10" s="15">
        <v>1000</v>
      </c>
      <c r="O10" s="15" t="str">
        <f t="shared" si="0"/>
        <v>450х500</v>
      </c>
      <c r="P10" s="15" t="str">
        <f t="shared" si="1"/>
        <v>чер</v>
      </c>
      <c r="R10" s="15" t="str">
        <f t="shared" si="2"/>
        <v>450х500чер</v>
      </c>
      <c r="S10" s="1659" t="s">
        <v>4656</v>
      </c>
      <c r="T10" s="1659" t="s">
        <v>7054</v>
      </c>
    </row>
    <row r="11" spans="1:25" ht="15" customHeight="1" x14ac:dyDescent="0.2">
      <c r="A11" s="849"/>
      <c r="B11" s="1676"/>
      <c r="C11" s="1677" t="s">
        <v>1301</v>
      </c>
      <c r="D11" s="2447" t="s">
        <v>784</v>
      </c>
      <c r="E11" s="2448"/>
      <c r="F11" s="1678" t="s">
        <v>2116</v>
      </c>
      <c r="G11" s="1679" t="s">
        <v>1850</v>
      </c>
      <c r="H11" s="1680"/>
      <c r="K11" s="15">
        <v>1200</v>
      </c>
      <c r="O11" s="15" t="str">
        <f t="shared" si="0"/>
        <v>500х350</v>
      </c>
      <c r="P11" s="15" t="str">
        <f t="shared" si="1"/>
        <v>чер</v>
      </c>
      <c r="R11" s="15" t="str">
        <f t="shared" si="2"/>
        <v>500х350чер</v>
      </c>
      <c r="S11" s="1659" t="s">
        <v>4657</v>
      </c>
      <c r="T11" s="1659" t="s">
        <v>7055</v>
      </c>
    </row>
    <row r="12" spans="1:25" ht="15" customHeight="1" x14ac:dyDescent="0.2">
      <c r="A12" s="1639"/>
      <c r="B12" s="478"/>
      <c r="C12" s="1681" t="str">
        <f>VLOOKUP(I3,R:S,2,0)</f>
        <v>BW0533340/</v>
      </c>
      <c r="D12" s="1681" t="str">
        <f>VLOOKUP(I3,R:T,3,0)</f>
        <v xml:space="preserve">Дно ящика LBX, корпус 600х350, бел  </v>
      </c>
      <c r="E12" s="1682"/>
      <c r="F12" s="1683">
        <f>VLOOKUP(C12,всецены,4,FALSE)</f>
        <v>100.8383376</v>
      </c>
      <c r="G12" s="1684">
        <f>F12</f>
        <v>100.8383376</v>
      </c>
      <c r="H12" s="1685"/>
      <c r="O12" s="15" t="str">
        <f t="shared" si="0"/>
        <v>500х400</v>
      </c>
      <c r="P12" s="15" t="str">
        <f t="shared" si="1"/>
        <v>чер</v>
      </c>
      <c r="R12" s="15" t="str">
        <f t="shared" si="2"/>
        <v>500х400чер</v>
      </c>
      <c r="S12" s="1659" t="s">
        <v>4658</v>
      </c>
      <c r="T12" s="1659" t="s">
        <v>7056</v>
      </c>
    </row>
    <row r="13" spans="1:25" ht="15" customHeight="1" thickBot="1" x14ac:dyDescent="0.25">
      <c r="A13" s="1639"/>
      <c r="B13" s="1686"/>
      <c r="C13" s="1687" t="str">
        <f>VLOOKUP(I4,R:S,2,0)</f>
        <v>RW1480530/</v>
      </c>
      <c r="D13" s="1687" t="str">
        <f>VLOOKUP(I4,R:T,3,0)</f>
        <v xml:space="preserve">Задн. стен. LBX, корпус 600 выс. C, бел </v>
      </c>
      <c r="E13" s="1688"/>
      <c r="F13" s="1689">
        <f>VLOOKUP(C13,всецены,4,FALSE)</f>
        <v>53.672018400000006</v>
      </c>
      <c r="G13" s="1690">
        <f>F13</f>
        <v>53.672018400000006</v>
      </c>
      <c r="H13" s="1691"/>
      <c r="O13" s="15" t="str">
        <f t="shared" si="0"/>
        <v>500х450</v>
      </c>
      <c r="P13" s="15" t="str">
        <f t="shared" si="1"/>
        <v>чер</v>
      </c>
      <c r="R13" s="15" t="str">
        <f t="shared" si="2"/>
        <v>500х450чер</v>
      </c>
      <c r="S13" s="1659" t="s">
        <v>4659</v>
      </c>
      <c r="T13" s="1659" t="s">
        <v>7057</v>
      </c>
    </row>
    <row r="14" spans="1:25" ht="15" customHeight="1" x14ac:dyDescent="0.2">
      <c r="A14" s="1639"/>
      <c r="B14" s="854"/>
      <c r="C14" s="855"/>
      <c r="D14" s="856"/>
      <c r="E14" s="857"/>
      <c r="F14" s="857"/>
      <c r="H14" s="1691"/>
      <c r="O14" s="15" t="str">
        <f t="shared" si="0"/>
        <v>500х500</v>
      </c>
      <c r="P14" s="15" t="str">
        <f t="shared" si="1"/>
        <v>чер</v>
      </c>
      <c r="R14" s="15" t="str">
        <f t="shared" si="2"/>
        <v>500х500чер</v>
      </c>
      <c r="S14" s="1659" t="s">
        <v>4660</v>
      </c>
      <c r="T14" s="1659" t="s">
        <v>7058</v>
      </c>
    </row>
    <row r="15" spans="1:25" ht="9" customHeight="1" x14ac:dyDescent="0.2">
      <c r="O15" s="15" t="str">
        <f t="shared" si="0"/>
        <v>600х350</v>
      </c>
      <c r="P15" s="15" t="str">
        <f t="shared" si="1"/>
        <v>чер</v>
      </c>
      <c r="R15" s="15" t="str">
        <f t="shared" si="2"/>
        <v>600х350чер</v>
      </c>
      <c r="S15" s="1659" t="s">
        <v>4661</v>
      </c>
      <c r="T15" s="1659" t="s">
        <v>7059</v>
      </c>
    </row>
    <row r="16" spans="1:25" x14ac:dyDescent="0.2">
      <c r="O16" s="15" t="str">
        <f t="shared" si="0"/>
        <v>600х400</v>
      </c>
      <c r="P16" s="15" t="str">
        <f t="shared" si="1"/>
        <v>чер</v>
      </c>
      <c r="R16" s="15" t="str">
        <f t="shared" si="2"/>
        <v>600х400чер</v>
      </c>
      <c r="S16" s="1659" t="s">
        <v>4662</v>
      </c>
      <c r="T16" s="1659" t="s">
        <v>7060</v>
      </c>
    </row>
    <row r="17" spans="15:20" x14ac:dyDescent="0.2">
      <c r="O17" s="15" t="str">
        <f t="shared" si="0"/>
        <v>600х450</v>
      </c>
      <c r="P17" s="15" t="str">
        <f t="shared" si="1"/>
        <v>чер</v>
      </c>
      <c r="R17" s="15" t="str">
        <f t="shared" si="2"/>
        <v>600х450чер</v>
      </c>
      <c r="S17" s="1659" t="s">
        <v>4663</v>
      </c>
      <c r="T17" s="1659" t="s">
        <v>7061</v>
      </c>
    </row>
    <row r="18" spans="15:20" x14ac:dyDescent="0.2">
      <c r="O18" s="15" t="str">
        <f t="shared" si="0"/>
        <v>600х500</v>
      </c>
      <c r="P18" s="15" t="str">
        <f t="shared" si="1"/>
        <v>чер</v>
      </c>
      <c r="R18" s="15" t="str">
        <f t="shared" si="2"/>
        <v>600х500чер</v>
      </c>
      <c r="S18" s="1659" t="s">
        <v>4664</v>
      </c>
      <c r="T18" s="1659" t="s">
        <v>7062</v>
      </c>
    </row>
    <row r="19" spans="15:20" x14ac:dyDescent="0.2">
      <c r="O19" s="15" t="str">
        <f t="shared" si="0"/>
        <v>700х350</v>
      </c>
      <c r="P19" s="15" t="str">
        <f t="shared" si="1"/>
        <v>чер</v>
      </c>
      <c r="R19" s="15" t="str">
        <f t="shared" si="2"/>
        <v>700х350чер</v>
      </c>
      <c r="S19" s="1659" t="s">
        <v>4665</v>
      </c>
      <c r="T19" s="1659" t="s">
        <v>7063</v>
      </c>
    </row>
    <row r="20" spans="15:20" ht="12.75" customHeight="1" x14ac:dyDescent="0.2">
      <c r="O20" s="15" t="str">
        <f t="shared" si="0"/>
        <v>700х400</v>
      </c>
      <c r="P20" s="15" t="str">
        <f t="shared" si="1"/>
        <v>чер</v>
      </c>
      <c r="R20" s="15" t="str">
        <f t="shared" si="2"/>
        <v>700х400чер</v>
      </c>
      <c r="S20" s="1659" t="s">
        <v>4666</v>
      </c>
      <c r="T20" s="1659" t="s">
        <v>7064</v>
      </c>
    </row>
    <row r="21" spans="15:20" ht="12.75" customHeight="1" x14ac:dyDescent="0.2">
      <c r="O21" s="15" t="str">
        <f t="shared" si="0"/>
        <v>700х450</v>
      </c>
      <c r="P21" s="15" t="str">
        <f t="shared" si="1"/>
        <v>чер</v>
      </c>
      <c r="R21" s="15" t="str">
        <f t="shared" si="2"/>
        <v>700х450чер</v>
      </c>
      <c r="S21" s="1659" t="s">
        <v>4667</v>
      </c>
      <c r="T21" s="1659" t="s">
        <v>7065</v>
      </c>
    </row>
    <row r="22" spans="15:20" ht="12.75" customHeight="1" x14ac:dyDescent="0.2">
      <c r="O22" s="15" t="str">
        <f t="shared" si="0"/>
        <v>700х500</v>
      </c>
      <c r="P22" s="15" t="str">
        <f t="shared" si="1"/>
        <v>чер</v>
      </c>
      <c r="R22" s="15" t="str">
        <f t="shared" si="2"/>
        <v>700х500чер</v>
      </c>
      <c r="S22" s="1659" t="s">
        <v>4668</v>
      </c>
      <c r="T22" s="1659" t="s">
        <v>7066</v>
      </c>
    </row>
    <row r="23" spans="15:20" ht="13.5" customHeight="1" x14ac:dyDescent="0.2">
      <c r="O23" s="15" t="str">
        <f t="shared" si="0"/>
        <v>800х350</v>
      </c>
      <c r="P23" s="15" t="str">
        <f t="shared" si="1"/>
        <v>чер</v>
      </c>
      <c r="R23" s="15" t="str">
        <f t="shared" si="2"/>
        <v>800х350чер</v>
      </c>
      <c r="S23" s="1659" t="s">
        <v>4669</v>
      </c>
      <c r="T23" s="1659" t="s">
        <v>7067</v>
      </c>
    </row>
    <row r="24" spans="15:20" x14ac:dyDescent="0.2">
      <c r="O24" s="15" t="str">
        <f t="shared" si="0"/>
        <v>800х400</v>
      </c>
      <c r="P24" s="15" t="str">
        <f t="shared" si="1"/>
        <v>чер</v>
      </c>
      <c r="R24" s="15" t="str">
        <f t="shared" si="2"/>
        <v>800х400чер</v>
      </c>
      <c r="S24" s="1659" t="s">
        <v>4670</v>
      </c>
      <c r="T24" s="1659" t="s">
        <v>7068</v>
      </c>
    </row>
    <row r="25" spans="15:20" x14ac:dyDescent="0.2">
      <c r="O25" s="15" t="str">
        <f t="shared" si="0"/>
        <v>800х450</v>
      </c>
      <c r="P25" s="15" t="str">
        <f t="shared" si="1"/>
        <v>чер</v>
      </c>
      <c r="R25" s="15" t="str">
        <f t="shared" si="2"/>
        <v>800х450чер</v>
      </c>
      <c r="S25" s="1659" t="s">
        <v>4671</v>
      </c>
      <c r="T25" s="1659" t="s">
        <v>7069</v>
      </c>
    </row>
    <row r="26" spans="15:20" x14ac:dyDescent="0.2">
      <c r="O26" s="15" t="str">
        <f t="shared" si="0"/>
        <v>800х500</v>
      </c>
      <c r="P26" s="15" t="str">
        <f t="shared" si="1"/>
        <v>чер</v>
      </c>
      <c r="R26" s="15" t="str">
        <f t="shared" si="2"/>
        <v>800х500чер</v>
      </c>
      <c r="S26" s="1659" t="s">
        <v>4672</v>
      </c>
      <c r="T26" s="1659" t="s">
        <v>7070</v>
      </c>
    </row>
    <row r="27" spans="15:20" x14ac:dyDescent="0.2">
      <c r="O27" s="15" t="str">
        <f t="shared" si="0"/>
        <v>900х350</v>
      </c>
      <c r="P27" s="15" t="str">
        <f t="shared" si="1"/>
        <v>чер</v>
      </c>
      <c r="R27" s="15" t="str">
        <f t="shared" si="2"/>
        <v>900х350чер</v>
      </c>
      <c r="S27" s="1659" t="s">
        <v>4673</v>
      </c>
      <c r="T27" s="1659" t="s">
        <v>7071</v>
      </c>
    </row>
    <row r="28" spans="15:20" x14ac:dyDescent="0.2">
      <c r="O28" s="15" t="str">
        <f t="shared" si="0"/>
        <v>900х400</v>
      </c>
      <c r="P28" s="15" t="str">
        <f t="shared" si="1"/>
        <v>чер</v>
      </c>
      <c r="R28" s="15" t="str">
        <f t="shared" si="2"/>
        <v>900х400чер</v>
      </c>
      <c r="S28" s="1659" t="s">
        <v>4674</v>
      </c>
      <c r="T28" s="1659" t="s">
        <v>7072</v>
      </c>
    </row>
    <row r="29" spans="15:20" x14ac:dyDescent="0.2">
      <c r="O29" s="15" t="str">
        <f t="shared" si="0"/>
        <v>900х450</v>
      </c>
      <c r="P29" s="15" t="str">
        <f t="shared" si="1"/>
        <v>чер</v>
      </c>
      <c r="R29" s="15" t="str">
        <f t="shared" si="2"/>
        <v>900х450чер</v>
      </c>
      <c r="S29" s="1659" t="s">
        <v>4675</v>
      </c>
      <c r="T29" s="1659" t="s">
        <v>7073</v>
      </c>
    </row>
    <row r="30" spans="15:20" x14ac:dyDescent="0.2">
      <c r="O30" s="15" t="str">
        <f t="shared" si="0"/>
        <v>900х500</v>
      </c>
      <c r="P30" s="15" t="str">
        <f t="shared" si="1"/>
        <v>чер</v>
      </c>
      <c r="R30" s="15" t="str">
        <f t="shared" si="2"/>
        <v>900х500чер</v>
      </c>
      <c r="S30" s="1659" t="s">
        <v>4676</v>
      </c>
      <c r="T30" s="1659" t="s">
        <v>7074</v>
      </c>
    </row>
    <row r="31" spans="15:20" x14ac:dyDescent="0.2">
      <c r="O31" s="15" t="str">
        <f t="shared" ref="O31:O38" si="3">MID(T31,23,8)</f>
        <v>1000х350</v>
      </c>
      <c r="P31" s="15" t="str">
        <f t="shared" ref="P31:P38" si="4">MID(T31,33,3)</f>
        <v>чер</v>
      </c>
      <c r="R31" s="15" t="str">
        <f t="shared" si="2"/>
        <v>1000х350чер</v>
      </c>
      <c r="S31" s="1659" t="s">
        <v>4677</v>
      </c>
      <c r="T31" s="1659" t="s">
        <v>7075</v>
      </c>
    </row>
    <row r="32" spans="15:20" x14ac:dyDescent="0.2">
      <c r="O32" s="15" t="str">
        <f t="shared" si="3"/>
        <v>1000х400</v>
      </c>
      <c r="P32" s="15" t="str">
        <f t="shared" si="4"/>
        <v>чер</v>
      </c>
      <c r="R32" s="15" t="str">
        <f t="shared" si="2"/>
        <v>1000х400чер</v>
      </c>
      <c r="S32" s="1659" t="s">
        <v>4678</v>
      </c>
      <c r="T32" s="1659" t="s">
        <v>7076</v>
      </c>
    </row>
    <row r="33" spans="15:20" x14ac:dyDescent="0.2">
      <c r="O33" s="15" t="str">
        <f t="shared" si="3"/>
        <v>1000х450</v>
      </c>
      <c r="P33" s="15" t="str">
        <f t="shared" si="4"/>
        <v>чер</v>
      </c>
      <c r="R33" s="15" t="str">
        <f t="shared" si="2"/>
        <v>1000х450чер</v>
      </c>
      <c r="S33" s="1659" t="s">
        <v>4679</v>
      </c>
      <c r="T33" s="1659" t="s">
        <v>7077</v>
      </c>
    </row>
    <row r="34" spans="15:20" x14ac:dyDescent="0.2">
      <c r="O34" s="15" t="str">
        <f t="shared" si="3"/>
        <v>1000х500</v>
      </c>
      <c r="P34" s="15" t="str">
        <f t="shared" si="4"/>
        <v>чер</v>
      </c>
      <c r="R34" s="15" t="str">
        <f t="shared" si="2"/>
        <v>1000х500чер</v>
      </c>
      <c r="S34" s="1659" t="s">
        <v>4680</v>
      </c>
      <c r="T34" s="1659" t="s">
        <v>7078</v>
      </c>
    </row>
    <row r="35" spans="15:20" x14ac:dyDescent="0.2">
      <c r="O35" s="15" t="str">
        <f t="shared" si="3"/>
        <v>1200х350</v>
      </c>
      <c r="P35" s="15" t="str">
        <f t="shared" si="4"/>
        <v>чер</v>
      </c>
      <c r="R35" s="15" t="str">
        <f t="shared" si="2"/>
        <v>1200х350чер</v>
      </c>
      <c r="S35" s="1659" t="s">
        <v>4681</v>
      </c>
      <c r="T35" s="1659" t="s">
        <v>7079</v>
      </c>
    </row>
    <row r="36" spans="15:20" x14ac:dyDescent="0.2">
      <c r="O36" s="15" t="str">
        <f t="shared" si="3"/>
        <v>1200х400</v>
      </c>
      <c r="P36" s="15" t="str">
        <f t="shared" si="4"/>
        <v>чер</v>
      </c>
      <c r="R36" s="15" t="str">
        <f t="shared" si="2"/>
        <v>1200х400чер</v>
      </c>
      <c r="S36" s="1659" t="s">
        <v>4682</v>
      </c>
      <c r="T36" s="1659" t="s">
        <v>7080</v>
      </c>
    </row>
    <row r="37" spans="15:20" x14ac:dyDescent="0.2">
      <c r="O37" s="15" t="str">
        <f t="shared" si="3"/>
        <v>1200х450</v>
      </c>
      <c r="P37" s="15" t="str">
        <f t="shared" si="4"/>
        <v>чер</v>
      </c>
      <c r="R37" s="15" t="str">
        <f t="shared" si="2"/>
        <v>1200х450чер</v>
      </c>
      <c r="S37" s="1659" t="s">
        <v>4683</v>
      </c>
      <c r="T37" s="1659" t="s">
        <v>7081</v>
      </c>
    </row>
    <row r="38" spans="15:20" x14ac:dyDescent="0.2">
      <c r="O38" s="15" t="str">
        <f t="shared" si="3"/>
        <v>1200х500</v>
      </c>
      <c r="P38" s="15" t="str">
        <f t="shared" si="4"/>
        <v>чер</v>
      </c>
      <c r="R38" s="15" t="str">
        <f t="shared" si="2"/>
        <v>1200х500чер</v>
      </c>
      <c r="S38" s="1659" t="s">
        <v>4684</v>
      </c>
      <c r="T38" s="1659" t="s">
        <v>7082</v>
      </c>
    </row>
    <row r="39" spans="15:20" x14ac:dyDescent="0.2">
      <c r="O39" s="15" t="str">
        <f t="shared" ref="O39:O67" si="5">MID(T39,23,7)</f>
        <v>300х500</v>
      </c>
      <c r="P39" s="15" t="str">
        <f t="shared" ref="P39:P67" si="6">MID(T39,32,3)</f>
        <v>сер</v>
      </c>
      <c r="R39" s="15" t="str">
        <f t="shared" si="2"/>
        <v>300х500сер</v>
      </c>
      <c r="S39" s="1659" t="s">
        <v>4685</v>
      </c>
      <c r="T39" s="1659" t="s">
        <v>7083</v>
      </c>
    </row>
    <row r="40" spans="15:20" x14ac:dyDescent="0.2">
      <c r="O40" s="15" t="str">
        <f t="shared" si="5"/>
        <v>400х350</v>
      </c>
      <c r="P40" s="15" t="str">
        <f t="shared" si="6"/>
        <v>сер</v>
      </c>
      <c r="R40" s="15" t="str">
        <f t="shared" si="2"/>
        <v>400х350сер</v>
      </c>
      <c r="S40" s="1659" t="s">
        <v>4686</v>
      </c>
      <c r="T40" s="1659" t="s">
        <v>7084</v>
      </c>
    </row>
    <row r="41" spans="15:20" x14ac:dyDescent="0.2">
      <c r="O41" s="15" t="str">
        <f t="shared" si="5"/>
        <v>400х400</v>
      </c>
      <c r="P41" s="15" t="str">
        <f t="shared" si="6"/>
        <v>сер</v>
      </c>
      <c r="R41" s="15" t="str">
        <f t="shared" si="2"/>
        <v>400х400сер</v>
      </c>
      <c r="S41" s="1659" t="s">
        <v>4687</v>
      </c>
      <c r="T41" s="1659" t="s">
        <v>7085</v>
      </c>
    </row>
    <row r="42" spans="15:20" x14ac:dyDescent="0.2">
      <c r="O42" s="15" t="str">
        <f t="shared" si="5"/>
        <v>400х450</v>
      </c>
      <c r="P42" s="15" t="str">
        <f t="shared" si="6"/>
        <v>сер</v>
      </c>
      <c r="R42" s="15" t="str">
        <f t="shared" si="2"/>
        <v>400х450сер</v>
      </c>
      <c r="S42" s="1659" t="s">
        <v>4688</v>
      </c>
      <c r="T42" s="1659" t="s">
        <v>7086</v>
      </c>
    </row>
    <row r="43" spans="15:20" x14ac:dyDescent="0.2">
      <c r="O43" s="15" t="str">
        <f t="shared" si="5"/>
        <v>400х500</v>
      </c>
      <c r="P43" s="15" t="str">
        <f t="shared" si="6"/>
        <v>сер</v>
      </c>
      <c r="R43" s="15" t="str">
        <f t="shared" si="2"/>
        <v>400х500сер</v>
      </c>
      <c r="S43" s="1659" t="s">
        <v>4689</v>
      </c>
      <c r="T43" s="1659" t="s">
        <v>7087</v>
      </c>
    </row>
    <row r="44" spans="15:20" x14ac:dyDescent="0.2">
      <c r="O44" s="15" t="str">
        <f t="shared" si="5"/>
        <v>450х350</v>
      </c>
      <c r="P44" s="15" t="str">
        <f t="shared" si="6"/>
        <v>сер</v>
      </c>
      <c r="R44" s="15" t="str">
        <f t="shared" si="2"/>
        <v>450х350сер</v>
      </c>
      <c r="S44" s="1659" t="s">
        <v>4690</v>
      </c>
      <c r="T44" s="1659" t="s">
        <v>7088</v>
      </c>
    </row>
    <row r="45" spans="15:20" x14ac:dyDescent="0.2">
      <c r="O45" s="15" t="str">
        <f t="shared" si="5"/>
        <v>450х400</v>
      </c>
      <c r="P45" s="15" t="str">
        <f t="shared" si="6"/>
        <v>сер</v>
      </c>
      <c r="R45" s="15" t="str">
        <f t="shared" si="2"/>
        <v>450х400сер</v>
      </c>
      <c r="S45" s="1659" t="s">
        <v>4691</v>
      </c>
      <c r="T45" s="1659" t="s">
        <v>7089</v>
      </c>
    </row>
    <row r="46" spans="15:20" x14ac:dyDescent="0.2">
      <c r="O46" s="15" t="str">
        <f t="shared" si="5"/>
        <v>450х450</v>
      </c>
      <c r="P46" s="15" t="str">
        <f t="shared" si="6"/>
        <v>сер</v>
      </c>
      <c r="R46" s="15" t="str">
        <f t="shared" si="2"/>
        <v>450х450сер</v>
      </c>
      <c r="S46" s="1659" t="s">
        <v>4692</v>
      </c>
      <c r="T46" s="1659" t="s">
        <v>7090</v>
      </c>
    </row>
    <row r="47" spans="15:20" x14ac:dyDescent="0.2">
      <c r="O47" s="15" t="str">
        <f t="shared" si="5"/>
        <v>450х500</v>
      </c>
      <c r="P47" s="15" t="str">
        <f t="shared" si="6"/>
        <v>сер</v>
      </c>
      <c r="R47" s="15" t="str">
        <f t="shared" si="2"/>
        <v>450х500сер</v>
      </c>
      <c r="S47" s="1659" t="s">
        <v>4693</v>
      </c>
      <c r="T47" s="1659" t="s">
        <v>7091</v>
      </c>
    </row>
    <row r="48" spans="15:20" x14ac:dyDescent="0.2">
      <c r="O48" s="15" t="str">
        <f t="shared" si="5"/>
        <v>500х350</v>
      </c>
      <c r="P48" s="15" t="str">
        <f t="shared" si="6"/>
        <v>сер</v>
      </c>
      <c r="R48" s="15" t="str">
        <f t="shared" si="2"/>
        <v>500х350сер</v>
      </c>
      <c r="S48" s="1659" t="s">
        <v>4694</v>
      </c>
      <c r="T48" s="1659" t="s">
        <v>7092</v>
      </c>
    </row>
    <row r="49" spans="15:20" x14ac:dyDescent="0.2">
      <c r="O49" s="15" t="str">
        <f t="shared" si="5"/>
        <v>500х400</v>
      </c>
      <c r="P49" s="15" t="str">
        <f t="shared" si="6"/>
        <v>сер</v>
      </c>
      <c r="R49" s="15" t="str">
        <f t="shared" si="2"/>
        <v>500х400сер</v>
      </c>
      <c r="S49" s="1659" t="s">
        <v>4695</v>
      </c>
      <c r="T49" s="1659" t="s">
        <v>7093</v>
      </c>
    </row>
    <row r="50" spans="15:20" x14ac:dyDescent="0.2">
      <c r="O50" s="15" t="str">
        <f t="shared" si="5"/>
        <v>500х450</v>
      </c>
      <c r="P50" s="15" t="str">
        <f t="shared" si="6"/>
        <v>сер</v>
      </c>
      <c r="R50" s="15" t="str">
        <f t="shared" si="2"/>
        <v>500х450сер</v>
      </c>
      <c r="S50" s="1659" t="s">
        <v>4696</v>
      </c>
      <c r="T50" s="1659" t="s">
        <v>7094</v>
      </c>
    </row>
    <row r="51" spans="15:20" x14ac:dyDescent="0.2">
      <c r="O51" s="15" t="str">
        <f t="shared" si="5"/>
        <v>500х500</v>
      </c>
      <c r="P51" s="15" t="str">
        <f t="shared" si="6"/>
        <v>сер</v>
      </c>
      <c r="R51" s="15" t="str">
        <f t="shared" si="2"/>
        <v>500х500сер</v>
      </c>
      <c r="S51" s="1659" t="s">
        <v>4697</v>
      </c>
      <c r="T51" s="1659" t="s">
        <v>7095</v>
      </c>
    </row>
    <row r="52" spans="15:20" x14ac:dyDescent="0.2">
      <c r="O52" s="15" t="str">
        <f t="shared" si="5"/>
        <v>600х350</v>
      </c>
      <c r="P52" s="15" t="str">
        <f t="shared" si="6"/>
        <v>сер</v>
      </c>
      <c r="R52" s="15" t="str">
        <f t="shared" si="2"/>
        <v>600х350сер</v>
      </c>
      <c r="S52" s="1659" t="s">
        <v>4698</v>
      </c>
      <c r="T52" s="1659" t="s">
        <v>7096</v>
      </c>
    </row>
    <row r="53" spans="15:20" x14ac:dyDescent="0.2">
      <c r="O53" s="15" t="str">
        <f t="shared" si="5"/>
        <v>600х400</v>
      </c>
      <c r="P53" s="15" t="str">
        <f t="shared" si="6"/>
        <v>сер</v>
      </c>
      <c r="R53" s="15" t="str">
        <f t="shared" si="2"/>
        <v>600х400сер</v>
      </c>
      <c r="S53" s="1659" t="s">
        <v>4699</v>
      </c>
      <c r="T53" s="1659" t="s">
        <v>7097</v>
      </c>
    </row>
    <row r="54" spans="15:20" x14ac:dyDescent="0.2">
      <c r="O54" s="15" t="str">
        <f t="shared" si="5"/>
        <v>600х450</v>
      </c>
      <c r="P54" s="15" t="str">
        <f t="shared" si="6"/>
        <v>сер</v>
      </c>
      <c r="R54" s="15" t="str">
        <f t="shared" si="2"/>
        <v>600х450сер</v>
      </c>
      <c r="S54" s="1659" t="s">
        <v>4700</v>
      </c>
      <c r="T54" s="1659" t="s">
        <v>7098</v>
      </c>
    </row>
    <row r="55" spans="15:20" x14ac:dyDescent="0.2">
      <c r="O55" s="15" t="str">
        <f t="shared" si="5"/>
        <v>600х500</v>
      </c>
      <c r="P55" s="15" t="str">
        <f t="shared" si="6"/>
        <v>сер</v>
      </c>
      <c r="R55" s="15" t="str">
        <f t="shared" si="2"/>
        <v>600х500сер</v>
      </c>
      <c r="S55" s="1659" t="s">
        <v>4701</v>
      </c>
      <c r="T55" s="1659" t="s">
        <v>7099</v>
      </c>
    </row>
    <row r="56" spans="15:20" x14ac:dyDescent="0.2">
      <c r="O56" s="15" t="str">
        <f t="shared" si="5"/>
        <v>700х350</v>
      </c>
      <c r="P56" s="15" t="str">
        <f t="shared" si="6"/>
        <v>сер</v>
      </c>
      <c r="R56" s="15" t="str">
        <f t="shared" si="2"/>
        <v>700х350сер</v>
      </c>
      <c r="S56" s="1659" t="s">
        <v>4702</v>
      </c>
      <c r="T56" s="1659" t="s">
        <v>7100</v>
      </c>
    </row>
    <row r="57" spans="15:20" x14ac:dyDescent="0.2">
      <c r="O57" s="15" t="str">
        <f t="shared" si="5"/>
        <v>700х400</v>
      </c>
      <c r="P57" s="15" t="str">
        <f t="shared" si="6"/>
        <v>сер</v>
      </c>
      <c r="R57" s="15" t="str">
        <f t="shared" si="2"/>
        <v>700х400сер</v>
      </c>
      <c r="S57" s="1659" t="s">
        <v>4703</v>
      </c>
      <c r="T57" s="1659" t="s">
        <v>7101</v>
      </c>
    </row>
    <row r="58" spans="15:20" x14ac:dyDescent="0.2">
      <c r="O58" s="15" t="str">
        <f t="shared" si="5"/>
        <v>700х450</v>
      </c>
      <c r="P58" s="15" t="str">
        <f t="shared" si="6"/>
        <v>сер</v>
      </c>
      <c r="R58" s="15" t="str">
        <f t="shared" si="2"/>
        <v>700х450сер</v>
      </c>
      <c r="S58" s="1659" t="s">
        <v>4704</v>
      </c>
      <c r="T58" s="1659" t="s">
        <v>7102</v>
      </c>
    </row>
    <row r="59" spans="15:20" x14ac:dyDescent="0.2">
      <c r="O59" s="15" t="str">
        <f t="shared" si="5"/>
        <v>700х500</v>
      </c>
      <c r="P59" s="15" t="str">
        <f t="shared" si="6"/>
        <v>сер</v>
      </c>
      <c r="R59" s="15" t="str">
        <f t="shared" si="2"/>
        <v>700х500сер</v>
      </c>
      <c r="S59" s="1659" t="s">
        <v>4705</v>
      </c>
      <c r="T59" s="1659" t="s">
        <v>7103</v>
      </c>
    </row>
    <row r="60" spans="15:20" x14ac:dyDescent="0.2">
      <c r="O60" s="15" t="str">
        <f t="shared" si="5"/>
        <v>800х350</v>
      </c>
      <c r="P60" s="15" t="str">
        <f t="shared" si="6"/>
        <v>сер</v>
      </c>
      <c r="R60" s="15" t="str">
        <f t="shared" si="2"/>
        <v>800х350сер</v>
      </c>
      <c r="S60" s="1659" t="s">
        <v>4706</v>
      </c>
      <c r="T60" s="1659" t="s">
        <v>7104</v>
      </c>
    </row>
    <row r="61" spans="15:20" x14ac:dyDescent="0.2">
      <c r="O61" s="15" t="str">
        <f t="shared" si="5"/>
        <v>800х400</v>
      </c>
      <c r="P61" s="15" t="str">
        <f t="shared" si="6"/>
        <v>сер</v>
      </c>
      <c r="R61" s="15" t="str">
        <f t="shared" si="2"/>
        <v>800х400сер</v>
      </c>
      <c r="S61" s="1659" t="s">
        <v>4707</v>
      </c>
      <c r="T61" s="1659" t="s">
        <v>7105</v>
      </c>
    </row>
    <row r="62" spans="15:20" x14ac:dyDescent="0.2">
      <c r="O62" s="15" t="str">
        <f t="shared" si="5"/>
        <v>800х450</v>
      </c>
      <c r="P62" s="15" t="str">
        <f t="shared" si="6"/>
        <v>сер</v>
      </c>
      <c r="R62" s="15" t="str">
        <f t="shared" si="2"/>
        <v>800х450сер</v>
      </c>
      <c r="S62" s="1659" t="s">
        <v>4708</v>
      </c>
      <c r="T62" s="1659" t="s">
        <v>7106</v>
      </c>
    </row>
    <row r="63" spans="15:20" x14ac:dyDescent="0.2">
      <c r="O63" s="15" t="str">
        <f t="shared" si="5"/>
        <v>800х500</v>
      </c>
      <c r="P63" s="15" t="str">
        <f t="shared" si="6"/>
        <v>сер</v>
      </c>
      <c r="R63" s="15" t="str">
        <f t="shared" si="2"/>
        <v>800х500сер</v>
      </c>
      <c r="S63" s="1659" t="s">
        <v>4709</v>
      </c>
      <c r="T63" s="1659" t="s">
        <v>7107</v>
      </c>
    </row>
    <row r="64" spans="15:20" x14ac:dyDescent="0.2">
      <c r="O64" s="15" t="str">
        <f t="shared" si="5"/>
        <v>900х350</v>
      </c>
      <c r="P64" s="15" t="str">
        <f t="shared" si="6"/>
        <v>сер</v>
      </c>
      <c r="R64" s="15" t="str">
        <f t="shared" si="2"/>
        <v>900х350сер</v>
      </c>
      <c r="S64" s="1659" t="s">
        <v>4710</v>
      </c>
      <c r="T64" s="1659" t="s">
        <v>7108</v>
      </c>
    </row>
    <row r="65" spans="15:20" x14ac:dyDescent="0.2">
      <c r="O65" s="15" t="str">
        <f t="shared" si="5"/>
        <v>900х400</v>
      </c>
      <c r="P65" s="15" t="str">
        <f t="shared" si="6"/>
        <v>сер</v>
      </c>
      <c r="R65" s="15" t="str">
        <f t="shared" si="2"/>
        <v>900х400сер</v>
      </c>
      <c r="S65" s="1659" t="s">
        <v>4711</v>
      </c>
      <c r="T65" s="1659" t="s">
        <v>7109</v>
      </c>
    </row>
    <row r="66" spans="15:20" x14ac:dyDescent="0.2">
      <c r="O66" s="15" t="str">
        <f t="shared" si="5"/>
        <v>900х450</v>
      </c>
      <c r="P66" s="15" t="str">
        <f t="shared" si="6"/>
        <v>сер</v>
      </c>
      <c r="R66" s="15" t="str">
        <f t="shared" si="2"/>
        <v>900х450сер</v>
      </c>
      <c r="S66" s="1659" t="s">
        <v>4712</v>
      </c>
      <c r="T66" s="1659" t="s">
        <v>7110</v>
      </c>
    </row>
    <row r="67" spans="15:20" x14ac:dyDescent="0.2">
      <c r="O67" s="15" t="str">
        <f t="shared" si="5"/>
        <v>900х500</v>
      </c>
      <c r="P67" s="15" t="str">
        <f t="shared" si="6"/>
        <v>сер</v>
      </c>
      <c r="R67" s="15" t="str">
        <f t="shared" ref="R67:R130" si="7">O67&amp;P67&amp;Q67</f>
        <v>900х500сер</v>
      </c>
      <c r="S67" s="1659" t="s">
        <v>4713</v>
      </c>
      <c r="T67" s="1659" t="s">
        <v>7111</v>
      </c>
    </row>
    <row r="68" spans="15:20" x14ac:dyDescent="0.2">
      <c r="O68" s="15" t="str">
        <f t="shared" ref="O68:O75" si="8">MID(T68,23,8)</f>
        <v>1000х350</v>
      </c>
      <c r="P68" s="15" t="str">
        <f t="shared" ref="P68:P75" si="9">MID(T68,33,3)</f>
        <v>сер</v>
      </c>
      <c r="R68" s="15" t="str">
        <f t="shared" si="7"/>
        <v>1000х350сер</v>
      </c>
      <c r="S68" s="1659" t="s">
        <v>4714</v>
      </c>
      <c r="T68" s="1659" t="s">
        <v>7112</v>
      </c>
    </row>
    <row r="69" spans="15:20" x14ac:dyDescent="0.2">
      <c r="O69" s="15" t="str">
        <f t="shared" si="8"/>
        <v>1000х400</v>
      </c>
      <c r="P69" s="15" t="str">
        <f t="shared" si="9"/>
        <v>сер</v>
      </c>
      <c r="R69" s="15" t="str">
        <f t="shared" si="7"/>
        <v>1000х400сер</v>
      </c>
      <c r="S69" s="1659" t="s">
        <v>4715</v>
      </c>
      <c r="T69" s="1659" t="s">
        <v>7113</v>
      </c>
    </row>
    <row r="70" spans="15:20" x14ac:dyDescent="0.2">
      <c r="O70" s="15" t="str">
        <f t="shared" si="8"/>
        <v>1000х450</v>
      </c>
      <c r="P70" s="15" t="str">
        <f t="shared" si="9"/>
        <v>сер</v>
      </c>
      <c r="R70" s="15" t="str">
        <f t="shared" si="7"/>
        <v>1000х450сер</v>
      </c>
      <c r="S70" s="1659" t="s">
        <v>4716</v>
      </c>
      <c r="T70" s="1659" t="s">
        <v>7114</v>
      </c>
    </row>
    <row r="71" spans="15:20" x14ac:dyDescent="0.2">
      <c r="O71" s="15" t="str">
        <f t="shared" si="8"/>
        <v>1000х500</v>
      </c>
      <c r="P71" s="15" t="str">
        <f t="shared" si="9"/>
        <v>сер</v>
      </c>
      <c r="R71" s="15" t="str">
        <f t="shared" si="7"/>
        <v>1000х500сер</v>
      </c>
      <c r="S71" s="1659" t="s">
        <v>4717</v>
      </c>
      <c r="T71" s="1659" t="s">
        <v>7115</v>
      </c>
    </row>
    <row r="72" spans="15:20" x14ac:dyDescent="0.2">
      <c r="O72" s="15" t="str">
        <f t="shared" si="8"/>
        <v>1200х350</v>
      </c>
      <c r="P72" s="15" t="str">
        <f t="shared" si="9"/>
        <v>сер</v>
      </c>
      <c r="R72" s="15" t="str">
        <f t="shared" si="7"/>
        <v>1200х350сер</v>
      </c>
      <c r="S72" s="1659" t="s">
        <v>4718</v>
      </c>
      <c r="T72" s="1659" t="s">
        <v>7116</v>
      </c>
    </row>
    <row r="73" spans="15:20" x14ac:dyDescent="0.2">
      <c r="O73" s="15" t="str">
        <f t="shared" si="8"/>
        <v>1200х400</v>
      </c>
      <c r="P73" s="15" t="str">
        <f t="shared" si="9"/>
        <v>сер</v>
      </c>
      <c r="R73" s="15" t="str">
        <f t="shared" si="7"/>
        <v>1200х400сер</v>
      </c>
      <c r="S73" s="1659" t="s">
        <v>4719</v>
      </c>
      <c r="T73" s="1659" t="s">
        <v>7117</v>
      </c>
    </row>
    <row r="74" spans="15:20" x14ac:dyDescent="0.2">
      <c r="O74" s="15" t="str">
        <f t="shared" si="8"/>
        <v>1200х450</v>
      </c>
      <c r="P74" s="15" t="str">
        <f t="shared" si="9"/>
        <v>сер</v>
      </c>
      <c r="R74" s="15" t="str">
        <f t="shared" si="7"/>
        <v>1200х450сер</v>
      </c>
      <c r="S74" s="1659" t="s">
        <v>4720</v>
      </c>
      <c r="T74" s="1659" t="s">
        <v>7118</v>
      </c>
    </row>
    <row r="75" spans="15:20" x14ac:dyDescent="0.2">
      <c r="O75" s="15" t="str">
        <f t="shared" si="8"/>
        <v>1200х500</v>
      </c>
      <c r="P75" s="15" t="str">
        <f t="shared" si="9"/>
        <v>сер</v>
      </c>
      <c r="R75" s="15" t="str">
        <f t="shared" si="7"/>
        <v>1200х500сер</v>
      </c>
      <c r="S75" s="1659" t="s">
        <v>4721</v>
      </c>
      <c r="T75" s="1659" t="s">
        <v>7119</v>
      </c>
    </row>
    <row r="76" spans="15:20" x14ac:dyDescent="0.2">
      <c r="O76" s="15" t="str">
        <f t="shared" ref="O76:O104" si="10">MID(T76,23,7)</f>
        <v>300х500</v>
      </c>
      <c r="P76" s="15" t="str">
        <f t="shared" ref="P76:P104" si="11">MID(T76,32,3)</f>
        <v>бел</v>
      </c>
      <c r="R76" s="15" t="str">
        <f t="shared" si="7"/>
        <v>300х500бел</v>
      </c>
      <c r="S76" s="1659" t="s">
        <v>4722</v>
      </c>
      <c r="T76" s="1659" t="s">
        <v>7120</v>
      </c>
    </row>
    <row r="77" spans="15:20" x14ac:dyDescent="0.2">
      <c r="O77" s="15" t="str">
        <f t="shared" si="10"/>
        <v>400х350</v>
      </c>
      <c r="P77" s="15" t="str">
        <f t="shared" si="11"/>
        <v>бел</v>
      </c>
      <c r="R77" s="15" t="str">
        <f t="shared" si="7"/>
        <v>400х350бел</v>
      </c>
      <c r="S77" s="1659" t="s">
        <v>4723</v>
      </c>
      <c r="T77" s="1659" t="s">
        <v>7121</v>
      </c>
    </row>
    <row r="78" spans="15:20" x14ac:dyDescent="0.2">
      <c r="O78" s="15" t="str">
        <f t="shared" si="10"/>
        <v>400х400</v>
      </c>
      <c r="P78" s="15" t="str">
        <f t="shared" si="11"/>
        <v>бел</v>
      </c>
      <c r="R78" s="15" t="str">
        <f t="shared" si="7"/>
        <v>400х400бел</v>
      </c>
      <c r="S78" s="1659" t="s">
        <v>4724</v>
      </c>
      <c r="T78" s="1659" t="s">
        <v>7122</v>
      </c>
    </row>
    <row r="79" spans="15:20" x14ac:dyDescent="0.2">
      <c r="O79" s="15" t="str">
        <f t="shared" si="10"/>
        <v>400х450</v>
      </c>
      <c r="P79" s="15" t="str">
        <f t="shared" si="11"/>
        <v>бел</v>
      </c>
      <c r="R79" s="15" t="str">
        <f t="shared" si="7"/>
        <v>400х450бел</v>
      </c>
      <c r="S79" s="1659" t="s">
        <v>4725</v>
      </c>
      <c r="T79" s="1659" t="s">
        <v>7123</v>
      </c>
    </row>
    <row r="80" spans="15:20" x14ac:dyDescent="0.2">
      <c r="O80" s="15" t="str">
        <f t="shared" si="10"/>
        <v>400х500</v>
      </c>
      <c r="P80" s="15" t="str">
        <f t="shared" si="11"/>
        <v>бел</v>
      </c>
      <c r="R80" s="15" t="str">
        <f t="shared" si="7"/>
        <v>400х500бел</v>
      </c>
      <c r="S80" s="1659" t="s">
        <v>4726</v>
      </c>
      <c r="T80" s="1659" t="s">
        <v>7124</v>
      </c>
    </row>
    <row r="81" spans="15:20" x14ac:dyDescent="0.2">
      <c r="O81" s="15" t="str">
        <f t="shared" si="10"/>
        <v>450х350</v>
      </c>
      <c r="P81" s="15" t="str">
        <f t="shared" si="11"/>
        <v>бел</v>
      </c>
      <c r="R81" s="15" t="str">
        <f t="shared" si="7"/>
        <v>450х350бел</v>
      </c>
      <c r="S81" s="1659" t="s">
        <v>4727</v>
      </c>
      <c r="T81" s="1659" t="s">
        <v>7125</v>
      </c>
    </row>
    <row r="82" spans="15:20" x14ac:dyDescent="0.2">
      <c r="O82" s="15" t="str">
        <f t="shared" si="10"/>
        <v>450х400</v>
      </c>
      <c r="P82" s="15" t="str">
        <f t="shared" si="11"/>
        <v>бел</v>
      </c>
      <c r="R82" s="15" t="str">
        <f t="shared" si="7"/>
        <v>450х400бел</v>
      </c>
      <c r="S82" s="1659" t="s">
        <v>4728</v>
      </c>
      <c r="T82" s="1659" t="s">
        <v>7126</v>
      </c>
    </row>
    <row r="83" spans="15:20" x14ac:dyDescent="0.2">
      <c r="O83" s="15" t="str">
        <f t="shared" si="10"/>
        <v>450х450</v>
      </c>
      <c r="P83" s="15" t="str">
        <f t="shared" si="11"/>
        <v>бел</v>
      </c>
      <c r="R83" s="15" t="str">
        <f t="shared" si="7"/>
        <v>450х450бел</v>
      </c>
      <c r="S83" s="1659" t="s">
        <v>4729</v>
      </c>
      <c r="T83" s="1659" t="s">
        <v>7127</v>
      </c>
    </row>
    <row r="84" spans="15:20" x14ac:dyDescent="0.2">
      <c r="O84" s="15" t="str">
        <f t="shared" si="10"/>
        <v>450х500</v>
      </c>
      <c r="P84" s="15" t="str">
        <f t="shared" si="11"/>
        <v>бел</v>
      </c>
      <c r="R84" s="15" t="str">
        <f t="shared" si="7"/>
        <v>450х500бел</v>
      </c>
      <c r="S84" s="1659" t="s">
        <v>4730</v>
      </c>
      <c r="T84" s="1659" t="s">
        <v>7128</v>
      </c>
    </row>
    <row r="85" spans="15:20" x14ac:dyDescent="0.2">
      <c r="O85" s="15" t="str">
        <f t="shared" si="10"/>
        <v>500х350</v>
      </c>
      <c r="P85" s="15" t="str">
        <f t="shared" si="11"/>
        <v>бел</v>
      </c>
      <c r="R85" s="15" t="str">
        <f t="shared" si="7"/>
        <v>500х350бел</v>
      </c>
      <c r="S85" s="1659" t="s">
        <v>4731</v>
      </c>
      <c r="T85" s="1659" t="s">
        <v>7129</v>
      </c>
    </row>
    <row r="86" spans="15:20" x14ac:dyDescent="0.2">
      <c r="O86" s="15" t="str">
        <f t="shared" si="10"/>
        <v>500х400</v>
      </c>
      <c r="P86" s="15" t="str">
        <f t="shared" si="11"/>
        <v>бел</v>
      </c>
      <c r="R86" s="15" t="str">
        <f t="shared" si="7"/>
        <v>500х400бел</v>
      </c>
      <c r="S86" s="1659" t="s">
        <v>4732</v>
      </c>
      <c r="T86" s="1659" t="s">
        <v>7130</v>
      </c>
    </row>
    <row r="87" spans="15:20" x14ac:dyDescent="0.2">
      <c r="O87" s="15" t="str">
        <f t="shared" si="10"/>
        <v>500х450</v>
      </c>
      <c r="P87" s="15" t="str">
        <f t="shared" si="11"/>
        <v>бел</v>
      </c>
      <c r="R87" s="15" t="str">
        <f t="shared" si="7"/>
        <v>500х450бел</v>
      </c>
      <c r="S87" s="1659" t="s">
        <v>4733</v>
      </c>
      <c r="T87" s="1659" t="s">
        <v>7131</v>
      </c>
    </row>
    <row r="88" spans="15:20" x14ac:dyDescent="0.2">
      <c r="O88" s="15" t="str">
        <f t="shared" si="10"/>
        <v>500х500</v>
      </c>
      <c r="P88" s="15" t="str">
        <f t="shared" si="11"/>
        <v>бел</v>
      </c>
      <c r="R88" s="15" t="str">
        <f t="shared" si="7"/>
        <v>500х500бел</v>
      </c>
      <c r="S88" s="1659" t="s">
        <v>4734</v>
      </c>
      <c r="T88" s="1659" t="s">
        <v>7132</v>
      </c>
    </row>
    <row r="89" spans="15:20" x14ac:dyDescent="0.2">
      <c r="O89" s="15" t="str">
        <f t="shared" si="10"/>
        <v>600х350</v>
      </c>
      <c r="P89" s="15" t="str">
        <f t="shared" si="11"/>
        <v>бел</v>
      </c>
      <c r="R89" s="15" t="str">
        <f t="shared" si="7"/>
        <v>600х350бел</v>
      </c>
      <c r="S89" s="1659" t="s">
        <v>4735</v>
      </c>
      <c r="T89" s="1659" t="s">
        <v>7133</v>
      </c>
    </row>
    <row r="90" spans="15:20" x14ac:dyDescent="0.2">
      <c r="O90" s="15" t="str">
        <f t="shared" si="10"/>
        <v>600х400</v>
      </c>
      <c r="P90" s="15" t="str">
        <f t="shared" si="11"/>
        <v>бел</v>
      </c>
      <c r="R90" s="15" t="str">
        <f t="shared" si="7"/>
        <v>600х400бел</v>
      </c>
      <c r="S90" s="1659" t="s">
        <v>4736</v>
      </c>
      <c r="T90" s="1659" t="s">
        <v>7134</v>
      </c>
    </row>
    <row r="91" spans="15:20" x14ac:dyDescent="0.2">
      <c r="O91" s="15" t="str">
        <f t="shared" si="10"/>
        <v>600х450</v>
      </c>
      <c r="P91" s="15" t="str">
        <f t="shared" si="11"/>
        <v>бел</v>
      </c>
      <c r="R91" s="15" t="str">
        <f t="shared" si="7"/>
        <v>600х450бел</v>
      </c>
      <c r="S91" s="1659" t="s">
        <v>4737</v>
      </c>
      <c r="T91" s="1659" t="s">
        <v>7135</v>
      </c>
    </row>
    <row r="92" spans="15:20" x14ac:dyDescent="0.2">
      <c r="O92" s="15" t="str">
        <f t="shared" si="10"/>
        <v>600х500</v>
      </c>
      <c r="P92" s="15" t="str">
        <f t="shared" si="11"/>
        <v>бел</v>
      </c>
      <c r="R92" s="15" t="str">
        <f t="shared" si="7"/>
        <v>600х500бел</v>
      </c>
      <c r="S92" s="1659" t="s">
        <v>4738</v>
      </c>
      <c r="T92" s="1659" t="s">
        <v>7136</v>
      </c>
    </row>
    <row r="93" spans="15:20" x14ac:dyDescent="0.2">
      <c r="O93" s="15" t="str">
        <f t="shared" si="10"/>
        <v>700х350</v>
      </c>
      <c r="P93" s="15" t="str">
        <f t="shared" si="11"/>
        <v>бел</v>
      </c>
      <c r="R93" s="15" t="str">
        <f t="shared" si="7"/>
        <v>700х350бел</v>
      </c>
      <c r="S93" s="1659" t="s">
        <v>4739</v>
      </c>
      <c r="T93" s="1659" t="s">
        <v>7137</v>
      </c>
    </row>
    <row r="94" spans="15:20" x14ac:dyDescent="0.2">
      <c r="O94" s="15" t="str">
        <f t="shared" si="10"/>
        <v>700х400</v>
      </c>
      <c r="P94" s="15" t="str">
        <f t="shared" si="11"/>
        <v>бел</v>
      </c>
      <c r="R94" s="15" t="str">
        <f t="shared" si="7"/>
        <v>700х400бел</v>
      </c>
      <c r="S94" s="1659" t="s">
        <v>4740</v>
      </c>
      <c r="T94" s="1659" t="s">
        <v>7138</v>
      </c>
    </row>
    <row r="95" spans="15:20" x14ac:dyDescent="0.2">
      <c r="O95" s="15" t="str">
        <f t="shared" si="10"/>
        <v>700х450</v>
      </c>
      <c r="P95" s="15" t="str">
        <f t="shared" si="11"/>
        <v>бел</v>
      </c>
      <c r="R95" s="15" t="str">
        <f t="shared" si="7"/>
        <v>700х450бел</v>
      </c>
      <c r="S95" s="1659" t="s">
        <v>4741</v>
      </c>
      <c r="T95" s="1659" t="s">
        <v>7139</v>
      </c>
    </row>
    <row r="96" spans="15:20" x14ac:dyDescent="0.2">
      <c r="O96" s="15" t="str">
        <f t="shared" si="10"/>
        <v>700х500</v>
      </c>
      <c r="P96" s="15" t="str">
        <f t="shared" si="11"/>
        <v>бел</v>
      </c>
      <c r="R96" s="15" t="str">
        <f t="shared" si="7"/>
        <v>700х500бел</v>
      </c>
      <c r="S96" s="1659" t="s">
        <v>4742</v>
      </c>
      <c r="T96" s="1659" t="s">
        <v>7140</v>
      </c>
    </row>
    <row r="97" spans="15:20" x14ac:dyDescent="0.2">
      <c r="O97" s="15" t="str">
        <f t="shared" si="10"/>
        <v>800х350</v>
      </c>
      <c r="P97" s="15" t="str">
        <f t="shared" si="11"/>
        <v>бел</v>
      </c>
      <c r="R97" s="15" t="str">
        <f t="shared" si="7"/>
        <v>800х350бел</v>
      </c>
      <c r="S97" s="1659" t="s">
        <v>4743</v>
      </c>
      <c r="T97" s="1659" t="s">
        <v>7141</v>
      </c>
    </row>
    <row r="98" spans="15:20" x14ac:dyDescent="0.2">
      <c r="O98" s="15" t="str">
        <f t="shared" si="10"/>
        <v>800х400</v>
      </c>
      <c r="P98" s="15" t="str">
        <f t="shared" si="11"/>
        <v>бел</v>
      </c>
      <c r="R98" s="15" t="str">
        <f t="shared" si="7"/>
        <v>800х400бел</v>
      </c>
      <c r="S98" s="1659" t="s">
        <v>4744</v>
      </c>
      <c r="T98" s="1659" t="s">
        <v>7142</v>
      </c>
    </row>
    <row r="99" spans="15:20" x14ac:dyDescent="0.2">
      <c r="O99" s="15" t="str">
        <f t="shared" si="10"/>
        <v>800х450</v>
      </c>
      <c r="P99" s="15" t="str">
        <f t="shared" si="11"/>
        <v>бел</v>
      </c>
      <c r="R99" s="15" t="str">
        <f t="shared" si="7"/>
        <v>800х450бел</v>
      </c>
      <c r="S99" s="1659" t="s">
        <v>4745</v>
      </c>
      <c r="T99" s="1659" t="s">
        <v>7143</v>
      </c>
    </row>
    <row r="100" spans="15:20" x14ac:dyDescent="0.2">
      <c r="O100" s="15" t="str">
        <f t="shared" si="10"/>
        <v>800х500</v>
      </c>
      <c r="P100" s="15" t="str">
        <f t="shared" si="11"/>
        <v>бел</v>
      </c>
      <c r="R100" s="15" t="str">
        <f t="shared" si="7"/>
        <v>800х500бел</v>
      </c>
      <c r="S100" s="1659" t="s">
        <v>4746</v>
      </c>
      <c r="T100" s="1659" t="s">
        <v>7144</v>
      </c>
    </row>
    <row r="101" spans="15:20" x14ac:dyDescent="0.2">
      <c r="O101" s="15" t="str">
        <f t="shared" si="10"/>
        <v>900х350</v>
      </c>
      <c r="P101" s="15" t="str">
        <f t="shared" si="11"/>
        <v>бел</v>
      </c>
      <c r="R101" s="15" t="str">
        <f t="shared" si="7"/>
        <v>900х350бел</v>
      </c>
      <c r="S101" s="1659" t="s">
        <v>4747</v>
      </c>
      <c r="T101" s="1659" t="s">
        <v>7145</v>
      </c>
    </row>
    <row r="102" spans="15:20" x14ac:dyDescent="0.2">
      <c r="O102" s="15" t="str">
        <f t="shared" si="10"/>
        <v>900х400</v>
      </c>
      <c r="P102" s="15" t="str">
        <f t="shared" si="11"/>
        <v>бел</v>
      </c>
      <c r="R102" s="15" t="str">
        <f t="shared" si="7"/>
        <v>900х400бел</v>
      </c>
      <c r="S102" s="1659" t="s">
        <v>4748</v>
      </c>
      <c r="T102" s="1659" t="s">
        <v>7146</v>
      </c>
    </row>
    <row r="103" spans="15:20" x14ac:dyDescent="0.2">
      <c r="O103" s="15" t="str">
        <f t="shared" si="10"/>
        <v>900х450</v>
      </c>
      <c r="P103" s="15" t="str">
        <f t="shared" si="11"/>
        <v>бел</v>
      </c>
      <c r="R103" s="15" t="str">
        <f t="shared" si="7"/>
        <v>900х450бел</v>
      </c>
      <c r="S103" s="1659" t="s">
        <v>4749</v>
      </c>
      <c r="T103" s="1659" t="s">
        <v>7147</v>
      </c>
    </row>
    <row r="104" spans="15:20" x14ac:dyDescent="0.2">
      <c r="O104" s="15" t="str">
        <f t="shared" si="10"/>
        <v>900х500</v>
      </c>
      <c r="P104" s="15" t="str">
        <f t="shared" si="11"/>
        <v>бел</v>
      </c>
      <c r="R104" s="15" t="str">
        <f t="shared" si="7"/>
        <v>900х500бел</v>
      </c>
      <c r="S104" s="1659" t="s">
        <v>4750</v>
      </c>
      <c r="T104" s="1659" t="s">
        <v>7148</v>
      </c>
    </row>
    <row r="105" spans="15:20" x14ac:dyDescent="0.2">
      <c r="O105" s="15" t="str">
        <f t="shared" ref="O105:O112" si="12">MID(T105,23,8)</f>
        <v>1000х350</v>
      </c>
      <c r="P105" s="15" t="str">
        <f t="shared" ref="P105:P112" si="13">MID(T105,33,3)</f>
        <v>бел</v>
      </c>
      <c r="R105" s="15" t="str">
        <f t="shared" si="7"/>
        <v>1000х350бел</v>
      </c>
      <c r="S105" s="1659" t="s">
        <v>4751</v>
      </c>
      <c r="T105" s="1659" t="s">
        <v>7149</v>
      </c>
    </row>
    <row r="106" spans="15:20" x14ac:dyDescent="0.2">
      <c r="O106" s="15" t="str">
        <f t="shared" si="12"/>
        <v>1000х400</v>
      </c>
      <c r="P106" s="15" t="str">
        <f t="shared" si="13"/>
        <v>бел</v>
      </c>
      <c r="R106" s="15" t="str">
        <f t="shared" si="7"/>
        <v>1000х400бел</v>
      </c>
      <c r="S106" s="1659" t="s">
        <v>4752</v>
      </c>
      <c r="T106" s="1659" t="s">
        <v>7150</v>
      </c>
    </row>
    <row r="107" spans="15:20" x14ac:dyDescent="0.2">
      <c r="O107" s="15" t="str">
        <f t="shared" si="12"/>
        <v>1000х450</v>
      </c>
      <c r="P107" s="15" t="str">
        <f t="shared" si="13"/>
        <v>бел</v>
      </c>
      <c r="R107" s="15" t="str">
        <f t="shared" si="7"/>
        <v>1000х450бел</v>
      </c>
      <c r="S107" s="1659" t="s">
        <v>4753</v>
      </c>
      <c r="T107" s="1659" t="s">
        <v>7151</v>
      </c>
    </row>
    <row r="108" spans="15:20" x14ac:dyDescent="0.2">
      <c r="O108" s="15" t="str">
        <f t="shared" si="12"/>
        <v>1000х500</v>
      </c>
      <c r="P108" s="15" t="str">
        <f t="shared" si="13"/>
        <v>бел</v>
      </c>
      <c r="R108" s="15" t="str">
        <f t="shared" si="7"/>
        <v>1000х500бел</v>
      </c>
      <c r="S108" s="1659" t="s">
        <v>4754</v>
      </c>
      <c r="T108" s="1659" t="s">
        <v>7152</v>
      </c>
    </row>
    <row r="109" spans="15:20" x14ac:dyDescent="0.2">
      <c r="O109" s="15" t="str">
        <f t="shared" si="12"/>
        <v>1200х350</v>
      </c>
      <c r="P109" s="15" t="str">
        <f t="shared" si="13"/>
        <v>бел</v>
      </c>
      <c r="R109" s="15" t="str">
        <f t="shared" si="7"/>
        <v>1200х350бел</v>
      </c>
      <c r="S109" s="1659" t="s">
        <v>4755</v>
      </c>
      <c r="T109" s="1659" t="s">
        <v>7153</v>
      </c>
    </row>
    <row r="110" spans="15:20" x14ac:dyDescent="0.2">
      <c r="O110" s="15" t="str">
        <f t="shared" si="12"/>
        <v>1200х400</v>
      </c>
      <c r="P110" s="15" t="str">
        <f t="shared" si="13"/>
        <v>бел</v>
      </c>
      <c r="R110" s="15" t="str">
        <f t="shared" si="7"/>
        <v>1200х400бел</v>
      </c>
      <c r="S110" s="1659" t="s">
        <v>4756</v>
      </c>
      <c r="T110" s="1659" t="s">
        <v>7154</v>
      </c>
    </row>
    <row r="111" spans="15:20" x14ac:dyDescent="0.2">
      <c r="O111" s="15" t="str">
        <f t="shared" si="12"/>
        <v>1200х450</v>
      </c>
      <c r="P111" s="15" t="str">
        <f t="shared" si="13"/>
        <v>бел</v>
      </c>
      <c r="R111" s="15" t="str">
        <f t="shared" si="7"/>
        <v>1200х450бел</v>
      </c>
      <c r="S111" s="1659" t="s">
        <v>4757</v>
      </c>
      <c r="T111" s="1659" t="s">
        <v>7155</v>
      </c>
    </row>
    <row r="112" spans="15:20" x14ac:dyDescent="0.2">
      <c r="O112" s="15" t="str">
        <f t="shared" si="12"/>
        <v>1200х500</v>
      </c>
      <c r="P112" s="15" t="str">
        <f t="shared" si="13"/>
        <v>бел</v>
      </c>
      <c r="R112" s="15" t="str">
        <f t="shared" si="7"/>
        <v>1200х500бел</v>
      </c>
      <c r="S112" s="1659" t="s">
        <v>4758</v>
      </c>
      <c r="T112" s="1659" t="s">
        <v>7156</v>
      </c>
    </row>
    <row r="113" spans="15:20" x14ac:dyDescent="0.2">
      <c r="O113" s="15" t="str">
        <f t="shared" ref="O113:O120" si="14">MID(T113,25,3)</f>
        <v>300</v>
      </c>
      <c r="P113" s="15" t="str">
        <f t="shared" ref="P113:P120" si="15">MID(T113,37,3)</f>
        <v>чер</v>
      </c>
      <c r="Q113" s="15" t="str">
        <f t="shared" ref="Q113:Q120" si="16">MID(T113,34,1)</f>
        <v>M</v>
      </c>
      <c r="R113" s="15" t="str">
        <f t="shared" si="7"/>
        <v>300черM</v>
      </c>
      <c r="S113" s="1659" t="s">
        <v>4759</v>
      </c>
      <c r="T113" s="1659" t="s">
        <v>5099</v>
      </c>
    </row>
    <row r="114" spans="15:20" x14ac:dyDescent="0.2">
      <c r="O114" s="15" t="str">
        <f t="shared" si="14"/>
        <v>400</v>
      </c>
      <c r="P114" s="15" t="str">
        <f t="shared" si="15"/>
        <v>чер</v>
      </c>
      <c r="Q114" s="15" t="str">
        <f t="shared" si="16"/>
        <v>M</v>
      </c>
      <c r="R114" s="15" t="str">
        <f t="shared" si="7"/>
        <v>400черM</v>
      </c>
      <c r="S114" s="1659" t="s">
        <v>4760</v>
      </c>
      <c r="T114" s="1659" t="s">
        <v>5100</v>
      </c>
    </row>
    <row r="115" spans="15:20" x14ac:dyDescent="0.2">
      <c r="O115" s="15" t="str">
        <f t="shared" si="14"/>
        <v>450</v>
      </c>
      <c r="P115" s="15" t="str">
        <f t="shared" si="15"/>
        <v>чер</v>
      </c>
      <c r="Q115" s="15" t="str">
        <f t="shared" si="16"/>
        <v>M</v>
      </c>
      <c r="R115" s="15" t="str">
        <f t="shared" si="7"/>
        <v>450черM</v>
      </c>
      <c r="S115" s="1659" t="s">
        <v>4761</v>
      </c>
      <c r="T115" s="1659" t="s">
        <v>5101</v>
      </c>
    </row>
    <row r="116" spans="15:20" x14ac:dyDescent="0.2">
      <c r="O116" s="15" t="str">
        <f t="shared" si="14"/>
        <v>500</v>
      </c>
      <c r="P116" s="15" t="str">
        <f t="shared" si="15"/>
        <v>чер</v>
      </c>
      <c r="Q116" s="15" t="str">
        <f t="shared" si="16"/>
        <v>M</v>
      </c>
      <c r="R116" s="15" t="str">
        <f t="shared" si="7"/>
        <v>500черM</v>
      </c>
      <c r="S116" s="1659" t="s">
        <v>4762</v>
      </c>
      <c r="T116" s="1659" t="s">
        <v>5102</v>
      </c>
    </row>
    <row r="117" spans="15:20" x14ac:dyDescent="0.2">
      <c r="O117" s="15" t="str">
        <f t="shared" si="14"/>
        <v>600</v>
      </c>
      <c r="P117" s="15" t="str">
        <f t="shared" si="15"/>
        <v>чер</v>
      </c>
      <c r="Q117" s="15" t="str">
        <f t="shared" si="16"/>
        <v>M</v>
      </c>
      <c r="R117" s="15" t="str">
        <f t="shared" si="7"/>
        <v>600черM</v>
      </c>
      <c r="S117" s="1659" t="s">
        <v>4763</v>
      </c>
      <c r="T117" s="1659" t="s">
        <v>5103</v>
      </c>
    </row>
    <row r="118" spans="15:20" x14ac:dyDescent="0.2">
      <c r="O118" s="15" t="str">
        <f t="shared" si="14"/>
        <v>700</v>
      </c>
      <c r="P118" s="15" t="str">
        <f t="shared" si="15"/>
        <v>чер</v>
      </c>
      <c r="Q118" s="15" t="str">
        <f t="shared" si="16"/>
        <v>M</v>
      </c>
      <c r="R118" s="15" t="str">
        <f t="shared" si="7"/>
        <v>700черM</v>
      </c>
      <c r="S118" s="1659" t="s">
        <v>4764</v>
      </c>
      <c r="T118" s="1659" t="s">
        <v>5104</v>
      </c>
    </row>
    <row r="119" spans="15:20" x14ac:dyDescent="0.2">
      <c r="O119" s="15" t="str">
        <f t="shared" si="14"/>
        <v>800</v>
      </c>
      <c r="P119" s="15" t="str">
        <f t="shared" si="15"/>
        <v>чер</v>
      </c>
      <c r="Q119" s="15" t="str">
        <f t="shared" si="16"/>
        <v>M</v>
      </c>
      <c r="R119" s="15" t="str">
        <f t="shared" si="7"/>
        <v>800черM</v>
      </c>
      <c r="S119" s="1659" t="s">
        <v>4765</v>
      </c>
      <c r="T119" s="1659" t="s">
        <v>5105</v>
      </c>
    </row>
    <row r="120" spans="15:20" x14ac:dyDescent="0.2">
      <c r="O120" s="15" t="str">
        <f t="shared" si="14"/>
        <v>900</v>
      </c>
      <c r="P120" s="15" t="str">
        <f t="shared" si="15"/>
        <v>чер</v>
      </c>
      <c r="Q120" s="15" t="str">
        <f t="shared" si="16"/>
        <v>M</v>
      </c>
      <c r="R120" s="15" t="str">
        <f t="shared" si="7"/>
        <v>900черM</v>
      </c>
      <c r="S120" s="1659" t="s">
        <v>4766</v>
      </c>
      <c r="T120" s="1659" t="s">
        <v>5106</v>
      </c>
    </row>
    <row r="121" spans="15:20" x14ac:dyDescent="0.2">
      <c r="O121" s="15" t="str">
        <f>MID(T121,25,4)</f>
        <v>1000</v>
      </c>
      <c r="P121" s="15" t="str">
        <f>MID(T121,38,3)</f>
        <v>чер</v>
      </c>
      <c r="Q121" s="15" t="str">
        <f>MID(T121,35,1)</f>
        <v>M</v>
      </c>
      <c r="R121" s="15" t="str">
        <f t="shared" si="7"/>
        <v>1000черM</v>
      </c>
      <c r="S121" s="1659" t="s">
        <v>4767</v>
      </c>
      <c r="T121" s="1659" t="s">
        <v>4768</v>
      </c>
    </row>
    <row r="122" spans="15:20" x14ac:dyDescent="0.2">
      <c r="O122" s="15" t="str">
        <f>MID(T122,25,4)</f>
        <v>1200</v>
      </c>
      <c r="P122" s="15" t="str">
        <f>MID(T122,38,3)</f>
        <v>чер</v>
      </c>
      <c r="Q122" s="15" t="str">
        <f>MID(T122,35,1)</f>
        <v>M</v>
      </c>
      <c r="R122" s="15" t="str">
        <f t="shared" si="7"/>
        <v>1200черM</v>
      </c>
      <c r="S122" s="1659" t="s">
        <v>4769</v>
      </c>
      <c r="T122" s="1659" t="s">
        <v>4770</v>
      </c>
    </row>
    <row r="123" spans="15:20" x14ac:dyDescent="0.2">
      <c r="O123" s="15" t="str">
        <f t="shared" ref="O123:O130" si="17">MID(T123,25,3)</f>
        <v>300</v>
      </c>
      <c r="P123" s="15" t="str">
        <f t="shared" ref="P123:P130" si="18">MID(T123,37,3)</f>
        <v>чер</v>
      </c>
      <c r="Q123" s="15" t="str">
        <f t="shared" ref="Q123:Q130" si="19">MID(T123,34,1)</f>
        <v>C</v>
      </c>
      <c r="R123" s="15" t="str">
        <f t="shared" si="7"/>
        <v>300черC</v>
      </c>
      <c r="S123" s="1659" t="s">
        <v>4771</v>
      </c>
      <c r="T123" s="1659" t="s">
        <v>5107</v>
      </c>
    </row>
    <row r="124" spans="15:20" x14ac:dyDescent="0.2">
      <c r="O124" s="15" t="str">
        <f t="shared" si="17"/>
        <v>400</v>
      </c>
      <c r="P124" s="15" t="str">
        <f t="shared" si="18"/>
        <v>чер</v>
      </c>
      <c r="Q124" s="15" t="str">
        <f t="shared" si="19"/>
        <v>C</v>
      </c>
      <c r="R124" s="15" t="str">
        <f t="shared" si="7"/>
        <v>400черC</v>
      </c>
      <c r="S124" s="1659" t="s">
        <v>4772</v>
      </c>
      <c r="T124" s="1659" t="s">
        <v>5108</v>
      </c>
    </row>
    <row r="125" spans="15:20" x14ac:dyDescent="0.2">
      <c r="O125" s="15" t="str">
        <f t="shared" si="17"/>
        <v>450</v>
      </c>
      <c r="P125" s="15" t="str">
        <f t="shared" si="18"/>
        <v>чер</v>
      </c>
      <c r="Q125" s="15" t="str">
        <f t="shared" si="19"/>
        <v>C</v>
      </c>
      <c r="R125" s="15" t="str">
        <f t="shared" si="7"/>
        <v>450черC</v>
      </c>
      <c r="S125" s="1659" t="s">
        <v>4773</v>
      </c>
      <c r="T125" s="1659" t="s">
        <v>5109</v>
      </c>
    </row>
    <row r="126" spans="15:20" x14ac:dyDescent="0.2">
      <c r="O126" s="15" t="str">
        <f t="shared" si="17"/>
        <v>500</v>
      </c>
      <c r="P126" s="15" t="str">
        <f t="shared" si="18"/>
        <v>чер</v>
      </c>
      <c r="Q126" s="15" t="str">
        <f t="shared" si="19"/>
        <v>C</v>
      </c>
      <c r="R126" s="15" t="str">
        <f t="shared" si="7"/>
        <v>500черC</v>
      </c>
      <c r="S126" s="1659" t="s">
        <v>4774</v>
      </c>
      <c r="T126" s="1659" t="s">
        <v>5110</v>
      </c>
    </row>
    <row r="127" spans="15:20" x14ac:dyDescent="0.2">
      <c r="O127" s="15" t="str">
        <f t="shared" si="17"/>
        <v>600</v>
      </c>
      <c r="P127" s="15" t="str">
        <f t="shared" si="18"/>
        <v>чер</v>
      </c>
      <c r="Q127" s="15" t="str">
        <f t="shared" si="19"/>
        <v>C</v>
      </c>
      <c r="R127" s="15" t="str">
        <f t="shared" si="7"/>
        <v>600черC</v>
      </c>
      <c r="S127" s="1659" t="s">
        <v>4775</v>
      </c>
      <c r="T127" s="1659" t="s">
        <v>5111</v>
      </c>
    </row>
    <row r="128" spans="15:20" x14ac:dyDescent="0.2">
      <c r="O128" s="15" t="str">
        <f t="shared" si="17"/>
        <v>700</v>
      </c>
      <c r="P128" s="15" t="str">
        <f t="shared" si="18"/>
        <v>чер</v>
      </c>
      <c r="Q128" s="15" t="str">
        <f t="shared" si="19"/>
        <v>C</v>
      </c>
      <c r="R128" s="15" t="str">
        <f t="shared" si="7"/>
        <v>700черC</v>
      </c>
      <c r="S128" s="1659" t="s">
        <v>4776</v>
      </c>
      <c r="T128" s="1659" t="s">
        <v>5112</v>
      </c>
    </row>
    <row r="129" spans="15:20" x14ac:dyDescent="0.2">
      <c r="O129" s="15" t="str">
        <f t="shared" si="17"/>
        <v>800</v>
      </c>
      <c r="P129" s="15" t="str">
        <f t="shared" si="18"/>
        <v>чер</v>
      </c>
      <c r="Q129" s="15" t="str">
        <f t="shared" si="19"/>
        <v>C</v>
      </c>
      <c r="R129" s="15" t="str">
        <f t="shared" si="7"/>
        <v>800черC</v>
      </c>
      <c r="S129" s="1659" t="s">
        <v>4777</v>
      </c>
      <c r="T129" s="1659" t="s">
        <v>5113</v>
      </c>
    </row>
    <row r="130" spans="15:20" x14ac:dyDescent="0.2">
      <c r="O130" s="15" t="str">
        <f t="shared" si="17"/>
        <v>900</v>
      </c>
      <c r="P130" s="15" t="str">
        <f t="shared" si="18"/>
        <v>чер</v>
      </c>
      <c r="Q130" s="15" t="str">
        <f t="shared" si="19"/>
        <v>C</v>
      </c>
      <c r="R130" s="15" t="str">
        <f t="shared" si="7"/>
        <v>900черC</v>
      </c>
      <c r="S130" s="1659" t="s">
        <v>4778</v>
      </c>
      <c r="T130" s="1659" t="s">
        <v>5114</v>
      </c>
    </row>
    <row r="131" spans="15:20" x14ac:dyDescent="0.2">
      <c r="O131" s="15" t="str">
        <f>MID(T131,25,4)</f>
        <v>1000</v>
      </c>
      <c r="P131" s="15" t="str">
        <f>MID(T131,38,3)</f>
        <v>чер</v>
      </c>
      <c r="Q131" s="15" t="str">
        <f>MID(T131,35,1)</f>
        <v>C</v>
      </c>
      <c r="R131" s="15" t="str">
        <f t="shared" ref="R131:R190" si="20">O131&amp;P131&amp;Q131</f>
        <v>1000черC</v>
      </c>
      <c r="S131" s="1659" t="s">
        <v>4779</v>
      </c>
      <c r="T131" s="1659" t="s">
        <v>4780</v>
      </c>
    </row>
    <row r="132" spans="15:20" x14ac:dyDescent="0.2">
      <c r="O132" s="15" t="str">
        <f>MID(T132,25,4)</f>
        <v>1200</v>
      </c>
      <c r="P132" s="15" t="str">
        <f>MID(T132,38,3)</f>
        <v>чер</v>
      </c>
      <c r="Q132" s="15" t="str">
        <f>MID(T132,35,1)</f>
        <v>C</v>
      </c>
      <c r="R132" s="15" t="str">
        <f t="shared" si="20"/>
        <v>1200черC</v>
      </c>
      <c r="S132" s="1659" t="s">
        <v>4781</v>
      </c>
      <c r="T132" s="1659" t="s">
        <v>4782</v>
      </c>
    </row>
    <row r="133" spans="15:20" x14ac:dyDescent="0.2">
      <c r="O133" s="15" t="str">
        <f>MID(T133,25,3)</f>
        <v>600</v>
      </c>
      <c r="P133" s="15" t="str">
        <f>MID(T133,37,3)</f>
        <v>чер</v>
      </c>
      <c r="Q133" s="15" t="str">
        <f>MID(T133,34,1)</f>
        <v>F</v>
      </c>
      <c r="R133" s="15" t="str">
        <f t="shared" si="20"/>
        <v>600черF</v>
      </c>
      <c r="S133" s="1659" t="s">
        <v>4783</v>
      </c>
      <c r="T133" s="1659" t="s">
        <v>5115</v>
      </c>
    </row>
    <row r="134" spans="15:20" x14ac:dyDescent="0.2">
      <c r="O134" s="15" t="str">
        <f>MID(T134,25,3)</f>
        <v>700</v>
      </c>
      <c r="P134" s="15" t="str">
        <f>MID(T134,37,3)</f>
        <v>чер</v>
      </c>
      <c r="Q134" s="15" t="str">
        <f>MID(T134,34,1)</f>
        <v>F</v>
      </c>
      <c r="R134" s="15" t="str">
        <f t="shared" si="20"/>
        <v>700черF</v>
      </c>
      <c r="S134" s="1659" t="s">
        <v>4784</v>
      </c>
      <c r="T134" s="1659" t="s">
        <v>5116</v>
      </c>
    </row>
    <row r="135" spans="15:20" x14ac:dyDescent="0.2">
      <c r="O135" s="15" t="str">
        <f>MID(T135,25,3)</f>
        <v>800</v>
      </c>
      <c r="P135" s="15" t="str">
        <f>MID(T135,37,3)</f>
        <v>чер</v>
      </c>
      <c r="Q135" s="15" t="str">
        <f>MID(T135,34,1)</f>
        <v>F</v>
      </c>
      <c r="R135" s="15" t="str">
        <f t="shared" si="20"/>
        <v>800черF</v>
      </c>
      <c r="S135" s="1659" t="s">
        <v>4785</v>
      </c>
      <c r="T135" s="1659" t="s">
        <v>5117</v>
      </c>
    </row>
    <row r="136" spans="15:20" x14ac:dyDescent="0.2">
      <c r="O136" s="15" t="str">
        <f>MID(T136,25,3)</f>
        <v>900</v>
      </c>
      <c r="P136" s="15" t="str">
        <f>MID(T136,37,3)</f>
        <v>чер</v>
      </c>
      <c r="Q136" s="15" t="str">
        <f>MID(T136,34,1)</f>
        <v>F</v>
      </c>
      <c r="R136" s="15" t="str">
        <f t="shared" si="20"/>
        <v>900черF</v>
      </c>
      <c r="S136" s="1659" t="s">
        <v>4786</v>
      </c>
      <c r="T136" s="1659" t="s">
        <v>5118</v>
      </c>
    </row>
    <row r="137" spans="15:20" x14ac:dyDescent="0.2">
      <c r="O137" s="15" t="str">
        <f>MID(T137,25,4)</f>
        <v>1000</v>
      </c>
      <c r="P137" s="15" t="str">
        <f>MID(T137,38,3)</f>
        <v>чер</v>
      </c>
      <c r="Q137" s="15" t="str">
        <f>MID(T137,35,1)</f>
        <v>F</v>
      </c>
      <c r="R137" s="15" t="str">
        <f t="shared" si="20"/>
        <v>1000черF</v>
      </c>
      <c r="S137" s="1659" t="s">
        <v>4787</v>
      </c>
      <c r="T137" s="1659" t="s">
        <v>4788</v>
      </c>
    </row>
    <row r="138" spans="15:20" x14ac:dyDescent="0.2">
      <c r="O138" s="15" t="str">
        <f>MID(T138,25,4)</f>
        <v>1200</v>
      </c>
      <c r="P138" s="15" t="str">
        <f>MID(T138,38,3)</f>
        <v>чер</v>
      </c>
      <c r="Q138" s="15" t="str">
        <f>MID(T138,35,1)</f>
        <v>F</v>
      </c>
      <c r="R138" s="15" t="str">
        <f t="shared" si="20"/>
        <v>1200черF</v>
      </c>
      <c r="S138" s="1659" t="s">
        <v>4789</v>
      </c>
      <c r="T138" s="1659" t="s">
        <v>4790</v>
      </c>
    </row>
    <row r="139" spans="15:20" x14ac:dyDescent="0.2">
      <c r="O139" s="15" t="str">
        <f t="shared" ref="O139:O146" si="21">MID(T139,25,3)</f>
        <v>300</v>
      </c>
      <c r="P139" s="15" t="str">
        <f t="shared" ref="P139:P146" si="22">MID(T139,37,3)</f>
        <v>сер</v>
      </c>
      <c r="Q139" s="15" t="str">
        <f t="shared" ref="Q139:Q146" si="23">MID(T139,34,1)</f>
        <v>M</v>
      </c>
      <c r="R139" s="15" t="str">
        <f t="shared" si="20"/>
        <v>300серM</v>
      </c>
      <c r="S139" s="1659" t="s">
        <v>4791</v>
      </c>
      <c r="T139" s="1659" t="s">
        <v>5119</v>
      </c>
    </row>
    <row r="140" spans="15:20" x14ac:dyDescent="0.2">
      <c r="O140" s="15" t="str">
        <f t="shared" si="21"/>
        <v>400</v>
      </c>
      <c r="P140" s="15" t="str">
        <f t="shared" si="22"/>
        <v>сер</v>
      </c>
      <c r="Q140" s="15" t="str">
        <f t="shared" si="23"/>
        <v>M</v>
      </c>
      <c r="R140" s="15" t="str">
        <f t="shared" si="20"/>
        <v>400серM</v>
      </c>
      <c r="S140" s="1659" t="s">
        <v>4792</v>
      </c>
      <c r="T140" s="1659" t="s">
        <v>5120</v>
      </c>
    </row>
    <row r="141" spans="15:20" x14ac:dyDescent="0.2">
      <c r="O141" s="15" t="str">
        <f t="shared" si="21"/>
        <v>450</v>
      </c>
      <c r="P141" s="15" t="str">
        <f t="shared" si="22"/>
        <v>сер</v>
      </c>
      <c r="Q141" s="15" t="str">
        <f t="shared" si="23"/>
        <v>M</v>
      </c>
      <c r="R141" s="15" t="str">
        <f t="shared" si="20"/>
        <v>450серM</v>
      </c>
      <c r="S141" s="1659" t="s">
        <v>4793</v>
      </c>
      <c r="T141" s="1659" t="s">
        <v>5121</v>
      </c>
    </row>
    <row r="142" spans="15:20" x14ac:dyDescent="0.2">
      <c r="O142" s="15" t="str">
        <f t="shared" si="21"/>
        <v>500</v>
      </c>
      <c r="P142" s="15" t="str">
        <f t="shared" si="22"/>
        <v>сер</v>
      </c>
      <c r="Q142" s="15" t="str">
        <f t="shared" si="23"/>
        <v>M</v>
      </c>
      <c r="R142" s="15" t="str">
        <f t="shared" si="20"/>
        <v>500серM</v>
      </c>
      <c r="S142" s="1659" t="s">
        <v>4794</v>
      </c>
      <c r="T142" s="1659" t="s">
        <v>5122</v>
      </c>
    </row>
    <row r="143" spans="15:20" x14ac:dyDescent="0.2">
      <c r="O143" s="15" t="str">
        <f t="shared" si="21"/>
        <v>600</v>
      </c>
      <c r="P143" s="15" t="str">
        <f t="shared" si="22"/>
        <v>сер</v>
      </c>
      <c r="Q143" s="15" t="str">
        <f t="shared" si="23"/>
        <v>M</v>
      </c>
      <c r="R143" s="15" t="str">
        <f t="shared" si="20"/>
        <v>600серM</v>
      </c>
      <c r="S143" s="1659" t="s">
        <v>4795</v>
      </c>
      <c r="T143" s="1659" t="s">
        <v>5123</v>
      </c>
    </row>
    <row r="144" spans="15:20" x14ac:dyDescent="0.2">
      <c r="O144" s="15" t="str">
        <f t="shared" si="21"/>
        <v>700</v>
      </c>
      <c r="P144" s="15" t="str">
        <f t="shared" si="22"/>
        <v>сер</v>
      </c>
      <c r="Q144" s="15" t="str">
        <f t="shared" si="23"/>
        <v>M</v>
      </c>
      <c r="R144" s="15" t="str">
        <f t="shared" si="20"/>
        <v>700серM</v>
      </c>
      <c r="S144" s="1659" t="s">
        <v>4796</v>
      </c>
      <c r="T144" s="1659" t="s">
        <v>5124</v>
      </c>
    </row>
    <row r="145" spans="15:20" x14ac:dyDescent="0.2">
      <c r="O145" s="15" t="str">
        <f t="shared" si="21"/>
        <v>800</v>
      </c>
      <c r="P145" s="15" t="str">
        <f t="shared" si="22"/>
        <v>сер</v>
      </c>
      <c r="Q145" s="15" t="str">
        <f t="shared" si="23"/>
        <v>M</v>
      </c>
      <c r="R145" s="15" t="str">
        <f t="shared" si="20"/>
        <v>800серM</v>
      </c>
      <c r="S145" s="1659" t="s">
        <v>4797</v>
      </c>
      <c r="T145" s="1659" t="s">
        <v>5125</v>
      </c>
    </row>
    <row r="146" spans="15:20" x14ac:dyDescent="0.2">
      <c r="O146" s="15" t="str">
        <f t="shared" si="21"/>
        <v>900</v>
      </c>
      <c r="P146" s="15" t="str">
        <f t="shared" si="22"/>
        <v>сер</v>
      </c>
      <c r="Q146" s="15" t="str">
        <f t="shared" si="23"/>
        <v>M</v>
      </c>
      <c r="R146" s="15" t="str">
        <f t="shared" si="20"/>
        <v>900серM</v>
      </c>
      <c r="S146" s="1659" t="s">
        <v>4798</v>
      </c>
      <c r="T146" s="1659" t="s">
        <v>5126</v>
      </c>
    </row>
    <row r="147" spans="15:20" x14ac:dyDescent="0.2">
      <c r="O147" s="15" t="str">
        <f>MID(T147,25,4)</f>
        <v>1000</v>
      </c>
      <c r="P147" s="15" t="str">
        <f>MID(T147,38,3)</f>
        <v>сер</v>
      </c>
      <c r="Q147" s="15" t="str">
        <f>MID(T147,35,1)</f>
        <v>M</v>
      </c>
      <c r="R147" s="15" t="str">
        <f t="shared" si="20"/>
        <v>1000серM</v>
      </c>
      <c r="S147" s="1659" t="s">
        <v>4799</v>
      </c>
      <c r="T147" s="1659" t="s">
        <v>4800</v>
      </c>
    </row>
    <row r="148" spans="15:20" x14ac:dyDescent="0.2">
      <c r="O148" s="15" t="str">
        <f>MID(T148,25,4)</f>
        <v>1200</v>
      </c>
      <c r="P148" s="15" t="str">
        <f>MID(T148,38,3)</f>
        <v>сер</v>
      </c>
      <c r="Q148" s="15" t="str">
        <f>MID(T148,35,1)</f>
        <v>M</v>
      </c>
      <c r="R148" s="15" t="str">
        <f t="shared" si="20"/>
        <v>1200серM</v>
      </c>
      <c r="S148" s="1659" t="s">
        <v>4801</v>
      </c>
      <c r="T148" s="1659" t="s">
        <v>4802</v>
      </c>
    </row>
    <row r="149" spans="15:20" x14ac:dyDescent="0.2">
      <c r="O149" s="15" t="str">
        <f t="shared" ref="O149:O156" si="24">MID(T149,25,3)</f>
        <v>300</v>
      </c>
      <c r="P149" s="15" t="str">
        <f t="shared" ref="P149:P156" si="25">MID(T149,37,3)</f>
        <v>сер</v>
      </c>
      <c r="Q149" s="15" t="str">
        <f t="shared" ref="Q149:Q156" si="26">MID(T149,34,1)</f>
        <v>C</v>
      </c>
      <c r="R149" s="15" t="str">
        <f t="shared" si="20"/>
        <v>300серC</v>
      </c>
      <c r="S149" s="1659" t="s">
        <v>4803</v>
      </c>
      <c r="T149" s="1659" t="s">
        <v>5127</v>
      </c>
    </row>
    <row r="150" spans="15:20" x14ac:dyDescent="0.2">
      <c r="O150" s="15" t="str">
        <f t="shared" si="24"/>
        <v>400</v>
      </c>
      <c r="P150" s="15" t="str">
        <f t="shared" si="25"/>
        <v>сер</v>
      </c>
      <c r="Q150" s="15" t="str">
        <f t="shared" si="26"/>
        <v>C</v>
      </c>
      <c r="R150" s="15" t="str">
        <f t="shared" si="20"/>
        <v>400серC</v>
      </c>
      <c r="S150" s="1659" t="s">
        <v>4804</v>
      </c>
      <c r="T150" s="1659" t="s">
        <v>5128</v>
      </c>
    </row>
    <row r="151" spans="15:20" x14ac:dyDescent="0.2">
      <c r="O151" s="15" t="str">
        <f t="shared" si="24"/>
        <v>450</v>
      </c>
      <c r="P151" s="15" t="str">
        <f t="shared" si="25"/>
        <v>сер</v>
      </c>
      <c r="Q151" s="15" t="str">
        <f t="shared" si="26"/>
        <v>C</v>
      </c>
      <c r="R151" s="15" t="str">
        <f t="shared" si="20"/>
        <v>450серC</v>
      </c>
      <c r="S151" s="1659" t="s">
        <v>4805</v>
      </c>
      <c r="T151" s="1659" t="s">
        <v>5129</v>
      </c>
    </row>
    <row r="152" spans="15:20" x14ac:dyDescent="0.2">
      <c r="O152" s="15" t="str">
        <f t="shared" si="24"/>
        <v>500</v>
      </c>
      <c r="P152" s="15" t="str">
        <f t="shared" si="25"/>
        <v>сер</v>
      </c>
      <c r="Q152" s="15" t="str">
        <f t="shared" si="26"/>
        <v>C</v>
      </c>
      <c r="R152" s="15" t="str">
        <f t="shared" si="20"/>
        <v>500серC</v>
      </c>
      <c r="S152" s="1659" t="s">
        <v>4806</v>
      </c>
      <c r="T152" s="1659" t="s">
        <v>5130</v>
      </c>
    </row>
    <row r="153" spans="15:20" x14ac:dyDescent="0.2">
      <c r="O153" s="15" t="str">
        <f t="shared" si="24"/>
        <v>600</v>
      </c>
      <c r="P153" s="15" t="str">
        <f t="shared" si="25"/>
        <v>сер</v>
      </c>
      <c r="Q153" s="15" t="str">
        <f t="shared" si="26"/>
        <v>C</v>
      </c>
      <c r="R153" s="15" t="str">
        <f t="shared" si="20"/>
        <v>600серC</v>
      </c>
      <c r="S153" s="1659" t="s">
        <v>4807</v>
      </c>
      <c r="T153" s="1659" t="s">
        <v>5131</v>
      </c>
    </row>
    <row r="154" spans="15:20" x14ac:dyDescent="0.2">
      <c r="O154" s="15" t="str">
        <f t="shared" si="24"/>
        <v>700</v>
      </c>
      <c r="P154" s="15" t="str">
        <f t="shared" si="25"/>
        <v>сер</v>
      </c>
      <c r="Q154" s="15" t="str">
        <f t="shared" si="26"/>
        <v>C</v>
      </c>
      <c r="R154" s="15" t="str">
        <f t="shared" si="20"/>
        <v>700серC</v>
      </c>
      <c r="S154" s="1659" t="s">
        <v>4808</v>
      </c>
      <c r="T154" s="1659" t="s">
        <v>5132</v>
      </c>
    </row>
    <row r="155" spans="15:20" x14ac:dyDescent="0.2">
      <c r="O155" s="15" t="str">
        <f t="shared" si="24"/>
        <v>800</v>
      </c>
      <c r="P155" s="15" t="str">
        <f t="shared" si="25"/>
        <v>сер</v>
      </c>
      <c r="Q155" s="15" t="str">
        <f t="shared" si="26"/>
        <v>C</v>
      </c>
      <c r="R155" s="15" t="str">
        <f t="shared" si="20"/>
        <v>800серC</v>
      </c>
      <c r="S155" s="1659" t="s">
        <v>4809</v>
      </c>
      <c r="T155" s="1659" t="s">
        <v>5133</v>
      </c>
    </row>
    <row r="156" spans="15:20" x14ac:dyDescent="0.2">
      <c r="O156" s="15" t="str">
        <f t="shared" si="24"/>
        <v>900</v>
      </c>
      <c r="P156" s="15" t="str">
        <f t="shared" si="25"/>
        <v>сер</v>
      </c>
      <c r="Q156" s="15" t="str">
        <f t="shared" si="26"/>
        <v>C</v>
      </c>
      <c r="R156" s="15" t="str">
        <f t="shared" si="20"/>
        <v>900серC</v>
      </c>
      <c r="S156" s="1659" t="s">
        <v>4810</v>
      </c>
      <c r="T156" s="1659" t="s">
        <v>5134</v>
      </c>
    </row>
    <row r="157" spans="15:20" x14ac:dyDescent="0.2">
      <c r="O157" s="15" t="str">
        <f>MID(T157,25,4)</f>
        <v>1000</v>
      </c>
      <c r="P157" s="15" t="str">
        <f>MID(T157,38,3)</f>
        <v>сер</v>
      </c>
      <c r="Q157" s="15" t="str">
        <f>MID(T157,35,1)</f>
        <v>C</v>
      </c>
      <c r="R157" s="15" t="str">
        <f t="shared" si="20"/>
        <v>1000серC</v>
      </c>
      <c r="S157" s="1659" t="s">
        <v>4811</v>
      </c>
      <c r="T157" s="1659" t="s">
        <v>4812</v>
      </c>
    </row>
    <row r="158" spans="15:20" x14ac:dyDescent="0.2">
      <c r="O158" s="15" t="str">
        <f>MID(T158,25,4)</f>
        <v>1200</v>
      </c>
      <c r="P158" s="15" t="str">
        <f>MID(T158,38,3)</f>
        <v>сер</v>
      </c>
      <c r="Q158" s="15" t="str">
        <f>MID(T158,35,1)</f>
        <v>C</v>
      </c>
      <c r="R158" s="15" t="str">
        <f t="shared" si="20"/>
        <v>1200серC</v>
      </c>
      <c r="S158" s="1659" t="s">
        <v>4813</v>
      </c>
      <c r="T158" s="1659" t="s">
        <v>4814</v>
      </c>
    </row>
    <row r="159" spans="15:20" x14ac:dyDescent="0.2">
      <c r="O159" s="15" t="str">
        <f>MID(T159,25,3)</f>
        <v>600</v>
      </c>
      <c r="P159" s="15" t="str">
        <f>MID(T159,37,3)</f>
        <v>сер</v>
      </c>
      <c r="Q159" s="15" t="str">
        <f>MID(T159,34,1)</f>
        <v>F</v>
      </c>
      <c r="R159" s="15" t="str">
        <f t="shared" si="20"/>
        <v>600серF</v>
      </c>
      <c r="S159" s="1659" t="s">
        <v>4815</v>
      </c>
      <c r="T159" s="1659" t="s">
        <v>5135</v>
      </c>
    </row>
    <row r="160" spans="15:20" x14ac:dyDescent="0.2">
      <c r="O160" s="15" t="str">
        <f>MID(T160,25,3)</f>
        <v>700</v>
      </c>
      <c r="P160" s="15" t="str">
        <f>MID(T160,37,3)</f>
        <v>сер</v>
      </c>
      <c r="Q160" s="15" t="str">
        <f>MID(T160,34,1)</f>
        <v>F</v>
      </c>
      <c r="R160" s="15" t="str">
        <f t="shared" si="20"/>
        <v>700серF</v>
      </c>
      <c r="S160" s="1659" t="s">
        <v>4816</v>
      </c>
      <c r="T160" s="1659" t="s">
        <v>5136</v>
      </c>
    </row>
    <row r="161" spans="15:20" x14ac:dyDescent="0.2">
      <c r="O161" s="15" t="str">
        <f>MID(T161,25,3)</f>
        <v>800</v>
      </c>
      <c r="P161" s="15" t="str">
        <f>MID(T161,37,3)</f>
        <v>сер</v>
      </c>
      <c r="Q161" s="15" t="str">
        <f>MID(T161,34,1)</f>
        <v>F</v>
      </c>
      <c r="R161" s="15" t="str">
        <f t="shared" si="20"/>
        <v>800серF</v>
      </c>
      <c r="S161" s="1659" t="s">
        <v>4817</v>
      </c>
      <c r="T161" s="1659" t="s">
        <v>5137</v>
      </c>
    </row>
    <row r="162" spans="15:20" x14ac:dyDescent="0.2">
      <c r="O162" s="15" t="str">
        <f>MID(T162,25,3)</f>
        <v>900</v>
      </c>
      <c r="P162" s="15" t="str">
        <f>MID(T162,37,3)</f>
        <v>сер</v>
      </c>
      <c r="Q162" s="15" t="str">
        <f>MID(T162,34,1)</f>
        <v>F</v>
      </c>
      <c r="R162" s="15" t="str">
        <f t="shared" si="20"/>
        <v>900серF</v>
      </c>
      <c r="S162" s="1659" t="s">
        <v>4818</v>
      </c>
      <c r="T162" s="1659" t="s">
        <v>5138</v>
      </c>
    </row>
    <row r="163" spans="15:20" x14ac:dyDescent="0.2">
      <c r="O163" s="15" t="str">
        <f>MID(T163,25,4)</f>
        <v>1000</v>
      </c>
      <c r="P163" s="15" t="str">
        <f>MID(T163,38,3)</f>
        <v>сер</v>
      </c>
      <c r="Q163" s="15" t="str">
        <f>MID(T163,35,1)</f>
        <v>F</v>
      </c>
      <c r="R163" s="15" t="str">
        <f t="shared" si="20"/>
        <v>1000серF</v>
      </c>
      <c r="S163" s="1659" t="s">
        <v>4819</v>
      </c>
      <c r="T163" s="1659" t="s">
        <v>4820</v>
      </c>
    </row>
    <row r="164" spans="15:20" x14ac:dyDescent="0.2">
      <c r="O164" s="15" t="str">
        <f>MID(T164,25,4)</f>
        <v>1200</v>
      </c>
      <c r="P164" s="15" t="str">
        <f>MID(T164,38,3)</f>
        <v>сер</v>
      </c>
      <c r="Q164" s="15" t="str">
        <f>MID(T164,35,1)</f>
        <v>F</v>
      </c>
      <c r="R164" s="15" t="str">
        <f t="shared" si="20"/>
        <v>1200серF</v>
      </c>
      <c r="S164" s="1659" t="s">
        <v>4821</v>
      </c>
      <c r="T164" s="1659" t="s">
        <v>4822</v>
      </c>
    </row>
    <row r="165" spans="15:20" x14ac:dyDescent="0.2">
      <c r="O165" s="15" t="str">
        <f t="shared" ref="O165:O172" si="27">MID(T165,25,3)</f>
        <v>300</v>
      </c>
      <c r="P165" s="15" t="str">
        <f t="shared" ref="P165:P172" si="28">MID(T165,37,3)</f>
        <v>бел</v>
      </c>
      <c r="Q165" s="15" t="str">
        <f t="shared" ref="Q165:Q172" si="29">MID(T165,34,1)</f>
        <v>M</v>
      </c>
      <c r="R165" s="15" t="str">
        <f t="shared" si="20"/>
        <v>300белM</v>
      </c>
      <c r="S165" s="1659" t="s">
        <v>4823</v>
      </c>
      <c r="T165" s="1659" t="s">
        <v>5139</v>
      </c>
    </row>
    <row r="166" spans="15:20" x14ac:dyDescent="0.2">
      <c r="O166" s="15" t="str">
        <f t="shared" si="27"/>
        <v>400</v>
      </c>
      <c r="P166" s="15" t="str">
        <f t="shared" si="28"/>
        <v>бел</v>
      </c>
      <c r="Q166" s="15" t="str">
        <f t="shared" si="29"/>
        <v>M</v>
      </c>
      <c r="R166" s="15" t="str">
        <f t="shared" si="20"/>
        <v>400белM</v>
      </c>
      <c r="S166" s="1659" t="s">
        <v>4824</v>
      </c>
      <c r="T166" s="1659" t="s">
        <v>5140</v>
      </c>
    </row>
    <row r="167" spans="15:20" x14ac:dyDescent="0.2">
      <c r="O167" s="15" t="str">
        <f t="shared" si="27"/>
        <v>450</v>
      </c>
      <c r="P167" s="15" t="str">
        <f t="shared" si="28"/>
        <v>бел</v>
      </c>
      <c r="Q167" s="15" t="str">
        <f t="shared" si="29"/>
        <v>M</v>
      </c>
      <c r="R167" s="15" t="str">
        <f t="shared" si="20"/>
        <v>450белM</v>
      </c>
      <c r="S167" s="1659" t="s">
        <v>4825</v>
      </c>
      <c r="T167" s="1659" t="s">
        <v>5141</v>
      </c>
    </row>
    <row r="168" spans="15:20" x14ac:dyDescent="0.2">
      <c r="O168" s="15" t="str">
        <f t="shared" si="27"/>
        <v>500</v>
      </c>
      <c r="P168" s="15" t="str">
        <f t="shared" si="28"/>
        <v>бел</v>
      </c>
      <c r="Q168" s="15" t="str">
        <f t="shared" si="29"/>
        <v>M</v>
      </c>
      <c r="R168" s="15" t="str">
        <f t="shared" si="20"/>
        <v>500белM</v>
      </c>
      <c r="S168" s="1659" t="s">
        <v>4826</v>
      </c>
      <c r="T168" s="1659" t="s">
        <v>5142</v>
      </c>
    </row>
    <row r="169" spans="15:20" x14ac:dyDescent="0.2">
      <c r="O169" s="15" t="str">
        <f t="shared" si="27"/>
        <v>600</v>
      </c>
      <c r="P169" s="15" t="str">
        <f t="shared" si="28"/>
        <v>бел</v>
      </c>
      <c r="Q169" s="15" t="str">
        <f t="shared" si="29"/>
        <v>M</v>
      </c>
      <c r="R169" s="15" t="str">
        <f t="shared" si="20"/>
        <v>600белM</v>
      </c>
      <c r="S169" s="1659" t="s">
        <v>4827</v>
      </c>
      <c r="T169" s="1659" t="s">
        <v>5143</v>
      </c>
    </row>
    <row r="170" spans="15:20" x14ac:dyDescent="0.2">
      <c r="O170" s="15" t="str">
        <f t="shared" si="27"/>
        <v>700</v>
      </c>
      <c r="P170" s="15" t="str">
        <f t="shared" si="28"/>
        <v>бел</v>
      </c>
      <c r="Q170" s="15" t="str">
        <f t="shared" si="29"/>
        <v>M</v>
      </c>
      <c r="R170" s="15" t="str">
        <f t="shared" si="20"/>
        <v>700белM</v>
      </c>
      <c r="S170" s="1659" t="s">
        <v>4828</v>
      </c>
      <c r="T170" s="1659" t="s">
        <v>5144</v>
      </c>
    </row>
    <row r="171" spans="15:20" x14ac:dyDescent="0.2">
      <c r="O171" s="15" t="str">
        <f t="shared" si="27"/>
        <v>800</v>
      </c>
      <c r="P171" s="15" t="str">
        <f t="shared" si="28"/>
        <v>бел</v>
      </c>
      <c r="Q171" s="15" t="str">
        <f t="shared" si="29"/>
        <v>M</v>
      </c>
      <c r="R171" s="15" t="str">
        <f t="shared" si="20"/>
        <v>800белM</v>
      </c>
      <c r="S171" s="1659" t="s">
        <v>4829</v>
      </c>
      <c r="T171" s="1659" t="s">
        <v>5145</v>
      </c>
    </row>
    <row r="172" spans="15:20" x14ac:dyDescent="0.2">
      <c r="O172" s="15" t="str">
        <f t="shared" si="27"/>
        <v>900</v>
      </c>
      <c r="P172" s="15" t="str">
        <f t="shared" si="28"/>
        <v>бел</v>
      </c>
      <c r="Q172" s="15" t="str">
        <f t="shared" si="29"/>
        <v>M</v>
      </c>
      <c r="R172" s="15" t="str">
        <f t="shared" si="20"/>
        <v>900белM</v>
      </c>
      <c r="S172" s="1659" t="s">
        <v>4830</v>
      </c>
      <c r="T172" s="1659" t="s">
        <v>5146</v>
      </c>
    </row>
    <row r="173" spans="15:20" x14ac:dyDescent="0.2">
      <c r="O173" s="15" t="str">
        <f>MID(T173,25,4)</f>
        <v>1000</v>
      </c>
      <c r="P173" s="15" t="str">
        <f>MID(T173,38,3)</f>
        <v>бел</v>
      </c>
      <c r="Q173" s="15" t="str">
        <f>MID(T173,35,1)</f>
        <v>M</v>
      </c>
      <c r="R173" s="15" t="str">
        <f t="shared" si="20"/>
        <v>1000белM</v>
      </c>
      <c r="S173" s="1659" t="s">
        <v>4831</v>
      </c>
      <c r="T173" s="1659" t="s">
        <v>4832</v>
      </c>
    </row>
    <row r="174" spans="15:20" x14ac:dyDescent="0.2">
      <c r="O174" s="15" t="str">
        <f>MID(T174,25,4)</f>
        <v>1200</v>
      </c>
      <c r="P174" s="15" t="str">
        <f>MID(T174,38,3)</f>
        <v>бел</v>
      </c>
      <c r="Q174" s="15" t="str">
        <f>MID(T174,35,1)</f>
        <v>M</v>
      </c>
      <c r="R174" s="15" t="str">
        <f t="shared" si="20"/>
        <v>1200белM</v>
      </c>
      <c r="S174" s="1659" t="s">
        <v>4833</v>
      </c>
      <c r="T174" s="1659" t="s">
        <v>4834</v>
      </c>
    </row>
    <row r="175" spans="15:20" x14ac:dyDescent="0.2">
      <c r="O175" s="15" t="str">
        <f t="shared" ref="O175:O182" si="30">MID(T175,25,3)</f>
        <v>300</v>
      </c>
      <c r="P175" s="15" t="str">
        <f t="shared" ref="P175:P182" si="31">MID(T175,37,3)</f>
        <v>бел</v>
      </c>
      <c r="Q175" s="15" t="str">
        <f t="shared" ref="Q175:Q182" si="32">MID(T175,34,1)</f>
        <v>C</v>
      </c>
      <c r="R175" s="15" t="str">
        <f t="shared" si="20"/>
        <v>300белC</v>
      </c>
      <c r="S175" s="1659" t="s">
        <v>4835</v>
      </c>
      <c r="T175" s="1659" t="s">
        <v>5147</v>
      </c>
    </row>
    <row r="176" spans="15:20" x14ac:dyDescent="0.2">
      <c r="O176" s="15" t="str">
        <f t="shared" si="30"/>
        <v>400</v>
      </c>
      <c r="P176" s="15" t="str">
        <f t="shared" si="31"/>
        <v>бел</v>
      </c>
      <c r="Q176" s="15" t="str">
        <f t="shared" si="32"/>
        <v>C</v>
      </c>
      <c r="R176" s="15" t="str">
        <f t="shared" si="20"/>
        <v>400белC</v>
      </c>
      <c r="S176" s="1659" t="s">
        <v>4836</v>
      </c>
      <c r="T176" s="1659" t="s">
        <v>5148</v>
      </c>
    </row>
    <row r="177" spans="15:20" x14ac:dyDescent="0.2">
      <c r="O177" s="15" t="str">
        <f t="shared" si="30"/>
        <v>450</v>
      </c>
      <c r="P177" s="15" t="str">
        <f t="shared" si="31"/>
        <v>бел</v>
      </c>
      <c r="Q177" s="15" t="str">
        <f t="shared" si="32"/>
        <v>C</v>
      </c>
      <c r="R177" s="15" t="str">
        <f t="shared" si="20"/>
        <v>450белC</v>
      </c>
      <c r="S177" s="1659" t="s">
        <v>4837</v>
      </c>
      <c r="T177" s="1659" t="s">
        <v>5149</v>
      </c>
    </row>
    <row r="178" spans="15:20" x14ac:dyDescent="0.2">
      <c r="O178" s="15" t="str">
        <f t="shared" si="30"/>
        <v>500</v>
      </c>
      <c r="P178" s="15" t="str">
        <f t="shared" si="31"/>
        <v>бел</v>
      </c>
      <c r="Q178" s="15" t="str">
        <f t="shared" si="32"/>
        <v>C</v>
      </c>
      <c r="R178" s="15" t="str">
        <f t="shared" si="20"/>
        <v>500белC</v>
      </c>
      <c r="S178" s="1659" t="s">
        <v>4838</v>
      </c>
      <c r="T178" s="1659" t="s">
        <v>5150</v>
      </c>
    </row>
    <row r="179" spans="15:20" x14ac:dyDescent="0.2">
      <c r="O179" s="15" t="str">
        <f t="shared" si="30"/>
        <v>600</v>
      </c>
      <c r="P179" s="15" t="str">
        <f t="shared" si="31"/>
        <v>бел</v>
      </c>
      <c r="Q179" s="15" t="str">
        <f t="shared" si="32"/>
        <v>C</v>
      </c>
      <c r="R179" s="15" t="str">
        <f t="shared" si="20"/>
        <v>600белC</v>
      </c>
      <c r="S179" s="1659" t="s">
        <v>4839</v>
      </c>
      <c r="T179" s="1659" t="s">
        <v>5151</v>
      </c>
    </row>
    <row r="180" spans="15:20" x14ac:dyDescent="0.2">
      <c r="O180" s="15" t="str">
        <f t="shared" si="30"/>
        <v>700</v>
      </c>
      <c r="P180" s="15" t="str">
        <f t="shared" si="31"/>
        <v>бел</v>
      </c>
      <c r="Q180" s="15" t="str">
        <f t="shared" si="32"/>
        <v>C</v>
      </c>
      <c r="R180" s="15" t="str">
        <f t="shared" si="20"/>
        <v>700белC</v>
      </c>
      <c r="S180" s="1659" t="s">
        <v>4840</v>
      </c>
      <c r="T180" s="1659" t="s">
        <v>5152</v>
      </c>
    </row>
    <row r="181" spans="15:20" x14ac:dyDescent="0.2">
      <c r="O181" s="15" t="str">
        <f t="shared" si="30"/>
        <v>800</v>
      </c>
      <c r="P181" s="15" t="str">
        <f t="shared" si="31"/>
        <v>бел</v>
      </c>
      <c r="Q181" s="15" t="str">
        <f t="shared" si="32"/>
        <v>C</v>
      </c>
      <c r="R181" s="15" t="str">
        <f t="shared" si="20"/>
        <v>800белC</v>
      </c>
      <c r="S181" s="1659" t="s">
        <v>4841</v>
      </c>
      <c r="T181" s="1659" t="s">
        <v>5153</v>
      </c>
    </row>
    <row r="182" spans="15:20" x14ac:dyDescent="0.2">
      <c r="O182" s="15" t="str">
        <f t="shared" si="30"/>
        <v>900</v>
      </c>
      <c r="P182" s="15" t="str">
        <f t="shared" si="31"/>
        <v>бел</v>
      </c>
      <c r="Q182" s="15" t="str">
        <f t="shared" si="32"/>
        <v>C</v>
      </c>
      <c r="R182" s="15" t="str">
        <f t="shared" si="20"/>
        <v>900белC</v>
      </c>
      <c r="S182" s="1659" t="s">
        <v>4842</v>
      </c>
      <c r="T182" s="1659" t="s">
        <v>5154</v>
      </c>
    </row>
    <row r="183" spans="15:20" x14ac:dyDescent="0.2">
      <c r="O183" s="15" t="str">
        <f>MID(T183,25,4)</f>
        <v>1000</v>
      </c>
      <c r="P183" s="15" t="str">
        <f>MID(T183,38,3)</f>
        <v>бел</v>
      </c>
      <c r="Q183" s="15" t="str">
        <f>MID(T183,35,1)</f>
        <v>C</v>
      </c>
      <c r="R183" s="15" t="str">
        <f t="shared" si="20"/>
        <v>1000белC</v>
      </c>
      <c r="S183" s="1659" t="s">
        <v>4843</v>
      </c>
      <c r="T183" s="1659" t="s">
        <v>4844</v>
      </c>
    </row>
    <row r="184" spans="15:20" x14ac:dyDescent="0.2">
      <c r="O184" s="15" t="str">
        <f>MID(T184,25,4)</f>
        <v>1200</v>
      </c>
      <c r="P184" s="15" t="str">
        <f>MID(T184,38,3)</f>
        <v>бел</v>
      </c>
      <c r="Q184" s="15" t="str">
        <f>MID(T184,35,1)</f>
        <v>C</v>
      </c>
      <c r="R184" s="15" t="str">
        <f t="shared" si="20"/>
        <v>1200белC</v>
      </c>
      <c r="S184" s="1659" t="s">
        <v>4845</v>
      </c>
      <c r="T184" s="1659" t="s">
        <v>4846</v>
      </c>
    </row>
    <row r="185" spans="15:20" x14ac:dyDescent="0.2">
      <c r="O185" s="15" t="str">
        <f>MID(T185,25,3)</f>
        <v>600</v>
      </c>
      <c r="P185" s="15" t="str">
        <f>MID(T185,37,3)</f>
        <v>бел</v>
      </c>
      <c r="Q185" s="15" t="str">
        <f>MID(T185,34,1)</f>
        <v>F</v>
      </c>
      <c r="R185" s="15" t="str">
        <f t="shared" si="20"/>
        <v>600белF</v>
      </c>
      <c r="S185" s="1659" t="s">
        <v>4847</v>
      </c>
      <c r="T185" s="1659" t="s">
        <v>5155</v>
      </c>
    </row>
    <row r="186" spans="15:20" x14ac:dyDescent="0.2">
      <c r="O186" s="15" t="str">
        <f>MID(T186,25,3)</f>
        <v>700</v>
      </c>
      <c r="P186" s="15" t="str">
        <f>MID(T186,37,3)</f>
        <v>бел</v>
      </c>
      <c r="Q186" s="15" t="str">
        <f>MID(T186,34,1)</f>
        <v>F</v>
      </c>
      <c r="R186" s="15" t="str">
        <f t="shared" si="20"/>
        <v>700белF</v>
      </c>
      <c r="S186" s="1659" t="s">
        <v>4848</v>
      </c>
      <c r="T186" s="1659" t="s">
        <v>5156</v>
      </c>
    </row>
    <row r="187" spans="15:20" x14ac:dyDescent="0.2">
      <c r="O187" s="15" t="str">
        <f>MID(T187,25,3)</f>
        <v>800</v>
      </c>
      <c r="P187" s="15" t="str">
        <f>MID(T187,37,3)</f>
        <v>бел</v>
      </c>
      <c r="Q187" s="15" t="str">
        <f>MID(T187,34,1)</f>
        <v>F</v>
      </c>
      <c r="R187" s="15" t="str">
        <f t="shared" si="20"/>
        <v>800белF</v>
      </c>
      <c r="S187" s="1659" t="s">
        <v>4849</v>
      </c>
      <c r="T187" s="1659" t="s">
        <v>5157</v>
      </c>
    </row>
    <row r="188" spans="15:20" x14ac:dyDescent="0.2">
      <c r="O188" s="15" t="str">
        <f>MID(T188,25,3)</f>
        <v>900</v>
      </c>
      <c r="P188" s="15" t="str">
        <f>MID(T188,37,3)</f>
        <v>бел</v>
      </c>
      <c r="Q188" s="15" t="str">
        <f>MID(T188,34,1)</f>
        <v>F</v>
      </c>
      <c r="R188" s="15" t="str">
        <f t="shared" si="20"/>
        <v>900белF</v>
      </c>
      <c r="S188" s="1659" t="s">
        <v>4850</v>
      </c>
      <c r="T188" s="1659" t="s">
        <v>5158</v>
      </c>
    </row>
    <row r="189" spans="15:20" x14ac:dyDescent="0.2">
      <c r="O189" s="15" t="str">
        <f>MID(T189,25,4)</f>
        <v>1000</v>
      </c>
      <c r="P189" s="15" t="str">
        <f>MID(T189,38,3)</f>
        <v>бел</v>
      </c>
      <c r="Q189" s="15" t="str">
        <f>MID(T189,35,1)</f>
        <v>F</v>
      </c>
      <c r="R189" s="15" t="str">
        <f t="shared" si="20"/>
        <v>1000белF</v>
      </c>
      <c r="S189" s="1659" t="s">
        <v>4851</v>
      </c>
      <c r="T189" s="1659" t="s">
        <v>4852</v>
      </c>
    </row>
    <row r="190" spans="15:20" x14ac:dyDescent="0.2">
      <c r="O190" s="15" t="str">
        <f>MID(T190,25,4)</f>
        <v>1200</v>
      </c>
      <c r="P190" s="15" t="str">
        <f>MID(T190,38,3)</f>
        <v>бел</v>
      </c>
      <c r="Q190" s="15" t="str">
        <f>MID(T190,35,1)</f>
        <v>F</v>
      </c>
      <c r="R190" s="15" t="str">
        <f t="shared" si="20"/>
        <v>1200белF</v>
      </c>
      <c r="S190" s="1659" t="s">
        <v>4853</v>
      </c>
      <c r="T190" s="1659" t="s">
        <v>4854</v>
      </c>
    </row>
    <row r="191" spans="15:20" x14ac:dyDescent="0.2">
      <c r="O191" s="15" t="str">
        <f>MID(T191,25,3)</f>
        <v/>
      </c>
      <c r="P191" s="15" t="str">
        <f>MID(T191,37,3)</f>
        <v/>
      </c>
      <c r="Q191" s="15" t="str">
        <f>MID(T191,34,1)</f>
        <v/>
      </c>
    </row>
    <row r="192" spans="15:20" x14ac:dyDescent="0.2">
      <c r="O192" s="15" t="str">
        <f>MID(T192,25,3)</f>
        <v/>
      </c>
      <c r="P192" s="15" t="str">
        <f>MID(T192,37,3)</f>
        <v/>
      </c>
      <c r="Q192" s="15" t="str">
        <f>MID(T192,34,1)</f>
        <v/>
      </c>
    </row>
  </sheetData>
  <mergeCells count="3">
    <mergeCell ref="A1:F1"/>
    <mergeCell ref="A8:F9"/>
    <mergeCell ref="D11:E11"/>
  </mergeCells>
  <conditionalFormatting sqref="E3">
    <cfRule type="cellIs" dxfId="52" priority="2" operator="equal">
      <formula>"Гавана Коричневый"</formula>
    </cfRule>
    <cfRule type="cellIs" dxfId="51" priority="3" operator="equal">
      <formula>$Y$5</formula>
    </cfRule>
    <cfRule type="cellIs" priority="4" operator="equal">
      <formula>$Y$5</formula>
    </cfRule>
    <cfRule type="cellIs" dxfId="50" priority="5" operator="equal">
      <formula>$Y$4</formula>
    </cfRule>
    <cfRule type="cellIs" dxfId="49" priority="6" operator="equal">
      <formula>$Y$3</formula>
    </cfRule>
  </conditionalFormatting>
  <conditionalFormatting sqref="A1">
    <cfRule type="cellIs" dxfId="48" priority="1" operator="equal">
      <formula>$X$3</formula>
    </cfRule>
  </conditionalFormatting>
  <dataValidations count="4">
    <dataValidation type="list" allowBlank="1" showInputMessage="1" showErrorMessage="1" sqref="E4" xr:uid="{00000000-0002-0000-1D00-000000000000}">
      <formula1>$K$2:$K$11</formula1>
    </dataValidation>
    <dataValidation type="list" allowBlank="1" showInputMessage="1" showErrorMessage="1" sqref="E5" xr:uid="{00000000-0002-0000-1D00-000001000000}">
      <formula1>$L$2:$L$5</formula1>
    </dataValidation>
    <dataValidation type="list" allowBlank="1" showInputMessage="1" showErrorMessage="1" sqref="E6" xr:uid="{00000000-0002-0000-1D00-000002000000}">
      <formula1>$M$2:$M$4</formula1>
    </dataValidation>
    <dataValidation type="list" allowBlank="1" showInputMessage="1" showErrorMessage="1" sqref="E3" xr:uid="{00000000-0002-0000-1D00-000003000000}">
      <formula1>$N$1:$N$3</formula1>
    </dataValidation>
  </dataValidations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sheetPr codeName="Лист24"/>
  <dimension ref="A1:AZ216"/>
  <sheetViews>
    <sheetView workbookViewId="0">
      <selection activeCell="A29" sqref="A29:G30"/>
    </sheetView>
  </sheetViews>
  <sheetFormatPr defaultRowHeight="15" x14ac:dyDescent="0.2"/>
  <cols>
    <col min="1" max="1" width="2.85546875" style="314" customWidth="1"/>
    <col min="2" max="2" width="35.5703125" style="978" customWidth="1"/>
    <col min="3" max="3" width="11" style="978" customWidth="1"/>
    <col min="4" max="4" width="38.5703125" style="978" bestFit="1" customWidth="1"/>
    <col min="5" max="5" width="3.42578125" style="10" customWidth="1"/>
    <col min="6" max="6" width="9.140625" style="978" hidden="1" customWidth="1"/>
    <col min="7" max="7" width="9" style="6" customWidth="1"/>
    <col min="8" max="8" width="9.85546875" style="20" customWidth="1"/>
    <col min="9" max="9" width="3.140625" style="918" customWidth="1"/>
    <col min="10" max="10" width="9.140625" style="771" hidden="1" customWidth="1"/>
    <col min="11" max="11" width="12.42578125" style="771" hidden="1" customWidth="1"/>
    <col min="12" max="12" width="9.140625" style="771" hidden="1" customWidth="1"/>
    <col min="13" max="13" width="7.5703125" style="771" hidden="1" customWidth="1"/>
    <col min="14" max="30" width="9.140625" style="771" hidden="1" customWidth="1"/>
    <col min="31" max="31" width="3.85546875" style="771" customWidth="1"/>
    <col min="32" max="52" width="9.140625" style="771"/>
    <col min="53" max="16384" width="9.140625" style="978"/>
  </cols>
  <sheetData>
    <row r="1" spans="1:52" s="771" customFormat="1" x14ac:dyDescent="0.2">
      <c r="A1" s="889"/>
      <c r="H1" s="887"/>
    </row>
    <row r="2" spans="1:52" ht="39.950000000000003" customHeight="1" x14ac:dyDescent="0.2">
      <c r="A2" s="2465" t="s">
        <v>3155</v>
      </c>
      <c r="B2" s="2465"/>
      <c r="C2" s="2465"/>
      <c r="D2" s="2465"/>
      <c r="E2" s="2465"/>
      <c r="F2" s="2465"/>
      <c r="G2" s="2466"/>
      <c r="H2" s="611"/>
      <c r="I2" s="941"/>
    </row>
    <row r="3" spans="1:52" ht="17.100000000000001" customHeight="1" x14ac:dyDescent="0.25">
      <c r="A3" s="319"/>
      <c r="B3" s="2469" t="s">
        <v>2836</v>
      </c>
      <c r="C3" s="2469"/>
      <c r="D3" s="1077" t="s">
        <v>2831</v>
      </c>
      <c r="E3" s="1076" t="s">
        <v>3150</v>
      </c>
      <c r="F3" s="1074"/>
      <c r="G3" s="1081" t="str">
        <f>VLOOKUP(D3,K8:M13,3,FALSE)</f>
        <v>белый</v>
      </c>
      <c r="H3" s="611"/>
      <c r="I3" s="941"/>
    </row>
    <row r="4" spans="1:52" s="1067" customFormat="1" ht="17.100000000000001" customHeight="1" thickBot="1" x14ac:dyDescent="0.3">
      <c r="A4" s="319"/>
      <c r="B4" s="921"/>
      <c r="C4" s="1075" t="str">
        <f>IF(D3=K18,"задняя стенка:"," ")</f>
        <v>задняя стенка:</v>
      </c>
      <c r="D4" s="1072" t="s">
        <v>3149</v>
      </c>
      <c r="E4" s="1073"/>
      <c r="F4" s="1071"/>
      <c r="G4" s="1082"/>
      <c r="H4" s="611"/>
      <c r="I4" s="941"/>
      <c r="J4" s="771"/>
      <c r="K4" s="771"/>
      <c r="L4" s="771"/>
      <c r="M4" s="771"/>
      <c r="N4" s="771"/>
      <c r="O4" s="771"/>
      <c r="P4" s="771"/>
      <c r="Q4" s="771"/>
      <c r="R4" s="771"/>
      <c r="S4" s="771"/>
      <c r="T4" s="771"/>
      <c r="U4" s="771"/>
      <c r="V4" s="771"/>
      <c r="W4" s="771"/>
      <c r="X4" s="771"/>
      <c r="Y4" s="771"/>
      <c r="Z4" s="771"/>
      <c r="AA4" s="771"/>
      <c r="AB4" s="771"/>
      <c r="AC4" s="771"/>
      <c r="AD4" s="771"/>
      <c r="AE4" s="1011"/>
      <c r="AF4" s="1079"/>
      <c r="AG4" s="1080"/>
      <c r="AH4" s="771"/>
      <c r="AI4" s="771"/>
      <c r="AJ4" s="771"/>
      <c r="AK4" s="771"/>
      <c r="AL4" s="771"/>
      <c r="AM4" s="771"/>
      <c r="AN4" s="771"/>
      <c r="AO4" s="771"/>
      <c r="AP4" s="771"/>
      <c r="AQ4" s="771"/>
      <c r="AR4" s="771"/>
      <c r="AS4" s="771"/>
      <c r="AT4" s="771"/>
      <c r="AU4" s="771"/>
      <c r="AV4" s="771"/>
      <c r="AW4" s="771"/>
      <c r="AX4" s="771"/>
      <c r="AY4" s="771"/>
      <c r="AZ4" s="771"/>
    </row>
    <row r="5" spans="1:52" ht="16.5" customHeight="1" x14ac:dyDescent="0.2">
      <c r="A5" s="274"/>
      <c r="B5" s="690" t="s">
        <v>2260</v>
      </c>
      <c r="C5" s="698"/>
      <c r="D5" s="989" t="s">
        <v>2844</v>
      </c>
      <c r="E5" s="990"/>
      <c r="F5" s="990"/>
      <c r="G5" s="1083" t="s">
        <v>2840</v>
      </c>
      <c r="H5" s="1003" t="str">
        <f>VLOOKUP(D3,K8:L13,2,FALSE)</f>
        <v>- C</v>
      </c>
      <c r="I5" s="941"/>
    </row>
    <row r="6" spans="1:52" ht="15.75" thickBot="1" x14ac:dyDescent="0.25">
      <c r="A6" s="274"/>
      <c r="B6" s="980" t="s">
        <v>1639</v>
      </c>
      <c r="C6" s="170">
        <v>450</v>
      </c>
      <c r="D6" s="73" t="s">
        <v>1689</v>
      </c>
      <c r="E6" s="73"/>
      <c r="F6" s="73"/>
      <c r="G6" s="93"/>
      <c r="H6" s="2125" t="str">
        <f>IF(СОДЕРЖАНИЕ!P2=1,"EUR","RUB")</f>
        <v>RUB</v>
      </c>
      <c r="I6" s="941"/>
      <c r="K6" s="774">
        <v>1</v>
      </c>
      <c r="L6" s="774">
        <v>2</v>
      </c>
      <c r="M6" s="774">
        <v>3</v>
      </c>
      <c r="N6" s="774">
        <v>4</v>
      </c>
      <c r="O6" s="774">
        <v>5</v>
      </c>
      <c r="P6" s="774">
        <v>6</v>
      </c>
      <c r="Q6" s="774">
        <v>7</v>
      </c>
      <c r="R6" s="774">
        <v>8</v>
      </c>
      <c r="S6" s="774">
        <v>9</v>
      </c>
      <c r="T6" s="774" t="s">
        <v>1765</v>
      </c>
      <c r="U6" s="774" t="s">
        <v>1766</v>
      </c>
      <c r="V6" s="771">
        <v>12</v>
      </c>
      <c r="W6" s="771">
        <v>13</v>
      </c>
      <c r="X6" s="774">
        <v>14</v>
      </c>
      <c r="Y6" s="774">
        <v>15</v>
      </c>
      <c r="Z6" s="774">
        <v>16</v>
      </c>
      <c r="AA6" s="774">
        <v>17</v>
      </c>
      <c r="AB6" s="774">
        <v>18</v>
      </c>
    </row>
    <row r="7" spans="1:52" ht="12.75" x14ac:dyDescent="0.2">
      <c r="A7" s="2136"/>
      <c r="B7" s="2449"/>
      <c r="C7" s="1007" t="s">
        <v>1301</v>
      </c>
      <c r="D7" s="991" t="s">
        <v>784</v>
      </c>
      <c r="E7" s="992" t="s">
        <v>2117</v>
      </c>
      <c r="F7" s="993"/>
      <c r="G7" s="994" t="s">
        <v>2116</v>
      </c>
      <c r="H7" s="2126"/>
      <c r="I7" s="942"/>
      <c r="K7" s="771">
        <v>450</v>
      </c>
      <c r="N7" s="771" t="s">
        <v>2837</v>
      </c>
      <c r="P7" s="771" t="s">
        <v>2838</v>
      </c>
      <c r="R7" s="771" t="s">
        <v>2839</v>
      </c>
      <c r="T7" s="771" t="s">
        <v>2841</v>
      </c>
      <c r="U7" s="771" t="s">
        <v>2841</v>
      </c>
      <c r="V7" s="771" t="s">
        <v>2842</v>
      </c>
      <c r="X7" s="771" t="s">
        <v>2843</v>
      </c>
      <c r="AA7" s="771" t="s">
        <v>1452</v>
      </c>
    </row>
    <row r="8" spans="1:52" ht="12.75" x14ac:dyDescent="0.2">
      <c r="A8" s="2136"/>
      <c r="B8" s="2450"/>
      <c r="C8" s="1008" t="str">
        <f>IF($C$6=500,VLOOKUP($D$3,$K$17:$S$22,6,FALSE),VLOOKUP($D$3,$K$8:$S$13,6,FALSE))</f>
        <v>8698727/</v>
      </c>
      <c r="D8" s="995" t="str">
        <f>VLOOKUP(C8,всецены,2,FALSE)</f>
        <v>TBX, Напр. с BM, 30 кг, 450 мм, лев. NEW</v>
      </c>
      <c r="E8" s="1006">
        <v>1</v>
      </c>
      <c r="F8" s="996">
        <f>VLOOKUP(C8,всецены,4,FALSE)</f>
        <v>421.24402319999996</v>
      </c>
      <c r="G8" s="997">
        <f>F8*E8</f>
        <v>421.24402319999996</v>
      </c>
      <c r="H8" s="2467">
        <f>SUM(G8:G22)</f>
        <v>3174.7812095999998</v>
      </c>
      <c r="I8" s="941"/>
      <c r="J8" s="771">
        <v>450</v>
      </c>
      <c r="K8" s="983" t="s">
        <v>2830</v>
      </c>
      <c r="L8" s="1001" t="str">
        <f>"- D"</f>
        <v>- D</v>
      </c>
      <c r="M8" s="983" t="s">
        <v>2834</v>
      </c>
      <c r="N8" s="1376" t="s">
        <v>3532</v>
      </c>
      <c r="O8" s="1376" t="s">
        <v>3531</v>
      </c>
      <c r="P8" s="984" t="s">
        <v>4519</v>
      </c>
      <c r="Q8" s="984" t="s">
        <v>4518</v>
      </c>
      <c r="R8" s="982" t="s">
        <v>538</v>
      </c>
      <c r="S8" s="985" t="str">
        <f>" "</f>
        <v xml:space="preserve"> </v>
      </c>
      <c r="T8" s="984" t="s">
        <v>4511</v>
      </c>
      <c r="U8" s="985" t="str">
        <f>" "</f>
        <v xml:space="preserve"> </v>
      </c>
      <c r="V8" s="984" t="s">
        <v>1628</v>
      </c>
      <c r="W8" s="984" t="s">
        <v>1630</v>
      </c>
      <c r="X8" s="1012" t="s">
        <v>1634</v>
      </c>
      <c r="Y8" s="1012" t="s">
        <v>1636</v>
      </c>
      <c r="Z8" s="1013" t="str">
        <f>" "</f>
        <v xml:space="preserve"> </v>
      </c>
      <c r="AA8" s="1014" t="s">
        <v>299</v>
      </c>
      <c r="AB8" s="1013" t="str">
        <f>" "</f>
        <v xml:space="preserve"> </v>
      </c>
    </row>
    <row r="9" spans="1:52" ht="12.75" x14ac:dyDescent="0.2">
      <c r="A9" s="2136"/>
      <c r="B9" s="2450"/>
      <c r="C9" s="1008" t="str">
        <f>IF($C$6=500,VLOOKUP($D$3,$K$17:$S$22,7,FALSE),VLOOKUP($D$3,$K$8:$S$13,7,FALSE))</f>
        <v>8690466/</v>
      </c>
      <c r="D9" s="995" t="str">
        <f>VLOOKUP(C9,всецены,2,FALSE)</f>
        <v xml:space="preserve">TBX, Напр. с BM, 30 кг, 450 мм, пр. NEW </v>
      </c>
      <c r="E9" s="1006">
        <v>1</v>
      </c>
      <c r="F9" s="996">
        <f>VLOOKUP(C9,всецены,4,FALSE)</f>
        <v>421.24402319999996</v>
      </c>
      <c r="G9" s="997">
        <f t="shared" ref="G9:G20" si="0">F9*E9</f>
        <v>421.24402319999996</v>
      </c>
      <c r="H9" s="2092"/>
      <c r="I9" s="941"/>
      <c r="J9" s="771">
        <v>500</v>
      </c>
      <c r="K9" s="983" t="s">
        <v>2831</v>
      </c>
      <c r="L9" s="1001" t="str">
        <f>"- C"</f>
        <v>- C</v>
      </c>
      <c r="M9" s="983" t="s">
        <v>2835</v>
      </c>
      <c r="N9" s="1375" t="s">
        <v>3503</v>
      </c>
      <c r="O9" s="1375" t="s">
        <v>3504</v>
      </c>
      <c r="P9" s="984" t="s">
        <v>4519</v>
      </c>
      <c r="Q9" s="984" t="s">
        <v>4518</v>
      </c>
      <c r="R9" s="986" t="s">
        <v>729</v>
      </c>
      <c r="S9" s="986" t="s">
        <v>31</v>
      </c>
      <c r="T9" s="984" t="s">
        <v>4511</v>
      </c>
      <c r="U9" s="985" t="str">
        <f>" "</f>
        <v xml:space="preserve"> </v>
      </c>
      <c r="V9" s="987" t="s">
        <v>795</v>
      </c>
      <c r="W9" s="987" t="s">
        <v>797</v>
      </c>
      <c r="X9" s="1015" t="s">
        <v>2176</v>
      </c>
      <c r="Y9" s="1015" t="s">
        <v>2175</v>
      </c>
      <c r="Z9" s="1013" t="str">
        <f>" "</f>
        <v xml:space="preserve"> </v>
      </c>
      <c r="AA9" s="1016" t="s">
        <v>1021</v>
      </c>
      <c r="AB9" s="1013" t="str">
        <f>" "</f>
        <v xml:space="preserve"> </v>
      </c>
    </row>
    <row r="10" spans="1:52" ht="12.75" x14ac:dyDescent="0.2">
      <c r="A10" s="2136"/>
      <c r="B10" s="2450"/>
      <c r="C10" s="1008" t="str">
        <f>IF($C$6=500,VLOOKUP($D$3,бут500,4,FALSE),VLOOKUP($D$3,бут450,4,FALSE))</f>
        <v>1658416/</v>
      </c>
      <c r="D10" s="995" t="str">
        <f>VLOOKUP(C10,всецены,2,FALSE)</f>
        <v xml:space="preserve">TBX-A, Царга 83/450 мм, бел, прав. NEW  </v>
      </c>
      <c r="E10" s="1006">
        <f>IF(OR(D3=K8,D3=K9),2,1)</f>
        <v>2</v>
      </c>
      <c r="F10" s="996">
        <f>VLOOKUP(C10,всецены,4,FALSE)</f>
        <v>390.34195199999999</v>
      </c>
      <c r="G10" s="997">
        <f t="shared" si="0"/>
        <v>780.68390399999998</v>
      </c>
      <c r="H10" s="2092"/>
      <c r="I10" s="941"/>
      <c r="K10" s="983" t="s">
        <v>2832</v>
      </c>
      <c r="L10" s="1001" t="str">
        <f>"- BOX CAP"</f>
        <v>- BOX CAP</v>
      </c>
      <c r="M10" s="983" t="s">
        <v>2835</v>
      </c>
      <c r="N10" s="1375" t="s">
        <v>3503</v>
      </c>
      <c r="O10" s="1375" t="s">
        <v>3504</v>
      </c>
      <c r="P10" s="984" t="s">
        <v>4519</v>
      </c>
      <c r="Q10" s="984" t="s">
        <v>4518</v>
      </c>
      <c r="R10" s="984" t="s">
        <v>2153</v>
      </c>
      <c r="S10" s="984" t="s">
        <v>2154</v>
      </c>
      <c r="T10" s="984" t="s">
        <v>4511</v>
      </c>
      <c r="U10" s="985" t="s">
        <v>469</v>
      </c>
      <c r="V10" s="987" t="s">
        <v>795</v>
      </c>
      <c r="W10" s="987" t="s">
        <v>797</v>
      </c>
      <c r="X10" s="1012" t="s">
        <v>1554</v>
      </c>
      <c r="Y10" s="1012" t="s">
        <v>1774</v>
      </c>
      <c r="Z10" s="1017" t="s">
        <v>574</v>
      </c>
      <c r="AA10" s="1016" t="s">
        <v>1021</v>
      </c>
      <c r="AB10" s="1013" t="str">
        <f>" "</f>
        <v xml:space="preserve"> </v>
      </c>
    </row>
    <row r="11" spans="1:52" ht="12.75" x14ac:dyDescent="0.2">
      <c r="A11" s="2136"/>
      <c r="B11" s="2450"/>
      <c r="C11" s="1008" t="str">
        <f>IF($C$6=500,VLOOKUP($D$3,бут500,5,FALSE),VLOOKUP($D$3,бут450,5,FALSE))</f>
        <v>1683346/</v>
      </c>
      <c r="D11" s="995" t="str">
        <f>VLOOKUP(C11,всецены,2,FALSE)</f>
        <v xml:space="preserve">TBX-A, Царга 83/450 мм, бел, лев. NEW   </v>
      </c>
      <c r="E11" s="1006">
        <f>IF(OR(D3=K8,D3=K9),2,1)</f>
        <v>2</v>
      </c>
      <c r="F11" s="996">
        <f>VLOOKUP(C11,всецены,4,FALSE)</f>
        <v>390.34195199999999</v>
      </c>
      <c r="G11" s="997">
        <f t="shared" si="0"/>
        <v>780.68390399999998</v>
      </c>
      <c r="H11" s="2092"/>
      <c r="I11" s="941"/>
      <c r="K11" s="983" t="s">
        <v>2350</v>
      </c>
      <c r="L11" s="1001" t="str">
        <f>"- C"</f>
        <v>- C</v>
      </c>
      <c r="M11" s="983" t="s">
        <v>2834</v>
      </c>
      <c r="N11" s="982"/>
      <c r="O11" s="982"/>
      <c r="P11" s="983"/>
      <c r="Q11" s="983"/>
      <c r="R11" s="983"/>
      <c r="S11" s="982"/>
      <c r="T11" s="988" t="s">
        <v>2329</v>
      </c>
      <c r="U11" s="988" t="s">
        <v>2327</v>
      </c>
      <c r="V11" s="988" t="s">
        <v>2340</v>
      </c>
      <c r="W11" s="987" t="s">
        <v>2288</v>
      </c>
      <c r="X11" s="1018" t="s">
        <v>2274</v>
      </c>
      <c r="Y11" s="983" t="s">
        <v>2332</v>
      </c>
      <c r="Z11" s="1013" t="str">
        <f>" "</f>
        <v xml:space="preserve"> </v>
      </c>
      <c r="AA11" s="771" t="s">
        <v>2282</v>
      </c>
      <c r="AB11" s="771" t="s">
        <v>2311</v>
      </c>
    </row>
    <row r="12" spans="1:52" ht="12.75" x14ac:dyDescent="0.2">
      <c r="A12" s="2136"/>
      <c r="B12" s="2450"/>
      <c r="C12" s="1008" t="str">
        <f>IF($C$6=500,VLOOKUP($D$3,$K$17:$S$22,8,FALSE),VLOOKUP($D$3,$K$8:$S$13,8,FALSE))</f>
        <v>2913111/</v>
      </c>
      <c r="D12" s="995" t="str">
        <f>IF(C12=" ",C12,VLOOKUP(C12,всецены,2,FALSE))</f>
        <v xml:space="preserve">TBX-AA, Рел прод 450 мм бел лев         </v>
      </c>
      <c r="E12" s="1006">
        <f>IF(D3=K8,2,1)</f>
        <v>1</v>
      </c>
      <c r="F12" s="996">
        <f>IF(C12=" ",0,VLOOKUP(C12,всецены,4,FALSE))</f>
        <v>160.20284280000001</v>
      </c>
      <c r="G12" s="997">
        <f>F12*E12</f>
        <v>160.20284280000001</v>
      </c>
      <c r="H12" s="2092"/>
      <c r="I12" s="941"/>
      <c r="K12" s="983" t="s">
        <v>2833</v>
      </c>
      <c r="L12" s="1001"/>
      <c r="M12" s="983" t="s">
        <v>2257</v>
      </c>
      <c r="N12" s="983"/>
      <c r="O12" s="983"/>
      <c r="P12" s="983"/>
      <c r="Q12" s="983"/>
      <c r="R12" s="983"/>
      <c r="S12" s="983"/>
      <c r="T12" s="983"/>
      <c r="U12" s="983"/>
      <c r="V12" s="987"/>
      <c r="W12" s="983"/>
      <c r="X12" s="983"/>
      <c r="Y12" s="983"/>
      <c r="Z12" s="1013" t="str">
        <f>" "</f>
        <v xml:space="preserve"> </v>
      </c>
      <c r="AA12" s="983"/>
      <c r="AB12" s="1013" t="str">
        <f>" "</f>
        <v xml:space="preserve"> </v>
      </c>
    </row>
    <row r="13" spans="1:52" ht="12.75" x14ac:dyDescent="0.2">
      <c r="A13" s="2136"/>
      <c r="B13" s="2450"/>
      <c r="C13" s="1008" t="str">
        <f>IF($C$6=500,VLOOKUP($D$3,$K$17:$S$22,9,FALSE),VLOOKUP($D$3,$K$8:$S$13,9,FALSE))</f>
        <v>6427131/</v>
      </c>
      <c r="D13" s="995" t="str">
        <f>IF(C13=" ",C13,VLOOKUP(C13,всецены,2,FALSE))</f>
        <v xml:space="preserve">TBX-AA, Рел прод 450 мм бел прав        </v>
      </c>
      <c r="E13" s="1006">
        <f>IF(C13=" ",0,1)</f>
        <v>1</v>
      </c>
      <c r="F13" s="996">
        <f>IF(C13=" ",0,VLOOKUP(C13,всецены,4,FALSE))</f>
        <v>160.20284280000001</v>
      </c>
      <c r="G13" s="997">
        <f>F13*E13</f>
        <v>160.20284280000001</v>
      </c>
      <c r="H13" s="2092"/>
      <c r="I13" s="941"/>
      <c r="K13" s="983" t="s">
        <v>521</v>
      </c>
      <c r="L13" s="1001"/>
      <c r="M13" s="983" t="s">
        <v>2257</v>
      </c>
      <c r="N13" s="983"/>
      <c r="O13" s="983"/>
      <c r="P13" s="983"/>
      <c r="Q13" s="983"/>
      <c r="R13" s="983"/>
      <c r="S13" s="983"/>
      <c r="T13" s="983"/>
      <c r="U13" s="983"/>
      <c r="V13" s="983"/>
      <c r="W13" s="983"/>
      <c r="X13" s="983"/>
      <c r="Y13" s="983"/>
      <c r="Z13" s="1013" t="str">
        <f>" "</f>
        <v xml:space="preserve"> </v>
      </c>
      <c r="AA13" s="983"/>
      <c r="AB13" s="1013" t="str">
        <f>" "</f>
        <v xml:space="preserve"> </v>
      </c>
    </row>
    <row r="14" spans="1:52" ht="12.75" x14ac:dyDescent="0.2">
      <c r="A14" s="2136"/>
      <c r="B14" s="2450"/>
      <c r="C14" s="1008" t="str">
        <f>IF($C$6=500,VLOOKUP($D$3,бут500,16,FALSE),VLOOKUP($D$3,бут450,16,FALSE))</f>
        <v xml:space="preserve"> </v>
      </c>
      <c r="D14" s="995" t="str">
        <f>IF(C14=" ",C14,VLOOKUP(C14,всецены,2,FALSE))</f>
        <v xml:space="preserve"> </v>
      </c>
      <c r="E14" s="1006">
        <f>IF(C14=" ",0,1)</f>
        <v>0</v>
      </c>
      <c r="F14" s="996">
        <f>IF(C14=" ",0,VLOOKUP(C14,всецены,4,FALSE))</f>
        <v>0</v>
      </c>
      <c r="G14" s="997">
        <f>F14*E14</f>
        <v>0</v>
      </c>
      <c r="H14" s="2092"/>
      <c r="I14" s="941"/>
      <c r="K14" s="782"/>
      <c r="L14" s="981"/>
      <c r="M14" s="782"/>
      <c r="N14" s="782"/>
      <c r="O14" s="782"/>
      <c r="P14" s="782"/>
      <c r="Q14" s="782"/>
      <c r="R14" s="782"/>
      <c r="S14" s="782"/>
      <c r="T14" s="782"/>
      <c r="U14" s="782"/>
      <c r="V14" s="782"/>
      <c r="W14" s="782"/>
      <c r="X14" s="782"/>
      <c r="Y14" s="782"/>
      <c r="AA14" s="983"/>
      <c r="AB14" s="1013" t="str">
        <f>" "</f>
        <v xml:space="preserve"> </v>
      </c>
    </row>
    <row r="15" spans="1:52" ht="12.75" x14ac:dyDescent="0.2">
      <c r="A15" s="2136"/>
      <c r="B15" s="2450"/>
      <c r="C15" s="1008" t="str">
        <f>IF($C$6=500,VLOOKUP($D$3,бут500,10,FALSE),VLOOKUP($D$3,бут450,10,FALSE))</f>
        <v>8338119/</v>
      </c>
      <c r="D15" s="995" t="str">
        <f>VLOOKUP(C15,всецены,2,FALSE)</f>
        <v xml:space="preserve">TBX, Крепл фасада INSERTA, NEW ZSF.39A2 </v>
      </c>
      <c r="E15" s="1006">
        <f>IF(OR(D3=K8,D3=K9),4,2)</f>
        <v>4</v>
      </c>
      <c r="F15" s="996">
        <f>VLOOKUP(C15,всецены,4,FALSE)</f>
        <v>43.913469600000006</v>
      </c>
      <c r="G15" s="997">
        <f t="shared" si="0"/>
        <v>175.65387840000002</v>
      </c>
      <c r="H15" s="2092"/>
      <c r="I15" s="941"/>
    </row>
    <row r="16" spans="1:52" ht="12.75" x14ac:dyDescent="0.2">
      <c r="A16" s="2136"/>
      <c r="B16" s="2450"/>
      <c r="C16" s="1008" t="str">
        <f>IF($C$6=500,VLOOKUP($D$3,бут500,11,FALSE),VLOOKUP($D$3,бут450,11,FALSE))</f>
        <v xml:space="preserve"> </v>
      </c>
      <c r="D16" s="995" t="str">
        <f>IF(C16=" ",C16,VLOOKUP(C16,всецены,2,FALSE))</f>
        <v xml:space="preserve"> </v>
      </c>
      <c r="E16" s="1006">
        <f>IF(C16=" ",0,2)</f>
        <v>0</v>
      </c>
      <c r="F16" s="996">
        <f>IF(C16=" ",0,VLOOKUP(C16,всецены,4,FALSE))</f>
        <v>0</v>
      </c>
      <c r="G16" s="997">
        <f>F16*E16</f>
        <v>0</v>
      </c>
      <c r="H16" s="2092"/>
      <c r="I16" s="941"/>
      <c r="K16" s="771">
        <v>500</v>
      </c>
      <c r="N16" s="771" t="s">
        <v>2837</v>
      </c>
      <c r="P16" s="771" t="s">
        <v>2838</v>
      </c>
      <c r="R16" s="771" t="s">
        <v>2839</v>
      </c>
      <c r="S16" s="771" t="s">
        <v>2178</v>
      </c>
      <c r="V16" s="771" t="s">
        <v>3153</v>
      </c>
      <c r="X16" s="771" t="s">
        <v>3154</v>
      </c>
      <c r="AA16" s="771" t="s">
        <v>1452</v>
      </c>
    </row>
    <row r="17" spans="1:28" ht="12.75" x14ac:dyDescent="0.2">
      <c r="A17" s="2136"/>
      <c r="B17" s="2450"/>
      <c r="C17" s="1008" t="str">
        <f>IF($C$6=500,VLOOKUP($D$3,бут500,12,FALSE),VLOOKUP($D$3,бут450,12,FALSE))</f>
        <v>7673702/</v>
      </c>
      <c r="D17" s="995" t="str">
        <f>VLOOKUP(C17,всецены,2,FALSE)</f>
        <v xml:space="preserve">TBX-A, Держат задн ст, 96 мм, бел, лев  </v>
      </c>
      <c r="E17" s="1006">
        <v>1</v>
      </c>
      <c r="F17" s="996">
        <f>VLOOKUP(C17,всецены,4,FALSE)</f>
        <v>34.154920799999999</v>
      </c>
      <c r="G17" s="997">
        <f t="shared" si="0"/>
        <v>34.154920799999999</v>
      </c>
      <c r="H17" s="2092"/>
      <c r="I17" s="941"/>
      <c r="K17" s="983" t="s">
        <v>2830</v>
      </c>
      <c r="L17" s="983"/>
      <c r="M17" s="983" t="s">
        <v>2834</v>
      </c>
      <c r="N17" s="1376" t="s">
        <v>3534</v>
      </c>
      <c r="O17" s="1376" t="s">
        <v>3533</v>
      </c>
      <c r="P17" s="984" t="s">
        <v>4522</v>
      </c>
      <c r="Q17" s="984" t="s">
        <v>4521</v>
      </c>
      <c r="R17" s="982" t="s">
        <v>537</v>
      </c>
      <c r="S17" s="985" t="str">
        <f>" "</f>
        <v xml:space="preserve"> </v>
      </c>
      <c r="T17" s="984" t="s">
        <v>4511</v>
      </c>
      <c r="U17" s="985" t="str">
        <f>" "</f>
        <v xml:space="preserve"> </v>
      </c>
      <c r="V17" s="984" t="s">
        <v>1628</v>
      </c>
      <c r="W17" s="984" t="s">
        <v>1630</v>
      </c>
      <c r="X17" s="1012" t="s">
        <v>1634</v>
      </c>
      <c r="Y17" s="1012" t="s">
        <v>1636</v>
      </c>
      <c r="Z17" s="1012" t="str">
        <f>" "</f>
        <v xml:space="preserve"> </v>
      </c>
      <c r="AA17" s="1014" t="s">
        <v>299</v>
      </c>
      <c r="AB17" s="1013" t="str">
        <f>" "</f>
        <v xml:space="preserve"> </v>
      </c>
    </row>
    <row r="18" spans="1:28" ht="12.75" x14ac:dyDescent="0.2">
      <c r="A18" s="2136"/>
      <c r="B18" s="2450"/>
      <c r="C18" s="1008" t="str">
        <f>IF($C$6=500,VLOOKUP($D$3,бут500,13,FALSE),VLOOKUP($D$3,бут450,13,FALSE))</f>
        <v>7673882/</v>
      </c>
      <c r="D18" s="995" t="str">
        <f>IF(C18=" ",C18,VLOOKUP(C18,всецены,2,FALSE))</f>
        <v xml:space="preserve">TBX-A, Держат задн ст, 96 мм, бел, прав </v>
      </c>
      <c r="E18" s="1006">
        <f>IF(C18=" ",0,1)</f>
        <v>1</v>
      </c>
      <c r="F18" s="996">
        <f>IF(C18=" ",0,VLOOKUP(C18,всецены,4,FALSE))</f>
        <v>34.154920799999999</v>
      </c>
      <c r="G18" s="997">
        <f>F18*E18</f>
        <v>34.154920799999999</v>
      </c>
      <c r="H18" s="2092"/>
      <c r="I18" s="941"/>
      <c r="K18" s="983" t="s">
        <v>2831</v>
      </c>
      <c r="L18" s="983"/>
      <c r="M18" s="983" t="s">
        <v>2835</v>
      </c>
      <c r="N18" s="1376" t="s">
        <v>3493</v>
      </c>
      <c r="O18" s="1376" t="s">
        <v>3494</v>
      </c>
      <c r="P18" s="984" t="s">
        <v>4522</v>
      </c>
      <c r="Q18" s="984" t="s">
        <v>4521</v>
      </c>
      <c r="R18" s="986" t="s">
        <v>2028</v>
      </c>
      <c r="S18" s="986" t="s">
        <v>62</v>
      </c>
      <c r="T18" s="984" t="s">
        <v>4511</v>
      </c>
      <c r="U18" s="985" t="str">
        <f>" "</f>
        <v xml:space="preserve"> </v>
      </c>
      <c r="V18" s="987" t="str">
        <f>IF($D$4=$K$25,L25,L26)</f>
        <v>7673702/</v>
      </c>
      <c r="W18" s="987" t="str">
        <f>IF($D$4=$K$25,M25,M26)</f>
        <v>7673882/</v>
      </c>
      <c r="X18" s="987" t="str">
        <f>IF($D$4=$K$25,N25,N26)</f>
        <v>3258062/</v>
      </c>
      <c r="Y18" s="987" t="str">
        <f>IF($D$4=$K$25,O25,O26)</f>
        <v>3257902/</v>
      </c>
      <c r="Z18" s="1012" t="str">
        <f>" "</f>
        <v xml:space="preserve"> </v>
      </c>
      <c r="AA18" s="1016" t="s">
        <v>1021</v>
      </c>
      <c r="AB18" s="1013" t="str">
        <f>" "</f>
        <v xml:space="preserve"> </v>
      </c>
    </row>
    <row r="19" spans="1:28" ht="12.75" x14ac:dyDescent="0.2">
      <c r="A19" s="2136"/>
      <c r="B19" s="2450"/>
      <c r="C19" s="1008" t="str">
        <f>IF($C$6=500,VLOOKUP($D$3,бут500,14,FALSE),VLOOKUP($D$3,бут450,14,FALSE))</f>
        <v>3258062/</v>
      </c>
      <c r="D19" s="995" t="str">
        <f>VLOOKUP(C19,всецены,2,FALSE)</f>
        <v>TBX-AA, Держат. задн. ст, 191 мм, бел, L</v>
      </c>
      <c r="E19" s="1006">
        <v>1</v>
      </c>
      <c r="F19" s="996">
        <f>VLOOKUP(C19,всецены,4,FALSE)</f>
        <v>85.387302000000005</v>
      </c>
      <c r="G19" s="997">
        <f t="shared" si="0"/>
        <v>85.387302000000005</v>
      </c>
      <c r="H19" s="2092"/>
      <c r="I19" s="941"/>
      <c r="K19" s="983" t="s">
        <v>2832</v>
      </c>
      <c r="L19" s="983"/>
      <c r="M19" s="983" t="s">
        <v>2835</v>
      </c>
      <c r="N19" s="1376" t="s">
        <v>3493</v>
      </c>
      <c r="O19" s="1376" t="s">
        <v>3494</v>
      </c>
      <c r="P19" s="984" t="s">
        <v>4522</v>
      </c>
      <c r="Q19" s="984" t="s">
        <v>4521</v>
      </c>
      <c r="R19" s="984" t="s">
        <v>485</v>
      </c>
      <c r="S19" s="984" t="s">
        <v>486</v>
      </c>
      <c r="T19" s="984" t="s">
        <v>4511</v>
      </c>
      <c r="U19" s="985" t="s">
        <v>469</v>
      </c>
      <c r="V19" s="987" t="s">
        <v>795</v>
      </c>
      <c r="W19" s="987" t="s">
        <v>797</v>
      </c>
      <c r="X19" s="1012" t="s">
        <v>1554</v>
      </c>
      <c r="Y19" s="1012" t="s">
        <v>1774</v>
      </c>
      <c r="Z19" s="983" t="s">
        <v>579</v>
      </c>
      <c r="AA19" s="1016" t="s">
        <v>1021</v>
      </c>
      <c r="AB19" s="1013" t="str">
        <f>" "</f>
        <v xml:space="preserve"> </v>
      </c>
    </row>
    <row r="20" spans="1:28" ht="12.75" x14ac:dyDescent="0.2">
      <c r="A20" s="2468"/>
      <c r="B20" s="2450"/>
      <c r="C20" s="1009" t="str">
        <f>IF($C$6=500,VLOOKUP($D$3,бут500,15,FALSE),VLOOKUP($D$3,бут450,15,FALSE))</f>
        <v>3257902/</v>
      </c>
      <c r="D20" s="995" t="str">
        <f>IF(C20=" ",C20,VLOOKUP(C20,всецены,2,FALSE))</f>
        <v>TBX-AA, Держат. задн. ст, 191 мм, бел, R</v>
      </c>
      <c r="E20" s="1006">
        <f>IF(C20=" ",0,1)</f>
        <v>1</v>
      </c>
      <c r="F20" s="996">
        <f>IF(C20=" ",0,VLOOKUP(C20,всецены,4,FALSE))</f>
        <v>85.387302000000005</v>
      </c>
      <c r="G20" s="1005">
        <f t="shared" si="0"/>
        <v>85.387302000000005</v>
      </c>
      <c r="H20" s="2092"/>
      <c r="I20" s="941"/>
      <c r="K20" s="983" t="s">
        <v>2350</v>
      </c>
      <c r="L20" s="983"/>
      <c r="M20" s="983" t="s">
        <v>2834</v>
      </c>
      <c r="N20" s="986" t="s">
        <v>2277</v>
      </c>
      <c r="O20" s="986" t="s">
        <v>2276</v>
      </c>
      <c r="P20" s="986" t="s">
        <v>2307</v>
      </c>
      <c r="Q20" s="986" t="s">
        <v>2302</v>
      </c>
      <c r="R20" s="986" t="s">
        <v>2284</v>
      </c>
      <c r="S20" s="986" t="s">
        <v>2283</v>
      </c>
      <c r="T20" s="988" t="s">
        <v>2329</v>
      </c>
      <c r="U20" s="988" t="s">
        <v>2327</v>
      </c>
      <c r="V20" s="988" t="s">
        <v>2340</v>
      </c>
      <c r="W20" s="987" t="s">
        <v>2288</v>
      </c>
      <c r="X20" s="1018" t="s">
        <v>2274</v>
      </c>
      <c r="Y20" s="983" t="s">
        <v>2332</v>
      </c>
      <c r="Z20" s="1012" t="str">
        <f>" "</f>
        <v xml:space="preserve"> </v>
      </c>
      <c r="AA20" s="771" t="s">
        <v>2282</v>
      </c>
      <c r="AB20" s="771" t="s">
        <v>2311</v>
      </c>
    </row>
    <row r="21" spans="1:28" ht="12.75" customHeight="1" x14ac:dyDescent="0.2">
      <c r="A21" s="889"/>
      <c r="B21" s="2450"/>
      <c r="C21" s="1009" t="str">
        <f>IF($C$6=500,VLOOKUP($D$3,бут500,17,FALSE),VLOOKUP($D$3,бут450,17,FALSE))</f>
        <v>8046152/</v>
      </c>
      <c r="D21" s="995" t="str">
        <f>VLOOKUP(C21,всецены,2,FALSE)</f>
        <v>TBX-A, Загл с лого, бел, сим,ZAA.532C.BL</v>
      </c>
      <c r="E21" s="1006">
        <f>IF(D3=K11,2,4)</f>
        <v>4</v>
      </c>
      <c r="F21" s="996">
        <f>VLOOKUP(C21,всецены,4,FALSE)</f>
        <v>8.9453364000000004</v>
      </c>
      <c r="G21" s="997">
        <f>F21*E21</f>
        <v>35.781345600000002</v>
      </c>
      <c r="H21" s="2092"/>
      <c r="I21" s="941"/>
      <c r="K21" s="983" t="s">
        <v>2833</v>
      </c>
      <c r="L21" s="983"/>
      <c r="M21" s="983" t="s">
        <v>2257</v>
      </c>
      <c r="N21" s="983"/>
      <c r="O21" s="983"/>
      <c r="P21" s="983"/>
      <c r="Q21" s="983"/>
      <c r="R21" s="983"/>
      <c r="S21" s="983"/>
      <c r="T21" s="983"/>
      <c r="U21" s="983"/>
      <c r="V21" s="983"/>
      <c r="W21" s="983"/>
      <c r="X21" s="983"/>
      <c r="Y21" s="983"/>
      <c r="Z21" s="1012" t="str">
        <f>" "</f>
        <v xml:space="preserve"> </v>
      </c>
      <c r="AA21" s="983"/>
      <c r="AB21" s="1013" t="str">
        <f>" "</f>
        <v xml:space="preserve"> </v>
      </c>
    </row>
    <row r="22" spans="1:28" ht="12.75" customHeight="1" thickBot="1" x14ac:dyDescent="0.25">
      <c r="A22" s="1002"/>
      <c r="B22" s="2451"/>
      <c r="C22" s="1010" t="str">
        <f>IF($C$6=500,VLOOKUP($D$3,бут500,18,FALSE),VLOOKUP($D$3,бут450,18,FALSE))</f>
        <v xml:space="preserve"> </v>
      </c>
      <c r="D22" s="998" t="str">
        <f>IF(C22=" ",C22,VLOOKUP(C22,всецены,2,FALSE))</f>
        <v xml:space="preserve"> </v>
      </c>
      <c r="E22" s="1004">
        <f>IF(D3=K11,2,IF(C22=" ",0,4))</f>
        <v>0</v>
      </c>
      <c r="F22" s="999">
        <f>IF(C22=" ",0,VLOOKUP(C22,всецены,4,FALSE))</f>
        <v>0</v>
      </c>
      <c r="G22" s="1000">
        <f>F22*E22</f>
        <v>0</v>
      </c>
      <c r="H22" s="2093"/>
      <c r="I22" s="941"/>
      <c r="K22" s="983" t="s">
        <v>521</v>
      </c>
      <c r="L22" s="983"/>
      <c r="M22" s="983" t="s">
        <v>2257</v>
      </c>
      <c r="N22" s="983"/>
      <c r="O22" s="983"/>
      <c r="P22" s="983"/>
      <c r="Q22" s="983"/>
      <c r="R22" s="983"/>
      <c r="S22" s="983"/>
      <c r="T22" s="983"/>
      <c r="U22" s="983"/>
      <c r="V22" s="983"/>
      <c r="W22" s="983"/>
      <c r="X22" s="983"/>
      <c r="Y22" s="983"/>
      <c r="Z22" s="1012" t="str">
        <f>" "</f>
        <v xml:space="preserve"> </v>
      </c>
      <c r="AA22" s="983"/>
      <c r="AB22" s="1013" t="str">
        <f>" "</f>
        <v xml:space="preserve"> </v>
      </c>
    </row>
    <row r="23" spans="1:28" ht="12.75" x14ac:dyDescent="0.2">
      <c r="A23" s="771"/>
      <c r="B23" s="8" t="s">
        <v>3158</v>
      </c>
      <c r="D23" s="8"/>
      <c r="E23" s="979"/>
      <c r="F23" s="8"/>
      <c r="G23" s="37"/>
      <c r="H23" s="35"/>
    </row>
    <row r="24" spans="1:28" ht="12.75" x14ac:dyDescent="0.2">
      <c r="A24" s="771"/>
      <c r="B24" s="8" t="s">
        <v>3157</v>
      </c>
      <c r="C24" s="8"/>
      <c r="D24" s="8"/>
      <c r="E24" s="979"/>
      <c r="F24" s="8"/>
      <c r="G24" s="37"/>
      <c r="H24" s="35"/>
      <c r="L24" s="771" t="s">
        <v>3151</v>
      </c>
      <c r="M24" s="771" t="s">
        <v>3152</v>
      </c>
    </row>
    <row r="25" spans="1:28" ht="12.75" hidden="1" x14ac:dyDescent="0.2">
      <c r="A25" s="771"/>
      <c r="C25" s="8"/>
      <c r="D25" s="8"/>
      <c r="E25" s="979"/>
      <c r="F25" s="8"/>
      <c r="G25" s="37"/>
      <c r="H25" s="35"/>
      <c r="K25" s="771" t="s">
        <v>3156</v>
      </c>
      <c r="L25" s="771" t="s">
        <v>2932</v>
      </c>
      <c r="M25" s="782" t="s">
        <v>2257</v>
      </c>
      <c r="N25" s="771" t="s">
        <v>2930</v>
      </c>
      <c r="O25" s="771" t="s">
        <v>2257</v>
      </c>
    </row>
    <row r="26" spans="1:28" ht="12.75" hidden="1" x14ac:dyDescent="0.2">
      <c r="A26" s="771"/>
      <c r="B26" s="8"/>
      <c r="C26" s="8"/>
      <c r="D26" s="771"/>
      <c r="E26" s="979"/>
      <c r="F26" s="8"/>
      <c r="G26" s="37"/>
      <c r="H26" s="35"/>
      <c r="K26" s="771" t="s">
        <v>3149</v>
      </c>
      <c r="L26" s="987" t="s">
        <v>795</v>
      </c>
      <c r="M26" s="987" t="s">
        <v>797</v>
      </c>
      <c r="N26" s="1015" t="s">
        <v>2176</v>
      </c>
      <c r="O26" s="1015" t="s">
        <v>2175</v>
      </c>
    </row>
    <row r="27" spans="1:28" ht="12.75" hidden="1" x14ac:dyDescent="0.2">
      <c r="A27" s="771"/>
      <c r="B27" s="8"/>
      <c r="C27" s="8"/>
      <c r="D27" s="771"/>
      <c r="E27" s="979"/>
      <c r="F27" s="8"/>
      <c r="G27" s="37"/>
      <c r="H27" s="35"/>
    </row>
    <row r="28" spans="1:28" ht="12.75" x14ac:dyDescent="0.2">
      <c r="A28" s="771"/>
      <c r="B28" s="8"/>
      <c r="C28" s="8"/>
      <c r="D28" s="771"/>
      <c r="E28" s="979"/>
      <c r="F28" s="8"/>
      <c r="G28" s="37"/>
      <c r="H28" s="35"/>
      <c r="K28" s="771">
        <f>IF(C4=" ",0,1)</f>
        <v>1</v>
      </c>
    </row>
    <row r="29" spans="1:28" ht="20.25" customHeight="1" x14ac:dyDescent="0.2">
      <c r="A29" s="2452" t="s">
        <v>7043</v>
      </c>
      <c r="B29" s="2452"/>
      <c r="C29" s="2452"/>
      <c r="D29" s="2452"/>
      <c r="E29" s="2452"/>
      <c r="F29" s="2452"/>
      <c r="G29" s="2453"/>
      <c r="H29" s="611"/>
    </row>
    <row r="30" spans="1:28" ht="20.25" customHeight="1" thickBot="1" x14ac:dyDescent="0.25">
      <c r="A30" s="2454"/>
      <c r="B30" s="2454"/>
      <c r="C30" s="2454"/>
      <c r="D30" s="2454"/>
      <c r="E30" s="2454"/>
      <c r="F30" s="2454"/>
      <c r="G30" s="2455"/>
      <c r="H30" s="611"/>
    </row>
    <row r="31" spans="1:28" ht="20.25" x14ac:dyDescent="0.2">
      <c r="A31" s="274"/>
      <c r="B31" s="690">
        <v>500</v>
      </c>
      <c r="C31" s="698"/>
      <c r="D31" s="989" t="s">
        <v>2844</v>
      </c>
      <c r="E31" s="990"/>
      <c r="F31" s="990"/>
      <c r="G31" s="1083" t="s">
        <v>2840</v>
      </c>
      <c r="H31" s="1003" t="s">
        <v>3489</v>
      </c>
    </row>
    <row r="32" spans="1:28" ht="15.75" thickBot="1" x14ac:dyDescent="0.25">
      <c r="A32" s="274"/>
      <c r="B32" s="1346" t="s">
        <v>1639</v>
      </c>
      <c r="C32" s="170">
        <v>500</v>
      </c>
      <c r="D32" s="73" t="s">
        <v>1689</v>
      </c>
      <c r="E32" s="73"/>
      <c r="F32" s="73"/>
      <c r="G32" s="93"/>
      <c r="H32" s="2125" t="str">
        <f>IF(СОДЕРЖАНИЕ!P2=1,"EUR","RUB")</f>
        <v>RUB</v>
      </c>
      <c r="M32" s="1377"/>
      <c r="N32" s="1377"/>
    </row>
    <row r="33" spans="1:15" ht="12.75" x14ac:dyDescent="0.2">
      <c r="A33" s="2136"/>
      <c r="B33" s="2449"/>
      <c r="C33" s="1007" t="s">
        <v>1301</v>
      </c>
      <c r="D33" s="991" t="s">
        <v>784</v>
      </c>
      <c r="E33" s="992" t="s">
        <v>2117</v>
      </c>
      <c r="F33" s="993"/>
      <c r="G33" s="994" t="s">
        <v>2116</v>
      </c>
      <c r="H33" s="2125"/>
      <c r="M33" s="1377"/>
      <c r="N33" s="1377"/>
    </row>
    <row r="34" spans="1:15" ht="12.75" x14ac:dyDescent="0.2">
      <c r="A34" s="2136"/>
      <c r="B34" s="2450"/>
      <c r="C34" s="1008" t="s">
        <v>3414</v>
      </c>
      <c r="D34" s="995" t="str">
        <f>VLOOKUP(C34,всецены,2,FALSE)</f>
        <v xml:space="preserve">Бутылочница Фиера A200 TBX antaro,белая </v>
      </c>
      <c r="E34" s="1006">
        <v>1</v>
      </c>
      <c r="F34" s="996">
        <f>VLOOKUP(C34,всецены,4,FALSE)</f>
        <v>4797.95316</v>
      </c>
      <c r="G34" s="1361">
        <f>F34*E34</f>
        <v>4797.95316</v>
      </c>
      <c r="H34" s="1362">
        <f>G34</f>
        <v>4797.95316</v>
      </c>
      <c r="N34" s="1374"/>
      <c r="O34" s="1374"/>
    </row>
    <row r="35" spans="1:15" ht="12.75" x14ac:dyDescent="0.2">
      <c r="A35" s="2136"/>
      <c r="B35" s="2450"/>
      <c r="C35" s="1008" t="s">
        <v>3412</v>
      </c>
      <c r="D35" s="995" t="str">
        <f>VLOOKUP(C35,всецены,2,FALSE)</f>
        <v xml:space="preserve">Бутылочница Фиера A200 TBX antaro,серая </v>
      </c>
      <c r="E35" s="1006">
        <v>1</v>
      </c>
      <c r="F35" s="996">
        <f>VLOOKUP(C35,всецены,4,FALSE)</f>
        <v>4797.95316</v>
      </c>
      <c r="G35" s="1361">
        <f>F35*E35</f>
        <v>4797.95316</v>
      </c>
      <c r="H35" s="1362">
        <f>G35</f>
        <v>4797.95316</v>
      </c>
      <c r="N35" s="1377"/>
      <c r="O35" s="1377"/>
    </row>
    <row r="36" spans="1:15" ht="12.75" x14ac:dyDescent="0.2">
      <c r="A36" s="2136"/>
      <c r="B36" s="2450"/>
      <c r="C36" s="2456"/>
      <c r="D36" s="2457"/>
      <c r="E36" s="2457"/>
      <c r="F36" s="2457"/>
      <c r="G36" s="2458"/>
      <c r="H36" s="1359"/>
    </row>
    <row r="37" spans="1:15" ht="12.75" x14ac:dyDescent="0.2">
      <c r="A37" s="2136"/>
      <c r="B37" s="2450"/>
      <c r="C37" s="2459"/>
      <c r="D37" s="2460"/>
      <c r="E37" s="2460"/>
      <c r="F37" s="2460"/>
      <c r="G37" s="2461"/>
      <c r="H37" s="1359"/>
    </row>
    <row r="38" spans="1:15" ht="12.75" x14ac:dyDescent="0.2">
      <c r="A38" s="2136"/>
      <c r="B38" s="2450"/>
      <c r="C38" s="2459"/>
      <c r="D38" s="2460"/>
      <c r="E38" s="2460"/>
      <c r="F38" s="2460"/>
      <c r="G38" s="2461"/>
      <c r="H38" s="1359"/>
    </row>
    <row r="39" spans="1:15" ht="12.75" x14ac:dyDescent="0.2">
      <c r="A39" s="2136"/>
      <c r="B39" s="2450"/>
      <c r="C39" s="2459"/>
      <c r="D39" s="2460"/>
      <c r="E39" s="2460"/>
      <c r="F39" s="2460"/>
      <c r="G39" s="2461"/>
      <c r="H39" s="1359"/>
    </row>
    <row r="40" spans="1:15" ht="12.75" x14ac:dyDescent="0.2">
      <c r="A40" s="2136"/>
      <c r="B40" s="2450"/>
      <c r="C40" s="2459"/>
      <c r="D40" s="2460"/>
      <c r="E40" s="2460"/>
      <c r="F40" s="2460"/>
      <c r="G40" s="2461"/>
      <c r="H40" s="1359"/>
    </row>
    <row r="41" spans="1:15" ht="12.75" x14ac:dyDescent="0.2">
      <c r="A41" s="2136"/>
      <c r="B41" s="2450"/>
      <c r="C41" s="2459"/>
      <c r="D41" s="2460"/>
      <c r="E41" s="2460"/>
      <c r="F41" s="2460"/>
      <c r="G41" s="2461"/>
      <c r="H41" s="1359"/>
    </row>
    <row r="42" spans="1:15" ht="15.75" thickBot="1" x14ac:dyDescent="0.25">
      <c r="A42" s="1002"/>
      <c r="B42" s="2451"/>
      <c r="C42" s="2462"/>
      <c r="D42" s="2463"/>
      <c r="E42" s="2463"/>
      <c r="F42" s="2463"/>
      <c r="G42" s="2464"/>
      <c r="H42" s="1360"/>
    </row>
    <row r="43" spans="1:15" x14ac:dyDescent="0.2">
      <c r="A43" s="889"/>
      <c r="B43" s="771"/>
      <c r="C43" s="771"/>
      <c r="D43" s="771"/>
      <c r="E43" s="774"/>
      <c r="F43" s="771"/>
      <c r="G43" s="801"/>
      <c r="H43" s="887"/>
    </row>
    <row r="44" spans="1:15" x14ac:dyDescent="0.2">
      <c r="A44" s="889"/>
      <c r="B44" s="771"/>
      <c r="C44" s="771"/>
      <c r="D44" s="771"/>
      <c r="E44" s="774"/>
      <c r="F44" s="771"/>
      <c r="G44" s="801"/>
      <c r="H44" s="887"/>
    </row>
    <row r="45" spans="1:15" x14ac:dyDescent="0.2">
      <c r="A45" s="889"/>
      <c r="B45" s="771"/>
      <c r="C45" s="771"/>
      <c r="D45" s="771"/>
      <c r="E45" s="774"/>
      <c r="F45" s="771"/>
      <c r="G45" s="801"/>
      <c r="H45" s="887"/>
    </row>
    <row r="46" spans="1:15" x14ac:dyDescent="0.2">
      <c r="A46" s="889"/>
      <c r="B46" s="771"/>
      <c r="C46" s="771"/>
      <c r="D46" s="771"/>
      <c r="E46" s="774"/>
      <c r="F46" s="771"/>
      <c r="G46" s="801"/>
      <c r="H46" s="887"/>
    </row>
    <row r="47" spans="1:15" x14ac:dyDescent="0.2">
      <c r="A47" s="889"/>
      <c r="B47" s="771"/>
      <c r="C47" s="771"/>
      <c r="D47" s="771"/>
      <c r="E47" s="774"/>
      <c r="F47" s="771"/>
      <c r="G47" s="801"/>
      <c r="H47" s="887"/>
    </row>
    <row r="48" spans="1:15" x14ac:dyDescent="0.2">
      <c r="A48" s="889"/>
      <c r="B48" s="771"/>
      <c r="C48" s="771"/>
      <c r="D48" s="771"/>
      <c r="E48" s="774"/>
      <c r="F48" s="771"/>
      <c r="G48" s="801"/>
      <c r="H48" s="887"/>
    </row>
    <row r="49" spans="1:8" x14ac:dyDescent="0.2">
      <c r="A49" s="889"/>
      <c r="B49" s="771"/>
      <c r="C49" s="771"/>
      <c r="D49" s="771"/>
      <c r="E49" s="774"/>
      <c r="F49" s="771"/>
      <c r="G49" s="801"/>
      <c r="H49" s="887"/>
    </row>
    <row r="50" spans="1:8" x14ac:dyDescent="0.2">
      <c r="A50" s="889"/>
      <c r="B50" s="771"/>
      <c r="C50" s="771"/>
      <c r="D50" s="771"/>
      <c r="E50" s="774"/>
      <c r="F50" s="771"/>
      <c r="G50" s="801"/>
      <c r="H50" s="887"/>
    </row>
    <row r="51" spans="1:8" x14ac:dyDescent="0.2">
      <c r="A51" s="889"/>
      <c r="B51" s="771"/>
      <c r="C51" s="771"/>
      <c r="D51" s="771"/>
      <c r="E51" s="774"/>
      <c r="F51" s="771"/>
      <c r="G51" s="801"/>
      <c r="H51" s="887"/>
    </row>
    <row r="52" spans="1:8" x14ac:dyDescent="0.2">
      <c r="A52" s="889"/>
      <c r="B52" s="771"/>
      <c r="C52" s="771"/>
      <c r="D52" s="771"/>
      <c r="E52" s="774"/>
      <c r="F52" s="771"/>
      <c r="G52" s="801"/>
      <c r="H52" s="887"/>
    </row>
    <row r="53" spans="1:8" x14ac:dyDescent="0.2">
      <c r="A53" s="889"/>
      <c r="B53" s="771"/>
      <c r="C53" s="771"/>
      <c r="D53" s="771"/>
      <c r="E53" s="774"/>
      <c r="F53" s="771"/>
      <c r="G53" s="801"/>
      <c r="H53" s="887"/>
    </row>
    <row r="54" spans="1:8" x14ac:dyDescent="0.2">
      <c r="A54" s="889"/>
      <c r="B54" s="771"/>
      <c r="C54" s="771"/>
      <c r="D54" s="771"/>
      <c r="E54" s="774"/>
      <c r="F54" s="771"/>
      <c r="G54" s="801"/>
      <c r="H54" s="887"/>
    </row>
    <row r="55" spans="1:8" x14ac:dyDescent="0.2">
      <c r="A55" s="889"/>
      <c r="B55" s="771"/>
      <c r="C55" s="771"/>
      <c r="D55" s="771"/>
      <c r="E55" s="774"/>
      <c r="F55" s="771"/>
      <c r="G55" s="801"/>
      <c r="H55" s="887"/>
    </row>
    <row r="56" spans="1:8" x14ac:dyDescent="0.2">
      <c r="A56" s="889"/>
      <c r="B56" s="771"/>
      <c r="C56" s="771"/>
      <c r="D56" s="771"/>
      <c r="E56" s="774"/>
      <c r="F56" s="771"/>
      <c r="G56" s="801"/>
      <c r="H56" s="887"/>
    </row>
    <row r="57" spans="1:8" x14ac:dyDescent="0.2">
      <c r="B57" s="771"/>
      <c r="C57" s="771"/>
      <c r="D57" s="771"/>
      <c r="E57" s="774"/>
      <c r="F57" s="771"/>
      <c r="G57" s="801"/>
      <c r="H57" s="887"/>
    </row>
    <row r="58" spans="1:8" x14ac:dyDescent="0.2">
      <c r="B58" s="771"/>
      <c r="C58" s="771"/>
      <c r="D58" s="771"/>
      <c r="E58" s="774"/>
      <c r="F58" s="771"/>
      <c r="G58" s="801"/>
      <c r="H58" s="887"/>
    </row>
    <row r="59" spans="1:8" x14ac:dyDescent="0.2">
      <c r="B59" s="771"/>
      <c r="C59" s="771"/>
      <c r="D59" s="771"/>
      <c r="E59" s="774"/>
      <c r="F59" s="771"/>
      <c r="G59" s="801"/>
      <c r="H59" s="887"/>
    </row>
    <row r="60" spans="1:8" x14ac:dyDescent="0.2">
      <c r="B60" s="771"/>
      <c r="C60" s="771"/>
      <c r="D60" s="771"/>
      <c r="E60" s="774"/>
      <c r="F60" s="771"/>
      <c r="G60" s="801"/>
      <c r="H60" s="887"/>
    </row>
    <row r="61" spans="1:8" x14ac:dyDescent="0.2">
      <c r="B61" s="771"/>
      <c r="C61" s="771"/>
      <c r="D61" s="771"/>
      <c r="E61" s="774"/>
      <c r="F61" s="771"/>
      <c r="G61" s="801"/>
      <c r="H61" s="887"/>
    </row>
    <row r="62" spans="1:8" x14ac:dyDescent="0.2">
      <c r="B62" s="771"/>
      <c r="C62" s="771"/>
      <c r="D62" s="771"/>
      <c r="E62" s="774"/>
      <c r="F62" s="771"/>
      <c r="G62" s="801"/>
      <c r="H62" s="887"/>
    </row>
    <row r="63" spans="1:8" x14ac:dyDescent="0.2">
      <c r="B63" s="771"/>
      <c r="C63" s="771"/>
      <c r="D63" s="771"/>
      <c r="E63" s="774"/>
      <c r="F63" s="771"/>
      <c r="G63" s="801"/>
      <c r="H63" s="887"/>
    </row>
    <row r="64" spans="1:8" x14ac:dyDescent="0.2">
      <c r="B64" s="771"/>
      <c r="C64" s="771"/>
      <c r="D64" s="771"/>
      <c r="E64" s="774"/>
      <c r="F64" s="771"/>
      <c r="G64" s="801"/>
      <c r="H64" s="887"/>
    </row>
    <row r="65" spans="2:8" x14ac:dyDescent="0.2">
      <c r="B65" s="771"/>
      <c r="C65" s="771"/>
      <c r="D65" s="771"/>
      <c r="E65" s="774"/>
      <c r="F65" s="771"/>
      <c r="G65" s="801"/>
      <c r="H65" s="887"/>
    </row>
    <row r="66" spans="2:8" x14ac:dyDescent="0.2">
      <c r="B66" s="771"/>
      <c r="C66" s="771"/>
      <c r="D66" s="771"/>
      <c r="E66" s="774"/>
      <c r="F66" s="771"/>
      <c r="G66" s="801"/>
      <c r="H66" s="887"/>
    </row>
    <row r="67" spans="2:8" x14ac:dyDescent="0.2">
      <c r="B67" s="771"/>
      <c r="C67" s="771"/>
      <c r="D67" s="771"/>
      <c r="E67" s="774"/>
      <c r="F67" s="771"/>
      <c r="G67" s="801"/>
      <c r="H67" s="887"/>
    </row>
    <row r="68" spans="2:8" x14ac:dyDescent="0.2">
      <c r="B68" s="771"/>
      <c r="C68" s="771"/>
      <c r="D68" s="771"/>
      <c r="E68" s="774"/>
      <c r="F68" s="771"/>
      <c r="G68" s="801"/>
      <c r="H68" s="887"/>
    </row>
    <row r="69" spans="2:8" x14ac:dyDescent="0.2">
      <c r="B69" s="771"/>
      <c r="C69" s="771"/>
      <c r="D69" s="771"/>
      <c r="E69" s="774"/>
      <c r="F69" s="771"/>
      <c r="G69" s="801"/>
      <c r="H69" s="887"/>
    </row>
    <row r="70" spans="2:8" x14ac:dyDescent="0.2">
      <c r="B70" s="771"/>
      <c r="C70" s="771"/>
      <c r="D70" s="771"/>
      <c r="E70" s="774"/>
      <c r="F70" s="771"/>
      <c r="G70" s="801"/>
      <c r="H70" s="887"/>
    </row>
    <row r="71" spans="2:8" x14ac:dyDescent="0.2">
      <c r="B71" s="771"/>
      <c r="C71" s="771"/>
      <c r="D71" s="771"/>
      <c r="E71" s="774"/>
      <c r="F71" s="771"/>
      <c r="G71" s="801"/>
      <c r="H71" s="887"/>
    </row>
    <row r="72" spans="2:8" x14ac:dyDescent="0.2">
      <c r="B72" s="771"/>
      <c r="C72" s="771"/>
      <c r="D72" s="771"/>
      <c r="E72" s="774"/>
      <c r="F72" s="771"/>
      <c r="G72" s="801"/>
      <c r="H72" s="887"/>
    </row>
    <row r="73" spans="2:8" x14ac:dyDescent="0.2">
      <c r="B73" s="771"/>
      <c r="C73" s="771"/>
      <c r="D73" s="771"/>
      <c r="E73" s="774"/>
      <c r="F73" s="771"/>
      <c r="G73" s="801"/>
      <c r="H73" s="887"/>
    </row>
    <row r="74" spans="2:8" x14ac:dyDescent="0.2">
      <c r="B74" s="771"/>
      <c r="C74" s="771"/>
      <c r="D74" s="771"/>
      <c r="E74" s="774"/>
      <c r="F74" s="771"/>
      <c r="G74" s="801"/>
      <c r="H74" s="887"/>
    </row>
    <row r="75" spans="2:8" x14ac:dyDescent="0.2">
      <c r="B75" s="771"/>
      <c r="C75" s="771"/>
      <c r="D75" s="771"/>
      <c r="E75" s="774"/>
      <c r="F75" s="771"/>
      <c r="G75" s="801"/>
      <c r="H75" s="887"/>
    </row>
    <row r="76" spans="2:8" x14ac:dyDescent="0.2">
      <c r="B76" s="771"/>
      <c r="C76" s="771"/>
      <c r="D76" s="771"/>
      <c r="E76" s="774"/>
      <c r="F76" s="771"/>
      <c r="G76" s="801"/>
      <c r="H76" s="887"/>
    </row>
    <row r="77" spans="2:8" x14ac:dyDescent="0.2">
      <c r="B77" s="771"/>
      <c r="C77" s="771"/>
      <c r="D77" s="771"/>
      <c r="E77" s="774"/>
      <c r="F77" s="771"/>
      <c r="G77" s="801"/>
      <c r="H77" s="887"/>
    </row>
    <row r="78" spans="2:8" x14ac:dyDescent="0.2">
      <c r="B78" s="771"/>
      <c r="C78" s="771"/>
      <c r="D78" s="771"/>
      <c r="E78" s="774"/>
      <c r="F78" s="771"/>
      <c r="G78" s="801"/>
      <c r="H78" s="887"/>
    </row>
    <row r="79" spans="2:8" x14ac:dyDescent="0.2">
      <c r="B79" s="771"/>
      <c r="C79" s="771"/>
      <c r="D79" s="771"/>
      <c r="E79" s="774"/>
      <c r="F79" s="771"/>
      <c r="G79" s="801"/>
      <c r="H79" s="887"/>
    </row>
    <row r="80" spans="2:8" x14ac:dyDescent="0.2">
      <c r="B80" s="771"/>
      <c r="C80" s="771"/>
      <c r="D80" s="771"/>
      <c r="E80" s="774"/>
      <c r="F80" s="771"/>
      <c r="G80" s="801"/>
      <c r="H80" s="887"/>
    </row>
    <row r="81" spans="2:8" x14ac:dyDescent="0.2">
      <c r="B81" s="771"/>
      <c r="C81" s="771"/>
      <c r="D81" s="771"/>
      <c r="E81" s="774"/>
      <c r="F81" s="771"/>
      <c r="G81" s="801"/>
      <c r="H81" s="887"/>
    </row>
    <row r="82" spans="2:8" x14ac:dyDescent="0.2">
      <c r="B82" s="771"/>
      <c r="C82" s="771"/>
      <c r="D82" s="771"/>
      <c r="E82" s="774"/>
      <c r="F82" s="771"/>
      <c r="G82" s="801"/>
      <c r="H82" s="887"/>
    </row>
    <row r="83" spans="2:8" x14ac:dyDescent="0.2">
      <c r="B83" s="771"/>
      <c r="C83" s="771"/>
      <c r="D83" s="771"/>
      <c r="E83" s="774"/>
      <c r="F83" s="771"/>
      <c r="G83" s="801"/>
      <c r="H83" s="887"/>
    </row>
    <row r="84" spans="2:8" x14ac:dyDescent="0.2">
      <c r="B84" s="771"/>
      <c r="C84" s="771"/>
      <c r="D84" s="771"/>
      <c r="E84" s="774"/>
      <c r="F84" s="771"/>
      <c r="G84" s="801"/>
      <c r="H84" s="887"/>
    </row>
    <row r="85" spans="2:8" x14ac:dyDescent="0.2">
      <c r="B85" s="771"/>
      <c r="C85" s="771"/>
      <c r="D85" s="771"/>
      <c r="E85" s="774"/>
      <c r="F85" s="771"/>
      <c r="G85" s="801"/>
      <c r="H85" s="887"/>
    </row>
    <row r="86" spans="2:8" x14ac:dyDescent="0.2">
      <c r="B86" s="771"/>
      <c r="C86" s="771"/>
      <c r="D86" s="771"/>
      <c r="E86" s="774"/>
      <c r="F86" s="771"/>
      <c r="G86" s="801"/>
      <c r="H86" s="887"/>
    </row>
    <row r="87" spans="2:8" x14ac:dyDescent="0.2">
      <c r="B87" s="771"/>
      <c r="C87" s="771"/>
      <c r="D87" s="771"/>
      <c r="E87" s="774"/>
      <c r="F87" s="771"/>
      <c r="G87" s="801"/>
      <c r="H87" s="887"/>
    </row>
    <row r="88" spans="2:8" x14ac:dyDescent="0.2">
      <c r="B88" s="771"/>
      <c r="C88" s="771"/>
      <c r="D88" s="771"/>
      <c r="E88" s="774"/>
      <c r="F88" s="771"/>
      <c r="G88" s="801"/>
      <c r="H88" s="887"/>
    </row>
    <row r="89" spans="2:8" x14ac:dyDescent="0.2">
      <c r="B89" s="771"/>
      <c r="C89" s="771"/>
      <c r="D89" s="771"/>
      <c r="E89" s="774"/>
      <c r="F89" s="771"/>
      <c r="G89" s="801"/>
      <c r="H89" s="887"/>
    </row>
    <row r="90" spans="2:8" x14ac:dyDescent="0.2">
      <c r="B90" s="771"/>
      <c r="C90" s="771"/>
      <c r="D90" s="771"/>
      <c r="E90" s="774"/>
      <c r="F90" s="771"/>
      <c r="G90" s="801"/>
      <c r="H90" s="887"/>
    </row>
    <row r="91" spans="2:8" x14ac:dyDescent="0.2">
      <c r="B91" s="771"/>
      <c r="C91" s="771"/>
      <c r="D91" s="771"/>
      <c r="E91" s="774"/>
      <c r="F91" s="771"/>
      <c r="G91" s="801"/>
      <c r="H91" s="887"/>
    </row>
    <row r="92" spans="2:8" x14ac:dyDescent="0.2">
      <c r="B92" s="771"/>
      <c r="C92" s="771"/>
      <c r="D92" s="771"/>
      <c r="E92" s="774"/>
      <c r="F92" s="771"/>
      <c r="G92" s="801"/>
      <c r="H92" s="887"/>
    </row>
    <row r="93" spans="2:8" x14ac:dyDescent="0.2">
      <c r="B93" s="771"/>
      <c r="C93" s="771"/>
      <c r="D93" s="771"/>
      <c r="E93" s="774"/>
      <c r="F93" s="771"/>
      <c r="G93" s="801"/>
      <c r="H93" s="887"/>
    </row>
    <row r="94" spans="2:8" x14ac:dyDescent="0.2">
      <c r="B94" s="771"/>
      <c r="C94" s="771"/>
      <c r="D94" s="771"/>
      <c r="E94" s="774"/>
      <c r="F94" s="771"/>
      <c r="G94" s="801"/>
      <c r="H94" s="887"/>
    </row>
    <row r="95" spans="2:8" x14ac:dyDescent="0.2">
      <c r="B95" s="771"/>
      <c r="C95" s="771"/>
      <c r="D95" s="771"/>
      <c r="E95" s="774"/>
      <c r="F95" s="771"/>
      <c r="G95" s="801"/>
      <c r="H95" s="887"/>
    </row>
    <row r="96" spans="2:8" x14ac:dyDescent="0.2">
      <c r="B96" s="771"/>
      <c r="C96" s="771"/>
      <c r="D96" s="771"/>
      <c r="E96" s="774"/>
      <c r="F96" s="771"/>
      <c r="G96" s="801"/>
      <c r="H96" s="887"/>
    </row>
    <row r="97" spans="2:8" x14ac:dyDescent="0.2">
      <c r="B97" s="771"/>
      <c r="C97" s="771"/>
      <c r="D97" s="771"/>
      <c r="E97" s="774"/>
      <c r="F97" s="771"/>
      <c r="G97" s="801"/>
      <c r="H97" s="887"/>
    </row>
    <row r="98" spans="2:8" x14ac:dyDescent="0.2">
      <c r="B98" s="771"/>
      <c r="C98" s="771"/>
      <c r="D98" s="771"/>
      <c r="E98" s="774"/>
      <c r="F98" s="771"/>
      <c r="G98" s="801"/>
      <c r="H98" s="887"/>
    </row>
    <row r="99" spans="2:8" x14ac:dyDescent="0.2">
      <c r="B99" s="771"/>
      <c r="C99" s="771"/>
      <c r="D99" s="771"/>
      <c r="E99" s="774"/>
      <c r="F99" s="771"/>
      <c r="G99" s="801"/>
      <c r="H99" s="887"/>
    </row>
    <row r="100" spans="2:8" x14ac:dyDescent="0.2">
      <c r="B100" s="771"/>
      <c r="C100" s="771"/>
      <c r="D100" s="771"/>
      <c r="E100" s="774"/>
      <c r="F100" s="771"/>
      <c r="G100" s="801"/>
      <c r="H100" s="887"/>
    </row>
    <row r="101" spans="2:8" x14ac:dyDescent="0.2">
      <c r="B101" s="771"/>
      <c r="C101" s="771"/>
      <c r="D101" s="771"/>
      <c r="E101" s="774"/>
      <c r="F101" s="771"/>
      <c r="G101" s="801"/>
      <c r="H101" s="887"/>
    </row>
    <row r="102" spans="2:8" x14ac:dyDescent="0.2">
      <c r="B102" s="771"/>
      <c r="C102" s="771"/>
      <c r="D102" s="771"/>
      <c r="E102" s="774"/>
      <c r="F102" s="771"/>
      <c r="G102" s="801"/>
      <c r="H102" s="887"/>
    </row>
    <row r="103" spans="2:8" x14ac:dyDescent="0.2">
      <c r="B103" s="771"/>
      <c r="C103" s="771"/>
      <c r="D103" s="771"/>
      <c r="E103" s="774"/>
      <c r="F103" s="771"/>
      <c r="G103" s="801"/>
      <c r="H103" s="887"/>
    </row>
    <row r="104" spans="2:8" x14ac:dyDescent="0.2">
      <c r="B104" s="771"/>
      <c r="C104" s="771"/>
      <c r="D104" s="771"/>
      <c r="E104" s="774"/>
      <c r="F104" s="771"/>
      <c r="G104" s="801"/>
      <c r="H104" s="887"/>
    </row>
    <row r="105" spans="2:8" x14ac:dyDescent="0.2">
      <c r="B105" s="771"/>
      <c r="C105" s="771"/>
      <c r="D105" s="771"/>
      <c r="E105" s="774"/>
      <c r="F105" s="771"/>
      <c r="G105" s="801"/>
      <c r="H105" s="887"/>
    </row>
    <row r="106" spans="2:8" x14ac:dyDescent="0.2">
      <c r="B106" s="771"/>
      <c r="C106" s="771"/>
      <c r="D106" s="771"/>
      <c r="E106" s="774"/>
      <c r="F106" s="771"/>
      <c r="G106" s="801"/>
      <c r="H106" s="887"/>
    </row>
    <row r="107" spans="2:8" x14ac:dyDescent="0.2">
      <c r="B107" s="771"/>
      <c r="C107" s="771"/>
      <c r="D107" s="771"/>
      <c r="E107" s="774"/>
      <c r="F107" s="771"/>
      <c r="G107" s="801"/>
      <c r="H107" s="887"/>
    </row>
    <row r="108" spans="2:8" x14ac:dyDescent="0.2">
      <c r="B108" s="771"/>
      <c r="C108" s="771"/>
      <c r="D108" s="771"/>
      <c r="E108" s="774"/>
      <c r="F108" s="771"/>
      <c r="G108" s="801"/>
      <c r="H108" s="887"/>
    </row>
    <row r="109" spans="2:8" x14ac:dyDescent="0.2">
      <c r="B109" s="771"/>
      <c r="C109" s="771"/>
      <c r="D109" s="771"/>
      <c r="E109" s="774"/>
      <c r="F109" s="771"/>
      <c r="G109" s="801"/>
      <c r="H109" s="887"/>
    </row>
    <row r="110" spans="2:8" x14ac:dyDescent="0.2">
      <c r="B110" s="771"/>
      <c r="C110" s="771"/>
      <c r="D110" s="771"/>
      <c r="E110" s="774"/>
      <c r="F110" s="771"/>
      <c r="G110" s="801"/>
      <c r="H110" s="887"/>
    </row>
    <row r="111" spans="2:8" x14ac:dyDescent="0.2">
      <c r="B111" s="771"/>
      <c r="C111" s="771"/>
      <c r="D111" s="771"/>
      <c r="E111" s="774"/>
      <c r="F111" s="771"/>
      <c r="G111" s="801"/>
      <c r="H111" s="887"/>
    </row>
    <row r="112" spans="2:8" x14ac:dyDescent="0.2">
      <c r="B112" s="771"/>
      <c r="C112" s="771"/>
      <c r="D112" s="771"/>
      <c r="E112" s="774"/>
      <c r="F112" s="771"/>
      <c r="G112" s="801"/>
      <c r="H112" s="887"/>
    </row>
    <row r="113" spans="2:8" x14ac:dyDescent="0.2">
      <c r="B113" s="771"/>
      <c r="C113" s="771"/>
      <c r="D113" s="771"/>
      <c r="E113" s="774"/>
      <c r="F113" s="771"/>
      <c r="G113" s="801"/>
      <c r="H113" s="887"/>
    </row>
    <row r="114" spans="2:8" x14ac:dyDescent="0.2">
      <c r="B114" s="771"/>
      <c r="C114" s="771"/>
      <c r="D114" s="771"/>
      <c r="E114" s="774"/>
      <c r="F114" s="771"/>
      <c r="G114" s="801"/>
      <c r="H114" s="887"/>
    </row>
    <row r="115" spans="2:8" x14ac:dyDescent="0.2">
      <c r="B115" s="771"/>
      <c r="C115" s="771"/>
      <c r="D115" s="771"/>
      <c r="E115" s="774"/>
      <c r="F115" s="771"/>
      <c r="G115" s="801"/>
      <c r="H115" s="887"/>
    </row>
    <row r="116" spans="2:8" x14ac:dyDescent="0.2">
      <c r="B116" s="771"/>
      <c r="C116" s="771"/>
      <c r="D116" s="771"/>
      <c r="E116" s="774"/>
      <c r="F116" s="771"/>
      <c r="G116" s="801"/>
      <c r="H116" s="887"/>
    </row>
    <row r="117" spans="2:8" x14ac:dyDescent="0.2">
      <c r="B117" s="771"/>
      <c r="C117" s="771"/>
      <c r="D117" s="771"/>
      <c r="E117" s="774"/>
      <c r="F117" s="771"/>
      <c r="G117" s="801"/>
      <c r="H117" s="887"/>
    </row>
    <row r="118" spans="2:8" x14ac:dyDescent="0.2">
      <c r="B118" s="771"/>
      <c r="C118" s="771"/>
      <c r="D118" s="771"/>
      <c r="E118" s="774"/>
      <c r="F118" s="771"/>
      <c r="G118" s="801"/>
      <c r="H118" s="887"/>
    </row>
    <row r="119" spans="2:8" x14ac:dyDescent="0.2">
      <c r="B119" s="771"/>
      <c r="C119" s="771"/>
      <c r="D119" s="771"/>
      <c r="E119" s="774"/>
      <c r="F119" s="771"/>
      <c r="G119" s="801"/>
      <c r="H119" s="887"/>
    </row>
    <row r="120" spans="2:8" x14ac:dyDescent="0.2">
      <c r="B120" s="771"/>
      <c r="C120" s="771"/>
      <c r="D120" s="771"/>
      <c r="E120" s="774"/>
      <c r="F120" s="771"/>
      <c r="G120" s="801"/>
      <c r="H120" s="887"/>
    </row>
    <row r="121" spans="2:8" x14ac:dyDescent="0.2">
      <c r="B121" s="771"/>
      <c r="C121" s="771"/>
      <c r="D121" s="771"/>
      <c r="E121" s="774"/>
      <c r="F121" s="771"/>
      <c r="G121" s="801"/>
      <c r="H121" s="887"/>
    </row>
    <row r="122" spans="2:8" x14ac:dyDescent="0.2">
      <c r="B122" s="771"/>
      <c r="C122" s="771"/>
      <c r="D122" s="771"/>
      <c r="E122" s="774"/>
      <c r="F122" s="771"/>
      <c r="G122" s="801"/>
      <c r="H122" s="887"/>
    </row>
    <row r="123" spans="2:8" x14ac:dyDescent="0.2">
      <c r="B123" s="771"/>
      <c r="C123" s="771"/>
      <c r="D123" s="771"/>
      <c r="E123" s="774"/>
      <c r="F123" s="771"/>
      <c r="G123" s="801"/>
      <c r="H123" s="887"/>
    </row>
    <row r="124" spans="2:8" x14ac:dyDescent="0.2">
      <c r="B124" s="771"/>
      <c r="C124" s="771"/>
      <c r="D124" s="771"/>
      <c r="E124" s="774"/>
      <c r="F124" s="771"/>
      <c r="G124" s="801"/>
      <c r="H124" s="887"/>
    </row>
    <row r="125" spans="2:8" x14ac:dyDescent="0.2">
      <c r="B125" s="771"/>
      <c r="C125" s="771"/>
      <c r="D125" s="771"/>
      <c r="E125" s="774"/>
      <c r="F125" s="771"/>
      <c r="G125" s="801"/>
      <c r="H125" s="887"/>
    </row>
    <row r="126" spans="2:8" x14ac:dyDescent="0.2">
      <c r="B126" s="771"/>
      <c r="C126" s="771"/>
      <c r="D126" s="771"/>
      <c r="E126" s="774"/>
      <c r="F126" s="771"/>
      <c r="G126" s="801"/>
      <c r="H126" s="887"/>
    </row>
    <row r="127" spans="2:8" x14ac:dyDescent="0.2">
      <c r="B127" s="771"/>
      <c r="C127" s="771"/>
      <c r="D127" s="771"/>
      <c r="E127" s="774"/>
      <c r="F127" s="771"/>
      <c r="G127" s="801"/>
      <c r="H127" s="887"/>
    </row>
    <row r="128" spans="2:8" x14ac:dyDescent="0.2">
      <c r="B128" s="771"/>
      <c r="C128" s="771"/>
      <c r="D128" s="771"/>
      <c r="E128" s="774"/>
      <c r="F128" s="771"/>
      <c r="G128" s="801"/>
      <c r="H128" s="887"/>
    </row>
    <row r="129" spans="2:8" x14ac:dyDescent="0.2">
      <c r="B129" s="771"/>
      <c r="C129" s="771"/>
      <c r="D129" s="771"/>
      <c r="E129" s="774"/>
      <c r="F129" s="771"/>
      <c r="G129" s="801"/>
      <c r="H129" s="887"/>
    </row>
    <row r="130" spans="2:8" x14ac:dyDescent="0.2">
      <c r="B130" s="771"/>
      <c r="C130" s="771"/>
      <c r="D130" s="771"/>
      <c r="E130" s="774"/>
      <c r="F130" s="771"/>
      <c r="G130" s="801"/>
      <c r="H130" s="887"/>
    </row>
    <row r="131" spans="2:8" x14ac:dyDescent="0.2">
      <c r="B131" s="771"/>
      <c r="C131" s="771"/>
      <c r="D131" s="771"/>
      <c r="E131" s="774"/>
      <c r="F131" s="771"/>
      <c r="G131" s="801"/>
      <c r="H131" s="887"/>
    </row>
    <row r="132" spans="2:8" x14ac:dyDescent="0.2">
      <c r="B132" s="771"/>
      <c r="C132" s="771"/>
      <c r="D132" s="771"/>
      <c r="E132" s="774"/>
      <c r="F132" s="771"/>
      <c r="G132" s="801"/>
      <c r="H132" s="887"/>
    </row>
    <row r="133" spans="2:8" x14ac:dyDescent="0.2">
      <c r="B133" s="771"/>
      <c r="C133" s="771"/>
      <c r="D133" s="771"/>
      <c r="E133" s="774"/>
      <c r="F133" s="771"/>
      <c r="G133" s="801"/>
      <c r="H133" s="887"/>
    </row>
    <row r="134" spans="2:8" x14ac:dyDescent="0.2">
      <c r="B134" s="771"/>
      <c r="C134" s="771"/>
      <c r="D134" s="771"/>
      <c r="E134" s="774"/>
      <c r="F134" s="771"/>
      <c r="G134" s="801"/>
      <c r="H134" s="887"/>
    </row>
    <row r="135" spans="2:8" x14ac:dyDescent="0.2">
      <c r="B135" s="771"/>
      <c r="C135" s="771"/>
      <c r="D135" s="771"/>
      <c r="E135" s="774"/>
      <c r="F135" s="771"/>
      <c r="G135" s="801"/>
      <c r="H135" s="887"/>
    </row>
    <row r="136" spans="2:8" x14ac:dyDescent="0.2">
      <c r="B136" s="771"/>
      <c r="C136" s="771"/>
      <c r="D136" s="771"/>
      <c r="E136" s="774"/>
      <c r="F136" s="771"/>
      <c r="G136" s="801"/>
      <c r="H136" s="887"/>
    </row>
    <row r="137" spans="2:8" x14ac:dyDescent="0.2">
      <c r="B137" s="771"/>
      <c r="C137" s="771"/>
      <c r="D137" s="771"/>
      <c r="E137" s="774"/>
      <c r="F137" s="771"/>
      <c r="G137" s="801"/>
      <c r="H137" s="887"/>
    </row>
    <row r="138" spans="2:8" x14ac:dyDescent="0.2">
      <c r="B138" s="771"/>
      <c r="C138" s="771"/>
      <c r="D138" s="771"/>
      <c r="E138" s="774"/>
      <c r="F138" s="771"/>
      <c r="G138" s="801"/>
      <c r="H138" s="887"/>
    </row>
    <row r="139" spans="2:8" x14ac:dyDescent="0.2">
      <c r="B139" s="771"/>
      <c r="C139" s="771"/>
      <c r="D139" s="771"/>
      <c r="E139" s="774"/>
      <c r="F139" s="771"/>
      <c r="G139" s="801"/>
      <c r="H139" s="887"/>
    </row>
    <row r="140" spans="2:8" x14ac:dyDescent="0.2">
      <c r="B140" s="771"/>
      <c r="C140" s="771"/>
      <c r="D140" s="771"/>
      <c r="E140" s="774"/>
      <c r="F140" s="771"/>
      <c r="G140" s="801"/>
      <c r="H140" s="887"/>
    </row>
    <row r="141" spans="2:8" x14ac:dyDescent="0.2">
      <c r="B141" s="771"/>
      <c r="C141" s="771"/>
      <c r="D141" s="771"/>
      <c r="E141" s="774"/>
      <c r="F141" s="771"/>
      <c r="G141" s="801"/>
      <c r="H141" s="887"/>
    </row>
    <row r="142" spans="2:8" x14ac:dyDescent="0.2">
      <c r="B142" s="771"/>
      <c r="C142" s="771"/>
      <c r="D142" s="771"/>
      <c r="E142" s="774"/>
      <c r="F142" s="771"/>
      <c r="G142" s="801"/>
      <c r="H142" s="887"/>
    </row>
    <row r="143" spans="2:8" x14ac:dyDescent="0.2">
      <c r="B143" s="771"/>
      <c r="C143" s="771"/>
      <c r="D143" s="771"/>
      <c r="E143" s="774"/>
      <c r="F143" s="771"/>
      <c r="G143" s="801"/>
      <c r="H143" s="887"/>
    </row>
    <row r="144" spans="2:8" x14ac:dyDescent="0.2">
      <c r="B144" s="771"/>
      <c r="C144" s="771"/>
      <c r="D144" s="771"/>
      <c r="E144" s="774"/>
      <c r="F144" s="771"/>
      <c r="G144" s="801"/>
      <c r="H144" s="887"/>
    </row>
    <row r="145" spans="2:8" x14ac:dyDescent="0.2">
      <c r="B145" s="771"/>
      <c r="C145" s="771"/>
      <c r="D145" s="771"/>
      <c r="E145" s="774"/>
      <c r="F145" s="771"/>
      <c r="G145" s="801"/>
      <c r="H145" s="887"/>
    </row>
    <row r="146" spans="2:8" x14ac:dyDescent="0.2">
      <c r="B146" s="771"/>
      <c r="C146" s="771"/>
      <c r="D146" s="771"/>
      <c r="E146" s="774"/>
      <c r="F146" s="771"/>
      <c r="G146" s="801"/>
      <c r="H146" s="887"/>
    </row>
    <row r="147" spans="2:8" x14ac:dyDescent="0.2">
      <c r="B147" s="771"/>
      <c r="C147" s="771"/>
      <c r="D147" s="771"/>
      <c r="E147" s="774"/>
      <c r="F147" s="771"/>
      <c r="G147" s="801"/>
      <c r="H147" s="887"/>
    </row>
    <row r="148" spans="2:8" x14ac:dyDescent="0.2">
      <c r="B148" s="771"/>
      <c r="C148" s="771"/>
      <c r="D148" s="771"/>
      <c r="E148" s="774"/>
      <c r="F148" s="771"/>
      <c r="G148" s="801"/>
      <c r="H148" s="887"/>
    </row>
    <row r="149" spans="2:8" x14ac:dyDescent="0.2">
      <c r="B149" s="771"/>
      <c r="C149" s="771"/>
      <c r="D149" s="771"/>
      <c r="E149" s="774"/>
      <c r="F149" s="771"/>
      <c r="G149" s="801"/>
      <c r="H149" s="887"/>
    </row>
    <row r="150" spans="2:8" x14ac:dyDescent="0.2">
      <c r="B150" s="771"/>
      <c r="C150" s="771"/>
      <c r="D150" s="771"/>
      <c r="E150" s="774"/>
      <c r="F150" s="771"/>
      <c r="G150" s="801"/>
      <c r="H150" s="887"/>
    </row>
    <row r="151" spans="2:8" x14ac:dyDescent="0.2">
      <c r="B151" s="771"/>
      <c r="C151" s="771"/>
      <c r="D151" s="771"/>
      <c r="E151" s="774"/>
      <c r="F151" s="771"/>
      <c r="G151" s="801"/>
      <c r="H151" s="887"/>
    </row>
    <row r="152" spans="2:8" x14ac:dyDescent="0.2">
      <c r="B152" s="771"/>
      <c r="C152" s="771"/>
      <c r="D152" s="771"/>
      <c r="E152" s="774"/>
      <c r="F152" s="771"/>
      <c r="G152" s="801"/>
      <c r="H152" s="887"/>
    </row>
    <row r="153" spans="2:8" x14ac:dyDescent="0.2">
      <c r="B153" s="771"/>
      <c r="C153" s="771"/>
      <c r="D153" s="771"/>
      <c r="E153" s="774"/>
      <c r="F153" s="771"/>
      <c r="G153" s="801"/>
      <c r="H153" s="887"/>
    </row>
    <row r="154" spans="2:8" x14ac:dyDescent="0.2">
      <c r="B154" s="771"/>
      <c r="C154" s="771"/>
      <c r="D154" s="771"/>
      <c r="E154" s="774"/>
      <c r="F154" s="771"/>
      <c r="G154" s="801"/>
      <c r="H154" s="887"/>
    </row>
    <row r="155" spans="2:8" x14ac:dyDescent="0.2">
      <c r="B155" s="771"/>
      <c r="C155" s="771"/>
      <c r="D155" s="771"/>
      <c r="E155" s="774"/>
      <c r="F155" s="771"/>
      <c r="G155" s="801"/>
      <c r="H155" s="887"/>
    </row>
    <row r="156" spans="2:8" x14ac:dyDescent="0.2">
      <c r="B156" s="771"/>
      <c r="C156" s="771"/>
      <c r="D156" s="771"/>
      <c r="E156" s="774"/>
      <c r="F156" s="771"/>
      <c r="G156" s="801"/>
      <c r="H156" s="887"/>
    </row>
    <row r="157" spans="2:8" x14ac:dyDescent="0.2">
      <c r="B157" s="771"/>
      <c r="C157" s="771"/>
      <c r="D157" s="771"/>
      <c r="E157" s="774"/>
      <c r="F157" s="771"/>
      <c r="G157" s="801"/>
      <c r="H157" s="887"/>
    </row>
    <row r="158" spans="2:8" x14ac:dyDescent="0.2">
      <c r="B158" s="771"/>
      <c r="C158" s="771"/>
      <c r="D158" s="771"/>
      <c r="E158" s="774"/>
      <c r="F158" s="771"/>
      <c r="G158" s="801"/>
      <c r="H158" s="887"/>
    </row>
    <row r="159" spans="2:8" x14ac:dyDescent="0.2">
      <c r="B159" s="771"/>
      <c r="C159" s="771"/>
      <c r="D159" s="771"/>
      <c r="E159" s="774"/>
      <c r="F159" s="771"/>
      <c r="G159" s="801"/>
      <c r="H159" s="887"/>
    </row>
    <row r="160" spans="2:8" x14ac:dyDescent="0.2">
      <c r="B160" s="771"/>
      <c r="C160" s="771"/>
      <c r="D160" s="771"/>
      <c r="E160" s="774"/>
      <c r="F160" s="771"/>
      <c r="G160" s="801"/>
      <c r="H160" s="887"/>
    </row>
    <row r="161" spans="2:8" x14ac:dyDescent="0.2">
      <c r="B161" s="771"/>
      <c r="C161" s="771"/>
      <c r="D161" s="771"/>
      <c r="E161" s="774"/>
      <c r="F161" s="771"/>
      <c r="G161" s="801"/>
      <c r="H161" s="887"/>
    </row>
    <row r="162" spans="2:8" x14ac:dyDescent="0.2">
      <c r="B162" s="771"/>
      <c r="C162" s="771"/>
      <c r="D162" s="771"/>
      <c r="E162" s="774"/>
      <c r="F162" s="771"/>
      <c r="G162" s="801"/>
      <c r="H162" s="887"/>
    </row>
    <row r="163" spans="2:8" x14ac:dyDescent="0.2">
      <c r="B163" s="771"/>
      <c r="C163" s="771"/>
      <c r="D163" s="771"/>
      <c r="E163" s="774"/>
      <c r="F163" s="771"/>
      <c r="G163" s="801"/>
      <c r="H163" s="887"/>
    </row>
    <row r="164" spans="2:8" x14ac:dyDescent="0.2">
      <c r="B164" s="771"/>
      <c r="C164" s="771"/>
      <c r="D164" s="771"/>
      <c r="E164" s="774"/>
      <c r="F164" s="771"/>
      <c r="G164" s="801"/>
      <c r="H164" s="887"/>
    </row>
    <row r="165" spans="2:8" x14ac:dyDescent="0.2">
      <c r="B165" s="771"/>
      <c r="C165" s="771"/>
      <c r="D165" s="771"/>
      <c r="E165" s="774"/>
      <c r="F165" s="771"/>
      <c r="G165" s="801"/>
      <c r="H165" s="887"/>
    </row>
    <row r="166" spans="2:8" x14ac:dyDescent="0.2">
      <c r="B166" s="771"/>
      <c r="C166" s="771"/>
      <c r="D166" s="771"/>
      <c r="E166" s="774"/>
      <c r="F166" s="771"/>
      <c r="G166" s="801"/>
      <c r="H166" s="887"/>
    </row>
    <row r="167" spans="2:8" x14ac:dyDescent="0.2">
      <c r="B167" s="771"/>
      <c r="C167" s="771"/>
      <c r="D167" s="771"/>
      <c r="E167" s="774"/>
      <c r="F167" s="771"/>
      <c r="G167" s="801"/>
      <c r="H167" s="887"/>
    </row>
    <row r="168" spans="2:8" x14ac:dyDescent="0.2">
      <c r="B168" s="771"/>
      <c r="C168" s="771"/>
      <c r="D168" s="771"/>
      <c r="E168" s="774"/>
      <c r="F168" s="771"/>
      <c r="G168" s="801"/>
      <c r="H168" s="887"/>
    </row>
    <row r="169" spans="2:8" x14ac:dyDescent="0.2">
      <c r="B169" s="771"/>
      <c r="C169" s="771"/>
      <c r="D169" s="771"/>
      <c r="E169" s="774"/>
      <c r="F169" s="771"/>
      <c r="G169" s="801"/>
      <c r="H169" s="887"/>
    </row>
    <row r="170" spans="2:8" x14ac:dyDescent="0.2">
      <c r="B170" s="771"/>
      <c r="C170" s="771"/>
      <c r="D170" s="771"/>
      <c r="E170" s="774"/>
      <c r="F170" s="771"/>
      <c r="G170" s="801"/>
      <c r="H170" s="887"/>
    </row>
    <row r="171" spans="2:8" x14ac:dyDescent="0.2">
      <c r="B171" s="771"/>
      <c r="C171" s="771"/>
      <c r="D171" s="771"/>
      <c r="E171" s="774"/>
      <c r="F171" s="771"/>
      <c r="G171" s="801"/>
      <c r="H171" s="887"/>
    </row>
    <row r="172" spans="2:8" x14ac:dyDescent="0.2">
      <c r="B172" s="771"/>
      <c r="C172" s="771"/>
      <c r="D172" s="771"/>
      <c r="E172" s="774"/>
      <c r="F172" s="771"/>
      <c r="G172" s="801"/>
      <c r="H172" s="887"/>
    </row>
    <row r="173" spans="2:8" x14ac:dyDescent="0.2">
      <c r="B173" s="771"/>
      <c r="C173" s="771"/>
      <c r="D173" s="771"/>
      <c r="E173" s="774"/>
      <c r="F173" s="771"/>
      <c r="G173" s="801"/>
      <c r="H173" s="887"/>
    </row>
    <row r="174" spans="2:8" x14ac:dyDescent="0.2">
      <c r="B174" s="771"/>
      <c r="C174" s="771"/>
      <c r="D174" s="771"/>
      <c r="E174" s="774"/>
      <c r="F174" s="771"/>
      <c r="G174" s="801"/>
      <c r="H174" s="887"/>
    </row>
    <row r="175" spans="2:8" x14ac:dyDescent="0.2">
      <c r="B175" s="771"/>
      <c r="C175" s="771"/>
      <c r="D175" s="771"/>
      <c r="E175" s="774"/>
      <c r="F175" s="771"/>
      <c r="G175" s="801"/>
      <c r="H175" s="887"/>
    </row>
    <row r="176" spans="2:8" x14ac:dyDescent="0.2">
      <c r="B176" s="771"/>
      <c r="C176" s="771"/>
      <c r="D176" s="771"/>
      <c r="E176" s="774"/>
      <c r="F176" s="771"/>
      <c r="G176" s="801"/>
      <c r="H176" s="887"/>
    </row>
    <row r="177" spans="2:8" x14ac:dyDescent="0.2">
      <c r="B177" s="771"/>
      <c r="C177" s="771"/>
      <c r="D177" s="771"/>
      <c r="E177" s="774"/>
      <c r="F177" s="771"/>
      <c r="G177" s="801"/>
      <c r="H177" s="887"/>
    </row>
    <row r="178" spans="2:8" x14ac:dyDescent="0.2">
      <c r="B178" s="771"/>
      <c r="C178" s="771"/>
      <c r="D178" s="771"/>
      <c r="E178" s="774"/>
      <c r="F178" s="771"/>
      <c r="G178" s="801"/>
      <c r="H178" s="887"/>
    </row>
    <row r="179" spans="2:8" x14ac:dyDescent="0.2">
      <c r="B179" s="771"/>
      <c r="C179" s="771"/>
      <c r="D179" s="771"/>
      <c r="E179" s="774"/>
      <c r="F179" s="771"/>
      <c r="G179" s="801"/>
      <c r="H179" s="887"/>
    </row>
    <row r="180" spans="2:8" x14ac:dyDescent="0.2">
      <c r="B180" s="771"/>
      <c r="C180" s="771"/>
      <c r="D180" s="771"/>
      <c r="E180" s="774"/>
      <c r="F180" s="771"/>
      <c r="G180" s="801"/>
      <c r="H180" s="887"/>
    </row>
    <row r="181" spans="2:8" x14ac:dyDescent="0.2">
      <c r="B181" s="771"/>
      <c r="C181" s="771"/>
      <c r="D181" s="771"/>
      <c r="E181" s="774"/>
      <c r="F181" s="771"/>
      <c r="G181" s="801"/>
      <c r="H181" s="887"/>
    </row>
    <row r="182" spans="2:8" x14ac:dyDescent="0.2">
      <c r="B182" s="771"/>
      <c r="C182" s="771"/>
      <c r="D182" s="771"/>
      <c r="E182" s="774"/>
      <c r="F182" s="771"/>
      <c r="G182" s="801"/>
      <c r="H182" s="887"/>
    </row>
    <row r="183" spans="2:8" x14ac:dyDescent="0.2">
      <c r="B183" s="771"/>
      <c r="C183" s="771"/>
      <c r="D183" s="771"/>
      <c r="E183" s="774"/>
      <c r="F183" s="771"/>
      <c r="G183" s="801"/>
      <c r="H183" s="887"/>
    </row>
    <row r="184" spans="2:8" x14ac:dyDescent="0.2">
      <c r="B184" s="771"/>
      <c r="C184" s="771"/>
      <c r="D184" s="771"/>
      <c r="E184" s="774"/>
      <c r="F184" s="771"/>
      <c r="G184" s="801"/>
      <c r="H184" s="887"/>
    </row>
    <row r="185" spans="2:8" x14ac:dyDescent="0.2">
      <c r="B185" s="771"/>
      <c r="C185" s="771"/>
      <c r="D185" s="771"/>
      <c r="E185" s="774"/>
      <c r="F185" s="771"/>
      <c r="G185" s="801"/>
      <c r="H185" s="887"/>
    </row>
    <row r="186" spans="2:8" x14ac:dyDescent="0.2">
      <c r="B186" s="771"/>
      <c r="C186" s="771"/>
      <c r="D186" s="771"/>
      <c r="E186" s="774"/>
      <c r="F186" s="771"/>
      <c r="G186" s="801"/>
      <c r="H186" s="887"/>
    </row>
    <row r="187" spans="2:8" x14ac:dyDescent="0.2">
      <c r="B187" s="771"/>
      <c r="C187" s="771"/>
      <c r="D187" s="771"/>
      <c r="E187" s="774"/>
      <c r="F187" s="771"/>
      <c r="G187" s="801"/>
      <c r="H187" s="887"/>
    </row>
    <row r="188" spans="2:8" x14ac:dyDescent="0.2">
      <c r="B188" s="771"/>
      <c r="C188" s="771"/>
      <c r="D188" s="771"/>
      <c r="E188" s="774"/>
      <c r="F188" s="771"/>
      <c r="G188" s="801"/>
      <c r="H188" s="887"/>
    </row>
    <row r="189" spans="2:8" x14ac:dyDescent="0.2">
      <c r="B189" s="771"/>
      <c r="C189" s="771"/>
      <c r="D189" s="771"/>
      <c r="E189" s="774"/>
      <c r="F189" s="771"/>
      <c r="G189" s="801"/>
      <c r="H189" s="887"/>
    </row>
    <row r="190" spans="2:8" x14ac:dyDescent="0.2">
      <c r="B190" s="771"/>
      <c r="C190" s="771"/>
      <c r="D190" s="771"/>
      <c r="E190" s="774"/>
      <c r="F190" s="771"/>
      <c r="G190" s="801"/>
      <c r="H190" s="887"/>
    </row>
    <row r="191" spans="2:8" x14ac:dyDescent="0.2">
      <c r="B191" s="771"/>
      <c r="C191" s="771"/>
      <c r="D191" s="771"/>
      <c r="E191" s="774"/>
      <c r="F191" s="771"/>
      <c r="G191" s="801"/>
      <c r="H191" s="887"/>
    </row>
    <row r="192" spans="2:8" x14ac:dyDescent="0.2">
      <c r="B192" s="771"/>
      <c r="C192" s="771"/>
      <c r="D192" s="771"/>
      <c r="E192" s="774"/>
      <c r="F192" s="771"/>
      <c r="G192" s="801"/>
      <c r="H192" s="887"/>
    </row>
    <row r="193" spans="2:8" x14ac:dyDescent="0.2">
      <c r="B193" s="771"/>
      <c r="C193" s="771"/>
      <c r="D193" s="771"/>
      <c r="E193" s="774"/>
      <c r="F193" s="771"/>
      <c r="G193" s="801"/>
      <c r="H193" s="887"/>
    </row>
    <row r="194" spans="2:8" x14ac:dyDescent="0.2">
      <c r="B194" s="771"/>
      <c r="C194" s="771"/>
      <c r="D194" s="771"/>
      <c r="E194" s="774"/>
      <c r="F194" s="771"/>
      <c r="G194" s="801"/>
      <c r="H194" s="887"/>
    </row>
    <row r="195" spans="2:8" x14ac:dyDescent="0.2">
      <c r="B195" s="771"/>
      <c r="C195" s="771"/>
      <c r="D195" s="771"/>
      <c r="E195" s="774"/>
      <c r="F195" s="771"/>
      <c r="G195" s="801"/>
      <c r="H195" s="887"/>
    </row>
    <row r="196" spans="2:8" x14ac:dyDescent="0.2">
      <c r="B196" s="771"/>
      <c r="C196" s="771"/>
      <c r="D196" s="771"/>
      <c r="E196" s="774"/>
      <c r="F196" s="771"/>
      <c r="G196" s="801"/>
      <c r="H196" s="887"/>
    </row>
    <row r="197" spans="2:8" x14ac:dyDescent="0.2">
      <c r="B197" s="771"/>
      <c r="C197" s="771"/>
      <c r="D197" s="771"/>
      <c r="E197" s="774"/>
      <c r="F197" s="771"/>
      <c r="G197" s="801"/>
      <c r="H197" s="887"/>
    </row>
    <row r="198" spans="2:8" x14ac:dyDescent="0.2">
      <c r="B198" s="771"/>
      <c r="C198" s="771"/>
      <c r="D198" s="771"/>
      <c r="E198" s="774"/>
      <c r="F198" s="771"/>
      <c r="G198" s="801"/>
      <c r="H198" s="887"/>
    </row>
    <row r="199" spans="2:8" x14ac:dyDescent="0.2">
      <c r="B199" s="771"/>
      <c r="C199" s="771"/>
      <c r="D199" s="771"/>
      <c r="E199" s="774"/>
      <c r="F199" s="771"/>
      <c r="G199" s="801"/>
      <c r="H199" s="887"/>
    </row>
    <row r="200" spans="2:8" x14ac:dyDescent="0.2">
      <c r="B200" s="771"/>
      <c r="C200" s="771"/>
      <c r="D200" s="771"/>
      <c r="E200" s="774"/>
      <c r="F200" s="771"/>
      <c r="G200" s="801"/>
      <c r="H200" s="887"/>
    </row>
    <row r="201" spans="2:8" x14ac:dyDescent="0.2">
      <c r="B201" s="771"/>
      <c r="C201" s="771"/>
      <c r="D201" s="771"/>
      <c r="E201" s="774"/>
      <c r="F201" s="771"/>
      <c r="G201" s="801"/>
      <c r="H201" s="887"/>
    </row>
    <row r="202" spans="2:8" x14ac:dyDescent="0.2">
      <c r="B202" s="771"/>
      <c r="C202" s="771"/>
      <c r="D202" s="771"/>
      <c r="E202" s="774"/>
      <c r="F202" s="771"/>
      <c r="G202" s="801"/>
      <c r="H202" s="887"/>
    </row>
    <row r="203" spans="2:8" x14ac:dyDescent="0.2">
      <c r="B203" s="771"/>
      <c r="C203" s="771"/>
      <c r="D203" s="771"/>
      <c r="E203" s="774"/>
      <c r="F203" s="771"/>
      <c r="G203" s="801"/>
      <c r="H203" s="887"/>
    </row>
    <row r="204" spans="2:8" x14ac:dyDescent="0.2">
      <c r="B204" s="771"/>
      <c r="C204" s="771"/>
      <c r="D204" s="771"/>
      <c r="E204" s="774"/>
      <c r="F204" s="771"/>
      <c r="G204" s="801"/>
      <c r="H204" s="887"/>
    </row>
    <row r="205" spans="2:8" x14ac:dyDescent="0.2">
      <c r="B205" s="771"/>
      <c r="C205" s="771"/>
      <c r="D205" s="771"/>
      <c r="E205" s="774"/>
      <c r="F205" s="771"/>
      <c r="G205" s="801"/>
      <c r="H205" s="887"/>
    </row>
    <row r="206" spans="2:8" x14ac:dyDescent="0.2">
      <c r="B206" s="771"/>
      <c r="C206" s="771"/>
      <c r="D206" s="771"/>
      <c r="E206" s="774"/>
      <c r="F206" s="771"/>
      <c r="G206" s="801"/>
      <c r="H206" s="887"/>
    </row>
    <row r="207" spans="2:8" x14ac:dyDescent="0.2">
      <c r="B207" s="771"/>
      <c r="C207" s="771"/>
      <c r="D207" s="771"/>
      <c r="E207" s="774"/>
      <c r="F207" s="771"/>
      <c r="G207" s="801"/>
      <c r="H207" s="887"/>
    </row>
    <row r="208" spans="2:8" x14ac:dyDescent="0.2">
      <c r="B208" s="771"/>
      <c r="C208" s="771"/>
      <c r="D208" s="771"/>
      <c r="E208" s="774"/>
      <c r="F208" s="771"/>
      <c r="G208" s="801"/>
      <c r="H208" s="887"/>
    </row>
    <row r="209" spans="2:8" x14ac:dyDescent="0.2">
      <c r="B209" s="771"/>
      <c r="C209" s="771"/>
      <c r="D209" s="771"/>
      <c r="E209" s="774"/>
      <c r="F209" s="771"/>
      <c r="G209" s="801"/>
      <c r="H209" s="887"/>
    </row>
    <row r="210" spans="2:8" x14ac:dyDescent="0.2">
      <c r="B210" s="771"/>
      <c r="C210" s="771"/>
      <c r="D210" s="771"/>
      <c r="E210" s="774"/>
      <c r="F210" s="771"/>
      <c r="G210" s="801"/>
      <c r="H210" s="887"/>
    </row>
    <row r="211" spans="2:8" x14ac:dyDescent="0.2">
      <c r="B211" s="771"/>
      <c r="C211" s="771"/>
      <c r="D211" s="771"/>
      <c r="E211" s="774"/>
      <c r="F211" s="771"/>
      <c r="G211" s="801"/>
      <c r="H211" s="887"/>
    </row>
    <row r="212" spans="2:8" x14ac:dyDescent="0.2">
      <c r="B212" s="771"/>
      <c r="C212" s="771"/>
      <c r="D212" s="771"/>
      <c r="E212" s="774"/>
      <c r="F212" s="771"/>
      <c r="G212" s="801"/>
      <c r="H212" s="887"/>
    </row>
    <row r="213" spans="2:8" x14ac:dyDescent="0.2">
      <c r="B213" s="771"/>
      <c r="C213" s="771"/>
      <c r="D213" s="771"/>
      <c r="E213" s="774"/>
      <c r="F213" s="771"/>
      <c r="G213" s="801"/>
      <c r="H213" s="887"/>
    </row>
    <row r="214" spans="2:8" x14ac:dyDescent="0.2">
      <c r="B214" s="771"/>
      <c r="C214" s="771"/>
      <c r="D214" s="771"/>
      <c r="E214" s="774"/>
      <c r="F214" s="771"/>
      <c r="G214" s="801"/>
      <c r="H214" s="887"/>
    </row>
    <row r="215" spans="2:8" x14ac:dyDescent="0.2">
      <c r="B215" s="771"/>
      <c r="C215" s="771"/>
      <c r="D215" s="771"/>
      <c r="E215" s="774"/>
      <c r="F215" s="771"/>
      <c r="G215" s="801"/>
      <c r="H215" s="887"/>
    </row>
    <row r="216" spans="2:8" x14ac:dyDescent="0.2">
      <c r="B216" s="771"/>
      <c r="C216" s="771"/>
      <c r="D216" s="771"/>
      <c r="E216" s="774"/>
      <c r="F216" s="771"/>
      <c r="G216" s="801"/>
      <c r="H216" s="887"/>
    </row>
  </sheetData>
  <protectedRanges>
    <protectedRange sqref="C6 C32" name="Диапазон1"/>
  </protectedRanges>
  <mergeCells count="11">
    <mergeCell ref="A2:G2"/>
    <mergeCell ref="B7:B22"/>
    <mergeCell ref="H8:H22"/>
    <mergeCell ref="H6:H7"/>
    <mergeCell ref="A7:A20"/>
    <mergeCell ref="B3:C3"/>
    <mergeCell ref="H32:H33"/>
    <mergeCell ref="A33:A41"/>
    <mergeCell ref="B33:B42"/>
    <mergeCell ref="A29:G30"/>
    <mergeCell ref="C36:G42"/>
  </mergeCells>
  <conditionalFormatting sqref="D4">
    <cfRule type="expression" dxfId="47" priority="2">
      <formula>$K$28=0</formula>
    </cfRule>
  </conditionalFormatting>
  <dataValidations count="3">
    <dataValidation type="list" allowBlank="1" showInputMessage="1" showErrorMessage="1" sqref="C6" xr:uid="{00000000-0002-0000-1E00-000000000000}">
      <formula1>$J$8:$J$9</formula1>
    </dataValidation>
    <dataValidation type="list" allowBlank="1" showInputMessage="1" showErrorMessage="1" sqref="D3" xr:uid="{00000000-0002-0000-1E00-000001000000}">
      <formula1>$K$8:$K$11</formula1>
    </dataValidation>
    <dataValidation type="list" allowBlank="1" showInputMessage="1" showErrorMessage="1" sqref="D4" xr:uid="{00000000-0002-0000-1E00-000002000000}">
      <formula1>$K$25:$K$26</formula1>
    </dataValidation>
  </dataValidations>
  <pageMargins left="0.7" right="0.7" top="0.75" bottom="0.75" header="0.3" footer="0.3"/>
  <pageSetup paperSize="9" orientation="portrait" r:id="rId1"/>
  <ignoredErrors>
    <ignoredError sqref="D15:D20 D21" formula="1"/>
    <ignoredError sqref="D14" evalError="1"/>
  </ignoredErrors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sheetPr codeName="Лист25"/>
  <dimension ref="A1:AP367"/>
  <sheetViews>
    <sheetView topLeftCell="A31" workbookViewId="0">
      <selection activeCell="C57" sqref="C57:C58"/>
    </sheetView>
  </sheetViews>
  <sheetFormatPr defaultRowHeight="12.75" x14ac:dyDescent="0.2"/>
  <cols>
    <col min="1" max="1" width="3.7109375" style="8" customWidth="1"/>
    <col min="2" max="2" width="25.7109375" style="1226" customWidth="1"/>
    <col min="3" max="3" width="8.5703125" style="1226" bestFit="1" customWidth="1"/>
    <col min="4" max="4" width="44.5703125" style="1226" customWidth="1"/>
    <col min="5" max="5" width="9.7109375" style="77" hidden="1" customWidth="1"/>
    <col min="6" max="6" width="9.85546875" style="20" customWidth="1"/>
    <col min="7" max="7" width="1.7109375" style="8" customWidth="1"/>
    <col min="8" max="42" width="9.140625" style="771"/>
    <col min="43" max="16384" width="9.140625" style="1226"/>
  </cols>
  <sheetData>
    <row r="1" spans="1:6" ht="39.950000000000003" customHeight="1" thickBot="1" x14ac:dyDescent="0.25">
      <c r="B1" s="2470" t="s">
        <v>3466</v>
      </c>
      <c r="C1" s="2471"/>
      <c r="D1" s="2471"/>
      <c r="E1" s="2471"/>
      <c r="F1" s="2472"/>
    </row>
    <row r="2" spans="1:6" ht="8.1" customHeight="1" thickBot="1" x14ac:dyDescent="0.25">
      <c r="B2" s="8"/>
      <c r="C2" s="8"/>
      <c r="D2" s="8"/>
      <c r="E2" s="8"/>
      <c r="F2" s="35"/>
    </row>
    <row r="3" spans="1:6" ht="20.100000000000001" customHeight="1" x14ac:dyDescent="0.2">
      <c r="B3" s="2238" t="s">
        <v>361</v>
      </c>
      <c r="C3" s="2239"/>
      <c r="D3" s="2239"/>
      <c r="E3" s="464"/>
      <c r="F3" s="465"/>
    </row>
    <row r="4" spans="1:6" ht="20.100000000000001" customHeight="1" x14ac:dyDescent="0.2">
      <c r="A4" s="17"/>
      <c r="B4" s="2240"/>
      <c r="C4" s="2241"/>
      <c r="D4" s="2241"/>
      <c r="E4" s="466"/>
      <c r="F4" s="467"/>
    </row>
    <row r="5" spans="1:6" x14ac:dyDescent="0.2">
      <c r="A5" s="17"/>
      <c r="B5" s="433"/>
      <c r="C5" s="28"/>
      <c r="D5" s="1227" t="s">
        <v>105</v>
      </c>
      <c r="E5" s="13"/>
      <c r="F5" s="426"/>
    </row>
    <row r="6" spans="1:6" x14ac:dyDescent="0.2">
      <c r="A6" s="17"/>
      <c r="B6" s="2244" t="s">
        <v>1044</v>
      </c>
      <c r="C6" s="2245"/>
      <c r="D6" s="2245"/>
      <c r="E6" s="2245"/>
      <c r="F6" s="472" t="str">
        <f>IF(СОДЕРЖАНИЕ!P2=1,"EUR","RUB")</f>
        <v>RUB</v>
      </c>
    </row>
    <row r="7" spans="1:6" ht="12.75" customHeight="1" x14ac:dyDescent="0.2">
      <c r="A7" s="17"/>
      <c r="B7" s="2474"/>
      <c r="C7" s="1335" t="s">
        <v>4000</v>
      </c>
      <c r="D7" s="1335" t="str">
        <f t="shared" ref="D7:D18" si="0">VLOOKUP(C7,всецены,2,FALSE)</f>
        <v xml:space="preserve">TD без ВМ, ч/в 30кг, 310мм, лев V24     </v>
      </c>
      <c r="E7" s="1336">
        <f>VLOOKUP(C7,всецены,4,FALSE)</f>
        <v>218.75413560000001</v>
      </c>
      <c r="F7" s="471">
        <f>E7</f>
        <v>218.75413560000001</v>
      </c>
    </row>
    <row r="8" spans="1:6" ht="12.75" customHeight="1" x14ac:dyDescent="0.2">
      <c r="A8" s="17"/>
      <c r="B8" s="2024"/>
      <c r="C8" s="1335" t="s">
        <v>4001</v>
      </c>
      <c r="D8" s="1335" t="str">
        <f t="shared" si="0"/>
        <v xml:space="preserve">TD без ВМ, ч/в 30кг, 310мм, пр V24      </v>
      </c>
      <c r="E8" s="1336">
        <f t="shared" ref="E8:E17" si="1">VLOOKUP(C8,всецены,4,FALSE)</f>
        <v>218.75413560000001</v>
      </c>
      <c r="F8" s="471">
        <f t="shared" ref="F8:F17" si="2">E8</f>
        <v>218.75413560000001</v>
      </c>
    </row>
    <row r="9" spans="1:6" ht="12.75" customHeight="1" x14ac:dyDescent="0.2">
      <c r="A9" s="17"/>
      <c r="B9" s="2024"/>
      <c r="C9" s="1335" t="s">
        <v>980</v>
      </c>
      <c r="D9" s="1335" t="str">
        <f t="shared" si="0"/>
        <v>TD без ВМ, част.выдв, 30 кг, 360 мм, лев</v>
      </c>
      <c r="E9" s="1336">
        <f>VLOOKUP(C9,всецены,4,FALSE)</f>
        <v>218.75413560000001</v>
      </c>
      <c r="F9" s="471">
        <f t="shared" si="2"/>
        <v>218.75413560000001</v>
      </c>
    </row>
    <row r="10" spans="1:6" ht="12.75" customHeight="1" x14ac:dyDescent="0.2">
      <c r="A10" s="17"/>
      <c r="B10" s="2024"/>
      <c r="C10" s="1335" t="s">
        <v>979</v>
      </c>
      <c r="D10" s="1335" t="str">
        <f t="shared" si="0"/>
        <v xml:space="preserve">TD без ВМ, част.выдв, 30 кг, 360 мм, пр </v>
      </c>
      <c r="E10" s="1336">
        <f>VLOOKUP(C10,всецены,4,FALSE)</f>
        <v>218.75413560000001</v>
      </c>
      <c r="F10" s="471">
        <f t="shared" si="2"/>
        <v>218.75413560000001</v>
      </c>
    </row>
    <row r="11" spans="1:6" ht="12.75" customHeight="1" x14ac:dyDescent="0.2">
      <c r="A11" s="17"/>
      <c r="B11" s="2024"/>
      <c r="C11" s="1335" t="s">
        <v>4003</v>
      </c>
      <c r="D11" s="1335" t="str">
        <f t="shared" si="0"/>
        <v xml:space="preserve">TD без ВМ, ч/в 30кг, 410мм, лев V24     </v>
      </c>
      <c r="E11" s="1336">
        <f>VLOOKUP(C11,всецены,4,FALSE)</f>
        <v>224.4466224</v>
      </c>
      <c r="F11" s="471">
        <f t="shared" si="2"/>
        <v>224.4466224</v>
      </c>
    </row>
    <row r="12" spans="1:6" ht="12.75" customHeight="1" x14ac:dyDescent="0.2">
      <c r="A12" s="17"/>
      <c r="B12" s="2024"/>
      <c r="C12" s="1335" t="s">
        <v>4004</v>
      </c>
      <c r="D12" s="1335" t="str">
        <f t="shared" si="0"/>
        <v xml:space="preserve">TD без ВМ, ч/в 30кг, 410мм, пр V24      </v>
      </c>
      <c r="E12" s="1336">
        <f>VLOOKUP(C12,всецены,4,FALSE)</f>
        <v>224.4466224</v>
      </c>
      <c r="F12" s="471">
        <f t="shared" si="2"/>
        <v>224.4466224</v>
      </c>
    </row>
    <row r="13" spans="1:6" ht="12.75" customHeight="1" x14ac:dyDescent="0.2">
      <c r="A13" s="17"/>
      <c r="B13" s="2024"/>
      <c r="C13" s="1335" t="s">
        <v>4005</v>
      </c>
      <c r="D13" s="1335" t="str">
        <f t="shared" si="0"/>
        <v xml:space="preserve">TD без ВМ, ч/в 30кг, 460мм, лев V24     </v>
      </c>
      <c r="E13" s="1336">
        <f t="shared" si="1"/>
        <v>229.32589680000001</v>
      </c>
      <c r="F13" s="471">
        <f t="shared" si="2"/>
        <v>229.32589680000001</v>
      </c>
    </row>
    <row r="14" spans="1:6" ht="12.75" customHeight="1" x14ac:dyDescent="0.2">
      <c r="A14" s="17"/>
      <c r="B14" s="2024"/>
      <c r="C14" s="1335" t="s">
        <v>4006</v>
      </c>
      <c r="D14" s="1335" t="str">
        <f t="shared" si="0"/>
        <v xml:space="preserve">TD без ВМ, ч/в 30кг, 460мм, пр V24      </v>
      </c>
      <c r="E14" s="1336">
        <f t="shared" si="1"/>
        <v>229.32589680000001</v>
      </c>
      <c r="F14" s="471">
        <f t="shared" si="2"/>
        <v>229.32589680000001</v>
      </c>
    </row>
    <row r="15" spans="1:6" ht="12.75" customHeight="1" x14ac:dyDescent="0.2">
      <c r="A15" s="17"/>
      <c r="B15" s="2024"/>
      <c r="C15" s="1335" t="s">
        <v>4009</v>
      </c>
      <c r="D15" s="1335" t="str">
        <f t="shared" si="0"/>
        <v xml:space="preserve">TD без ВМ, ч/в 30кг, 510мм, лев V24     </v>
      </c>
      <c r="E15" s="1336">
        <f t="shared" si="1"/>
        <v>235.01838360000002</v>
      </c>
      <c r="F15" s="471">
        <f t="shared" si="2"/>
        <v>235.01838360000002</v>
      </c>
    </row>
    <row r="16" spans="1:6" ht="12.75" customHeight="1" x14ac:dyDescent="0.2">
      <c r="A16" s="17"/>
      <c r="B16" s="2024"/>
      <c r="C16" s="1335" t="s">
        <v>4010</v>
      </c>
      <c r="D16" s="1335" t="str">
        <f t="shared" si="0"/>
        <v xml:space="preserve">TD без ВМ, ч/в 30кг, 510мм, пр V24      </v>
      </c>
      <c r="E16" s="1336">
        <f t="shared" si="1"/>
        <v>235.01838360000002</v>
      </c>
      <c r="F16" s="471">
        <f t="shared" si="2"/>
        <v>235.01838360000002</v>
      </c>
    </row>
    <row r="17" spans="1:7" ht="12.75" customHeight="1" x14ac:dyDescent="0.2">
      <c r="A17" s="17"/>
      <c r="B17" s="2024"/>
      <c r="C17" s="1335" t="s">
        <v>4582</v>
      </c>
      <c r="D17" s="1335" t="str">
        <f t="shared" si="0"/>
        <v xml:space="preserve">TD без ВМ, ч/в 30кг, 560мм, лев V24     </v>
      </c>
      <c r="E17" s="1336">
        <f t="shared" si="1"/>
        <v>277.30542839999998</v>
      </c>
      <c r="F17" s="471">
        <f t="shared" si="2"/>
        <v>277.30542839999998</v>
      </c>
    </row>
    <row r="18" spans="1:7" ht="12.75" customHeight="1" x14ac:dyDescent="0.2">
      <c r="A18" s="17"/>
      <c r="B18" s="2197"/>
      <c r="C18" s="1335" t="s">
        <v>4583</v>
      </c>
      <c r="D18" s="1335" t="str">
        <f t="shared" si="0"/>
        <v xml:space="preserve">TD без ВМ, ч/в 30кг, 560мм, пр V24      </v>
      </c>
      <c r="E18" s="1336">
        <f>VLOOKUP(C18,всецены,4,FALSE)</f>
        <v>277.30542839999998</v>
      </c>
      <c r="F18" s="1025">
        <f>E18</f>
        <v>277.30542839999998</v>
      </c>
      <c r="G18" s="494"/>
    </row>
    <row r="19" spans="1:7" x14ac:dyDescent="0.2">
      <c r="A19" s="17"/>
      <c r="B19" s="433"/>
      <c r="C19" s="28"/>
      <c r="D19" s="28"/>
      <c r="E19" s="13"/>
      <c r="F19" s="437"/>
    </row>
    <row r="20" spans="1:7" x14ac:dyDescent="0.2">
      <c r="A20" s="17"/>
      <c r="B20" s="2246" t="s">
        <v>872</v>
      </c>
      <c r="C20" s="2245"/>
      <c r="D20" s="2245"/>
      <c r="E20" s="2245"/>
      <c r="F20" s="472" t="s">
        <v>1850</v>
      </c>
    </row>
    <row r="21" spans="1:7" ht="12.75" customHeight="1" x14ac:dyDescent="0.2">
      <c r="A21" s="17"/>
      <c r="B21" s="2474"/>
      <c r="C21" s="1335" t="s">
        <v>164</v>
      </c>
      <c r="D21" s="1335" t="str">
        <f t="shared" ref="D21:D28" si="3">VLOOKUP(C21,всецены,2,FALSE)</f>
        <v>TD без ВМ, полн.выдв, 30 кг, 360 мм, лев</v>
      </c>
      <c r="E21" s="1336">
        <f t="shared" ref="E21:E28" si="4">VLOOKUP(C21,всецены,4,FALSE)</f>
        <v>549.73158240000009</v>
      </c>
      <c r="F21" s="1025">
        <f t="shared" ref="F21:F28" si="5">E21</f>
        <v>549.73158240000009</v>
      </c>
      <c r="G21" s="494"/>
    </row>
    <row r="22" spans="1:7" ht="12.75" customHeight="1" x14ac:dyDescent="0.2">
      <c r="A22" s="17"/>
      <c r="B22" s="2024"/>
      <c r="C22" s="1335" t="s">
        <v>166</v>
      </c>
      <c r="D22" s="1335" t="str">
        <f t="shared" si="3"/>
        <v>TD без ВМ, полн.выдв, 30 кг, 360 мм, пра</v>
      </c>
      <c r="E22" s="1336">
        <f t="shared" si="4"/>
        <v>549.73158240000009</v>
      </c>
      <c r="F22" s="1025">
        <f t="shared" si="5"/>
        <v>549.73158240000009</v>
      </c>
      <c r="G22" s="494"/>
    </row>
    <row r="23" spans="1:7" ht="12.75" customHeight="1" x14ac:dyDescent="0.2">
      <c r="A23" s="17"/>
      <c r="B23" s="2024"/>
      <c r="C23" s="1335" t="s">
        <v>168</v>
      </c>
      <c r="D23" s="1335" t="str">
        <f t="shared" si="3"/>
        <v>TD без ВМ, полн.выдв, 30 кг, 410 мм, лев</v>
      </c>
      <c r="E23" s="1336">
        <f t="shared" si="4"/>
        <v>560.30334359999995</v>
      </c>
      <c r="F23" s="1025">
        <f t="shared" si="5"/>
        <v>560.30334359999995</v>
      </c>
      <c r="G23" s="494"/>
    </row>
    <row r="24" spans="1:7" ht="12.75" customHeight="1" x14ac:dyDescent="0.2">
      <c r="A24" s="17"/>
      <c r="B24" s="2024"/>
      <c r="C24" s="1335" t="s">
        <v>170</v>
      </c>
      <c r="D24" s="1335" t="str">
        <f t="shared" si="3"/>
        <v>TD без ВМ, полн.выдв, 30 кг, 410 мм, пра</v>
      </c>
      <c r="E24" s="1336">
        <f t="shared" si="4"/>
        <v>560.30334359999995</v>
      </c>
      <c r="F24" s="1025">
        <f t="shared" si="5"/>
        <v>560.30334359999995</v>
      </c>
      <c r="G24" s="494"/>
    </row>
    <row r="25" spans="1:7" ht="12.75" customHeight="1" x14ac:dyDescent="0.2">
      <c r="A25" s="17"/>
      <c r="B25" s="2024"/>
      <c r="C25" s="1335" t="s">
        <v>172</v>
      </c>
      <c r="D25" s="1335" t="str">
        <f t="shared" si="3"/>
        <v>TD без ВМ, полн.выдв, 30 кг, 460 мм, лев</v>
      </c>
      <c r="E25" s="1336">
        <f t="shared" si="4"/>
        <v>570.87510480000003</v>
      </c>
      <c r="F25" s="1025">
        <f t="shared" si="5"/>
        <v>570.87510480000003</v>
      </c>
      <c r="G25" s="494"/>
    </row>
    <row r="26" spans="1:7" ht="12.75" customHeight="1" x14ac:dyDescent="0.2">
      <c r="A26" s="17"/>
      <c r="B26" s="2024"/>
      <c r="C26" s="1335" t="s">
        <v>174</v>
      </c>
      <c r="D26" s="1335" t="str">
        <f t="shared" si="3"/>
        <v>TD без ВМ, полн.выдв, 30 кг, 460 мм, пра</v>
      </c>
      <c r="E26" s="1336">
        <f t="shared" si="4"/>
        <v>570.87510480000003</v>
      </c>
      <c r="F26" s="1025">
        <f t="shared" si="5"/>
        <v>570.87510480000003</v>
      </c>
      <c r="G26" s="494"/>
    </row>
    <row r="27" spans="1:7" ht="12.75" customHeight="1" x14ac:dyDescent="0.2">
      <c r="A27" s="17"/>
      <c r="B27" s="2024"/>
      <c r="C27" s="1335" t="s">
        <v>176</v>
      </c>
      <c r="D27" s="1335" t="str">
        <f t="shared" si="3"/>
        <v>TD без ВМ, полн.выдв, 30 кг, 510 мм, лев</v>
      </c>
      <c r="E27" s="1336">
        <f t="shared" si="4"/>
        <v>581.446866</v>
      </c>
      <c r="F27" s="1025">
        <f t="shared" si="5"/>
        <v>581.446866</v>
      </c>
      <c r="G27" s="494"/>
    </row>
    <row r="28" spans="1:7" ht="13.5" thickBot="1" x14ac:dyDescent="0.25">
      <c r="A28" s="17"/>
      <c r="B28" s="2025"/>
      <c r="C28" s="1317" t="s">
        <v>178</v>
      </c>
      <c r="D28" s="1317" t="str">
        <f t="shared" si="3"/>
        <v>TD без ВМ, полн.выдв, 30 кг, 510 мм, пра</v>
      </c>
      <c r="E28" s="1337">
        <f t="shared" si="4"/>
        <v>581.446866</v>
      </c>
      <c r="F28" s="469">
        <f t="shared" si="5"/>
        <v>581.446866</v>
      </c>
    </row>
    <row r="29" spans="1:7" ht="15" x14ac:dyDescent="0.2">
      <c r="A29" s="17"/>
      <c r="B29" s="17"/>
      <c r="C29" s="17"/>
      <c r="D29" s="17"/>
      <c r="F29" s="1338" t="s">
        <v>1813</v>
      </c>
      <c r="G29" s="771"/>
    </row>
    <row r="30" spans="1:7" ht="8.1" customHeight="1" thickBot="1" x14ac:dyDescent="0.25">
      <c r="B30" s="8"/>
      <c r="C30" s="8"/>
      <c r="D30" s="8"/>
      <c r="F30" s="35"/>
    </row>
    <row r="31" spans="1:7" ht="20.100000000000001" customHeight="1" x14ac:dyDescent="0.2">
      <c r="B31" s="2238" t="s">
        <v>106</v>
      </c>
      <c r="C31" s="2239"/>
      <c r="D31" s="2239"/>
      <c r="E31" s="464"/>
      <c r="F31" s="465"/>
    </row>
    <row r="32" spans="1:7" ht="20.100000000000001" customHeight="1" x14ac:dyDescent="0.2">
      <c r="A32" s="17"/>
      <c r="B32" s="2240"/>
      <c r="C32" s="2241"/>
      <c r="D32" s="2241"/>
      <c r="E32" s="466"/>
      <c r="F32" s="467"/>
    </row>
    <row r="33" spans="1:6" x14ac:dyDescent="0.2">
      <c r="A33" s="17"/>
      <c r="B33" s="433"/>
      <c r="C33" s="28"/>
      <c r="D33" s="1227" t="s">
        <v>105</v>
      </c>
      <c r="E33" s="13"/>
      <c r="F33" s="426"/>
    </row>
    <row r="34" spans="1:6" x14ac:dyDescent="0.2">
      <c r="A34" s="17"/>
      <c r="B34" s="2244" t="s">
        <v>1263</v>
      </c>
      <c r="C34" s="2245"/>
      <c r="D34" s="2245"/>
      <c r="E34" s="2245"/>
      <c r="F34" s="473" t="str">
        <f>IF(СОДЕРЖАНИЕ!P2=1,"EUR","RUB")</f>
        <v>RUB</v>
      </c>
    </row>
    <row r="35" spans="1:6" x14ac:dyDescent="0.2">
      <c r="A35" s="17"/>
      <c r="B35" s="2473"/>
      <c r="C35" s="1335" t="s">
        <v>963</v>
      </c>
      <c r="D35" s="1335" t="str">
        <f t="shared" ref="D35:D52" si="6">VLOOKUP(C35,всецены,2,FALSE)</f>
        <v xml:space="preserve">TD с BM, част.выдв, 30 кг, 260 мм, лев  </v>
      </c>
      <c r="E35" s="1336">
        <f>VLOOKUP(C35,всецены,4,FALSE)</f>
        <v>294.38288880000005</v>
      </c>
      <c r="F35" s="1025">
        <f>E35</f>
        <v>294.38288880000005</v>
      </c>
    </row>
    <row r="36" spans="1:6" x14ac:dyDescent="0.2">
      <c r="A36" s="17"/>
      <c r="B36" s="2067"/>
      <c r="C36" s="1335" t="s">
        <v>962</v>
      </c>
      <c r="D36" s="1335" t="str">
        <f t="shared" si="6"/>
        <v xml:space="preserve">TD с BM, част.выдв, 30 кг, 260 мм, прав </v>
      </c>
      <c r="E36" s="1336">
        <f t="shared" ref="E36:E47" si="7">VLOOKUP(C36,всецены,4,FALSE)</f>
        <v>294.38288880000005</v>
      </c>
      <c r="F36" s="1025">
        <f t="shared" ref="F36:F47" si="8">E36</f>
        <v>294.38288880000005</v>
      </c>
    </row>
    <row r="37" spans="1:6" x14ac:dyDescent="0.2">
      <c r="A37" s="17"/>
      <c r="B37" s="2067"/>
      <c r="C37" s="1335" t="s">
        <v>961</v>
      </c>
      <c r="D37" s="1335" t="str">
        <f t="shared" si="6"/>
        <v xml:space="preserve">TD с BM, част.выдв, 30 кг, 310 мм, лев  </v>
      </c>
      <c r="E37" s="1336">
        <f t="shared" si="7"/>
        <v>284.62434000000002</v>
      </c>
      <c r="F37" s="1025">
        <f t="shared" si="8"/>
        <v>284.62434000000002</v>
      </c>
    </row>
    <row r="38" spans="1:6" x14ac:dyDescent="0.2">
      <c r="A38" s="17"/>
      <c r="B38" s="2067"/>
      <c r="C38" s="1335" t="s">
        <v>960</v>
      </c>
      <c r="D38" s="1335" t="str">
        <f t="shared" si="6"/>
        <v xml:space="preserve">TD с BM, част.выдв, 30 кг, 310 мм, прав </v>
      </c>
      <c r="E38" s="1336">
        <f t="shared" si="7"/>
        <v>284.62434000000002</v>
      </c>
      <c r="F38" s="1025">
        <f t="shared" si="8"/>
        <v>284.62434000000002</v>
      </c>
    </row>
    <row r="39" spans="1:6" x14ac:dyDescent="0.2">
      <c r="A39" s="17"/>
      <c r="B39" s="2067"/>
      <c r="C39" s="1335" t="s">
        <v>959</v>
      </c>
      <c r="D39" s="1335" t="str">
        <f t="shared" si="6"/>
        <v xml:space="preserve">TD с BM, част.выдв, 30 кг, 335 мм, лев  </v>
      </c>
      <c r="E39" s="1336">
        <f t="shared" si="7"/>
        <v>294.38288880000005</v>
      </c>
      <c r="F39" s="1025">
        <f t="shared" si="8"/>
        <v>294.38288880000005</v>
      </c>
    </row>
    <row r="40" spans="1:6" x14ac:dyDescent="0.2">
      <c r="A40" s="17"/>
      <c r="B40" s="2067"/>
      <c r="C40" s="1335" t="s">
        <v>958</v>
      </c>
      <c r="D40" s="1335" t="str">
        <f t="shared" si="6"/>
        <v xml:space="preserve">TD с BM, част.выдв, 30 кг, 335 мм, прав </v>
      </c>
      <c r="E40" s="1336">
        <f t="shared" si="7"/>
        <v>294.38288880000005</v>
      </c>
      <c r="F40" s="1025">
        <f t="shared" si="8"/>
        <v>294.38288880000005</v>
      </c>
    </row>
    <row r="41" spans="1:6" x14ac:dyDescent="0.2">
      <c r="A41" s="17"/>
      <c r="B41" s="2067"/>
      <c r="C41" s="1335" t="s">
        <v>152</v>
      </c>
      <c r="D41" s="1335" t="str">
        <f t="shared" si="6"/>
        <v xml:space="preserve">TD с BM, част.выдв, 30 кг, 360 мм, лев  </v>
      </c>
      <c r="E41" s="1336">
        <f t="shared" si="7"/>
        <v>284.62434000000002</v>
      </c>
      <c r="F41" s="1025">
        <f t="shared" si="8"/>
        <v>284.62434000000002</v>
      </c>
    </row>
    <row r="42" spans="1:6" x14ac:dyDescent="0.2">
      <c r="A42" s="17"/>
      <c r="B42" s="2067"/>
      <c r="C42" s="1335" t="s">
        <v>153</v>
      </c>
      <c r="D42" s="1335" t="str">
        <f t="shared" si="6"/>
        <v xml:space="preserve">TD с BM, част.выдв, 30 кг, 360 мм, прав </v>
      </c>
      <c r="E42" s="1336">
        <f t="shared" si="7"/>
        <v>284.62434000000002</v>
      </c>
      <c r="F42" s="1025">
        <f t="shared" si="8"/>
        <v>284.62434000000002</v>
      </c>
    </row>
    <row r="43" spans="1:6" x14ac:dyDescent="0.2">
      <c r="A43" s="17"/>
      <c r="B43" s="2067"/>
      <c r="C43" s="1335" t="s">
        <v>957</v>
      </c>
      <c r="D43" s="1335" t="str">
        <f t="shared" si="6"/>
        <v xml:space="preserve">TD с BM, част.выдв, 30 кг, 385 мм, лев  </v>
      </c>
      <c r="E43" s="1336">
        <f t="shared" si="7"/>
        <v>307.39428720000001</v>
      </c>
      <c r="F43" s="1025">
        <f t="shared" si="8"/>
        <v>307.39428720000001</v>
      </c>
    </row>
    <row r="44" spans="1:6" x14ac:dyDescent="0.2">
      <c r="A44" s="17"/>
      <c r="B44" s="2067"/>
      <c r="C44" s="1335" t="s">
        <v>1358</v>
      </c>
      <c r="D44" s="1335" t="str">
        <f t="shared" si="6"/>
        <v xml:space="preserve">TD с BM, част.выдв, 30 кг, 385 мм, прав </v>
      </c>
      <c r="E44" s="1336">
        <f t="shared" si="7"/>
        <v>307.39428720000001</v>
      </c>
      <c r="F44" s="1025">
        <f t="shared" si="8"/>
        <v>307.39428720000001</v>
      </c>
    </row>
    <row r="45" spans="1:6" x14ac:dyDescent="0.2">
      <c r="A45" s="17"/>
      <c r="B45" s="2067"/>
      <c r="C45" s="1335" t="s">
        <v>1357</v>
      </c>
      <c r="D45" s="1335" t="str">
        <f t="shared" si="6"/>
        <v xml:space="preserve">TD с BM, част.выдв, 30 кг, 410 мм, лев  </v>
      </c>
      <c r="E45" s="1336">
        <f>VLOOKUP(C45,всецены,4,FALSE)</f>
        <v>301.70180040000002</v>
      </c>
      <c r="F45" s="1025">
        <f t="shared" si="8"/>
        <v>301.70180040000002</v>
      </c>
    </row>
    <row r="46" spans="1:6" x14ac:dyDescent="0.2">
      <c r="A46" s="17"/>
      <c r="B46" s="2067"/>
      <c r="C46" s="1335" t="s">
        <v>1356</v>
      </c>
      <c r="D46" s="1335" t="str">
        <f t="shared" si="6"/>
        <v xml:space="preserve">TD с BM, част.выдв, 30 кг, 410 мм, прав </v>
      </c>
      <c r="E46" s="1336">
        <f t="shared" si="7"/>
        <v>301.70180040000002</v>
      </c>
      <c r="F46" s="1025">
        <f t="shared" si="8"/>
        <v>301.70180040000002</v>
      </c>
    </row>
    <row r="47" spans="1:6" x14ac:dyDescent="0.2">
      <c r="A47" s="17"/>
      <c r="B47" s="2067"/>
      <c r="C47" s="1335" t="s">
        <v>1355</v>
      </c>
      <c r="D47" s="1335" t="str">
        <f t="shared" si="6"/>
        <v xml:space="preserve">TD с BM, част.выдв, 30 кг, 460 мм, лев  </v>
      </c>
      <c r="E47" s="1336">
        <f t="shared" si="7"/>
        <v>305.76786240000001</v>
      </c>
      <c r="F47" s="1025">
        <f t="shared" si="8"/>
        <v>305.76786240000001</v>
      </c>
    </row>
    <row r="48" spans="1:6" x14ac:dyDescent="0.2">
      <c r="A48" s="17"/>
      <c r="B48" s="2067"/>
      <c r="C48" s="1335" t="s">
        <v>1354</v>
      </c>
      <c r="D48" s="1335" t="str">
        <f t="shared" si="6"/>
        <v xml:space="preserve">TD с BM, част.выдв, 30 кг, 460 мм, прав </v>
      </c>
      <c r="E48" s="1336">
        <f>VLOOKUP(C48,всецены,4,FALSE)</f>
        <v>305.76786240000001</v>
      </c>
      <c r="F48" s="1025">
        <f>E48</f>
        <v>305.76786240000001</v>
      </c>
    </row>
    <row r="49" spans="1:6" x14ac:dyDescent="0.2">
      <c r="A49" s="17"/>
      <c r="B49" s="2067"/>
      <c r="C49" s="1335" t="s">
        <v>1353</v>
      </c>
      <c r="D49" s="1335" t="str">
        <f t="shared" si="6"/>
        <v xml:space="preserve">TD с BM, част.выдв, 30 кг, 510 мм, лев  </v>
      </c>
      <c r="E49" s="1336">
        <f>VLOOKUP(C49,всецены,4,FALSE)</f>
        <v>310.6471368</v>
      </c>
      <c r="F49" s="1025">
        <f>E49</f>
        <v>310.6471368</v>
      </c>
    </row>
    <row r="50" spans="1:6" x14ac:dyDescent="0.2">
      <c r="A50" s="17"/>
      <c r="B50" s="2067"/>
      <c r="C50" s="1335" t="s">
        <v>1352</v>
      </c>
      <c r="D50" s="1335" t="str">
        <f t="shared" si="6"/>
        <v xml:space="preserve">TD с BM, част.выдв, 30 кг, 510 мм, прав </v>
      </c>
      <c r="E50" s="1336">
        <f>VLOOKUP(C50,всецены,4,FALSE)</f>
        <v>310.6471368</v>
      </c>
      <c r="F50" s="1025">
        <f>E50</f>
        <v>310.6471368</v>
      </c>
    </row>
    <row r="51" spans="1:6" x14ac:dyDescent="0.2">
      <c r="A51" s="17"/>
      <c r="B51" s="2067"/>
      <c r="C51" s="1335" t="s">
        <v>154</v>
      </c>
      <c r="D51" s="1335" t="str">
        <f t="shared" si="6"/>
        <v xml:space="preserve">TD с BM, част.выдв, 30 кг, 560 мм, лев  </v>
      </c>
      <c r="E51" s="1336">
        <f>VLOOKUP(C51,всецены,4,FALSE)</f>
        <v>347.2416948</v>
      </c>
      <c r="F51" s="1025">
        <f>E51</f>
        <v>347.2416948</v>
      </c>
    </row>
    <row r="52" spans="1:6" x14ac:dyDescent="0.2">
      <c r="A52" s="17"/>
      <c r="B52" s="2243"/>
      <c r="C52" s="1335" t="s">
        <v>155</v>
      </c>
      <c r="D52" s="1335" t="str">
        <f t="shared" si="6"/>
        <v xml:space="preserve">TD с BM, част.выдв, 30 кг, 560 мм, прав </v>
      </c>
      <c r="E52" s="1336">
        <f>VLOOKUP(C52,всецены,4,FALSE)</f>
        <v>347.2416948</v>
      </c>
      <c r="F52" s="1025">
        <f>E52</f>
        <v>347.2416948</v>
      </c>
    </row>
    <row r="53" spans="1:6" x14ac:dyDescent="0.2">
      <c r="A53" s="17"/>
      <c r="B53" s="433"/>
      <c r="C53" s="28"/>
      <c r="D53" s="28"/>
      <c r="E53" s="13"/>
      <c r="F53" s="426"/>
    </row>
    <row r="54" spans="1:6" x14ac:dyDescent="0.2">
      <c r="A54" s="17"/>
      <c r="B54" s="2244" t="s">
        <v>2129</v>
      </c>
      <c r="C54" s="2245"/>
      <c r="D54" s="2245"/>
      <c r="E54" s="2245"/>
      <c r="F54" s="473" t="str">
        <f>IF(СОДЕРЖАНИЕ!P2=1,"EUR","RUB")</f>
        <v>RUB</v>
      </c>
    </row>
    <row r="55" spans="1:6" x14ac:dyDescent="0.2">
      <c r="A55" s="17"/>
      <c r="B55" s="2473"/>
      <c r="C55" s="1335" t="s">
        <v>157</v>
      </c>
      <c r="D55" s="1335" t="str">
        <f t="shared" ref="D55:D76" si="9">VLOOKUP(C55,всецены,2,FALSE)</f>
        <v xml:space="preserve">TD с BM, полн.выдв, 30 кг, 260 мм, лев  </v>
      </c>
      <c r="E55" s="1336">
        <f>VLOOKUP(C55,всецены,4,FALSE)</f>
        <v>723.75903600000004</v>
      </c>
      <c r="F55" s="1025">
        <f>E55</f>
        <v>723.75903600000004</v>
      </c>
    </row>
    <row r="56" spans="1:6" x14ac:dyDescent="0.2">
      <c r="A56" s="17"/>
      <c r="B56" s="2067"/>
      <c r="C56" s="1335" t="s">
        <v>158</v>
      </c>
      <c r="D56" s="1335" t="str">
        <f t="shared" si="9"/>
        <v xml:space="preserve">TD с BM, полн.выдв, 30 кг, 260 мм, прав </v>
      </c>
      <c r="E56" s="1336">
        <f t="shared" ref="E56:E76" si="10">VLOOKUP(C56,всецены,4,FALSE)</f>
        <v>723.75903600000004</v>
      </c>
      <c r="F56" s="1025">
        <f t="shared" ref="F56:F76" si="11">E56</f>
        <v>723.75903600000004</v>
      </c>
    </row>
    <row r="57" spans="1:6" x14ac:dyDescent="0.2">
      <c r="A57" s="17"/>
      <c r="B57" s="2067"/>
      <c r="C57" s="1335" t="s">
        <v>976</v>
      </c>
      <c r="D57" s="1335" t="str">
        <f t="shared" si="9"/>
        <v xml:space="preserve">TD с BM, полн.выдв, 30 кг, 310 мм, лев  </v>
      </c>
      <c r="E57" s="1336">
        <f t="shared" si="10"/>
        <v>631.05282239999997</v>
      </c>
      <c r="F57" s="1025">
        <f t="shared" si="11"/>
        <v>631.05282239999997</v>
      </c>
    </row>
    <row r="58" spans="1:6" x14ac:dyDescent="0.2">
      <c r="A58" s="17"/>
      <c r="B58" s="2067"/>
      <c r="C58" s="1335" t="s">
        <v>975</v>
      </c>
      <c r="D58" s="1335" t="str">
        <f t="shared" si="9"/>
        <v xml:space="preserve">TD с BM, полн.выдв, 30 кг, 310 мм, прав </v>
      </c>
      <c r="E58" s="1336">
        <f t="shared" si="10"/>
        <v>631.05282239999997</v>
      </c>
      <c r="F58" s="1025">
        <f t="shared" si="11"/>
        <v>631.05282239999997</v>
      </c>
    </row>
    <row r="59" spans="1:6" x14ac:dyDescent="0.2">
      <c r="A59" s="17"/>
      <c r="B59" s="2067"/>
      <c r="C59" s="1335" t="s">
        <v>974</v>
      </c>
      <c r="D59" s="1335" t="str">
        <f t="shared" si="9"/>
        <v xml:space="preserve">TD с BM, полн.выдв, 30 кг, 335 мм, лев  </v>
      </c>
      <c r="E59" s="1336">
        <f t="shared" si="10"/>
        <v>723.75903600000004</v>
      </c>
      <c r="F59" s="1025">
        <f t="shared" si="11"/>
        <v>723.75903600000004</v>
      </c>
    </row>
    <row r="60" spans="1:6" x14ac:dyDescent="0.2">
      <c r="A60" s="17"/>
      <c r="B60" s="2067"/>
      <c r="C60" s="1335" t="s">
        <v>973</v>
      </c>
      <c r="D60" s="1335" t="str">
        <f t="shared" si="9"/>
        <v xml:space="preserve">TD с BM, полн.выдв, 30 кг, 335 мм, прав </v>
      </c>
      <c r="E60" s="1336">
        <f t="shared" si="10"/>
        <v>723.75903600000004</v>
      </c>
      <c r="F60" s="1025">
        <f t="shared" si="11"/>
        <v>723.75903600000004</v>
      </c>
    </row>
    <row r="61" spans="1:6" x14ac:dyDescent="0.2">
      <c r="A61" s="17"/>
      <c r="B61" s="2067"/>
      <c r="C61" s="1335" t="s">
        <v>972</v>
      </c>
      <c r="D61" s="1335" t="str">
        <f t="shared" si="9"/>
        <v xml:space="preserve">TD с BM, полн.выдв, 30 кг, 360 мм, лев  </v>
      </c>
      <c r="E61" s="1336">
        <f t="shared" si="10"/>
        <v>631.05282239999997</v>
      </c>
      <c r="F61" s="1025">
        <f t="shared" si="11"/>
        <v>631.05282239999997</v>
      </c>
    </row>
    <row r="62" spans="1:6" x14ac:dyDescent="0.2">
      <c r="A62" s="17"/>
      <c r="B62" s="2067"/>
      <c r="C62" s="1335" t="s">
        <v>971</v>
      </c>
      <c r="D62" s="1335" t="str">
        <f t="shared" si="9"/>
        <v xml:space="preserve">TD с BM, полн.выдв, 30 кг, 360 мм, прав </v>
      </c>
      <c r="E62" s="1336">
        <f t="shared" si="10"/>
        <v>631.05282239999997</v>
      </c>
      <c r="F62" s="1025">
        <f t="shared" si="11"/>
        <v>631.05282239999997</v>
      </c>
    </row>
    <row r="63" spans="1:6" x14ac:dyDescent="0.2">
      <c r="A63" s="17"/>
      <c r="B63" s="2067"/>
      <c r="C63" s="1335" t="s">
        <v>970</v>
      </c>
      <c r="D63" s="1335" t="str">
        <f t="shared" si="9"/>
        <v xml:space="preserve">TD с BM, полн.выдв, 30 кг, 410 мм, лев  </v>
      </c>
      <c r="E63" s="1336">
        <f t="shared" si="10"/>
        <v>639.18494640000006</v>
      </c>
      <c r="F63" s="1025">
        <f t="shared" si="11"/>
        <v>639.18494640000006</v>
      </c>
    </row>
    <row r="64" spans="1:6" x14ac:dyDescent="0.2">
      <c r="A64" s="17"/>
      <c r="B64" s="2067"/>
      <c r="C64" s="1335" t="s">
        <v>969</v>
      </c>
      <c r="D64" s="1335" t="str">
        <f t="shared" si="9"/>
        <v xml:space="preserve">TD с BM, полн.выдв, 30 кг, 410 мм, прав </v>
      </c>
      <c r="E64" s="1336">
        <f t="shared" si="10"/>
        <v>639.18494640000006</v>
      </c>
      <c r="F64" s="1025">
        <f t="shared" si="11"/>
        <v>639.18494640000006</v>
      </c>
    </row>
    <row r="65" spans="1:7" x14ac:dyDescent="0.2">
      <c r="A65" s="17"/>
      <c r="B65" s="2067"/>
      <c r="C65" s="1335" t="s">
        <v>968</v>
      </c>
      <c r="D65" s="1335" t="str">
        <f t="shared" si="9"/>
        <v xml:space="preserve">TD с BM, полн.выдв, 30 кг, 460 мм, лев  </v>
      </c>
      <c r="E65" s="1336">
        <f t="shared" si="10"/>
        <v>646.50385800000004</v>
      </c>
      <c r="F65" s="1025">
        <f t="shared" si="11"/>
        <v>646.50385800000004</v>
      </c>
    </row>
    <row r="66" spans="1:7" x14ac:dyDescent="0.2">
      <c r="A66" s="17"/>
      <c r="B66" s="2067"/>
      <c r="C66" s="1335" t="s">
        <v>967</v>
      </c>
      <c r="D66" s="1335" t="str">
        <f t="shared" si="9"/>
        <v xml:space="preserve">TD с BM, полн.выдв, 30 кг, 460 мм, прав </v>
      </c>
      <c r="E66" s="1336">
        <f t="shared" si="10"/>
        <v>646.50385800000004</v>
      </c>
      <c r="F66" s="1025">
        <f t="shared" si="11"/>
        <v>646.50385800000004</v>
      </c>
    </row>
    <row r="67" spans="1:7" x14ac:dyDescent="0.2">
      <c r="A67" s="17"/>
      <c r="B67" s="2067"/>
      <c r="C67" s="1335" t="s">
        <v>966</v>
      </c>
      <c r="D67" s="1335" t="str">
        <f t="shared" si="9"/>
        <v xml:space="preserve">TD с BM, полн.выдв, 30 кг, 485 мм, лев  </v>
      </c>
      <c r="E67" s="1336">
        <f t="shared" si="10"/>
        <v>773.36499240000001</v>
      </c>
      <c r="F67" s="1025">
        <f t="shared" si="11"/>
        <v>773.36499240000001</v>
      </c>
    </row>
    <row r="68" spans="1:7" x14ac:dyDescent="0.2">
      <c r="A68" s="17"/>
      <c r="B68" s="2067"/>
      <c r="C68" s="1335" t="s">
        <v>965</v>
      </c>
      <c r="D68" s="1335" t="str">
        <f t="shared" si="9"/>
        <v xml:space="preserve">TD с BM, полн.выдв, 30 кг, 485 мм, прав </v>
      </c>
      <c r="E68" s="1336">
        <f t="shared" si="10"/>
        <v>773.36499240000001</v>
      </c>
      <c r="F68" s="1025">
        <f t="shared" si="11"/>
        <v>773.36499240000001</v>
      </c>
    </row>
    <row r="69" spans="1:7" x14ac:dyDescent="0.2">
      <c r="A69" s="17"/>
      <c r="B69" s="2067"/>
      <c r="C69" s="1335" t="s">
        <v>159</v>
      </c>
      <c r="D69" s="1335" t="str">
        <f t="shared" si="9"/>
        <v xml:space="preserve">TD с BM, полн.выдв, 30 кг, 510 мм, лев  </v>
      </c>
      <c r="E69" s="1336">
        <f t="shared" si="10"/>
        <v>654.63598200000001</v>
      </c>
      <c r="F69" s="1025">
        <f t="shared" si="11"/>
        <v>654.63598200000001</v>
      </c>
    </row>
    <row r="70" spans="1:7" x14ac:dyDescent="0.2">
      <c r="A70" s="17"/>
      <c r="B70" s="2067"/>
      <c r="C70" s="1335" t="s">
        <v>160</v>
      </c>
      <c r="D70" s="1335" t="str">
        <f t="shared" si="9"/>
        <v xml:space="preserve">TD с BM, полн.выдв, 30 кг, 510 мм, прав </v>
      </c>
      <c r="E70" s="1336">
        <f t="shared" si="10"/>
        <v>654.63598200000001</v>
      </c>
      <c r="F70" s="1025">
        <f t="shared" si="11"/>
        <v>654.63598200000001</v>
      </c>
    </row>
    <row r="71" spans="1:7" x14ac:dyDescent="0.2">
      <c r="A71" s="17"/>
      <c r="B71" s="2067"/>
      <c r="C71" s="1335" t="s">
        <v>161</v>
      </c>
      <c r="D71" s="1335" t="str">
        <f t="shared" si="9"/>
        <v xml:space="preserve">TD с BM, полн.выдв, 30 кг, 560 мм, лев  </v>
      </c>
      <c r="E71" s="1336">
        <f t="shared" si="10"/>
        <v>683.09841600000004</v>
      </c>
      <c r="F71" s="1025">
        <f t="shared" si="11"/>
        <v>683.09841600000004</v>
      </c>
    </row>
    <row r="72" spans="1:7" x14ac:dyDescent="0.2">
      <c r="A72" s="17"/>
      <c r="B72" s="2067"/>
      <c r="C72" s="1335" t="s">
        <v>162</v>
      </c>
      <c r="D72" s="1335" t="str">
        <f t="shared" si="9"/>
        <v xml:space="preserve">TD с BM, полн.выдв, 30 кг, 560 мм, прав </v>
      </c>
      <c r="E72" s="1336">
        <f t="shared" si="10"/>
        <v>683.09841600000004</v>
      </c>
      <c r="F72" s="1025">
        <f t="shared" si="11"/>
        <v>683.09841600000004</v>
      </c>
    </row>
    <row r="73" spans="1:7" x14ac:dyDescent="0.2">
      <c r="A73" s="17"/>
      <c r="B73" s="2067"/>
      <c r="C73" s="1335" t="s">
        <v>1373</v>
      </c>
      <c r="D73" s="1335" t="str">
        <f t="shared" si="9"/>
        <v xml:space="preserve">TD с BM, полн.выдв, 350 мм, ко дну корп </v>
      </c>
      <c r="E73" s="1336">
        <f t="shared" si="10"/>
        <v>2520.9584399999999</v>
      </c>
      <c r="F73" s="1025">
        <f t="shared" si="11"/>
        <v>2520.9584399999999</v>
      </c>
    </row>
    <row r="74" spans="1:7" x14ac:dyDescent="0.2">
      <c r="A74" s="17"/>
      <c r="B74" s="2067"/>
      <c r="C74" s="1335" t="s">
        <v>156</v>
      </c>
      <c r="D74" s="1335" t="str">
        <f t="shared" si="9"/>
        <v xml:space="preserve">TD с BM, полн.выдв, 400 мм, ко дну корп </v>
      </c>
      <c r="E74" s="1336">
        <f t="shared" si="10"/>
        <v>2557.5529979999997</v>
      </c>
      <c r="F74" s="1025">
        <f t="shared" si="11"/>
        <v>2557.5529979999997</v>
      </c>
    </row>
    <row r="75" spans="1:7" x14ac:dyDescent="0.2">
      <c r="A75" s="17"/>
      <c r="B75" s="2067"/>
      <c r="C75" s="1335" t="s">
        <v>180</v>
      </c>
      <c r="D75" s="1335" t="str">
        <f t="shared" si="9"/>
        <v xml:space="preserve">TD с BM, полн.выдв, 450 мм, ко дну корп </v>
      </c>
      <c r="E75" s="1336">
        <f t="shared" si="10"/>
        <v>2594.1475559999999</v>
      </c>
      <c r="F75" s="1025">
        <f t="shared" si="11"/>
        <v>2594.1475559999999</v>
      </c>
    </row>
    <row r="76" spans="1:7" ht="13.5" thickBot="1" x14ac:dyDescent="0.25">
      <c r="A76" s="17"/>
      <c r="B76" s="2068"/>
      <c r="C76" s="1317" t="s">
        <v>163</v>
      </c>
      <c r="D76" s="1317" t="str">
        <f t="shared" si="9"/>
        <v xml:space="preserve">TD с BM, полн.выдв, 500 мм, ко дну корп </v>
      </c>
      <c r="E76" s="1337">
        <f t="shared" si="10"/>
        <v>2631.5553264000005</v>
      </c>
      <c r="F76" s="469">
        <f t="shared" si="11"/>
        <v>2631.5553264000005</v>
      </c>
    </row>
    <row r="77" spans="1:7" ht="15" x14ac:dyDescent="0.2">
      <c r="A77" s="17"/>
      <c r="B77" s="17"/>
      <c r="C77" s="17"/>
      <c r="D77" s="17"/>
      <c r="F77" s="1338" t="s">
        <v>1813</v>
      </c>
      <c r="G77" s="771"/>
    </row>
    <row r="78" spans="1:7" ht="8.1" customHeight="1" x14ac:dyDescent="0.2">
      <c r="B78" s="8"/>
      <c r="C78" s="8"/>
      <c r="D78" s="8"/>
      <c r="F78" s="35"/>
    </row>
    <row r="79" spans="1:7" x14ac:dyDescent="0.2">
      <c r="B79" s="8"/>
      <c r="C79" s="8"/>
      <c r="D79" s="8"/>
      <c r="F79" s="35"/>
    </row>
    <row r="80" spans="1:7" x14ac:dyDescent="0.2">
      <c r="B80" s="8"/>
      <c r="C80" s="8"/>
      <c r="D80" s="8"/>
      <c r="F80" s="35"/>
    </row>
    <row r="81" spans="1:7" x14ac:dyDescent="0.2">
      <c r="B81" s="8"/>
      <c r="C81" s="8"/>
      <c r="D81" s="8"/>
      <c r="F81" s="35"/>
    </row>
    <row r="82" spans="1:7" x14ac:dyDescent="0.2">
      <c r="B82" s="8"/>
      <c r="C82" s="8"/>
      <c r="D82" s="8"/>
      <c r="F82" s="35"/>
    </row>
    <row r="83" spans="1:7" x14ac:dyDescent="0.2">
      <c r="B83" s="8"/>
      <c r="C83" s="8"/>
      <c r="D83" s="8"/>
      <c r="F83" s="35"/>
    </row>
    <row r="84" spans="1:7" x14ac:dyDescent="0.2">
      <c r="B84" s="8"/>
      <c r="C84" s="8"/>
      <c r="D84" s="8"/>
      <c r="F84" s="35"/>
    </row>
    <row r="85" spans="1:7" x14ac:dyDescent="0.2">
      <c r="B85" s="8"/>
      <c r="C85" s="8"/>
      <c r="D85" s="8"/>
    </row>
    <row r="86" spans="1:7" x14ac:dyDescent="0.2">
      <c r="B86" s="8"/>
      <c r="C86" s="8"/>
      <c r="D86" s="8"/>
      <c r="F86" s="35"/>
    </row>
    <row r="87" spans="1:7" x14ac:dyDescent="0.2">
      <c r="B87" s="8"/>
      <c r="C87" s="8"/>
      <c r="D87" s="8"/>
      <c r="F87" s="35"/>
    </row>
    <row r="88" spans="1:7" x14ac:dyDescent="0.2">
      <c r="B88" s="8"/>
      <c r="C88" s="8"/>
      <c r="D88" s="8"/>
      <c r="F88" s="35"/>
    </row>
    <row r="89" spans="1:7" x14ac:dyDescent="0.2">
      <c r="B89" s="8"/>
      <c r="C89" s="8"/>
      <c r="D89" s="8"/>
      <c r="F89" s="35"/>
    </row>
    <row r="90" spans="1:7" x14ac:dyDescent="0.2">
      <c r="B90" s="8"/>
      <c r="C90" s="8"/>
      <c r="D90" s="8"/>
      <c r="F90" s="35"/>
    </row>
    <row r="91" spans="1:7" x14ac:dyDescent="0.2">
      <c r="B91" s="8"/>
      <c r="C91" s="8"/>
      <c r="D91" s="8"/>
      <c r="F91" s="35"/>
    </row>
    <row r="92" spans="1:7" x14ac:dyDescent="0.2">
      <c r="B92" s="8"/>
      <c r="C92" s="8"/>
      <c r="D92" s="8"/>
      <c r="F92" s="35"/>
    </row>
    <row r="93" spans="1:7" x14ac:dyDescent="0.2">
      <c r="A93" s="1226"/>
      <c r="B93" s="8"/>
      <c r="C93" s="8"/>
      <c r="D93" s="8"/>
      <c r="F93" s="35"/>
      <c r="G93" s="1226"/>
    </row>
    <row r="94" spans="1:7" x14ac:dyDescent="0.2">
      <c r="A94" s="1226"/>
      <c r="B94" s="8"/>
      <c r="C94" s="8"/>
      <c r="D94" s="8"/>
      <c r="F94" s="35"/>
      <c r="G94" s="1226"/>
    </row>
    <row r="95" spans="1:7" x14ac:dyDescent="0.2">
      <c r="A95" s="1226"/>
      <c r="B95" s="8"/>
      <c r="C95" s="8"/>
      <c r="D95" s="8"/>
      <c r="F95" s="35"/>
      <c r="G95" s="1226"/>
    </row>
    <row r="96" spans="1:7" x14ac:dyDescent="0.2">
      <c r="A96" s="1226"/>
      <c r="B96" s="8"/>
      <c r="C96" s="8"/>
      <c r="D96" s="8"/>
      <c r="F96" s="35"/>
      <c r="G96" s="1226"/>
    </row>
    <row r="97" spans="1:7" x14ac:dyDescent="0.2">
      <c r="A97" s="1226"/>
      <c r="B97" s="8"/>
      <c r="C97" s="8"/>
      <c r="D97" s="8"/>
      <c r="F97" s="35"/>
      <c r="G97" s="1226"/>
    </row>
    <row r="98" spans="1:7" x14ac:dyDescent="0.2">
      <c r="A98" s="1226"/>
      <c r="B98" s="8"/>
      <c r="C98" s="8"/>
      <c r="D98" s="8"/>
      <c r="F98" s="35"/>
      <c r="G98" s="1226"/>
    </row>
    <row r="99" spans="1:7" x14ac:dyDescent="0.2">
      <c r="A99" s="1226"/>
      <c r="B99" s="8"/>
      <c r="C99" s="8"/>
      <c r="D99" s="8"/>
      <c r="F99" s="35"/>
      <c r="G99" s="1226"/>
    </row>
    <row r="100" spans="1:7" x14ac:dyDescent="0.2">
      <c r="A100" s="1226"/>
      <c r="B100" s="8"/>
      <c r="C100" s="8"/>
      <c r="D100" s="8"/>
      <c r="F100" s="35"/>
      <c r="G100" s="1226"/>
    </row>
    <row r="101" spans="1:7" x14ac:dyDescent="0.2">
      <c r="A101" s="1226"/>
      <c r="B101" s="8"/>
      <c r="C101" s="8"/>
      <c r="D101" s="8"/>
      <c r="F101" s="35"/>
      <c r="G101" s="1226"/>
    </row>
    <row r="102" spans="1:7" x14ac:dyDescent="0.2">
      <c r="A102" s="1226"/>
      <c r="B102" s="8"/>
      <c r="C102" s="8"/>
      <c r="D102" s="8"/>
      <c r="F102" s="35"/>
      <c r="G102" s="1226"/>
    </row>
    <row r="103" spans="1:7" x14ac:dyDescent="0.2">
      <c r="A103" s="1226"/>
      <c r="B103" s="8"/>
      <c r="C103" s="8"/>
      <c r="D103" s="8"/>
      <c r="F103" s="35"/>
      <c r="G103" s="1226"/>
    </row>
    <row r="104" spans="1:7" x14ac:dyDescent="0.2">
      <c r="A104" s="1226"/>
      <c r="B104" s="8"/>
      <c r="C104" s="8"/>
      <c r="D104" s="8"/>
      <c r="F104" s="35"/>
      <c r="G104" s="1226"/>
    </row>
    <row r="105" spans="1:7" x14ac:dyDescent="0.2">
      <c r="A105" s="1226"/>
      <c r="B105" s="8"/>
      <c r="C105" s="8"/>
      <c r="D105" s="8"/>
      <c r="F105" s="35"/>
      <c r="G105" s="1226"/>
    </row>
    <row r="106" spans="1:7" x14ac:dyDescent="0.2">
      <c r="A106" s="1226"/>
      <c r="B106" s="8"/>
      <c r="C106" s="8"/>
      <c r="D106" s="8"/>
      <c r="F106" s="35"/>
      <c r="G106" s="1226"/>
    </row>
    <row r="107" spans="1:7" x14ac:dyDescent="0.2">
      <c r="A107" s="1226"/>
      <c r="B107" s="8"/>
      <c r="C107" s="8"/>
      <c r="D107" s="8"/>
      <c r="F107" s="35"/>
      <c r="G107" s="1226"/>
    </row>
    <row r="108" spans="1:7" x14ac:dyDescent="0.2">
      <c r="A108" s="1226"/>
      <c r="B108" s="8"/>
      <c r="C108" s="8"/>
      <c r="D108" s="8"/>
      <c r="F108" s="35"/>
      <c r="G108" s="1226"/>
    </row>
    <row r="109" spans="1:7" x14ac:dyDescent="0.2">
      <c r="A109" s="1226"/>
      <c r="B109" s="8"/>
      <c r="C109" s="8"/>
      <c r="D109" s="8"/>
      <c r="F109" s="35"/>
      <c r="G109" s="1226"/>
    </row>
    <row r="110" spans="1:7" x14ac:dyDescent="0.2">
      <c r="A110" s="1226"/>
      <c r="B110" s="8"/>
      <c r="C110" s="8"/>
      <c r="D110" s="8"/>
      <c r="F110" s="35"/>
      <c r="G110" s="1226"/>
    </row>
    <row r="111" spans="1:7" x14ac:dyDescent="0.2">
      <c r="A111" s="1226"/>
      <c r="B111" s="8"/>
      <c r="C111" s="8"/>
      <c r="D111" s="8"/>
      <c r="F111" s="35"/>
      <c r="G111" s="1226"/>
    </row>
    <row r="112" spans="1:7" x14ac:dyDescent="0.2">
      <c r="A112" s="1226"/>
      <c r="F112" s="35"/>
      <c r="G112" s="1226"/>
    </row>
    <row r="113" spans="1:7" x14ac:dyDescent="0.2">
      <c r="A113" s="1226"/>
      <c r="F113" s="35"/>
      <c r="G113" s="1226"/>
    </row>
    <row r="114" spans="1:7" x14ac:dyDescent="0.2">
      <c r="A114" s="1226"/>
      <c r="F114" s="35"/>
      <c r="G114" s="1226"/>
    </row>
    <row r="115" spans="1:7" x14ac:dyDescent="0.2">
      <c r="A115" s="1226"/>
      <c r="F115" s="35"/>
      <c r="G115" s="1226"/>
    </row>
    <row r="116" spans="1:7" x14ac:dyDescent="0.2">
      <c r="A116" s="1226"/>
      <c r="F116" s="35"/>
      <c r="G116" s="1226"/>
    </row>
    <row r="117" spans="1:7" x14ac:dyDescent="0.2">
      <c r="A117" s="1226"/>
      <c r="F117" s="35"/>
      <c r="G117" s="1226"/>
    </row>
    <row r="118" spans="1:7" x14ac:dyDescent="0.2">
      <c r="A118" s="1226"/>
      <c r="F118" s="35"/>
      <c r="G118" s="1226"/>
    </row>
    <row r="119" spans="1:7" x14ac:dyDescent="0.2">
      <c r="A119" s="1226"/>
      <c r="F119" s="35"/>
      <c r="G119" s="1226"/>
    </row>
    <row r="120" spans="1:7" x14ac:dyDescent="0.2">
      <c r="A120" s="1226"/>
      <c r="F120" s="35"/>
      <c r="G120" s="1226"/>
    </row>
    <row r="121" spans="1:7" x14ac:dyDescent="0.2">
      <c r="A121" s="1226"/>
      <c r="F121" s="35"/>
      <c r="G121" s="1226"/>
    </row>
    <row r="122" spans="1:7" x14ac:dyDescent="0.2">
      <c r="A122" s="1226"/>
      <c r="F122" s="35"/>
      <c r="G122" s="1226"/>
    </row>
    <row r="123" spans="1:7" x14ac:dyDescent="0.2">
      <c r="A123" s="1226"/>
      <c r="F123" s="35"/>
      <c r="G123" s="1226"/>
    </row>
    <row r="124" spans="1:7" x14ac:dyDescent="0.2">
      <c r="A124" s="1226"/>
      <c r="F124" s="35"/>
      <c r="G124" s="1226"/>
    </row>
    <row r="125" spans="1:7" x14ac:dyDescent="0.2">
      <c r="A125" s="1226"/>
      <c r="E125" s="1226"/>
      <c r="F125" s="35"/>
      <c r="G125" s="1226"/>
    </row>
    <row r="126" spans="1:7" x14ac:dyDescent="0.2">
      <c r="A126" s="1226"/>
      <c r="E126" s="1226"/>
      <c r="F126" s="35"/>
      <c r="G126" s="1226"/>
    </row>
    <row r="127" spans="1:7" x14ac:dyDescent="0.2">
      <c r="A127" s="1226"/>
      <c r="E127" s="1226"/>
      <c r="F127" s="35"/>
      <c r="G127" s="1226"/>
    </row>
    <row r="128" spans="1:7" x14ac:dyDescent="0.2">
      <c r="A128" s="1226"/>
      <c r="E128" s="1226"/>
      <c r="F128" s="35"/>
      <c r="G128" s="1226"/>
    </row>
    <row r="129" spans="1:7" x14ac:dyDescent="0.2">
      <c r="A129" s="1226"/>
      <c r="E129" s="1226"/>
      <c r="F129" s="35"/>
      <c r="G129" s="1226"/>
    </row>
    <row r="130" spans="1:7" x14ac:dyDescent="0.2">
      <c r="A130" s="1226"/>
      <c r="E130" s="1226"/>
      <c r="F130" s="35"/>
      <c r="G130" s="1226"/>
    </row>
    <row r="131" spans="1:7" x14ac:dyDescent="0.2">
      <c r="A131" s="1226"/>
      <c r="E131" s="1226"/>
      <c r="F131" s="35"/>
      <c r="G131" s="1226"/>
    </row>
    <row r="132" spans="1:7" x14ac:dyDescent="0.2">
      <c r="A132" s="1226"/>
      <c r="E132" s="1226"/>
      <c r="F132" s="35"/>
      <c r="G132" s="1226"/>
    </row>
    <row r="133" spans="1:7" x14ac:dyDescent="0.2">
      <c r="A133" s="1226"/>
      <c r="E133" s="1226"/>
      <c r="F133" s="35"/>
      <c r="G133" s="1226"/>
    </row>
    <row r="134" spans="1:7" x14ac:dyDescent="0.2">
      <c r="A134" s="1226"/>
      <c r="E134" s="1226"/>
      <c r="F134" s="35"/>
      <c r="G134" s="1226"/>
    </row>
    <row r="135" spans="1:7" x14ac:dyDescent="0.2">
      <c r="A135" s="1226"/>
      <c r="E135" s="1226"/>
      <c r="F135" s="35"/>
      <c r="G135" s="1226"/>
    </row>
    <row r="136" spans="1:7" x14ac:dyDescent="0.2">
      <c r="A136" s="1226"/>
      <c r="E136" s="1226"/>
      <c r="F136" s="35"/>
      <c r="G136" s="1226"/>
    </row>
    <row r="137" spans="1:7" x14ac:dyDescent="0.2">
      <c r="A137" s="1226"/>
      <c r="E137" s="1226"/>
      <c r="F137" s="35"/>
      <c r="G137" s="1226"/>
    </row>
    <row r="138" spans="1:7" x14ac:dyDescent="0.2">
      <c r="A138" s="1226"/>
      <c r="E138" s="1226"/>
      <c r="F138" s="35"/>
      <c r="G138" s="1226"/>
    </row>
    <row r="139" spans="1:7" x14ac:dyDescent="0.2">
      <c r="A139" s="1226"/>
      <c r="E139" s="1226"/>
      <c r="F139" s="35"/>
      <c r="G139" s="1226"/>
    </row>
    <row r="140" spans="1:7" x14ac:dyDescent="0.2">
      <c r="A140" s="1226"/>
      <c r="E140" s="1226"/>
      <c r="F140" s="35"/>
      <c r="G140" s="1226"/>
    </row>
    <row r="141" spans="1:7" x14ac:dyDescent="0.2">
      <c r="A141" s="1226"/>
      <c r="E141" s="1226"/>
      <c r="F141" s="35"/>
      <c r="G141" s="1226"/>
    </row>
    <row r="142" spans="1:7" x14ac:dyDescent="0.2">
      <c r="A142" s="1226"/>
      <c r="E142" s="1226"/>
      <c r="F142" s="35"/>
      <c r="G142" s="1226"/>
    </row>
    <row r="143" spans="1:7" x14ac:dyDescent="0.2">
      <c r="A143" s="1226"/>
      <c r="E143" s="1226"/>
      <c r="F143" s="35"/>
      <c r="G143" s="1226"/>
    </row>
    <row r="144" spans="1:7" x14ac:dyDescent="0.2">
      <c r="A144" s="1226"/>
      <c r="E144" s="1226"/>
      <c r="F144" s="35"/>
      <c r="G144" s="1226"/>
    </row>
    <row r="145" spans="1:7" x14ac:dyDescent="0.2">
      <c r="A145" s="1226"/>
      <c r="E145" s="1226"/>
      <c r="F145" s="35"/>
      <c r="G145" s="1226"/>
    </row>
    <row r="146" spans="1:7" x14ac:dyDescent="0.2">
      <c r="A146" s="1226"/>
      <c r="E146" s="1226"/>
      <c r="F146" s="35"/>
      <c r="G146" s="1226"/>
    </row>
    <row r="147" spans="1:7" x14ac:dyDescent="0.2">
      <c r="A147" s="1226"/>
      <c r="E147" s="1226"/>
      <c r="F147" s="35"/>
      <c r="G147" s="1226"/>
    </row>
    <row r="148" spans="1:7" x14ac:dyDescent="0.2">
      <c r="A148" s="1226"/>
      <c r="E148" s="1226"/>
      <c r="F148" s="35"/>
      <c r="G148" s="1226"/>
    </row>
    <row r="149" spans="1:7" x14ac:dyDescent="0.2">
      <c r="A149" s="1226"/>
      <c r="E149" s="1226"/>
      <c r="F149" s="35"/>
      <c r="G149" s="1226"/>
    </row>
    <row r="150" spans="1:7" x14ac:dyDescent="0.2">
      <c r="A150" s="1226"/>
      <c r="E150" s="1226"/>
      <c r="F150" s="35"/>
      <c r="G150" s="1226"/>
    </row>
    <row r="151" spans="1:7" x14ac:dyDescent="0.2">
      <c r="A151" s="1226"/>
      <c r="E151" s="1226"/>
      <c r="F151" s="35"/>
      <c r="G151" s="1226"/>
    </row>
    <row r="152" spans="1:7" x14ac:dyDescent="0.2">
      <c r="A152" s="1226"/>
      <c r="E152" s="1226"/>
      <c r="F152" s="35"/>
      <c r="G152" s="1226"/>
    </row>
    <row r="153" spans="1:7" x14ac:dyDescent="0.2">
      <c r="A153" s="1226"/>
      <c r="E153" s="1226"/>
      <c r="F153" s="35"/>
      <c r="G153" s="1226"/>
    </row>
    <row r="154" spans="1:7" x14ac:dyDescent="0.2">
      <c r="A154" s="1226"/>
      <c r="E154" s="1226"/>
      <c r="F154" s="35"/>
      <c r="G154" s="1226"/>
    </row>
    <row r="155" spans="1:7" x14ac:dyDescent="0.2">
      <c r="A155" s="1226"/>
      <c r="E155" s="1226"/>
      <c r="F155" s="35"/>
      <c r="G155" s="1226"/>
    </row>
    <row r="156" spans="1:7" x14ac:dyDescent="0.2">
      <c r="A156" s="1226"/>
      <c r="E156" s="1226"/>
      <c r="F156" s="35"/>
      <c r="G156" s="1226"/>
    </row>
    <row r="157" spans="1:7" x14ac:dyDescent="0.2">
      <c r="A157" s="1226"/>
      <c r="E157" s="1226"/>
      <c r="F157" s="35"/>
      <c r="G157" s="1226"/>
    </row>
    <row r="158" spans="1:7" x14ac:dyDescent="0.2">
      <c r="A158" s="1226"/>
      <c r="E158" s="1226"/>
      <c r="F158" s="35"/>
      <c r="G158" s="1226"/>
    </row>
    <row r="159" spans="1:7" x14ac:dyDescent="0.2">
      <c r="A159" s="1226"/>
      <c r="E159" s="1226"/>
      <c r="F159" s="35"/>
      <c r="G159" s="1226"/>
    </row>
    <row r="160" spans="1:7" x14ac:dyDescent="0.2">
      <c r="A160" s="1226"/>
      <c r="E160" s="1226"/>
      <c r="F160" s="35"/>
      <c r="G160" s="1226"/>
    </row>
    <row r="161" spans="1:7" x14ac:dyDescent="0.2">
      <c r="A161" s="1226"/>
      <c r="E161" s="1226"/>
      <c r="F161" s="35"/>
      <c r="G161" s="1226"/>
    </row>
    <row r="162" spans="1:7" x14ac:dyDescent="0.2">
      <c r="A162" s="1226"/>
      <c r="E162" s="1226"/>
      <c r="F162" s="35"/>
      <c r="G162" s="1226"/>
    </row>
    <row r="163" spans="1:7" x14ac:dyDescent="0.2">
      <c r="A163" s="1226"/>
      <c r="E163" s="1226"/>
      <c r="F163" s="35"/>
      <c r="G163" s="1226"/>
    </row>
    <row r="164" spans="1:7" x14ac:dyDescent="0.2">
      <c r="A164" s="1226"/>
      <c r="E164" s="1226"/>
      <c r="F164" s="35"/>
      <c r="G164" s="1226"/>
    </row>
    <row r="165" spans="1:7" x14ac:dyDescent="0.2">
      <c r="A165" s="1226"/>
      <c r="E165" s="1226"/>
      <c r="F165" s="35"/>
      <c r="G165" s="1226"/>
    </row>
    <row r="166" spans="1:7" x14ac:dyDescent="0.2">
      <c r="A166" s="1226"/>
      <c r="E166" s="1226"/>
      <c r="F166" s="35"/>
      <c r="G166" s="1226"/>
    </row>
    <row r="167" spans="1:7" x14ac:dyDescent="0.2">
      <c r="A167" s="1226"/>
      <c r="E167" s="1226"/>
      <c r="F167" s="35"/>
      <c r="G167" s="1226"/>
    </row>
    <row r="168" spans="1:7" x14ac:dyDescent="0.2">
      <c r="A168" s="1226"/>
      <c r="E168" s="1226"/>
      <c r="F168" s="35"/>
      <c r="G168" s="1226"/>
    </row>
    <row r="169" spans="1:7" x14ac:dyDescent="0.2">
      <c r="A169" s="1226"/>
      <c r="E169" s="1226"/>
      <c r="F169" s="35"/>
      <c r="G169" s="1226"/>
    </row>
    <row r="170" spans="1:7" x14ac:dyDescent="0.2">
      <c r="A170" s="1226"/>
      <c r="E170" s="1226"/>
      <c r="F170" s="35"/>
      <c r="G170" s="1226"/>
    </row>
    <row r="171" spans="1:7" x14ac:dyDescent="0.2">
      <c r="A171" s="1226"/>
      <c r="E171" s="1226"/>
      <c r="F171" s="35"/>
      <c r="G171" s="1226"/>
    </row>
    <row r="172" spans="1:7" x14ac:dyDescent="0.2">
      <c r="A172" s="1226"/>
      <c r="E172" s="1226"/>
      <c r="F172" s="35"/>
      <c r="G172" s="1226"/>
    </row>
    <row r="173" spans="1:7" x14ac:dyDescent="0.2">
      <c r="A173" s="1226"/>
      <c r="E173" s="1226"/>
      <c r="F173" s="35"/>
      <c r="G173" s="1226"/>
    </row>
    <row r="174" spans="1:7" x14ac:dyDescent="0.2">
      <c r="A174" s="1226"/>
      <c r="E174" s="1226"/>
      <c r="F174" s="35"/>
      <c r="G174" s="1226"/>
    </row>
    <row r="175" spans="1:7" x14ac:dyDescent="0.2">
      <c r="A175" s="1226"/>
      <c r="E175" s="1226"/>
      <c r="F175" s="35"/>
      <c r="G175" s="1226"/>
    </row>
    <row r="176" spans="1:7" x14ac:dyDescent="0.2">
      <c r="A176" s="1226"/>
      <c r="E176" s="1226"/>
      <c r="F176" s="35"/>
      <c r="G176" s="1226"/>
    </row>
    <row r="177" spans="1:7" x14ac:dyDescent="0.2">
      <c r="A177" s="1226"/>
      <c r="E177" s="1226"/>
      <c r="F177" s="35"/>
      <c r="G177" s="1226"/>
    </row>
    <row r="178" spans="1:7" x14ac:dyDescent="0.2">
      <c r="A178" s="1226"/>
      <c r="E178" s="1226"/>
      <c r="F178" s="35"/>
      <c r="G178" s="1226"/>
    </row>
    <row r="179" spans="1:7" x14ac:dyDescent="0.2">
      <c r="A179" s="1226"/>
      <c r="E179" s="1226"/>
      <c r="F179" s="35"/>
      <c r="G179" s="1226"/>
    </row>
    <row r="180" spans="1:7" x14ac:dyDescent="0.2">
      <c r="A180" s="1226"/>
      <c r="E180" s="1226"/>
      <c r="F180" s="35"/>
      <c r="G180" s="1226"/>
    </row>
    <row r="181" spans="1:7" x14ac:dyDescent="0.2">
      <c r="A181" s="1226"/>
      <c r="E181" s="1226"/>
      <c r="F181" s="35"/>
      <c r="G181" s="1226"/>
    </row>
    <row r="182" spans="1:7" x14ac:dyDescent="0.2">
      <c r="A182" s="1226"/>
      <c r="E182" s="1226"/>
      <c r="F182" s="35"/>
      <c r="G182" s="1226"/>
    </row>
    <row r="183" spans="1:7" x14ac:dyDescent="0.2">
      <c r="A183" s="1226"/>
      <c r="E183" s="1226"/>
      <c r="F183" s="35"/>
      <c r="G183" s="1226"/>
    </row>
    <row r="184" spans="1:7" x14ac:dyDescent="0.2">
      <c r="A184" s="1226"/>
      <c r="E184" s="1226"/>
      <c r="F184" s="35"/>
      <c r="G184" s="1226"/>
    </row>
    <row r="185" spans="1:7" x14ac:dyDescent="0.2">
      <c r="A185" s="1226"/>
      <c r="E185" s="1226"/>
      <c r="F185" s="35"/>
      <c r="G185" s="1226"/>
    </row>
    <row r="186" spans="1:7" x14ac:dyDescent="0.2">
      <c r="A186" s="1226"/>
      <c r="E186" s="1226"/>
      <c r="F186" s="35"/>
      <c r="G186" s="1226"/>
    </row>
    <row r="187" spans="1:7" x14ac:dyDescent="0.2">
      <c r="A187" s="1226"/>
      <c r="E187" s="1226"/>
      <c r="F187" s="35"/>
      <c r="G187" s="1226"/>
    </row>
    <row r="188" spans="1:7" x14ac:dyDescent="0.2">
      <c r="A188" s="1226"/>
      <c r="E188" s="1226"/>
      <c r="F188" s="35"/>
      <c r="G188" s="1226"/>
    </row>
    <row r="189" spans="1:7" x14ac:dyDescent="0.2">
      <c r="A189" s="1226"/>
      <c r="E189" s="1226"/>
      <c r="F189" s="35"/>
      <c r="G189" s="1226"/>
    </row>
    <row r="190" spans="1:7" x14ac:dyDescent="0.2">
      <c r="A190" s="1226"/>
      <c r="E190" s="1226"/>
      <c r="F190" s="35"/>
      <c r="G190" s="1226"/>
    </row>
    <row r="191" spans="1:7" x14ac:dyDescent="0.2">
      <c r="A191" s="1226"/>
      <c r="E191" s="1226"/>
      <c r="F191" s="35"/>
      <c r="G191" s="1226"/>
    </row>
    <row r="192" spans="1:7" x14ac:dyDescent="0.2">
      <c r="A192" s="1226"/>
      <c r="E192" s="1226"/>
      <c r="F192" s="35"/>
      <c r="G192" s="1226"/>
    </row>
    <row r="193" spans="1:7" x14ac:dyDescent="0.2">
      <c r="A193" s="1226"/>
      <c r="E193" s="1226"/>
      <c r="F193" s="35"/>
      <c r="G193" s="1226"/>
    </row>
    <row r="194" spans="1:7" x14ac:dyDescent="0.2">
      <c r="A194" s="1226"/>
      <c r="E194" s="1226"/>
      <c r="F194" s="35"/>
      <c r="G194" s="1226"/>
    </row>
    <row r="195" spans="1:7" x14ac:dyDescent="0.2">
      <c r="A195" s="1226"/>
      <c r="E195" s="1226"/>
      <c r="F195" s="35"/>
      <c r="G195" s="1226"/>
    </row>
    <row r="196" spans="1:7" x14ac:dyDescent="0.2">
      <c r="A196" s="1226"/>
      <c r="E196" s="1226"/>
      <c r="F196" s="35"/>
      <c r="G196" s="1226"/>
    </row>
    <row r="197" spans="1:7" x14ac:dyDescent="0.2">
      <c r="A197" s="1226"/>
      <c r="E197" s="1226"/>
      <c r="F197" s="35"/>
      <c r="G197" s="1226"/>
    </row>
    <row r="198" spans="1:7" x14ac:dyDescent="0.2">
      <c r="A198" s="1226"/>
      <c r="E198" s="1226"/>
      <c r="F198" s="35"/>
      <c r="G198" s="1226"/>
    </row>
    <row r="199" spans="1:7" x14ac:dyDescent="0.2">
      <c r="A199" s="1226"/>
      <c r="E199" s="1226"/>
      <c r="F199" s="35"/>
      <c r="G199" s="1226"/>
    </row>
    <row r="200" spans="1:7" x14ac:dyDescent="0.2">
      <c r="A200" s="1226"/>
      <c r="E200" s="1226"/>
      <c r="F200" s="35"/>
      <c r="G200" s="1226"/>
    </row>
    <row r="201" spans="1:7" x14ac:dyDescent="0.2">
      <c r="A201" s="1226"/>
      <c r="E201" s="1226"/>
      <c r="F201" s="35"/>
      <c r="G201" s="1226"/>
    </row>
    <row r="202" spans="1:7" x14ac:dyDescent="0.2">
      <c r="A202" s="1226"/>
      <c r="E202" s="1226"/>
      <c r="F202" s="35"/>
      <c r="G202" s="1226"/>
    </row>
    <row r="203" spans="1:7" x14ac:dyDescent="0.2">
      <c r="A203" s="1226"/>
      <c r="E203" s="1226"/>
      <c r="F203" s="35"/>
      <c r="G203" s="1226"/>
    </row>
    <row r="204" spans="1:7" x14ac:dyDescent="0.2">
      <c r="A204" s="1226"/>
      <c r="E204" s="1226"/>
      <c r="F204" s="35"/>
      <c r="G204" s="1226"/>
    </row>
    <row r="205" spans="1:7" x14ac:dyDescent="0.2">
      <c r="A205" s="1226"/>
      <c r="E205" s="1226"/>
      <c r="F205" s="35"/>
      <c r="G205" s="1226"/>
    </row>
    <row r="206" spans="1:7" x14ac:dyDescent="0.2">
      <c r="A206" s="1226"/>
      <c r="E206" s="1226"/>
      <c r="F206" s="35"/>
      <c r="G206" s="1226"/>
    </row>
    <row r="207" spans="1:7" x14ac:dyDescent="0.2">
      <c r="A207" s="1226"/>
      <c r="E207" s="1226"/>
      <c r="F207" s="35"/>
      <c r="G207" s="1226"/>
    </row>
    <row r="208" spans="1:7" x14ac:dyDescent="0.2">
      <c r="A208" s="1226"/>
      <c r="E208" s="1226"/>
      <c r="F208" s="35"/>
      <c r="G208" s="1226"/>
    </row>
    <row r="209" spans="1:7" x14ac:dyDescent="0.2">
      <c r="A209" s="1226"/>
      <c r="E209" s="1226"/>
      <c r="F209" s="35"/>
      <c r="G209" s="1226"/>
    </row>
    <row r="210" spans="1:7" x14ac:dyDescent="0.2">
      <c r="A210" s="1226"/>
      <c r="E210" s="1226"/>
      <c r="F210" s="35"/>
      <c r="G210" s="1226"/>
    </row>
    <row r="211" spans="1:7" x14ac:dyDescent="0.2">
      <c r="A211" s="1226"/>
      <c r="E211" s="1226"/>
      <c r="F211" s="35"/>
      <c r="G211" s="1226"/>
    </row>
    <row r="212" spans="1:7" x14ac:dyDescent="0.2">
      <c r="A212" s="1226"/>
      <c r="E212" s="1226"/>
      <c r="F212" s="35"/>
      <c r="G212" s="1226"/>
    </row>
    <row r="213" spans="1:7" x14ac:dyDescent="0.2">
      <c r="A213" s="1226"/>
      <c r="E213" s="1226"/>
      <c r="F213" s="35"/>
      <c r="G213" s="1226"/>
    </row>
    <row r="214" spans="1:7" x14ac:dyDescent="0.2">
      <c r="A214" s="1226"/>
      <c r="E214" s="1226"/>
      <c r="F214" s="35"/>
      <c r="G214" s="1226"/>
    </row>
    <row r="215" spans="1:7" x14ac:dyDescent="0.2">
      <c r="A215" s="1226"/>
      <c r="E215" s="1226"/>
      <c r="F215" s="35"/>
      <c r="G215" s="1226"/>
    </row>
    <row r="216" spans="1:7" x14ac:dyDescent="0.2">
      <c r="A216" s="1226"/>
      <c r="E216" s="1226"/>
      <c r="F216" s="35"/>
      <c r="G216" s="1226"/>
    </row>
    <row r="217" spans="1:7" x14ac:dyDescent="0.2">
      <c r="A217" s="1226"/>
      <c r="E217" s="1226"/>
      <c r="F217" s="35"/>
      <c r="G217" s="1226"/>
    </row>
    <row r="218" spans="1:7" x14ac:dyDescent="0.2">
      <c r="A218" s="1226"/>
      <c r="E218" s="1226"/>
      <c r="F218" s="35"/>
      <c r="G218" s="1226"/>
    </row>
    <row r="219" spans="1:7" x14ac:dyDescent="0.2">
      <c r="A219" s="1226"/>
      <c r="E219" s="1226"/>
      <c r="F219" s="35"/>
      <c r="G219" s="1226"/>
    </row>
    <row r="220" spans="1:7" x14ac:dyDescent="0.2">
      <c r="A220" s="1226"/>
      <c r="E220" s="1226"/>
      <c r="F220" s="35"/>
      <c r="G220" s="1226"/>
    </row>
    <row r="221" spans="1:7" x14ac:dyDescent="0.2">
      <c r="A221" s="1226"/>
      <c r="E221" s="1226"/>
      <c r="F221" s="35"/>
      <c r="G221" s="1226"/>
    </row>
    <row r="222" spans="1:7" x14ac:dyDescent="0.2">
      <c r="A222" s="1226"/>
      <c r="E222" s="1226"/>
      <c r="F222" s="35"/>
      <c r="G222" s="1226"/>
    </row>
    <row r="223" spans="1:7" x14ac:dyDescent="0.2">
      <c r="A223" s="1226"/>
      <c r="E223" s="1226"/>
      <c r="F223" s="35"/>
      <c r="G223" s="1226"/>
    </row>
    <row r="224" spans="1:7" x14ac:dyDescent="0.2">
      <c r="A224" s="1226"/>
      <c r="E224" s="1226"/>
      <c r="F224" s="35"/>
      <c r="G224" s="1226"/>
    </row>
    <row r="225" spans="1:7" x14ac:dyDescent="0.2">
      <c r="A225" s="1226"/>
      <c r="E225" s="1226"/>
      <c r="F225" s="35"/>
      <c r="G225" s="1226"/>
    </row>
    <row r="226" spans="1:7" x14ac:dyDescent="0.2">
      <c r="A226" s="1226"/>
      <c r="E226" s="1226"/>
      <c r="F226" s="35"/>
      <c r="G226" s="1226"/>
    </row>
    <row r="227" spans="1:7" x14ac:dyDescent="0.2">
      <c r="A227" s="1226"/>
      <c r="E227" s="1226"/>
      <c r="F227" s="35"/>
      <c r="G227" s="1226"/>
    </row>
    <row r="228" spans="1:7" x14ac:dyDescent="0.2">
      <c r="A228" s="1226"/>
      <c r="E228" s="1226"/>
      <c r="F228" s="35"/>
      <c r="G228" s="1226"/>
    </row>
    <row r="229" spans="1:7" x14ac:dyDescent="0.2">
      <c r="A229" s="1226"/>
      <c r="E229" s="1226"/>
      <c r="F229" s="35"/>
      <c r="G229" s="1226"/>
    </row>
    <row r="230" spans="1:7" x14ac:dyDescent="0.2">
      <c r="A230" s="1226"/>
      <c r="E230" s="1226"/>
      <c r="F230" s="35"/>
      <c r="G230" s="1226"/>
    </row>
    <row r="231" spans="1:7" x14ac:dyDescent="0.2">
      <c r="A231" s="1226"/>
      <c r="E231" s="1226"/>
      <c r="F231" s="35"/>
      <c r="G231" s="1226"/>
    </row>
    <row r="232" spans="1:7" x14ac:dyDescent="0.2">
      <c r="A232" s="1226"/>
      <c r="E232" s="1226"/>
      <c r="F232" s="35"/>
      <c r="G232" s="1226"/>
    </row>
    <row r="233" spans="1:7" x14ac:dyDescent="0.2">
      <c r="A233" s="1226"/>
      <c r="E233" s="1226"/>
      <c r="F233" s="35"/>
      <c r="G233" s="1226"/>
    </row>
    <row r="234" spans="1:7" x14ac:dyDescent="0.2">
      <c r="A234" s="1226"/>
      <c r="E234" s="1226"/>
      <c r="F234" s="35"/>
      <c r="G234" s="1226"/>
    </row>
    <row r="235" spans="1:7" x14ac:dyDescent="0.2">
      <c r="A235" s="1226"/>
      <c r="E235" s="1226"/>
      <c r="F235" s="35"/>
      <c r="G235" s="1226"/>
    </row>
    <row r="236" spans="1:7" x14ac:dyDescent="0.2">
      <c r="A236" s="1226"/>
      <c r="E236" s="1226"/>
      <c r="F236" s="35"/>
      <c r="G236" s="1226"/>
    </row>
    <row r="237" spans="1:7" x14ac:dyDescent="0.2">
      <c r="A237" s="1226"/>
      <c r="E237" s="1226"/>
      <c r="F237" s="35"/>
      <c r="G237" s="1226"/>
    </row>
    <row r="238" spans="1:7" x14ac:dyDescent="0.2">
      <c r="A238" s="1226"/>
      <c r="E238" s="1226"/>
      <c r="F238" s="35"/>
      <c r="G238" s="1226"/>
    </row>
    <row r="239" spans="1:7" x14ac:dyDescent="0.2">
      <c r="A239" s="1226"/>
      <c r="E239" s="1226"/>
      <c r="F239" s="35"/>
      <c r="G239" s="1226"/>
    </row>
    <row r="240" spans="1:7" x14ac:dyDescent="0.2">
      <c r="A240" s="1226"/>
      <c r="E240" s="1226"/>
      <c r="F240" s="35"/>
      <c r="G240" s="1226"/>
    </row>
    <row r="241" spans="1:7" x14ac:dyDescent="0.2">
      <c r="A241" s="1226"/>
      <c r="E241" s="1226"/>
      <c r="F241" s="35"/>
      <c r="G241" s="1226"/>
    </row>
    <row r="242" spans="1:7" x14ac:dyDescent="0.2">
      <c r="A242" s="1226"/>
      <c r="E242" s="1226"/>
      <c r="F242" s="35"/>
      <c r="G242" s="1226"/>
    </row>
    <row r="243" spans="1:7" x14ac:dyDescent="0.2">
      <c r="A243" s="1226"/>
      <c r="E243" s="1226"/>
      <c r="F243" s="35"/>
      <c r="G243" s="1226"/>
    </row>
    <row r="244" spans="1:7" x14ac:dyDescent="0.2">
      <c r="A244" s="1226"/>
      <c r="E244" s="1226"/>
      <c r="F244" s="35"/>
      <c r="G244" s="1226"/>
    </row>
    <row r="245" spans="1:7" x14ac:dyDescent="0.2">
      <c r="A245" s="1226"/>
      <c r="E245" s="1226"/>
      <c r="F245" s="35"/>
      <c r="G245" s="1226"/>
    </row>
    <row r="246" spans="1:7" x14ac:dyDescent="0.2">
      <c r="A246" s="1226"/>
      <c r="E246" s="1226"/>
      <c r="F246" s="35"/>
      <c r="G246" s="1226"/>
    </row>
    <row r="247" spans="1:7" x14ac:dyDescent="0.2">
      <c r="A247" s="1226"/>
      <c r="E247" s="1226"/>
      <c r="F247" s="35"/>
      <c r="G247" s="1226"/>
    </row>
    <row r="248" spans="1:7" x14ac:dyDescent="0.2">
      <c r="A248" s="1226"/>
      <c r="E248" s="1226"/>
      <c r="F248" s="35"/>
      <c r="G248" s="1226"/>
    </row>
    <row r="249" spans="1:7" x14ac:dyDescent="0.2">
      <c r="A249" s="1226"/>
      <c r="E249" s="1226"/>
      <c r="F249" s="35"/>
      <c r="G249" s="1226"/>
    </row>
    <row r="250" spans="1:7" x14ac:dyDescent="0.2">
      <c r="A250" s="1226"/>
      <c r="E250" s="1226"/>
      <c r="F250" s="35"/>
      <c r="G250" s="1226"/>
    </row>
    <row r="251" spans="1:7" x14ac:dyDescent="0.2">
      <c r="A251" s="1226"/>
      <c r="E251" s="1226"/>
      <c r="F251" s="35"/>
      <c r="G251" s="1226"/>
    </row>
    <row r="252" spans="1:7" x14ac:dyDescent="0.2">
      <c r="A252" s="1226"/>
      <c r="E252" s="1226"/>
      <c r="F252" s="35"/>
      <c r="G252" s="1226"/>
    </row>
    <row r="253" spans="1:7" x14ac:dyDescent="0.2">
      <c r="A253" s="1226"/>
      <c r="E253" s="1226"/>
      <c r="F253" s="35"/>
      <c r="G253" s="1226"/>
    </row>
    <row r="254" spans="1:7" x14ac:dyDescent="0.2">
      <c r="A254" s="1226"/>
      <c r="E254" s="1226"/>
      <c r="F254" s="35"/>
      <c r="G254" s="1226"/>
    </row>
    <row r="255" spans="1:7" x14ac:dyDescent="0.2">
      <c r="A255" s="1226"/>
      <c r="E255" s="1226"/>
      <c r="F255" s="35"/>
      <c r="G255" s="1226"/>
    </row>
    <row r="256" spans="1:7" x14ac:dyDescent="0.2">
      <c r="A256" s="1226"/>
      <c r="E256" s="1226"/>
      <c r="F256" s="35"/>
      <c r="G256" s="1226"/>
    </row>
    <row r="257" spans="1:7" x14ac:dyDescent="0.2">
      <c r="A257" s="1226"/>
      <c r="E257" s="1226"/>
      <c r="F257" s="35"/>
      <c r="G257" s="1226"/>
    </row>
    <row r="258" spans="1:7" x14ac:dyDescent="0.2">
      <c r="A258" s="1226"/>
      <c r="E258" s="1226"/>
      <c r="F258" s="35"/>
      <c r="G258" s="1226"/>
    </row>
    <row r="259" spans="1:7" x14ac:dyDescent="0.2">
      <c r="A259" s="1226"/>
      <c r="E259" s="1226"/>
      <c r="F259" s="35"/>
      <c r="G259" s="1226"/>
    </row>
    <row r="260" spans="1:7" x14ac:dyDescent="0.2">
      <c r="A260" s="1226"/>
      <c r="E260" s="1226"/>
      <c r="F260" s="35"/>
      <c r="G260" s="1226"/>
    </row>
    <row r="261" spans="1:7" x14ac:dyDescent="0.2">
      <c r="A261" s="1226"/>
      <c r="E261" s="1226"/>
      <c r="F261" s="35"/>
      <c r="G261" s="1226"/>
    </row>
    <row r="262" spans="1:7" x14ac:dyDescent="0.2">
      <c r="A262" s="1226"/>
      <c r="E262" s="1226"/>
      <c r="F262" s="35"/>
      <c r="G262" s="1226"/>
    </row>
    <row r="263" spans="1:7" x14ac:dyDescent="0.2">
      <c r="A263" s="1226"/>
      <c r="E263" s="1226"/>
      <c r="F263" s="35"/>
      <c r="G263" s="1226"/>
    </row>
    <row r="264" spans="1:7" x14ac:dyDescent="0.2">
      <c r="A264" s="1226"/>
      <c r="E264" s="1226"/>
      <c r="F264" s="35"/>
      <c r="G264" s="1226"/>
    </row>
    <row r="265" spans="1:7" x14ac:dyDescent="0.2">
      <c r="A265" s="1226"/>
      <c r="E265" s="1226"/>
      <c r="F265" s="35"/>
      <c r="G265" s="1226"/>
    </row>
    <row r="266" spans="1:7" x14ac:dyDescent="0.2">
      <c r="A266" s="1226"/>
      <c r="E266" s="1226"/>
      <c r="F266" s="35"/>
      <c r="G266" s="1226"/>
    </row>
    <row r="267" spans="1:7" x14ac:dyDescent="0.2">
      <c r="A267" s="1226"/>
      <c r="E267" s="1226"/>
      <c r="F267" s="35"/>
      <c r="G267" s="1226"/>
    </row>
    <row r="268" spans="1:7" x14ac:dyDescent="0.2">
      <c r="A268" s="1226"/>
      <c r="E268" s="1226"/>
      <c r="F268" s="35"/>
      <c r="G268" s="1226"/>
    </row>
    <row r="269" spans="1:7" x14ac:dyDescent="0.2">
      <c r="A269" s="1226"/>
      <c r="E269" s="1226"/>
      <c r="F269" s="35"/>
      <c r="G269" s="1226"/>
    </row>
    <row r="270" spans="1:7" x14ac:dyDescent="0.2">
      <c r="A270" s="1226"/>
      <c r="E270" s="1226"/>
      <c r="F270" s="35"/>
      <c r="G270" s="1226"/>
    </row>
    <row r="271" spans="1:7" x14ac:dyDescent="0.2">
      <c r="A271" s="1226"/>
      <c r="E271" s="1226"/>
      <c r="F271" s="35"/>
      <c r="G271" s="1226"/>
    </row>
    <row r="272" spans="1:7" x14ac:dyDescent="0.2">
      <c r="A272" s="1226"/>
      <c r="E272" s="1226"/>
      <c r="F272" s="35"/>
      <c r="G272" s="1226"/>
    </row>
    <row r="273" spans="1:7" x14ac:dyDescent="0.2">
      <c r="A273" s="1226"/>
      <c r="E273" s="1226"/>
      <c r="F273" s="35"/>
      <c r="G273" s="1226"/>
    </row>
    <row r="274" spans="1:7" x14ac:dyDescent="0.2">
      <c r="A274" s="1226"/>
      <c r="E274" s="1226"/>
      <c r="F274" s="35"/>
      <c r="G274" s="1226"/>
    </row>
    <row r="275" spans="1:7" x14ac:dyDescent="0.2">
      <c r="A275" s="1226"/>
      <c r="E275" s="1226"/>
      <c r="F275" s="35"/>
      <c r="G275" s="1226"/>
    </row>
    <row r="276" spans="1:7" x14ac:dyDescent="0.2">
      <c r="A276" s="1226"/>
      <c r="E276" s="1226"/>
      <c r="F276" s="35"/>
      <c r="G276" s="1226"/>
    </row>
    <row r="277" spans="1:7" x14ac:dyDescent="0.2">
      <c r="A277" s="1226"/>
      <c r="E277" s="1226"/>
      <c r="F277" s="35"/>
      <c r="G277" s="1226"/>
    </row>
    <row r="278" spans="1:7" x14ac:dyDescent="0.2">
      <c r="A278" s="1226"/>
      <c r="E278" s="1226"/>
      <c r="F278" s="35"/>
      <c r="G278" s="1226"/>
    </row>
    <row r="279" spans="1:7" x14ac:dyDescent="0.2">
      <c r="A279" s="1226"/>
      <c r="E279" s="1226"/>
      <c r="F279" s="35"/>
      <c r="G279" s="1226"/>
    </row>
    <row r="280" spans="1:7" x14ac:dyDescent="0.2">
      <c r="A280" s="1226"/>
      <c r="E280" s="1226"/>
      <c r="F280" s="35"/>
      <c r="G280" s="1226"/>
    </row>
    <row r="281" spans="1:7" x14ac:dyDescent="0.2">
      <c r="A281" s="1226"/>
      <c r="E281" s="1226"/>
      <c r="F281" s="35"/>
      <c r="G281" s="1226"/>
    </row>
    <row r="282" spans="1:7" x14ac:dyDescent="0.2">
      <c r="A282" s="1226"/>
      <c r="E282" s="1226"/>
      <c r="F282" s="35"/>
      <c r="G282" s="1226"/>
    </row>
    <row r="283" spans="1:7" x14ac:dyDescent="0.2">
      <c r="A283" s="1226"/>
      <c r="E283" s="1226"/>
      <c r="F283" s="35"/>
      <c r="G283" s="1226"/>
    </row>
    <row r="284" spans="1:7" x14ac:dyDescent="0.2">
      <c r="A284" s="1226"/>
      <c r="E284" s="1226"/>
      <c r="F284" s="35"/>
      <c r="G284" s="1226"/>
    </row>
    <row r="285" spans="1:7" x14ac:dyDescent="0.2">
      <c r="A285" s="1226"/>
      <c r="E285" s="1226"/>
      <c r="F285" s="35"/>
      <c r="G285" s="1226"/>
    </row>
    <row r="286" spans="1:7" x14ac:dyDescent="0.2">
      <c r="A286" s="1226"/>
      <c r="E286" s="1226"/>
      <c r="F286" s="35"/>
      <c r="G286" s="1226"/>
    </row>
    <row r="287" spans="1:7" x14ac:dyDescent="0.2">
      <c r="A287" s="1226"/>
      <c r="E287" s="1226"/>
      <c r="F287" s="35"/>
      <c r="G287" s="1226"/>
    </row>
    <row r="288" spans="1:7" x14ac:dyDescent="0.2">
      <c r="A288" s="1226"/>
      <c r="E288" s="1226"/>
      <c r="F288" s="35"/>
      <c r="G288" s="1226"/>
    </row>
    <row r="289" spans="1:7" x14ac:dyDescent="0.2">
      <c r="A289" s="1226"/>
      <c r="E289" s="1226"/>
      <c r="F289" s="35"/>
      <c r="G289" s="1226"/>
    </row>
    <row r="290" spans="1:7" x14ac:dyDescent="0.2">
      <c r="A290" s="1226"/>
      <c r="E290" s="1226"/>
      <c r="F290" s="35"/>
      <c r="G290" s="1226"/>
    </row>
    <row r="291" spans="1:7" x14ac:dyDescent="0.2">
      <c r="A291" s="1226"/>
      <c r="E291" s="1226"/>
      <c r="F291" s="35"/>
      <c r="G291" s="1226"/>
    </row>
    <row r="292" spans="1:7" x14ac:dyDescent="0.2">
      <c r="A292" s="1226"/>
      <c r="E292" s="1226"/>
      <c r="F292" s="35"/>
      <c r="G292" s="1226"/>
    </row>
    <row r="293" spans="1:7" x14ac:dyDescent="0.2">
      <c r="A293" s="1226"/>
      <c r="E293" s="1226"/>
      <c r="F293" s="35"/>
      <c r="G293" s="1226"/>
    </row>
    <row r="294" spans="1:7" x14ac:dyDescent="0.2">
      <c r="A294" s="1226"/>
      <c r="E294" s="1226"/>
      <c r="F294" s="35"/>
      <c r="G294" s="1226"/>
    </row>
    <row r="295" spans="1:7" x14ac:dyDescent="0.2">
      <c r="A295" s="1226"/>
      <c r="E295" s="1226"/>
      <c r="F295" s="35"/>
      <c r="G295" s="1226"/>
    </row>
    <row r="296" spans="1:7" x14ac:dyDescent="0.2">
      <c r="A296" s="1226"/>
      <c r="E296" s="1226"/>
      <c r="F296" s="35"/>
      <c r="G296" s="1226"/>
    </row>
    <row r="297" spans="1:7" x14ac:dyDescent="0.2">
      <c r="A297" s="1226"/>
      <c r="E297" s="1226"/>
      <c r="F297" s="35"/>
      <c r="G297" s="1226"/>
    </row>
    <row r="298" spans="1:7" x14ac:dyDescent="0.2">
      <c r="A298" s="1226"/>
      <c r="E298" s="1226"/>
      <c r="F298" s="35"/>
      <c r="G298" s="1226"/>
    </row>
    <row r="299" spans="1:7" x14ac:dyDescent="0.2">
      <c r="A299" s="1226"/>
      <c r="E299" s="1226"/>
      <c r="F299" s="35"/>
      <c r="G299" s="1226"/>
    </row>
    <row r="300" spans="1:7" x14ac:dyDescent="0.2">
      <c r="A300" s="1226"/>
      <c r="E300" s="1226"/>
      <c r="F300" s="35"/>
      <c r="G300" s="1226"/>
    </row>
    <row r="301" spans="1:7" x14ac:dyDescent="0.2">
      <c r="A301" s="1226"/>
      <c r="E301" s="1226"/>
      <c r="F301" s="35"/>
      <c r="G301" s="1226"/>
    </row>
    <row r="302" spans="1:7" x14ac:dyDescent="0.2">
      <c r="A302" s="1226"/>
      <c r="E302" s="1226"/>
      <c r="F302" s="35"/>
      <c r="G302" s="1226"/>
    </row>
    <row r="303" spans="1:7" x14ac:dyDescent="0.2">
      <c r="A303" s="1226"/>
      <c r="E303" s="1226"/>
      <c r="F303" s="35"/>
      <c r="G303" s="1226"/>
    </row>
    <row r="304" spans="1:7" x14ac:dyDescent="0.2">
      <c r="A304" s="1226"/>
      <c r="E304" s="1226"/>
      <c r="F304" s="35"/>
      <c r="G304" s="1226"/>
    </row>
    <row r="305" spans="1:7" x14ac:dyDescent="0.2">
      <c r="A305" s="1226"/>
      <c r="E305" s="1226"/>
      <c r="F305" s="35"/>
      <c r="G305" s="1226"/>
    </row>
    <row r="306" spans="1:7" x14ac:dyDescent="0.2">
      <c r="A306" s="1226"/>
      <c r="E306" s="1226"/>
      <c r="F306" s="35"/>
      <c r="G306" s="1226"/>
    </row>
    <row r="307" spans="1:7" x14ac:dyDescent="0.2">
      <c r="A307" s="1226"/>
      <c r="E307" s="1226"/>
      <c r="F307" s="35"/>
      <c r="G307" s="1226"/>
    </row>
    <row r="308" spans="1:7" x14ac:dyDescent="0.2">
      <c r="A308" s="1226"/>
      <c r="E308" s="1226"/>
      <c r="F308" s="35"/>
      <c r="G308" s="1226"/>
    </row>
    <row r="309" spans="1:7" x14ac:dyDescent="0.2">
      <c r="A309" s="1226"/>
      <c r="E309" s="1226"/>
      <c r="F309" s="35"/>
      <c r="G309" s="1226"/>
    </row>
    <row r="310" spans="1:7" x14ac:dyDescent="0.2">
      <c r="A310" s="1226"/>
      <c r="E310" s="1226"/>
      <c r="F310" s="35"/>
      <c r="G310" s="1226"/>
    </row>
    <row r="311" spans="1:7" x14ac:dyDescent="0.2">
      <c r="A311" s="1226"/>
      <c r="E311" s="1226"/>
      <c r="F311" s="35"/>
      <c r="G311" s="1226"/>
    </row>
    <row r="312" spans="1:7" x14ac:dyDescent="0.2">
      <c r="A312" s="1226"/>
      <c r="E312" s="1226"/>
      <c r="F312" s="35"/>
      <c r="G312" s="1226"/>
    </row>
    <row r="313" spans="1:7" x14ac:dyDescent="0.2">
      <c r="A313" s="1226"/>
      <c r="E313" s="1226"/>
      <c r="F313" s="35"/>
      <c r="G313" s="1226"/>
    </row>
    <row r="314" spans="1:7" x14ac:dyDescent="0.2">
      <c r="A314" s="1226"/>
      <c r="E314" s="1226"/>
      <c r="F314" s="35"/>
      <c r="G314" s="1226"/>
    </row>
    <row r="315" spans="1:7" x14ac:dyDescent="0.2">
      <c r="A315" s="1226"/>
      <c r="E315" s="1226"/>
      <c r="F315" s="35"/>
      <c r="G315" s="1226"/>
    </row>
    <row r="316" spans="1:7" x14ac:dyDescent="0.2">
      <c r="A316" s="1226"/>
      <c r="E316" s="1226"/>
      <c r="F316" s="35"/>
      <c r="G316" s="1226"/>
    </row>
    <row r="317" spans="1:7" x14ac:dyDescent="0.2">
      <c r="A317" s="1226"/>
      <c r="E317" s="1226"/>
      <c r="F317" s="35"/>
      <c r="G317" s="1226"/>
    </row>
    <row r="318" spans="1:7" x14ac:dyDescent="0.2">
      <c r="A318" s="1226"/>
      <c r="E318" s="1226"/>
      <c r="F318" s="35"/>
      <c r="G318" s="1226"/>
    </row>
    <row r="319" spans="1:7" x14ac:dyDescent="0.2">
      <c r="A319" s="1226"/>
      <c r="E319" s="1226"/>
      <c r="F319" s="35"/>
      <c r="G319" s="1226"/>
    </row>
    <row r="320" spans="1:7" x14ac:dyDescent="0.2">
      <c r="A320" s="1226"/>
      <c r="E320" s="1226"/>
      <c r="F320" s="35"/>
      <c r="G320" s="1226"/>
    </row>
    <row r="321" spans="1:7" x14ac:dyDescent="0.2">
      <c r="A321" s="1226"/>
      <c r="E321" s="1226"/>
      <c r="F321" s="35"/>
      <c r="G321" s="1226"/>
    </row>
    <row r="322" spans="1:7" x14ac:dyDescent="0.2">
      <c r="A322" s="1226"/>
      <c r="E322" s="1226"/>
      <c r="F322" s="35"/>
      <c r="G322" s="1226"/>
    </row>
    <row r="323" spans="1:7" x14ac:dyDescent="0.2">
      <c r="A323" s="1226"/>
      <c r="E323" s="1226"/>
      <c r="F323" s="35"/>
      <c r="G323" s="1226"/>
    </row>
    <row r="324" spans="1:7" x14ac:dyDescent="0.2">
      <c r="A324" s="1226"/>
      <c r="E324" s="1226"/>
      <c r="F324" s="35"/>
      <c r="G324" s="1226"/>
    </row>
    <row r="325" spans="1:7" x14ac:dyDescent="0.2">
      <c r="A325" s="1226"/>
      <c r="E325" s="1226"/>
      <c r="F325" s="35"/>
      <c r="G325" s="1226"/>
    </row>
    <row r="326" spans="1:7" x14ac:dyDescent="0.2">
      <c r="A326" s="1226"/>
      <c r="E326" s="1226"/>
      <c r="F326" s="35"/>
      <c r="G326" s="1226"/>
    </row>
    <row r="327" spans="1:7" x14ac:dyDescent="0.2">
      <c r="A327" s="1226"/>
      <c r="E327" s="1226"/>
      <c r="F327" s="35"/>
      <c r="G327" s="1226"/>
    </row>
    <row r="328" spans="1:7" x14ac:dyDescent="0.2">
      <c r="A328" s="1226"/>
      <c r="E328" s="1226"/>
      <c r="F328" s="35"/>
      <c r="G328" s="1226"/>
    </row>
    <row r="329" spans="1:7" x14ac:dyDescent="0.2">
      <c r="A329" s="1226"/>
      <c r="E329" s="1226"/>
      <c r="F329" s="35"/>
      <c r="G329" s="1226"/>
    </row>
    <row r="330" spans="1:7" x14ac:dyDescent="0.2">
      <c r="A330" s="1226"/>
      <c r="E330" s="1226"/>
      <c r="F330" s="35"/>
      <c r="G330" s="1226"/>
    </row>
    <row r="331" spans="1:7" x14ac:dyDescent="0.2">
      <c r="A331" s="1226"/>
      <c r="E331" s="1226"/>
      <c r="F331" s="35"/>
      <c r="G331" s="1226"/>
    </row>
    <row r="332" spans="1:7" x14ac:dyDescent="0.2">
      <c r="A332" s="1226"/>
      <c r="E332" s="1226"/>
      <c r="F332" s="35"/>
      <c r="G332" s="1226"/>
    </row>
    <row r="333" spans="1:7" x14ac:dyDescent="0.2">
      <c r="A333" s="1226"/>
      <c r="E333" s="1226"/>
      <c r="F333" s="35"/>
      <c r="G333" s="1226"/>
    </row>
    <row r="334" spans="1:7" x14ac:dyDescent="0.2">
      <c r="A334" s="1226"/>
      <c r="E334" s="1226"/>
      <c r="F334" s="35"/>
      <c r="G334" s="1226"/>
    </row>
    <row r="335" spans="1:7" x14ac:dyDescent="0.2">
      <c r="A335" s="1226"/>
      <c r="E335" s="1226"/>
      <c r="F335" s="35"/>
      <c r="G335" s="1226"/>
    </row>
    <row r="336" spans="1:7" x14ac:dyDescent="0.2">
      <c r="A336" s="1226"/>
      <c r="E336" s="1226"/>
      <c r="F336" s="35"/>
      <c r="G336" s="1226"/>
    </row>
    <row r="337" spans="1:7" x14ac:dyDescent="0.2">
      <c r="A337" s="1226"/>
      <c r="E337" s="1226"/>
      <c r="F337" s="35"/>
      <c r="G337" s="1226"/>
    </row>
    <row r="338" spans="1:7" x14ac:dyDescent="0.2">
      <c r="A338" s="1226"/>
      <c r="E338" s="1226"/>
      <c r="F338" s="35"/>
      <c r="G338" s="1226"/>
    </row>
    <row r="339" spans="1:7" x14ac:dyDescent="0.2">
      <c r="A339" s="1226"/>
      <c r="E339" s="1226"/>
      <c r="F339" s="35"/>
      <c r="G339" s="1226"/>
    </row>
    <row r="340" spans="1:7" x14ac:dyDescent="0.2">
      <c r="A340" s="1226"/>
      <c r="E340" s="1226"/>
      <c r="F340" s="35"/>
      <c r="G340" s="1226"/>
    </row>
    <row r="341" spans="1:7" x14ac:dyDescent="0.2">
      <c r="A341" s="1226"/>
      <c r="E341" s="1226"/>
      <c r="F341" s="35"/>
      <c r="G341" s="1226"/>
    </row>
    <row r="342" spans="1:7" x14ac:dyDescent="0.2">
      <c r="A342" s="1226"/>
      <c r="E342" s="1226"/>
      <c r="F342" s="35"/>
      <c r="G342" s="1226"/>
    </row>
    <row r="343" spans="1:7" x14ac:dyDescent="0.2">
      <c r="A343" s="1226"/>
      <c r="E343" s="1226"/>
      <c r="F343" s="35"/>
      <c r="G343" s="1226"/>
    </row>
    <row r="344" spans="1:7" x14ac:dyDescent="0.2">
      <c r="A344" s="1226"/>
      <c r="E344" s="1226"/>
      <c r="F344" s="35"/>
      <c r="G344" s="1226"/>
    </row>
    <row r="345" spans="1:7" x14ac:dyDescent="0.2">
      <c r="A345" s="1226"/>
      <c r="E345" s="1226"/>
      <c r="F345" s="35"/>
      <c r="G345" s="1226"/>
    </row>
    <row r="346" spans="1:7" x14ac:dyDescent="0.2">
      <c r="A346" s="1226"/>
      <c r="E346" s="1226"/>
      <c r="F346" s="35"/>
      <c r="G346" s="1226"/>
    </row>
    <row r="347" spans="1:7" x14ac:dyDescent="0.2">
      <c r="A347" s="1226"/>
      <c r="E347" s="1226"/>
      <c r="F347" s="35"/>
      <c r="G347" s="1226"/>
    </row>
    <row r="348" spans="1:7" x14ac:dyDescent="0.2">
      <c r="A348" s="1226"/>
      <c r="E348" s="1226"/>
      <c r="F348" s="35"/>
      <c r="G348" s="1226"/>
    </row>
    <row r="349" spans="1:7" x14ac:dyDescent="0.2">
      <c r="A349" s="1226"/>
      <c r="E349" s="1226"/>
      <c r="F349" s="35"/>
      <c r="G349" s="1226"/>
    </row>
    <row r="350" spans="1:7" x14ac:dyDescent="0.2">
      <c r="A350" s="1226"/>
      <c r="E350" s="1226"/>
      <c r="F350" s="35"/>
      <c r="G350" s="1226"/>
    </row>
    <row r="351" spans="1:7" x14ac:dyDescent="0.2">
      <c r="A351" s="1226"/>
      <c r="E351" s="1226"/>
      <c r="F351" s="35"/>
      <c r="G351" s="1226"/>
    </row>
    <row r="352" spans="1:7" x14ac:dyDescent="0.2">
      <c r="A352" s="1226"/>
      <c r="E352" s="1226"/>
      <c r="F352" s="35"/>
      <c r="G352" s="1226"/>
    </row>
    <row r="353" spans="1:7" x14ac:dyDescent="0.2">
      <c r="A353" s="1226"/>
      <c r="E353" s="1226"/>
      <c r="F353" s="35"/>
      <c r="G353" s="1226"/>
    </row>
    <row r="354" spans="1:7" x14ac:dyDescent="0.2">
      <c r="A354" s="1226"/>
      <c r="E354" s="1226"/>
      <c r="F354" s="35"/>
      <c r="G354" s="1226"/>
    </row>
    <row r="355" spans="1:7" x14ac:dyDescent="0.2">
      <c r="A355" s="1226"/>
      <c r="E355" s="1226"/>
      <c r="F355" s="35"/>
      <c r="G355" s="1226"/>
    </row>
    <row r="356" spans="1:7" x14ac:dyDescent="0.2">
      <c r="A356" s="1226"/>
      <c r="E356" s="1226"/>
      <c r="F356" s="35"/>
      <c r="G356" s="1226"/>
    </row>
    <row r="357" spans="1:7" x14ac:dyDescent="0.2">
      <c r="A357" s="1226"/>
      <c r="E357" s="1226"/>
      <c r="F357" s="35"/>
      <c r="G357" s="1226"/>
    </row>
    <row r="358" spans="1:7" x14ac:dyDescent="0.2">
      <c r="A358" s="1226"/>
      <c r="E358" s="1226"/>
      <c r="F358" s="35"/>
      <c r="G358" s="1226"/>
    </row>
    <row r="359" spans="1:7" x14ac:dyDescent="0.2">
      <c r="A359" s="1226"/>
      <c r="E359" s="1226"/>
      <c r="F359" s="35"/>
      <c r="G359" s="1226"/>
    </row>
    <row r="360" spans="1:7" x14ac:dyDescent="0.2">
      <c r="A360" s="1226"/>
      <c r="E360" s="1226"/>
      <c r="F360" s="35"/>
      <c r="G360" s="1226"/>
    </row>
    <row r="361" spans="1:7" x14ac:dyDescent="0.2">
      <c r="A361" s="1226"/>
      <c r="E361" s="1226"/>
      <c r="F361" s="35"/>
      <c r="G361" s="1226"/>
    </row>
    <row r="362" spans="1:7" x14ac:dyDescent="0.2">
      <c r="A362" s="1226"/>
      <c r="E362" s="1226"/>
      <c r="F362" s="35"/>
      <c r="G362" s="1226"/>
    </row>
    <row r="363" spans="1:7" x14ac:dyDescent="0.2">
      <c r="A363" s="1226"/>
      <c r="E363" s="1226"/>
      <c r="F363" s="35"/>
      <c r="G363" s="1226"/>
    </row>
    <row r="364" spans="1:7" x14ac:dyDescent="0.2">
      <c r="A364" s="1226"/>
      <c r="E364" s="1226"/>
      <c r="F364" s="35"/>
      <c r="G364" s="1226"/>
    </row>
    <row r="365" spans="1:7" x14ac:dyDescent="0.2">
      <c r="A365" s="1226"/>
      <c r="E365" s="1226"/>
      <c r="F365" s="35"/>
      <c r="G365" s="1226"/>
    </row>
    <row r="366" spans="1:7" x14ac:dyDescent="0.2">
      <c r="A366" s="1226"/>
      <c r="E366" s="1226"/>
      <c r="F366" s="35"/>
      <c r="G366" s="1226"/>
    </row>
    <row r="367" spans="1:7" x14ac:dyDescent="0.2">
      <c r="A367" s="1226"/>
      <c r="E367" s="1226"/>
      <c r="F367" s="35"/>
      <c r="G367" s="1226"/>
    </row>
  </sheetData>
  <mergeCells count="11">
    <mergeCell ref="B1:F1"/>
    <mergeCell ref="B35:B52"/>
    <mergeCell ref="B54:E54"/>
    <mergeCell ref="B55:B76"/>
    <mergeCell ref="B31:D32"/>
    <mergeCell ref="B34:E34"/>
    <mergeCell ref="B20:E20"/>
    <mergeCell ref="B21:B28"/>
    <mergeCell ref="B3:D4"/>
    <mergeCell ref="B6:E6"/>
    <mergeCell ref="B7:B18"/>
  </mergeCell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sheetPr codeName="Лист26"/>
  <dimension ref="A1:DZ403"/>
  <sheetViews>
    <sheetView workbookViewId="0">
      <selection activeCell="D35" sqref="D35"/>
    </sheetView>
  </sheetViews>
  <sheetFormatPr defaultRowHeight="15" x14ac:dyDescent="0.2"/>
  <cols>
    <col min="1" max="1" width="2.85546875" style="314" customWidth="1"/>
    <col min="2" max="2" width="29.5703125" style="1936" customWidth="1"/>
    <col min="3" max="3" width="9.140625" style="1936" customWidth="1"/>
    <col min="4" max="4" width="40" style="1936" customWidth="1"/>
    <col min="5" max="5" width="3.42578125" style="10" bestFit="1" customWidth="1"/>
    <col min="6" max="7" width="9.140625" style="1454" customWidth="1"/>
    <col min="8" max="8" width="8" style="6" customWidth="1"/>
    <col min="9" max="9" width="10.7109375" style="20" bestFit="1" customWidth="1"/>
    <col min="10" max="10" width="3.140625" style="771" customWidth="1"/>
    <col min="11" max="11" width="3.140625" style="771" hidden="1" customWidth="1"/>
    <col min="12" max="12" width="5.140625" style="8" hidden="1" customWidth="1"/>
    <col min="13" max="17" width="8.5703125" style="8" hidden="1" customWidth="1"/>
    <col min="18" max="18" width="27.42578125" style="8" hidden="1" customWidth="1"/>
    <col min="19" max="19" width="11.140625" style="8" hidden="1" customWidth="1"/>
    <col min="20" max="20" width="37" style="8" hidden="1" customWidth="1"/>
    <col min="21" max="21" width="9.5703125" style="8" hidden="1" customWidth="1"/>
    <col min="22" max="29" width="9.140625" style="8" hidden="1" customWidth="1"/>
    <col min="30" max="30" width="4" style="8" hidden="1" customWidth="1"/>
    <col min="31" max="32" width="9.140625" style="8" hidden="1" customWidth="1"/>
    <col min="33" max="38" width="9.140625" style="771" hidden="1" customWidth="1"/>
    <col min="39" max="39" width="4" style="771" hidden="1" customWidth="1"/>
    <col min="40" max="47" width="9.140625" style="771" hidden="1" customWidth="1"/>
    <col min="48" max="48" width="4" style="771" hidden="1" customWidth="1"/>
    <col min="49" max="58" width="9.140625" style="771" hidden="1" customWidth="1"/>
    <col min="59" max="59" width="25.140625" style="771" hidden="1" customWidth="1"/>
    <col min="60" max="83" width="9.140625" style="771" hidden="1" customWidth="1"/>
    <col min="84" max="84" width="9.140625" style="771" customWidth="1"/>
    <col min="85" max="85" width="9.140625" style="771"/>
    <col min="86" max="86" width="9.85546875" style="771" customWidth="1"/>
    <col min="87" max="89" width="9.5703125" style="771" customWidth="1"/>
    <col min="90" max="123" width="9.140625" style="771"/>
    <col min="124" max="16384" width="9.140625" style="1936"/>
  </cols>
  <sheetData>
    <row r="1" spans="1:90" s="771" customFormat="1" ht="4.5" customHeight="1" x14ac:dyDescent="0.2">
      <c r="A1" s="889"/>
      <c r="E1" s="774"/>
      <c r="F1" s="1438"/>
      <c r="G1" s="1438"/>
      <c r="H1" s="801"/>
      <c r="I1" s="887"/>
      <c r="AA1" s="771">
        <v>270</v>
      </c>
    </row>
    <row r="2" spans="1:90" s="771" customFormat="1" ht="40.5" customHeight="1" x14ac:dyDescent="0.2">
      <c r="A2" s="2390" t="s">
        <v>5162</v>
      </c>
      <c r="B2" s="2390"/>
      <c r="C2" s="2390"/>
      <c r="D2" s="2390"/>
      <c r="E2" s="2390"/>
      <c r="F2" s="2390"/>
      <c r="G2" s="2390"/>
      <c r="H2" s="1591"/>
      <c r="I2" s="1591"/>
      <c r="AA2" s="771">
        <f>IF($D$3="Гавана Коричневый",350,300)</f>
        <v>300</v>
      </c>
      <c r="AB2" s="771">
        <f>IF(D3="Гавана Коричневый",500,450)</f>
        <v>450</v>
      </c>
    </row>
    <row r="3" spans="1:90" s="771" customFormat="1" ht="18.75" customHeight="1" x14ac:dyDescent="0.25">
      <c r="A3" s="843"/>
      <c r="B3" s="906" t="s">
        <v>2402</v>
      </c>
      <c r="C3" s="907" t="s">
        <v>2395</v>
      </c>
      <c r="D3" s="1512" t="s">
        <v>2396</v>
      </c>
      <c r="E3" s="774"/>
      <c r="F3" s="1438"/>
      <c r="G3" s="1438"/>
      <c r="H3" s="801"/>
      <c r="I3" s="887"/>
      <c r="V3" s="1936" t="s">
        <v>4422</v>
      </c>
      <c r="X3" s="884" t="s">
        <v>2396</v>
      </c>
      <c r="AA3" s="771">
        <f>IF($D$3="Гавана Коричневый",400,350)</f>
        <v>350</v>
      </c>
      <c r="AB3" s="771">
        <f>IF(D3="Гавана Коричневый","",500)</f>
        <v>500</v>
      </c>
    </row>
    <row r="4" spans="1:90" s="771" customFormat="1" ht="15" hidden="1" customHeight="1" x14ac:dyDescent="0.25">
      <c r="A4" s="889"/>
      <c r="B4" s="890"/>
      <c r="D4" s="1513" t="str">
        <f>'9.1'!$D$4</f>
        <v>Промышленная</v>
      </c>
      <c r="E4" s="774"/>
      <c r="F4" s="1438"/>
      <c r="G4" s="1438"/>
      <c r="H4" s="801"/>
      <c r="I4" s="887"/>
      <c r="V4" s="771" t="s">
        <v>4420</v>
      </c>
      <c r="X4" s="771" t="s">
        <v>2398</v>
      </c>
      <c r="AA4" s="771">
        <f>IF($D$3="Гавана Коричневый",450,400)</f>
        <v>400</v>
      </c>
    </row>
    <row r="5" spans="1:90" s="771" customFormat="1" ht="15" hidden="1" customHeight="1" x14ac:dyDescent="0.2">
      <c r="A5" s="889"/>
      <c r="E5" s="774"/>
      <c r="F5" s="1438"/>
      <c r="G5" s="1438"/>
      <c r="H5" s="801"/>
      <c r="I5" s="887"/>
      <c r="V5" s="1936" t="s">
        <v>4421</v>
      </c>
      <c r="X5" s="771" t="s">
        <v>2397</v>
      </c>
      <c r="AA5" s="771">
        <f>IF($D$3="Гавана Коричневый",500,450)</f>
        <v>450</v>
      </c>
    </row>
    <row r="6" spans="1:90" s="771" customFormat="1" ht="5.25" customHeight="1" x14ac:dyDescent="0.2">
      <c r="A6" s="889"/>
      <c r="E6" s="774"/>
      <c r="F6" s="1438"/>
      <c r="G6" s="1438"/>
      <c r="H6" s="801"/>
      <c r="I6" s="887"/>
      <c r="X6" s="771" t="str">
        <f>IF(OR(D4="Торговая",D4="Индивидуальная"),"","Гавана Коричневый")</f>
        <v>Гавана Коричневый</v>
      </c>
      <c r="AA6" s="771">
        <f>IF($D$3="Гавана Коричневый",0,500)</f>
        <v>500</v>
      </c>
    </row>
    <row r="7" spans="1:90" s="771" customFormat="1" ht="15" hidden="1" customHeight="1" x14ac:dyDescent="0.2">
      <c r="A7" s="889"/>
      <c r="B7" s="908"/>
      <c r="C7" s="908"/>
      <c r="E7" s="774"/>
      <c r="F7" s="1438"/>
      <c r="G7" s="1438"/>
      <c r="H7" s="801"/>
      <c r="I7" s="887"/>
    </row>
    <row r="8" spans="1:90" ht="20.100000000000001" customHeight="1" x14ac:dyDescent="0.2">
      <c r="A8" s="2401"/>
      <c r="B8" s="2393" t="s">
        <v>2351</v>
      </c>
      <c r="C8" s="2394"/>
      <c r="D8" s="2394"/>
      <c r="E8" s="2394"/>
      <c r="F8" s="2394"/>
      <c r="G8" s="2394"/>
      <c r="H8" s="2395"/>
      <c r="I8" s="688"/>
      <c r="J8" s="782"/>
      <c r="K8" s="782"/>
    </row>
    <row r="9" spans="1:90" ht="20.100000000000001" customHeight="1" thickBot="1" x14ac:dyDescent="0.25">
      <c r="A9" s="2401"/>
      <c r="B9" s="2396"/>
      <c r="C9" s="2396"/>
      <c r="D9" s="2396"/>
      <c r="E9" s="2396"/>
      <c r="F9" s="2396"/>
      <c r="G9" s="2396"/>
      <c r="H9" s="2397"/>
      <c r="I9" s="1514" t="str">
        <f>CONCATENATE("N",$C$11,$D$3)</f>
        <v>N500ORION матово-серый</v>
      </c>
      <c r="J9" s="782"/>
      <c r="K9" s="782"/>
    </row>
    <row r="10" spans="1:90" ht="12.75" customHeight="1" x14ac:dyDescent="0.2">
      <c r="A10" s="842"/>
      <c r="B10" s="1524" t="s">
        <v>7034</v>
      </c>
      <c r="C10" s="2391" t="str">
        <f>IFERROR(IF(D4="Индивидуальная",VLOOKUP(I9,Индивидуальная,2,FALSE),""),"")</f>
        <v/>
      </c>
      <c r="D10" s="2391"/>
      <c r="E10" s="691"/>
      <c r="F10" s="2134" t="s">
        <v>1182</v>
      </c>
      <c r="G10" s="2134"/>
      <c r="H10" s="2134"/>
      <c r="I10" s="2135"/>
      <c r="J10" s="782"/>
      <c r="K10" s="782"/>
    </row>
    <row r="11" spans="1:90" ht="15.75" customHeight="1" thickBot="1" x14ac:dyDescent="0.25">
      <c r="A11" s="842"/>
      <c r="B11" s="844" t="s">
        <v>1639</v>
      </c>
      <c r="C11" s="850">
        <v>500</v>
      </c>
      <c r="D11" s="845" t="s">
        <v>1689</v>
      </c>
      <c r="E11" s="846"/>
      <c r="F11" s="1439"/>
      <c r="G11" s="1439"/>
      <c r="H11" s="847"/>
      <c r="I11" s="2388" t="str">
        <f>IF(СОДЕРЖАНИЕ!P2=1,"EUR","RUB")</f>
        <v>RUB</v>
      </c>
      <c r="J11" s="782"/>
      <c r="K11" s="782"/>
      <c r="M11" s="2398" t="str">
        <f>$D$3</f>
        <v>ORION матово-серый</v>
      </c>
      <c r="N11" s="2399"/>
      <c r="O11" s="2399"/>
      <c r="P11" s="2399"/>
      <c r="Q11" s="2399"/>
      <c r="R11" s="2399"/>
      <c r="S11" s="2399"/>
      <c r="T11" s="2400"/>
      <c r="V11" s="2404" t="s">
        <v>2357</v>
      </c>
      <c r="W11" s="2404"/>
      <c r="X11" s="2404"/>
      <c r="Y11" s="2404"/>
      <c r="Z11" s="2404"/>
      <c r="AA11" s="2404"/>
      <c r="AB11" s="2404"/>
      <c r="AC11" s="2404"/>
      <c r="AE11" s="2408" t="s">
        <v>2389</v>
      </c>
      <c r="AF11" s="2408"/>
      <c r="AG11" s="2408"/>
      <c r="AH11" s="2408"/>
      <c r="AI11" s="2408"/>
      <c r="AJ11" s="2408"/>
      <c r="AK11" s="2408"/>
      <c r="AL11" s="2408"/>
      <c r="AM11" s="8"/>
      <c r="AN11" s="2427" t="s">
        <v>2390</v>
      </c>
      <c r="AO11" s="2428"/>
      <c r="AP11" s="2428"/>
      <c r="AQ11" s="2428"/>
      <c r="AR11" s="2428"/>
      <c r="AS11" s="2428"/>
      <c r="AT11" s="2428"/>
      <c r="AU11" s="2428"/>
      <c r="AV11" s="8"/>
      <c r="AW11" s="2425" t="s">
        <v>3159</v>
      </c>
      <c r="AX11" s="2426"/>
      <c r="AY11" s="2426"/>
      <c r="AZ11" s="2426"/>
      <c r="BA11" s="2426"/>
      <c r="BB11" s="2426"/>
      <c r="BC11" s="2426"/>
      <c r="BD11" s="2426"/>
      <c r="BG11" s="771">
        <v>500</v>
      </c>
      <c r="BH11" s="1938" t="s">
        <v>1645</v>
      </c>
      <c r="BI11" s="1938" t="s">
        <v>1644</v>
      </c>
      <c r="BJ11" s="8" t="s">
        <v>1641</v>
      </c>
      <c r="BK11" s="8" t="s">
        <v>1642</v>
      </c>
      <c r="BL11" s="1938" t="s">
        <v>2393</v>
      </c>
      <c r="BM11" s="1938" t="s">
        <v>2394</v>
      </c>
      <c r="BN11" s="8" t="s">
        <v>2391</v>
      </c>
      <c r="BO11" s="8" t="s">
        <v>2392</v>
      </c>
      <c r="BQ11" s="2422" t="s">
        <v>4420</v>
      </c>
      <c r="BR11" s="2422"/>
      <c r="CK11" s="771" t="s">
        <v>3171</v>
      </c>
      <c r="CL11" s="771" t="s">
        <v>3171</v>
      </c>
    </row>
    <row r="12" spans="1:90" ht="9.9499999999999993" customHeight="1" x14ac:dyDescent="0.2">
      <c r="A12" s="2402"/>
      <c r="B12" s="2403"/>
      <c r="C12" s="1860" t="s">
        <v>1301</v>
      </c>
      <c r="D12" s="1861" t="s">
        <v>784</v>
      </c>
      <c r="E12" s="1862" t="s">
        <v>2117</v>
      </c>
      <c r="F12" s="1863" t="s">
        <v>4335</v>
      </c>
      <c r="G12" s="1863" t="s">
        <v>4335</v>
      </c>
      <c r="H12" s="1864" t="s">
        <v>2116</v>
      </c>
      <c r="I12" s="2389"/>
      <c r="J12" s="786"/>
      <c r="K12" s="786"/>
      <c r="V12" s="88"/>
    </row>
    <row r="13" spans="1:90" ht="12.75" customHeight="1" x14ac:dyDescent="0.2">
      <c r="A13" s="2402"/>
      <c r="B13" s="2403"/>
      <c r="C13" s="1865" t="s">
        <v>2376</v>
      </c>
      <c r="D13" s="1866" t="str">
        <f>VLOOKUP(C13,всецены,2,FALSE)</f>
        <v xml:space="preserve">LBX, Крепление фасада N, EXPANDO, симм  </v>
      </c>
      <c r="E13" s="1867">
        <v>2</v>
      </c>
      <c r="F13" s="1868">
        <f>VLOOKUP(C13,всецены,4,FALSE)</f>
        <v>52.858806000000008</v>
      </c>
      <c r="G13" s="1869">
        <f>IF($C$11=450,F13,IF($D$4="Индивидуальная",0,F13))</f>
        <v>52.858806000000008</v>
      </c>
      <c r="H13" s="1870">
        <f>G13*E13</f>
        <v>105.71761200000002</v>
      </c>
      <c r="I13" s="2385">
        <f>IF(C10="",SUM(H13:H21),VLOOKUP(C10,всецены,4,FALSE))</f>
        <v>4136.8114788000003</v>
      </c>
      <c r="J13" s="786"/>
      <c r="K13" s="786"/>
      <c r="L13" s="96" t="s">
        <v>1640</v>
      </c>
      <c r="M13" s="884" t="s">
        <v>2396</v>
      </c>
      <c r="N13" s="884" t="s">
        <v>2396</v>
      </c>
      <c r="Q13" s="884" t="s">
        <v>2396</v>
      </c>
      <c r="R13" s="884" t="s">
        <v>2396</v>
      </c>
      <c r="S13" s="884" t="s">
        <v>2396</v>
      </c>
      <c r="T13" s="884" t="s">
        <v>2396</v>
      </c>
      <c r="U13" s="96" t="s">
        <v>1640</v>
      </c>
      <c r="V13" s="884" t="s">
        <v>2396</v>
      </c>
      <c r="W13" s="884" t="s">
        <v>2396</v>
      </c>
      <c r="Z13" s="884" t="s">
        <v>2396</v>
      </c>
      <c r="AA13" s="884" t="s">
        <v>2396</v>
      </c>
      <c r="AB13" s="884" t="s">
        <v>2396</v>
      </c>
      <c r="AC13" s="884" t="s">
        <v>2396</v>
      </c>
      <c r="AD13" s="96" t="s">
        <v>1640</v>
      </c>
      <c r="AE13" s="771" t="s">
        <v>2398</v>
      </c>
      <c r="AF13" s="771" t="s">
        <v>2398</v>
      </c>
      <c r="AG13" s="8"/>
      <c r="AH13" s="8"/>
      <c r="AI13" s="771" t="s">
        <v>2398</v>
      </c>
      <c r="AJ13" s="771" t="s">
        <v>2398</v>
      </c>
      <c r="AK13" s="771" t="s">
        <v>2398</v>
      </c>
      <c r="AL13" s="771" t="s">
        <v>2398</v>
      </c>
      <c r="AM13" s="96" t="s">
        <v>1640</v>
      </c>
      <c r="AN13" s="771" t="s">
        <v>2397</v>
      </c>
      <c r="AO13" s="771" t="s">
        <v>2397</v>
      </c>
      <c r="AP13" s="8"/>
      <c r="AQ13" s="8"/>
      <c r="AR13" s="771" t="s">
        <v>2397</v>
      </c>
      <c r="AS13" s="771" t="s">
        <v>2397</v>
      </c>
      <c r="AT13" s="771" t="s">
        <v>2397</v>
      </c>
      <c r="AU13" s="771" t="s">
        <v>2397</v>
      </c>
      <c r="AV13" s="96" t="s">
        <v>1640</v>
      </c>
      <c r="AW13" s="771" t="s">
        <v>2397</v>
      </c>
      <c r="AX13" s="771" t="s">
        <v>2397</v>
      </c>
      <c r="AY13" s="8"/>
      <c r="AZ13" s="8"/>
      <c r="BA13" s="771" t="s">
        <v>2397</v>
      </c>
      <c r="BB13" s="771" t="s">
        <v>2397</v>
      </c>
      <c r="BC13" s="771" t="s">
        <v>2397</v>
      </c>
      <c r="BD13" s="771" t="s">
        <v>2397</v>
      </c>
      <c r="BG13" s="1090" t="s">
        <v>2396</v>
      </c>
      <c r="BH13" s="1084" t="str">
        <f>IF(D4="Торговая",BQ14,"3121421/")</f>
        <v>3121421/</v>
      </c>
      <c r="BI13" s="1084" t="str">
        <f>IF(D4="Торговая","","2935182/")</f>
        <v>2935182/</v>
      </c>
      <c r="BJ13" s="1085" t="s">
        <v>2307</v>
      </c>
      <c r="BK13" s="1085" t="s">
        <v>2302</v>
      </c>
      <c r="BL13" s="1091" t="s">
        <v>2370</v>
      </c>
      <c r="BM13" s="1078" t="s">
        <v>2311</v>
      </c>
      <c r="BN13" s="1084" t="s">
        <v>2375</v>
      </c>
      <c r="BO13" s="1084" t="s">
        <v>2359</v>
      </c>
      <c r="BQ13" s="1534" t="s">
        <v>3743</v>
      </c>
      <c r="BR13" s="1534" t="s">
        <v>3744</v>
      </c>
    </row>
    <row r="14" spans="1:90" ht="12.75" customHeight="1" x14ac:dyDescent="0.2">
      <c r="A14" s="2402"/>
      <c r="B14" s="2403"/>
      <c r="C14" s="1865" t="str">
        <f>S16</f>
        <v>6795287/</v>
      </c>
      <c r="D14" s="1866" t="str">
        <f>VLOOKUP(C14,всецены,2,FALSE)</f>
        <v xml:space="preserve">LBX, Держат. задн. ст, 78 мм, сер, лев  </v>
      </c>
      <c r="E14" s="1867">
        <v>1</v>
      </c>
      <c r="F14" s="1868">
        <f>VLOOKUP(C14,всецены,4,FALSE)</f>
        <v>36.594558000000006</v>
      </c>
      <c r="G14" s="1869">
        <f t="shared" ref="G14:G21" si="0">IF($C$11=450,F14,IF($D$4="Индивидуальная",0,F14))</f>
        <v>36.594558000000006</v>
      </c>
      <c r="H14" s="1870">
        <f t="shared" ref="H14:H21" si="1">G14*E14</f>
        <v>36.594558000000006</v>
      </c>
      <c r="I14" s="2386"/>
      <c r="J14" s="782"/>
      <c r="K14" s="782"/>
      <c r="M14" s="1938" t="s">
        <v>1645</v>
      </c>
      <c r="N14" s="1938" t="s">
        <v>1644</v>
      </c>
      <c r="O14" s="8" t="s">
        <v>1641</v>
      </c>
      <c r="P14" s="8" t="s">
        <v>1642</v>
      </c>
      <c r="Q14" s="1938" t="s">
        <v>2393</v>
      </c>
      <c r="R14" s="1938" t="s">
        <v>2394</v>
      </c>
      <c r="S14" s="8" t="s">
        <v>2391</v>
      </c>
      <c r="T14" s="8" t="s">
        <v>2392</v>
      </c>
      <c r="V14" s="1938" t="s">
        <v>1645</v>
      </c>
      <c r="W14" s="1938" t="s">
        <v>1644</v>
      </c>
      <c r="X14" s="8" t="s">
        <v>1641</v>
      </c>
      <c r="Y14" s="8" t="s">
        <v>1642</v>
      </c>
      <c r="Z14" s="1938" t="s">
        <v>2393</v>
      </c>
      <c r="AA14" s="1938" t="s">
        <v>2394</v>
      </c>
      <c r="AB14" s="8" t="s">
        <v>2391</v>
      </c>
      <c r="AC14" s="8" t="s">
        <v>2392</v>
      </c>
      <c r="AE14" s="1938" t="s">
        <v>1645</v>
      </c>
      <c r="AF14" s="1938" t="s">
        <v>1644</v>
      </c>
      <c r="AG14" s="8" t="s">
        <v>1641</v>
      </c>
      <c r="AH14" s="8" t="s">
        <v>1642</v>
      </c>
      <c r="AI14" s="1938" t="s">
        <v>2393</v>
      </c>
      <c r="AJ14" s="1938" t="s">
        <v>2394</v>
      </c>
      <c r="AK14" s="8" t="s">
        <v>2391</v>
      </c>
      <c r="AL14" s="8" t="s">
        <v>2392</v>
      </c>
      <c r="AM14" s="8"/>
      <c r="AN14" s="1938" t="s">
        <v>1645</v>
      </c>
      <c r="AO14" s="1938" t="s">
        <v>1644</v>
      </c>
      <c r="AP14" s="8" t="s">
        <v>1641</v>
      </c>
      <c r="AQ14" s="8" t="s">
        <v>1642</v>
      </c>
      <c r="AR14" s="1938" t="s">
        <v>2393</v>
      </c>
      <c r="AS14" s="1938" t="s">
        <v>2394</v>
      </c>
      <c r="AT14" s="8" t="s">
        <v>2391</v>
      </c>
      <c r="AU14" s="8" t="s">
        <v>2392</v>
      </c>
      <c r="AV14" s="8"/>
      <c r="AW14" s="1938" t="s">
        <v>1645</v>
      </c>
      <c r="AX14" s="1938" t="s">
        <v>1644</v>
      </c>
      <c r="AY14" s="8" t="s">
        <v>1641</v>
      </c>
      <c r="AZ14" s="8" t="s">
        <v>1642</v>
      </c>
      <c r="BA14" s="1938" t="s">
        <v>2393</v>
      </c>
      <c r="BB14" s="1938" t="s">
        <v>2394</v>
      </c>
      <c r="BC14" s="8" t="s">
        <v>2391</v>
      </c>
      <c r="BD14" s="8" t="s">
        <v>2392</v>
      </c>
      <c r="BG14" s="1088" t="s">
        <v>2398</v>
      </c>
      <c r="BH14" s="1084" t="str">
        <f>IF(D4="Торговая",BQ16,"3718725/")</f>
        <v>3718725/</v>
      </c>
      <c r="BI14" s="1084" t="str">
        <f>IF(D4="Торговая","","3474945/")</f>
        <v>3474945/</v>
      </c>
      <c r="BJ14" s="1085" t="s">
        <v>2307</v>
      </c>
      <c r="BK14" s="1085" t="s">
        <v>2302</v>
      </c>
      <c r="BL14" s="1088" t="s">
        <v>2361</v>
      </c>
      <c r="BM14" s="1088" t="s">
        <v>2330</v>
      </c>
      <c r="BN14" s="1088" t="s">
        <v>2371</v>
      </c>
      <c r="BO14" s="1088" t="s">
        <v>2374</v>
      </c>
      <c r="BQ14" s="1534" t="s">
        <v>4453</v>
      </c>
      <c r="BR14" s="1534" t="s">
        <v>4454</v>
      </c>
    </row>
    <row r="15" spans="1:90" ht="12.75" customHeight="1" x14ac:dyDescent="0.2">
      <c r="A15" s="2402"/>
      <c r="B15" s="2403"/>
      <c r="C15" s="1865" t="str">
        <f>T16</f>
        <v>1471609/</v>
      </c>
      <c r="D15" s="1866" t="str">
        <f>VLOOKUP(C15,всецены,2,FALSE)</f>
        <v xml:space="preserve">LBX, Держат. задн. ст, 78 мм, сер, прав </v>
      </c>
      <c r="E15" s="1867">
        <v>1</v>
      </c>
      <c r="F15" s="1868">
        <f>VLOOKUP(C15,всецены,4,FALSE)</f>
        <v>36.594558000000006</v>
      </c>
      <c r="G15" s="1869">
        <f t="shared" si="0"/>
        <v>36.594558000000006</v>
      </c>
      <c r="H15" s="1870">
        <f t="shared" si="1"/>
        <v>36.594558000000006</v>
      </c>
      <c r="I15" s="2386"/>
      <c r="J15" s="782"/>
      <c r="K15" s="782"/>
      <c r="L15" s="8">
        <v>450</v>
      </c>
      <c r="M15" s="892" t="str">
        <f>VLOOKUP($M$11,$BG$18:$BO$21,2,FALSE)</f>
        <v>9950830/</v>
      </c>
      <c r="N15" s="892">
        <f>VLOOKUP($M$11,$BG$18:$BO$21,3,FALSE)</f>
        <v>0</v>
      </c>
      <c r="O15" s="892" t="str">
        <f>VLOOKUP($M$11,$BG$18:$BO$21,4,FALSE)</f>
        <v>9337924/</v>
      </c>
      <c r="P15" s="892" t="str">
        <f>VLOOKUP($M$11,$BG$18:$BO$21,5,FALSE)</f>
        <v>9287449/</v>
      </c>
      <c r="Q15" s="164" t="s">
        <v>2370</v>
      </c>
      <c r="R15" s="43" t="s">
        <v>2311</v>
      </c>
      <c r="S15" s="138" t="s">
        <v>2375</v>
      </c>
      <c r="T15" s="138" t="s">
        <v>2359</v>
      </c>
      <c r="U15" s="8">
        <v>450</v>
      </c>
      <c r="V15" s="1854" t="s">
        <v>3743</v>
      </c>
      <c r="W15" s="2"/>
      <c r="X15" s="1088" t="s">
        <v>2993</v>
      </c>
      <c r="Y15" s="1088" t="s">
        <v>2992</v>
      </c>
      <c r="Z15" s="164" t="s">
        <v>2370</v>
      </c>
      <c r="AA15" s="43" t="s">
        <v>2486</v>
      </c>
      <c r="AB15" s="138" t="s">
        <v>2375</v>
      </c>
      <c r="AC15" s="138" t="s">
        <v>2359</v>
      </c>
      <c r="AD15" s="8">
        <v>450</v>
      </c>
      <c r="AE15" s="1852" t="s">
        <v>4079</v>
      </c>
      <c r="AF15" s="2"/>
      <c r="AG15" s="1088" t="s">
        <v>2993</v>
      </c>
      <c r="AH15" s="1088" t="s">
        <v>2992</v>
      </c>
      <c r="AI15" s="888" t="s">
        <v>2361</v>
      </c>
      <c r="AJ15" s="771" t="s">
        <v>2377</v>
      </c>
      <c r="AK15" s="888" t="s">
        <v>2371</v>
      </c>
      <c r="AL15" s="888" t="s">
        <v>2374</v>
      </c>
      <c r="AM15" s="8">
        <v>450</v>
      </c>
      <c r="AN15" s="1853" t="s">
        <v>4088</v>
      </c>
      <c r="AO15" s="2"/>
      <c r="AP15" s="1088" t="s">
        <v>2993</v>
      </c>
      <c r="AQ15" s="1088" t="s">
        <v>2992</v>
      </c>
      <c r="AR15" s="696" t="s">
        <v>2448</v>
      </c>
      <c r="AS15" s="696" t="s">
        <v>2342</v>
      </c>
      <c r="AT15" s="771" t="s">
        <v>2378</v>
      </c>
      <c r="AU15" s="771" t="s">
        <v>2379</v>
      </c>
      <c r="AV15" s="8">
        <v>450</v>
      </c>
      <c r="AW15" s="1084"/>
      <c r="AX15" s="1084"/>
      <c r="AY15" s="1085"/>
      <c r="AZ15" s="1085"/>
      <c r="BA15" s="1085"/>
      <c r="BB15" s="1085"/>
      <c r="BC15" s="1085"/>
      <c r="BD15" s="1085"/>
      <c r="BG15" s="1088" t="s">
        <v>2397</v>
      </c>
      <c r="BH15" s="1088" t="str">
        <f>IF(D4="Торговая",BQ18,"6322031/")</f>
        <v>6322031/</v>
      </c>
      <c r="BI15" s="1088" t="str">
        <f>IF(D4="Торговая","","6321792/")</f>
        <v>6321792/</v>
      </c>
      <c r="BJ15" s="1085" t="s">
        <v>2307</v>
      </c>
      <c r="BK15" s="1085" t="s">
        <v>2302</v>
      </c>
      <c r="BL15" s="1088" t="s">
        <v>2448</v>
      </c>
      <c r="BM15" s="1084" t="s">
        <v>2342</v>
      </c>
      <c r="BN15" s="1088" t="s">
        <v>2378</v>
      </c>
      <c r="BO15" s="1088" t="s">
        <v>2379</v>
      </c>
      <c r="BQ15" s="1534" t="s">
        <v>4079</v>
      </c>
      <c r="BR15" s="1534" t="s">
        <v>4467</v>
      </c>
    </row>
    <row r="16" spans="1:90" ht="12.75" customHeight="1" x14ac:dyDescent="0.2">
      <c r="A16" s="2402"/>
      <c r="B16" s="2403"/>
      <c r="C16" s="1871" t="str">
        <f>IF(C19=0,"",Q16)</f>
        <v>4129500/</v>
      </c>
      <c r="D16" s="1866" t="str">
        <f>IF(C16="","",VLOOKUP(C16,всецены,2,FALSE))</f>
        <v xml:space="preserve">LBX, ЗАГЛ, ВНУТР, СЕР, СИММ (N)         </v>
      </c>
      <c r="E16" s="1867">
        <f>IF(C16="",0,2)</f>
        <v>2</v>
      </c>
      <c r="F16" s="1868">
        <f>IF(C16="",0,VLOOKUP(C16,всецены,4,FALSE))</f>
        <v>8.9453364000000004</v>
      </c>
      <c r="G16" s="1869">
        <f t="shared" si="0"/>
        <v>8.9453364000000004</v>
      </c>
      <c r="H16" s="1870">
        <f t="shared" si="1"/>
        <v>17.890672800000001</v>
      </c>
      <c r="I16" s="2386"/>
      <c r="J16" s="782"/>
      <c r="K16" s="782"/>
      <c r="L16" s="8">
        <v>500</v>
      </c>
      <c r="M16" s="892" t="str">
        <f>VLOOKUP($M$11,$BG$13:$BO$16,2,FALSE)</f>
        <v>3121421/</v>
      </c>
      <c r="N16" s="892" t="str">
        <f>VLOOKUP($M$11,$BG$13:$BO$16,3,FALSE)</f>
        <v>2935182/</v>
      </c>
      <c r="O16" s="892" t="str">
        <f>VLOOKUP($M$11,$BG$13:$BO$16,4,FALSE)</f>
        <v>4922514/</v>
      </c>
      <c r="P16" s="892" t="str">
        <f>VLOOKUP($M$11,$BG$13:$BO$16,5,FALSE)</f>
        <v>4737284/</v>
      </c>
      <c r="Q16" s="892" t="str">
        <f>IF(D4="Торговая","",VLOOKUP($M$11,$BG$13:$BO$16,6,FALSE))</f>
        <v>4129500/</v>
      </c>
      <c r="R16" s="892" t="str">
        <f>IF(D4="Торговая","",VLOOKUP($M$11,$BG$13:$BO$16,7,FALSE))</f>
        <v>5077340/</v>
      </c>
      <c r="S16" s="892" t="str">
        <f>VLOOKUP($M$11,$BG$13:$BO$16,8,FALSE)</f>
        <v>6795287/</v>
      </c>
      <c r="T16" s="892" t="str">
        <f>VLOOKUP($M$11,$BG$13:$BO$16,9,FALSE)</f>
        <v>1471609/</v>
      </c>
      <c r="U16" s="8">
        <v>500</v>
      </c>
      <c r="V16" s="2" t="str">
        <f>IF(D4="Торговая",BQ14,"3121421/")</f>
        <v>3121421/</v>
      </c>
      <c r="W16" s="2" t="s">
        <v>2362</v>
      </c>
      <c r="X16" s="696" t="s">
        <v>2307</v>
      </c>
      <c r="Y16" s="696" t="s">
        <v>2302</v>
      </c>
      <c r="Z16" s="164" t="s">
        <v>2370</v>
      </c>
      <c r="AA16" s="43" t="s">
        <v>2486</v>
      </c>
      <c r="AB16" s="138" t="s">
        <v>2375</v>
      </c>
      <c r="AC16" s="138" t="s">
        <v>2359</v>
      </c>
      <c r="AD16" s="8">
        <v>500</v>
      </c>
      <c r="AE16" s="2" t="s">
        <v>2369</v>
      </c>
      <c r="AF16" s="2" t="s">
        <v>2368</v>
      </c>
      <c r="AG16" s="696" t="s">
        <v>2307</v>
      </c>
      <c r="AH16" s="696" t="s">
        <v>2302</v>
      </c>
      <c r="AI16" s="888" t="s">
        <v>2361</v>
      </c>
      <c r="AJ16" s="771" t="s">
        <v>2377</v>
      </c>
      <c r="AK16" s="888" t="s">
        <v>2371</v>
      </c>
      <c r="AL16" s="888" t="s">
        <v>2374</v>
      </c>
      <c r="AM16" s="8">
        <v>500</v>
      </c>
      <c r="AN16" s="771" t="s">
        <v>2492</v>
      </c>
      <c r="AO16" s="771" t="s">
        <v>2491</v>
      </c>
      <c r="AP16" s="696" t="s">
        <v>2307</v>
      </c>
      <c r="AQ16" s="696" t="s">
        <v>2302</v>
      </c>
      <c r="AR16" s="696" t="s">
        <v>2448</v>
      </c>
      <c r="AS16" s="696" t="s">
        <v>2342</v>
      </c>
      <c r="AT16" s="771" t="s">
        <v>2378</v>
      </c>
      <c r="AU16" s="771" t="s">
        <v>2379</v>
      </c>
      <c r="AV16" s="8">
        <v>500</v>
      </c>
      <c r="AW16" s="1086" t="s">
        <v>3062</v>
      </c>
      <c r="AX16" s="1086" t="s">
        <v>3061</v>
      </c>
      <c r="AY16" s="696" t="s">
        <v>2307</v>
      </c>
      <c r="AZ16" s="696" t="s">
        <v>2302</v>
      </c>
      <c r="BA16" s="1087" t="s">
        <v>3077</v>
      </c>
      <c r="BB16" s="1086" t="s">
        <v>2852</v>
      </c>
      <c r="BC16" s="1086" t="s">
        <v>3089</v>
      </c>
      <c r="BD16" s="1086" t="s">
        <v>3083</v>
      </c>
      <c r="BG16" s="1088" t="s">
        <v>3159</v>
      </c>
      <c r="BH16" s="1078" t="s">
        <v>3062</v>
      </c>
      <c r="BI16" s="1078" t="s">
        <v>3061</v>
      </c>
      <c r="BJ16" s="1085" t="s">
        <v>2307</v>
      </c>
      <c r="BK16" s="1085" t="s">
        <v>2302</v>
      </c>
      <c r="BL16" s="1078" t="s">
        <v>3077</v>
      </c>
      <c r="BM16" s="1078" t="s">
        <v>2852</v>
      </c>
      <c r="BN16" s="1078" t="s">
        <v>3089</v>
      </c>
      <c r="BO16" s="1078" t="s">
        <v>3083</v>
      </c>
      <c r="BQ16" s="1534" t="s">
        <v>4468</v>
      </c>
      <c r="BR16" s="1534" t="s">
        <v>4469</v>
      </c>
    </row>
    <row r="17" spans="1:130" ht="12.75" customHeight="1" x14ac:dyDescent="0.2">
      <c r="A17" s="843"/>
      <c r="B17" s="2403"/>
      <c r="C17" s="1871" t="str">
        <f>IF(C19=0,"",R16)</f>
        <v>5077340/</v>
      </c>
      <c r="D17" s="1866" t="str">
        <f>IF(C17="","",VLOOKUP(C17,всецены,2,FALSE))</f>
        <v xml:space="preserve">LBX, Загл, наружн, сер, симм            </v>
      </c>
      <c r="E17" s="1867">
        <f>IF(C17="",0,2)</f>
        <v>2</v>
      </c>
      <c r="F17" s="1868">
        <f>IF(C17="",0,VLOOKUP(C17,всецены,4,FALSE))</f>
        <v>7.3189116000000007</v>
      </c>
      <c r="G17" s="1869">
        <f t="shared" si="0"/>
        <v>7.3189116000000007</v>
      </c>
      <c r="H17" s="1870">
        <f t="shared" si="1"/>
        <v>14.637823200000001</v>
      </c>
      <c r="I17" s="2386"/>
      <c r="J17" s="782"/>
      <c r="K17" s="782"/>
      <c r="M17" s="8">
        <v>2</v>
      </c>
      <c r="N17" s="8">
        <v>3</v>
      </c>
      <c r="O17" s="8">
        <v>4</v>
      </c>
      <c r="P17" s="8">
        <v>5</v>
      </c>
      <c r="Q17" s="8">
        <v>6</v>
      </c>
      <c r="R17" s="8">
        <v>7</v>
      </c>
      <c r="S17" s="8">
        <v>8</v>
      </c>
      <c r="T17" s="8">
        <v>9</v>
      </c>
      <c r="BG17" s="771">
        <v>450</v>
      </c>
      <c r="BH17" s="1938" t="s">
        <v>1645</v>
      </c>
      <c r="BI17" s="1938" t="s">
        <v>1644</v>
      </c>
      <c r="BJ17" s="8" t="s">
        <v>1641</v>
      </c>
      <c r="BK17" s="8" t="s">
        <v>1642</v>
      </c>
      <c r="BL17" s="1938" t="s">
        <v>2393</v>
      </c>
      <c r="BM17" s="1938" t="s">
        <v>2394</v>
      </c>
      <c r="BN17" s="8" t="s">
        <v>2391</v>
      </c>
      <c r="BO17" s="8" t="s">
        <v>2392</v>
      </c>
      <c r="BQ17" s="1534" t="s">
        <v>4088</v>
      </c>
      <c r="BR17" s="1534" t="s">
        <v>4486</v>
      </c>
    </row>
    <row r="18" spans="1:130" ht="12.75" customHeight="1" x14ac:dyDescent="0.2">
      <c r="A18" s="843"/>
      <c r="B18" s="2383"/>
      <c r="C18" s="1872" t="str">
        <f>VLOOKUP(C11,L15:P16,2,0)</f>
        <v>3121421/</v>
      </c>
      <c r="D18" s="1866" t="str">
        <f>IF(C18=0,0,VLOOKUP(C18,всецены,2,FALSE))</f>
        <v xml:space="preserve">LBX, Боковина N 66,3/500 мм, сер, лев   </v>
      </c>
      <c r="E18" s="1867">
        <v>1</v>
      </c>
      <c r="F18" s="1868">
        <f>VLOOKUP(C18,всецены,4,FALSE)</f>
        <v>574.12795440000002</v>
      </c>
      <c r="G18" s="1869">
        <f t="shared" si="0"/>
        <v>574.12795440000002</v>
      </c>
      <c r="H18" s="1870">
        <f t="shared" si="1"/>
        <v>574.12795440000002</v>
      </c>
      <c r="I18" s="2386"/>
      <c r="J18" s="782"/>
      <c r="K18" s="782"/>
      <c r="BG18" s="1090" t="s">
        <v>2396</v>
      </c>
      <c r="BH18" s="771" t="str">
        <f>IF($D$4="Торговая",BQ13,V15)</f>
        <v>9950830/</v>
      </c>
      <c r="BI18" s="771">
        <f>IF(D4="Торговая",BQ13,W15)</f>
        <v>0</v>
      </c>
      <c r="BJ18" s="771" t="s">
        <v>2993</v>
      </c>
      <c r="BK18" s="771" t="s">
        <v>2992</v>
      </c>
      <c r="BL18" s="1091" t="s">
        <v>2370</v>
      </c>
      <c r="BM18" s="1078" t="s">
        <v>2311</v>
      </c>
      <c r="BN18" s="1084" t="s">
        <v>2375</v>
      </c>
      <c r="BO18" s="1084" t="s">
        <v>2359</v>
      </c>
      <c r="BQ18" s="1534" t="s">
        <v>4487</v>
      </c>
      <c r="BR18" s="1534" t="s">
        <v>4488</v>
      </c>
    </row>
    <row r="19" spans="1:130" ht="12.75" customHeight="1" x14ac:dyDescent="0.2">
      <c r="A19" s="843"/>
      <c r="B19" s="2383"/>
      <c r="C19" s="1872" t="str">
        <f>IF(OR(MID(D18,35,3)="кмп",MID(D18,35,3)=" км"),0,IFERROR(VLOOKUP(C11,L15:P16,3,0),""))</f>
        <v>2935182/</v>
      </c>
      <c r="D19" s="1866" t="str">
        <f>IF(C19=0,0,IF(C19="","",VLOOKUP(C19,всецены,2,FALSE)))</f>
        <v xml:space="preserve">LBX, Боковина N 66,3/500 мм, сер, прав  </v>
      </c>
      <c r="E19" s="1867">
        <f>IF(C19="",0,1)</f>
        <v>1</v>
      </c>
      <c r="F19" s="1868">
        <f>IF(D19=0,0,IF(C19="",0,VLOOKUP(C19,всецены,4,FALSE)))</f>
        <v>574.12795440000002</v>
      </c>
      <c r="G19" s="1869">
        <f t="shared" si="0"/>
        <v>574.12795440000002</v>
      </c>
      <c r="H19" s="1870">
        <f t="shared" si="1"/>
        <v>574.12795440000002</v>
      </c>
      <c r="I19" s="2386"/>
      <c r="J19" s="782"/>
      <c r="K19" s="782"/>
      <c r="AN19" s="1936"/>
      <c r="AW19" s="1936"/>
      <c r="BG19" s="1088" t="s">
        <v>2398</v>
      </c>
      <c r="BH19" s="771" t="str">
        <f>IF($D$4="Торговая",$BQ$15,AE15)</f>
        <v>9968111/</v>
      </c>
      <c r="BI19" s="771">
        <f>IF($D$4="Торговая",$BQ$15,AF15)</f>
        <v>0</v>
      </c>
      <c r="BJ19" s="771" t="s">
        <v>2993</v>
      </c>
      <c r="BK19" s="771" t="s">
        <v>2992</v>
      </c>
      <c r="BL19" s="1088" t="s">
        <v>2361</v>
      </c>
      <c r="BM19" s="1088" t="s">
        <v>2330</v>
      </c>
      <c r="BN19" s="1088" t="s">
        <v>2371</v>
      </c>
      <c r="BO19" s="1088" t="s">
        <v>2374</v>
      </c>
    </row>
    <row r="20" spans="1:130" ht="12.75" customHeight="1" x14ac:dyDescent="0.2">
      <c r="A20" s="843"/>
      <c r="B20" s="2383"/>
      <c r="C20" s="1954" t="str">
        <f>IF(C11&lt;350,$N$41,$N$42)</f>
        <v>1365128/</v>
      </c>
      <c r="D20" s="1955" t="str">
        <f>IF(C20=0,0,VLOOKUP(C20,всецены,2,FALSE))</f>
        <v>LBX, Tip-on BM, L3, 350-750 кмп T60L7540</v>
      </c>
      <c r="E20" s="1956">
        <v>1</v>
      </c>
      <c r="F20" s="1957">
        <f>VLOOKUP(C20,всецены,4,FALSE)</f>
        <v>1107.5952887999999</v>
      </c>
      <c r="G20" s="1958">
        <f t="shared" si="0"/>
        <v>1107.5952887999999</v>
      </c>
      <c r="H20" s="1959">
        <f t="shared" si="1"/>
        <v>1107.5952887999999</v>
      </c>
      <c r="I20" s="2386"/>
      <c r="J20" s="782"/>
      <c r="K20" s="782"/>
      <c r="AN20" s="1936"/>
      <c r="AW20" s="1936"/>
      <c r="BG20" s="1088" t="s">
        <v>2397</v>
      </c>
      <c r="BH20" s="771" t="str">
        <f>IF($D$4="Торговая",$BQ$17,AN15)</f>
        <v>9976170/</v>
      </c>
      <c r="BI20" s="771">
        <f>IF($D$4="Торговая",$BQ$17,AO15)</f>
        <v>0</v>
      </c>
      <c r="BJ20" s="771" t="s">
        <v>2993</v>
      </c>
      <c r="BK20" s="771" t="s">
        <v>2992</v>
      </c>
      <c r="BL20" s="1088" t="s">
        <v>2448</v>
      </c>
      <c r="BM20" s="1084" t="s">
        <v>2342</v>
      </c>
      <c r="BN20" s="1088" t="s">
        <v>2378</v>
      </c>
      <c r="BO20" s="1088" t="s">
        <v>2379</v>
      </c>
    </row>
    <row r="21" spans="1:130" ht="12.75" customHeight="1" thickBot="1" x14ac:dyDescent="0.25">
      <c r="B21" s="2133"/>
      <c r="C21" s="1960" t="str">
        <f>VLOOKUP(C11,$M$44:$N$49,2,0)</f>
        <v>9554467/</v>
      </c>
      <c r="D21" s="1953" t="str">
        <f>IF(C21=0,0,VLOOKUP(C21,всецены,2,FALSE))</f>
        <v>LBX, Напр.Tip-on BM,500 мм,кмп 750.5001M</v>
      </c>
      <c r="E21" s="1961">
        <v>1</v>
      </c>
      <c r="F21" s="1962">
        <f>VLOOKUP(C21,всецены,4,FALSE)</f>
        <v>1669.5250572</v>
      </c>
      <c r="G21" s="1963">
        <f t="shared" si="0"/>
        <v>1669.5250572</v>
      </c>
      <c r="H21" s="1964">
        <f t="shared" si="1"/>
        <v>1669.5250572</v>
      </c>
      <c r="I21" s="2387"/>
      <c r="BG21" s="1088" t="s">
        <v>3159</v>
      </c>
    </row>
    <row r="22" spans="1:130" ht="12.75" customHeight="1" x14ac:dyDescent="0.2">
      <c r="B22" s="1381" t="s">
        <v>3551</v>
      </c>
      <c r="C22" s="875"/>
      <c r="D22" s="28"/>
      <c r="E22" s="781"/>
      <c r="F22" s="1539"/>
      <c r="G22" s="1539"/>
      <c r="H22" s="787"/>
      <c r="I22" s="771"/>
      <c r="K22" s="8"/>
      <c r="AF22" s="771"/>
      <c r="DT22" s="771"/>
      <c r="DU22" s="771"/>
      <c r="DV22" s="771"/>
      <c r="DW22" s="771"/>
      <c r="DX22" s="771"/>
      <c r="DY22" s="771"/>
      <c r="DZ22" s="771"/>
    </row>
    <row r="23" spans="1:130" ht="8.1" customHeight="1" x14ac:dyDescent="0.2">
      <c r="B23" s="28"/>
      <c r="C23" s="8"/>
      <c r="D23" s="8"/>
      <c r="E23" s="1938"/>
      <c r="F23" s="1441"/>
      <c r="G23" s="1441"/>
      <c r="H23" s="37"/>
      <c r="I23" s="35"/>
      <c r="J23" s="782"/>
      <c r="K23" s="782"/>
      <c r="L23" s="771"/>
      <c r="M23" s="771"/>
      <c r="N23" s="771"/>
      <c r="O23" s="771"/>
      <c r="P23" s="771"/>
      <c r="Q23" s="771"/>
      <c r="R23" s="771"/>
      <c r="S23" s="771"/>
      <c r="T23" s="771"/>
      <c r="U23" s="771"/>
      <c r="V23" s="771"/>
      <c r="W23" s="771"/>
      <c r="X23" s="771"/>
      <c r="Y23" s="771"/>
      <c r="Z23" s="771"/>
      <c r="AA23" s="771"/>
      <c r="AB23" s="771"/>
      <c r="AC23" s="771"/>
      <c r="AD23" s="771"/>
      <c r="AE23" s="771"/>
      <c r="AF23" s="771"/>
    </row>
    <row r="24" spans="1:130" ht="20.100000000000001" customHeight="1" x14ac:dyDescent="0.2">
      <c r="A24" s="848"/>
      <c r="B24" s="2393" t="s">
        <v>2352</v>
      </c>
      <c r="C24" s="2394"/>
      <c r="D24" s="2394"/>
      <c r="E24" s="2394"/>
      <c r="F24" s="2394"/>
      <c r="G24" s="2394"/>
      <c r="H24" s="2395"/>
      <c r="I24" s="611"/>
      <c r="J24" s="782"/>
      <c r="K24" s="782"/>
    </row>
    <row r="25" spans="1:130" ht="20.100000000000001" customHeight="1" thickBot="1" x14ac:dyDescent="0.25">
      <c r="A25" s="848"/>
      <c r="B25" s="2394"/>
      <c r="C25" s="2394"/>
      <c r="D25" s="2394"/>
      <c r="E25" s="2394"/>
      <c r="F25" s="2394"/>
      <c r="G25" s="2394"/>
      <c r="H25" s="2395"/>
      <c r="I25" s="688" t="str">
        <f>CONCATENATE("M",$C$27,$D$3)</f>
        <v>M500ORION матово-серый</v>
      </c>
      <c r="J25" s="782"/>
      <c r="K25" s="782"/>
    </row>
    <row r="26" spans="1:130" ht="15" customHeight="1" x14ac:dyDescent="0.2">
      <c r="A26" s="849"/>
      <c r="B26" s="1524" t="str">
        <f>IF($D$3="Гавана Коричневый","270,350,400,450,500мм","270,300,350,400,450,500мм")</f>
        <v>270,300,350,400,450,500мм</v>
      </c>
      <c r="C26" s="1941" t="str">
        <f>IF(D4="Индивидуальная",IFERROR(VLOOKUP(I25,Индивидуальная,2,FALSE),""),"")</f>
        <v/>
      </c>
      <c r="D26" s="1525"/>
      <c r="E26" s="1525"/>
      <c r="F26" s="1525"/>
      <c r="G26" s="1525"/>
      <c r="H26" s="1526"/>
      <c r="I26" s="699"/>
      <c r="J26" s="782"/>
      <c r="K26" s="782"/>
    </row>
    <row r="27" spans="1:130" ht="15.75" customHeight="1" thickBot="1" x14ac:dyDescent="0.25">
      <c r="A27" s="849"/>
      <c r="B27" s="844" t="s">
        <v>1639</v>
      </c>
      <c r="C27" s="850">
        <v>500</v>
      </c>
      <c r="D27" s="852" t="s">
        <v>1689</v>
      </c>
      <c r="E27" s="852"/>
      <c r="F27" s="1442"/>
      <c r="G27" s="1442"/>
      <c r="H27" s="853"/>
      <c r="I27" s="2388" t="str">
        <f>IF(СОДЕРЖАНИЕ!P2=1,"EUR","RUB")</f>
        <v>RUB</v>
      </c>
      <c r="J27" s="782"/>
      <c r="K27" s="782"/>
      <c r="M27" s="2398" t="str">
        <f>$D$3</f>
        <v>ORION матово-серый</v>
      </c>
      <c r="N27" s="2399"/>
      <c r="O27" s="2399"/>
      <c r="P27" s="2399"/>
      <c r="Q27" s="2399"/>
      <c r="R27" s="2399"/>
      <c r="S27" s="2399"/>
      <c r="T27" s="2400"/>
      <c r="V27" s="2409" t="s">
        <v>2396</v>
      </c>
      <c r="W27" s="2410"/>
      <c r="X27" s="2410"/>
      <c r="Y27" s="2410"/>
      <c r="Z27" s="2410"/>
      <c r="AA27" s="2410"/>
      <c r="AB27" s="2410"/>
      <c r="AC27" s="2411"/>
      <c r="AE27" s="2408" t="s">
        <v>2398</v>
      </c>
      <c r="AF27" s="2408"/>
      <c r="AG27" s="2408"/>
      <c r="AH27" s="2408"/>
      <c r="AI27" s="2408"/>
      <c r="AJ27" s="2408"/>
      <c r="AK27" s="2408"/>
      <c r="AL27" s="2408"/>
      <c r="AM27" s="8"/>
      <c r="AN27" s="2429" t="s">
        <v>2397</v>
      </c>
      <c r="AO27" s="2429"/>
      <c r="AP27" s="2429"/>
      <c r="AQ27" s="2429"/>
      <c r="AR27" s="2429"/>
      <c r="AS27" s="2429"/>
      <c r="AT27" s="2429"/>
      <c r="AU27" s="2429"/>
      <c r="AV27" s="8"/>
      <c r="AW27" s="2425" t="s">
        <v>3159</v>
      </c>
      <c r="AX27" s="2426"/>
      <c r="AY27" s="2426"/>
      <c r="AZ27" s="2426"/>
      <c r="BA27" s="2426"/>
      <c r="BB27" s="2426"/>
      <c r="BC27" s="2426"/>
      <c r="BD27" s="2426"/>
      <c r="BX27" s="1943" t="s">
        <v>4420</v>
      </c>
      <c r="BY27" s="1943"/>
    </row>
    <row r="28" spans="1:130" ht="9.9499999999999993" customHeight="1" x14ac:dyDescent="0.2">
      <c r="A28" s="2412"/>
      <c r="B28" s="2383"/>
      <c r="C28" s="172" t="s">
        <v>1301</v>
      </c>
      <c r="D28" s="1895" t="s">
        <v>784</v>
      </c>
      <c r="E28" s="1862" t="s">
        <v>2117</v>
      </c>
      <c r="F28" s="1896"/>
      <c r="G28" s="1863" t="s">
        <v>4335</v>
      </c>
      <c r="H28" s="1897" t="s">
        <v>2116</v>
      </c>
      <c r="I28" s="2389"/>
      <c r="J28" s="786"/>
      <c r="K28" s="786"/>
      <c r="M28" s="88"/>
      <c r="V28" s="88"/>
      <c r="AE28" s="88"/>
      <c r="AG28" s="8"/>
      <c r="AH28" s="8"/>
      <c r="AI28" s="8"/>
      <c r="AJ28" s="8"/>
      <c r="AK28" s="8"/>
      <c r="AL28" s="8"/>
      <c r="AM28" s="8"/>
      <c r="AN28" s="88"/>
      <c r="AO28" s="8"/>
      <c r="AP28" s="8"/>
      <c r="AQ28" s="8"/>
      <c r="AV28" s="8"/>
      <c r="AW28" s="88"/>
      <c r="AX28" s="8"/>
      <c r="AY28" s="8"/>
      <c r="AZ28" s="8"/>
    </row>
    <row r="29" spans="1:130" ht="12.75" customHeight="1" x14ac:dyDescent="0.2">
      <c r="A29" s="2412"/>
      <c r="B29" s="2073"/>
      <c r="C29" s="1899" t="s">
        <v>2329</v>
      </c>
      <c r="D29" s="1899" t="str">
        <f t="shared" ref="D29:D34" si="2">VLOOKUP(C29,всецены,2,FALSE)</f>
        <v xml:space="preserve">LBX, Крепление фасада M, EXPANDO, симм  </v>
      </c>
      <c r="E29" s="1900">
        <v>2</v>
      </c>
      <c r="F29" s="1901">
        <f t="shared" ref="F29:F36" si="3">VLOOKUP(C29,всецены,4,FALSE)</f>
        <v>24.396372</v>
      </c>
      <c r="G29" s="1902">
        <f t="shared" ref="G29:G37" si="4">IF(AND($D$4="Индивидуальная",$C$26&lt;&gt;""),0,F29)</f>
        <v>24.396372</v>
      </c>
      <c r="H29" s="1903">
        <f>G29*E29</f>
        <v>48.792743999999999</v>
      </c>
      <c r="I29" s="2413">
        <f>IF(C26="",SUM(H29:H37),VLOOKUP(C26,всецены,4,FALSE))</f>
        <v>3907.4855819999998</v>
      </c>
      <c r="J29" s="782"/>
      <c r="K29" s="782">
        <v>1</v>
      </c>
      <c r="L29" s="895" t="s">
        <v>1646</v>
      </c>
      <c r="M29" s="894" t="str">
        <f>$M$27</f>
        <v>ORION матово-серый</v>
      </c>
      <c r="N29" s="894" t="str">
        <f t="shared" ref="N29:T29" si="5">$M$27</f>
        <v>ORION матово-серый</v>
      </c>
      <c r="O29" s="894" t="str">
        <f t="shared" si="5"/>
        <v>ORION матово-серый</v>
      </c>
      <c r="P29" s="894" t="str">
        <f t="shared" si="5"/>
        <v>ORION матово-серый</v>
      </c>
      <c r="Q29" s="894" t="str">
        <f t="shared" si="5"/>
        <v>ORION матово-серый</v>
      </c>
      <c r="R29" s="894" t="str">
        <f t="shared" si="5"/>
        <v>ORION матово-серый</v>
      </c>
      <c r="S29" s="894" t="str">
        <f t="shared" si="5"/>
        <v>ORION матово-серый</v>
      </c>
      <c r="T29" s="894" t="str">
        <f t="shared" si="5"/>
        <v>ORION матово-серый</v>
      </c>
      <c r="U29" s="96" t="s">
        <v>1646</v>
      </c>
      <c r="V29" s="884" t="s">
        <v>2396</v>
      </c>
      <c r="W29" s="884" t="s">
        <v>2396</v>
      </c>
      <c r="Z29" s="884" t="s">
        <v>2396</v>
      </c>
      <c r="AA29" s="884" t="s">
        <v>2396</v>
      </c>
      <c r="AB29" s="884" t="s">
        <v>2396</v>
      </c>
      <c r="AC29" s="884" t="s">
        <v>2396</v>
      </c>
      <c r="AD29" s="96" t="s">
        <v>1646</v>
      </c>
      <c r="AE29" s="771" t="s">
        <v>2398</v>
      </c>
      <c r="AF29" s="771" t="s">
        <v>2398</v>
      </c>
      <c r="AG29" s="8"/>
      <c r="AH29" s="8"/>
      <c r="AI29" s="771" t="s">
        <v>2398</v>
      </c>
      <c r="AJ29" s="771" t="s">
        <v>2398</v>
      </c>
      <c r="AK29" s="771" t="s">
        <v>2398</v>
      </c>
      <c r="AL29" s="771" t="s">
        <v>2398</v>
      </c>
      <c r="AM29" s="96" t="s">
        <v>1646</v>
      </c>
      <c r="AN29" s="771" t="s">
        <v>2397</v>
      </c>
      <c r="AO29" s="771" t="s">
        <v>2397</v>
      </c>
      <c r="AP29" s="8"/>
      <c r="AQ29" s="8"/>
      <c r="AR29" s="771" t="s">
        <v>2397</v>
      </c>
      <c r="AS29" s="771" t="s">
        <v>2397</v>
      </c>
      <c r="AT29" s="771" t="s">
        <v>2397</v>
      </c>
      <c r="AU29" s="771" t="s">
        <v>2397</v>
      </c>
      <c r="AV29" s="96" t="s">
        <v>1646</v>
      </c>
      <c r="AW29" s="771" t="s">
        <v>2397</v>
      </c>
      <c r="AX29" s="771" t="s">
        <v>2397</v>
      </c>
      <c r="AY29" s="8"/>
      <c r="AZ29" s="8"/>
      <c r="BA29" s="771" t="s">
        <v>2397</v>
      </c>
      <c r="BB29" s="771" t="s">
        <v>2397</v>
      </c>
      <c r="BC29" s="771" t="s">
        <v>2397</v>
      </c>
      <c r="BD29" s="771" t="s">
        <v>2397</v>
      </c>
      <c r="BG29" s="771" t="s">
        <v>1333</v>
      </c>
      <c r="BP29" s="771" t="s">
        <v>1183</v>
      </c>
      <c r="BX29" s="1944" t="s">
        <v>4489</v>
      </c>
      <c r="BY29" s="1944"/>
    </row>
    <row r="30" spans="1:130" ht="12.75" customHeight="1" thickBot="1" x14ac:dyDescent="0.25">
      <c r="A30" s="2412"/>
      <c r="B30" s="2073"/>
      <c r="C30" s="1899" t="str">
        <f>VLOOKUP($D$3,LBX.M,8,FALSE)</f>
        <v>8650259/</v>
      </c>
      <c r="D30" s="1899" t="str">
        <f t="shared" si="2"/>
        <v>LBX, Держат. задн. ст, 102 мм, сер, лев.</v>
      </c>
      <c r="E30" s="1900">
        <v>1</v>
      </c>
      <c r="F30" s="1901">
        <f t="shared" si="3"/>
        <v>35.781345600000002</v>
      </c>
      <c r="G30" s="1902">
        <f t="shared" si="4"/>
        <v>35.781345600000002</v>
      </c>
      <c r="H30" s="1904">
        <f t="shared" ref="H30:H36" si="6">G30*E30</f>
        <v>35.781345600000002</v>
      </c>
      <c r="I30" s="2413"/>
      <c r="J30" s="782"/>
      <c r="K30" s="782">
        <v>2</v>
      </c>
      <c r="L30" s="893"/>
      <c r="M30" s="895" t="s">
        <v>1645</v>
      </c>
      <c r="N30" s="895" t="s">
        <v>1644</v>
      </c>
      <c r="O30" s="893" t="s">
        <v>1641</v>
      </c>
      <c r="P30" s="893" t="s">
        <v>1642</v>
      </c>
      <c r="Q30" s="895" t="s">
        <v>2393</v>
      </c>
      <c r="R30" s="895" t="s">
        <v>2394</v>
      </c>
      <c r="S30" s="893" t="s">
        <v>2391</v>
      </c>
      <c r="T30" s="893" t="s">
        <v>2392</v>
      </c>
      <c r="V30" s="1938" t="s">
        <v>1645</v>
      </c>
      <c r="W30" s="1938" t="s">
        <v>1644</v>
      </c>
      <c r="X30" s="8" t="s">
        <v>1641</v>
      </c>
      <c r="Y30" s="8" t="s">
        <v>1642</v>
      </c>
      <c r="Z30" s="1938" t="s">
        <v>2393</v>
      </c>
      <c r="AA30" s="1938" t="s">
        <v>2394</v>
      </c>
      <c r="AB30" s="8" t="s">
        <v>2391</v>
      </c>
      <c r="AC30" s="8" t="s">
        <v>2392</v>
      </c>
      <c r="AE30" s="1938" t="s">
        <v>1645</v>
      </c>
      <c r="AF30" s="1938" t="s">
        <v>1644</v>
      </c>
      <c r="AG30" s="8" t="s">
        <v>1641</v>
      </c>
      <c r="AH30" s="8" t="s">
        <v>1642</v>
      </c>
      <c r="AI30" s="1938" t="s">
        <v>2393</v>
      </c>
      <c r="AJ30" s="1938" t="s">
        <v>2394</v>
      </c>
      <c r="AK30" s="8" t="s">
        <v>2391</v>
      </c>
      <c r="AL30" s="8" t="s">
        <v>2392</v>
      </c>
      <c r="AM30" s="8"/>
      <c r="AN30" s="1938" t="s">
        <v>1645</v>
      </c>
      <c r="AO30" s="1938" t="s">
        <v>1644</v>
      </c>
      <c r="AP30" s="8" t="s">
        <v>1641</v>
      </c>
      <c r="AQ30" s="8" t="s">
        <v>1642</v>
      </c>
      <c r="AR30" s="1938" t="s">
        <v>2393</v>
      </c>
      <c r="AS30" s="1938" t="s">
        <v>2394</v>
      </c>
      <c r="AT30" s="8" t="s">
        <v>2391</v>
      </c>
      <c r="AU30" s="8" t="s">
        <v>2392</v>
      </c>
      <c r="AV30" s="8"/>
      <c r="AW30" s="1938" t="s">
        <v>1645</v>
      </c>
      <c r="AX30" s="1938" t="s">
        <v>1644</v>
      </c>
      <c r="AY30" s="8" t="s">
        <v>1641</v>
      </c>
      <c r="AZ30" s="8" t="s">
        <v>1642</v>
      </c>
      <c r="BA30" s="1938" t="s">
        <v>2393</v>
      </c>
      <c r="BB30" s="1938" t="s">
        <v>2394</v>
      </c>
      <c r="BC30" s="8" t="s">
        <v>2391</v>
      </c>
      <c r="BD30" s="8" t="s">
        <v>2392</v>
      </c>
      <c r="BG30" s="771">
        <f>C27</f>
        <v>500</v>
      </c>
      <c r="BH30" s="1938" t="s">
        <v>1645</v>
      </c>
      <c r="BI30" s="1938" t="s">
        <v>1644</v>
      </c>
      <c r="BJ30" s="8" t="s">
        <v>1641</v>
      </c>
      <c r="BK30" s="8" t="s">
        <v>1642</v>
      </c>
      <c r="BL30" s="1938" t="s">
        <v>2393</v>
      </c>
      <c r="BM30" s="1938" t="s">
        <v>2394</v>
      </c>
      <c r="BN30" s="8" t="s">
        <v>2391</v>
      </c>
      <c r="BO30" s="8" t="s">
        <v>2392</v>
      </c>
      <c r="BP30" s="885" t="s">
        <v>3169</v>
      </c>
      <c r="BQ30" s="885" t="s">
        <v>3170</v>
      </c>
      <c r="BR30" s="885" t="s">
        <v>3168</v>
      </c>
      <c r="BX30" s="1943">
        <v>270</v>
      </c>
      <c r="BY30" s="1943">
        <v>300</v>
      </c>
      <c r="BZ30" s="1943">
        <v>350</v>
      </c>
      <c r="CA30" s="1943">
        <v>400</v>
      </c>
      <c r="CB30" s="1943">
        <v>450</v>
      </c>
      <c r="CC30" s="1943">
        <v>500</v>
      </c>
    </row>
    <row r="31" spans="1:130" ht="12.75" customHeight="1" x14ac:dyDescent="0.2">
      <c r="A31" s="2412"/>
      <c r="B31" s="2073"/>
      <c r="C31" s="1899" t="str">
        <f>VLOOKUP($D$3,LBX.M,9,FALSE)</f>
        <v>3168711/</v>
      </c>
      <c r="D31" s="1899" t="str">
        <f t="shared" si="2"/>
        <v>LBX, Держат. задн. ст, 102 мм, сер, прав</v>
      </c>
      <c r="E31" s="1900">
        <v>1</v>
      </c>
      <c r="F31" s="1901">
        <f t="shared" si="3"/>
        <v>35.781345600000002</v>
      </c>
      <c r="G31" s="1902">
        <f t="shared" si="4"/>
        <v>35.781345600000002</v>
      </c>
      <c r="H31" s="1904">
        <f t="shared" si="6"/>
        <v>35.781345600000002</v>
      </c>
      <c r="I31" s="2413"/>
      <c r="J31" s="782"/>
      <c r="K31" s="782">
        <v>3</v>
      </c>
      <c r="L31" s="893">
        <v>270</v>
      </c>
      <c r="M31" s="892" t="str">
        <f t="shared" ref="M31:T36" si="7">IF($M$27=$V$27,VLOOKUP($L31,$U$31:$AC$36,V$37,0),IF($M$27=$AE$27,VLOOKUP($L31,$AD$31:$AL$36,AE$37,0),IF($M$27=$AN$27,VLOOKUP($L31,$AM$31:$AU$36,AN$37,0),VLOOKUP($L31,$AV$31:$BD$36,AW$37,0))))</f>
        <v>2604739/</v>
      </c>
      <c r="N31" s="892" t="str">
        <f t="shared" si="7"/>
        <v>2460016/</v>
      </c>
      <c r="O31" s="892" t="str">
        <f t="shared" si="7"/>
        <v>4539613/</v>
      </c>
      <c r="P31" s="892" t="str">
        <f t="shared" si="7"/>
        <v>4459332/</v>
      </c>
      <c r="Q31" s="892" t="str">
        <f t="shared" si="7"/>
        <v>2550380/</v>
      </c>
      <c r="R31" s="892" t="str">
        <f t="shared" si="7"/>
        <v>5820744/</v>
      </c>
      <c r="S31" s="892" t="str">
        <f t="shared" si="7"/>
        <v>8650259/</v>
      </c>
      <c r="T31" s="892" t="str">
        <f t="shared" si="7"/>
        <v>3168711/</v>
      </c>
      <c r="U31" s="8">
        <v>270</v>
      </c>
      <c r="V31" s="696" t="s">
        <v>3319</v>
      </c>
      <c r="W31" s="696" t="s">
        <v>3318</v>
      </c>
      <c r="X31" s="2" t="s">
        <v>3316</v>
      </c>
      <c r="Y31" s="2" t="s">
        <v>3315</v>
      </c>
      <c r="Z31" s="164" t="s">
        <v>2282</v>
      </c>
      <c r="AA31" s="43" t="s">
        <v>2486</v>
      </c>
      <c r="AB31" s="701" t="s">
        <v>2340</v>
      </c>
      <c r="AC31" s="164" t="s">
        <v>2288</v>
      </c>
      <c r="AD31" s="8">
        <v>270</v>
      </c>
      <c r="AE31" s="696" t="s">
        <v>3654</v>
      </c>
      <c r="AF31" s="696" t="s">
        <v>3653</v>
      </c>
      <c r="AG31" s="2" t="s">
        <v>3316</v>
      </c>
      <c r="AH31" s="2" t="s">
        <v>3315</v>
      </c>
      <c r="AI31" s="891" t="s">
        <v>2336</v>
      </c>
      <c r="AJ31" s="891" t="s">
        <v>2377</v>
      </c>
      <c r="AK31" s="891" t="s">
        <v>2303</v>
      </c>
      <c r="AL31" s="891" t="s">
        <v>2346</v>
      </c>
      <c r="AM31" s="8">
        <v>270</v>
      </c>
      <c r="AN31" s="696" t="s">
        <v>3697</v>
      </c>
      <c r="AO31" s="696" t="s">
        <v>3696</v>
      </c>
      <c r="AP31" s="2" t="s">
        <v>3316</v>
      </c>
      <c r="AQ31" s="2" t="s">
        <v>3315</v>
      </c>
      <c r="AR31" s="892" t="s">
        <v>2319</v>
      </c>
      <c r="AS31" s="892" t="s">
        <v>2342</v>
      </c>
      <c r="AT31" s="891" t="s">
        <v>2322</v>
      </c>
      <c r="AU31" s="891" t="s">
        <v>2338</v>
      </c>
      <c r="AV31" s="8">
        <v>270</v>
      </c>
      <c r="AW31" s="1085" t="s">
        <v>3324</v>
      </c>
      <c r="AX31" s="1085" t="s">
        <v>3323</v>
      </c>
      <c r="AY31" s="1084" t="s">
        <v>3316</v>
      </c>
      <c r="AZ31" s="1084" t="s">
        <v>3315</v>
      </c>
      <c r="BA31" s="1085" t="s">
        <v>2850</v>
      </c>
      <c r="BB31" s="1085" t="s">
        <v>2852</v>
      </c>
      <c r="BC31" s="1088" t="s">
        <v>2848</v>
      </c>
      <c r="BD31" s="1088" t="s">
        <v>2854</v>
      </c>
      <c r="BG31" s="1098" t="s">
        <v>2396</v>
      </c>
      <c r="BH31" s="1099" t="str">
        <f>IF(D4="Торговая",VLOOKUP(BG31,$BT$31:$BU$34,2,FALSE),IF(D4="Индивидуальная",VLOOKUP(BG31,$BT$31:$BU$34,2,FALSE),VLOOKUP($BG$30,$U$31:$AC$36,2,FALSE)))</f>
        <v>6431292/</v>
      </c>
      <c r="BI31" s="1099" t="str">
        <f>IF(D4="Торговая","",VLOOKUP($BG$30,$U$31:$AC$36,3,FALSE))</f>
        <v>6410289/</v>
      </c>
      <c r="BJ31" s="1099" t="str">
        <f>VLOOKUP($BG$30,$U$31:$AC$36,4,FALSE)</f>
        <v>4922514/</v>
      </c>
      <c r="BK31" s="1099" t="str">
        <f>VLOOKUP($BG$30,$U$31:$AC$36,5,FALSE)</f>
        <v>4737284/</v>
      </c>
      <c r="BL31" s="1099" t="str">
        <f>VLOOKUP($BG$30,$U$31:$AC$36,6,FALSE)</f>
        <v>2550380/</v>
      </c>
      <c r="BM31" s="1099" t="str">
        <f>VLOOKUP($BG$30,$U$31:$AC$36,7,FALSE)</f>
        <v>5820744/</v>
      </c>
      <c r="BN31" s="1099" t="str">
        <f>VLOOKUP($BG$30,$U$31:$AC$36,8,FALSE)</f>
        <v>8650259/</v>
      </c>
      <c r="BO31" s="1107" t="str">
        <f>VLOOKUP($BG$30,$U$31:$AC$36,9,FALSE)</f>
        <v>3168711/</v>
      </c>
      <c r="BP31" s="1111" t="s">
        <v>2300</v>
      </c>
      <c r="BQ31" s="1112" t="s">
        <v>2335</v>
      </c>
      <c r="BR31" s="1100" t="s">
        <v>3162</v>
      </c>
      <c r="BT31" s="1534" t="s">
        <v>2396</v>
      </c>
      <c r="BU31" s="1534" t="str">
        <f>VLOOKUP($BG$30,$BK$41:$BO$46,2,FALSE)</f>
        <v>8477460/</v>
      </c>
      <c r="BX31" s="1529" t="s">
        <v>4442</v>
      </c>
      <c r="BY31" s="1529" t="s">
        <v>4443</v>
      </c>
      <c r="BZ31" s="1529" t="s">
        <v>4444</v>
      </c>
      <c r="CA31" s="1529" t="s">
        <v>4445</v>
      </c>
      <c r="CB31" s="1529" t="s">
        <v>3646</v>
      </c>
      <c r="CC31" s="1529" t="s">
        <v>4446</v>
      </c>
    </row>
    <row r="32" spans="1:130" ht="12.75" customHeight="1" x14ac:dyDescent="0.2">
      <c r="A32" s="2412"/>
      <c r="B32" s="2073"/>
      <c r="C32" s="1899" t="str">
        <f>IF(C37="","",IF(AND($D$3=$AE$27,$C$27=300),$AI$31,IF($D$4="Торговая","",VLOOKUP($D$3,LBX.M,6,FALSE))))</f>
        <v>2550380/</v>
      </c>
      <c r="D32" s="1905" t="str">
        <f>IF(OR(C32="",C32=0),"",VLOOKUP(C32,всецены,2,FALSE))</f>
        <v xml:space="preserve">LBX, Загл, внутр, сер, симм (М,С,F)     </v>
      </c>
      <c r="E32" s="1906">
        <f>IF(C32="",0,2)</f>
        <v>2</v>
      </c>
      <c r="F32" s="1907">
        <f>IF(C32="",0,VLOOKUP(C32,всецены,4,FALSE))</f>
        <v>8.9453364000000004</v>
      </c>
      <c r="G32" s="1902">
        <f t="shared" si="4"/>
        <v>8.9453364000000004</v>
      </c>
      <c r="H32" s="1904">
        <f>IF(C32=0,0,G32*E32)</f>
        <v>17.890672800000001</v>
      </c>
      <c r="I32" s="2413"/>
      <c r="J32" s="782"/>
      <c r="K32" s="782"/>
      <c r="L32" s="1866">
        <v>300</v>
      </c>
      <c r="M32" s="892" t="str">
        <f t="shared" si="7"/>
        <v>8163892/</v>
      </c>
      <c r="N32" s="892">
        <f t="shared" si="7"/>
        <v>0</v>
      </c>
      <c r="O32" s="892" t="str">
        <f t="shared" si="7"/>
        <v>4380902/</v>
      </c>
      <c r="P32" s="892" t="str">
        <f t="shared" si="7"/>
        <v>4283251/</v>
      </c>
      <c r="Q32" s="892">
        <f t="shared" si="7"/>
        <v>0</v>
      </c>
      <c r="R32" s="892">
        <f t="shared" si="7"/>
        <v>0</v>
      </c>
      <c r="S32" s="892" t="str">
        <f t="shared" si="7"/>
        <v>8650259/</v>
      </c>
      <c r="T32" s="892" t="str">
        <f t="shared" si="7"/>
        <v>3168711/</v>
      </c>
      <c r="U32" s="1866">
        <v>300</v>
      </c>
      <c r="V32" s="1872" t="s">
        <v>4443</v>
      </c>
      <c r="W32" s="1872"/>
      <c r="X32" s="1859" t="s">
        <v>4589</v>
      </c>
      <c r="Y32" s="1859" t="s">
        <v>4587</v>
      </c>
      <c r="Z32" s="1871"/>
      <c r="AA32" s="1866"/>
      <c r="AB32" s="701" t="s">
        <v>2340</v>
      </c>
      <c r="AC32" s="164" t="s">
        <v>2288</v>
      </c>
      <c r="AD32" s="1866">
        <v>300</v>
      </c>
      <c r="AE32" s="1872" t="s">
        <v>4607</v>
      </c>
      <c r="AF32" s="1872" t="s">
        <v>4606</v>
      </c>
      <c r="AG32" s="1859" t="s">
        <v>4589</v>
      </c>
      <c r="AH32" s="1859" t="s">
        <v>4587</v>
      </c>
      <c r="AI32" s="891" t="s">
        <v>2336</v>
      </c>
      <c r="AJ32" s="891" t="s">
        <v>2377</v>
      </c>
      <c r="AK32" s="891" t="s">
        <v>2303</v>
      </c>
      <c r="AL32" s="891" t="s">
        <v>2346</v>
      </c>
      <c r="AM32" s="1866">
        <v>300</v>
      </c>
      <c r="AN32" s="1872" t="s">
        <v>6783</v>
      </c>
      <c r="AO32" s="1872"/>
      <c r="AP32" s="1859" t="s">
        <v>4589</v>
      </c>
      <c r="AQ32" s="1859" t="s">
        <v>4587</v>
      </c>
      <c r="AR32" s="1872"/>
      <c r="AS32" s="1872"/>
      <c r="AT32" s="891" t="s">
        <v>2322</v>
      </c>
      <c r="AU32" s="891" t="s">
        <v>2338</v>
      </c>
      <c r="AV32" s="1866">
        <v>300</v>
      </c>
      <c r="AW32" s="1872"/>
      <c r="AX32" s="1872"/>
      <c r="AY32" s="1859"/>
      <c r="AZ32" s="88"/>
      <c r="BA32" s="1872"/>
      <c r="BB32" s="1872"/>
      <c r="BC32" s="1889"/>
      <c r="BD32" s="1889"/>
      <c r="BG32" s="1890"/>
      <c r="BH32" s="1031"/>
      <c r="BI32" s="1031"/>
      <c r="BJ32" s="1031"/>
      <c r="BK32" s="1031"/>
      <c r="BL32" s="1031"/>
      <c r="BM32" s="1031"/>
      <c r="BN32" s="1031"/>
      <c r="BO32" s="1891"/>
      <c r="BP32" s="1892"/>
      <c r="BQ32" s="738"/>
      <c r="BR32" s="1404"/>
      <c r="BT32" s="1534" t="s">
        <v>2398</v>
      </c>
      <c r="BU32" s="1534" t="str">
        <f>VLOOKUP($BG$30,$BK$41:$BO$46,3,FALSE)</f>
        <v>8505699/</v>
      </c>
      <c r="BX32" s="1534" t="s">
        <v>4455</v>
      </c>
      <c r="BY32" s="1534"/>
      <c r="BZ32" s="1534" t="s">
        <v>4456</v>
      </c>
      <c r="CA32" s="1534" t="s">
        <v>4457</v>
      </c>
      <c r="CB32" s="1534" t="s">
        <v>4458</v>
      </c>
      <c r="CC32" s="1534" t="s">
        <v>4459</v>
      </c>
    </row>
    <row r="33" spans="1:92" ht="12.75" customHeight="1" x14ac:dyDescent="0.2">
      <c r="A33" s="2412"/>
      <c r="B33" s="2073"/>
      <c r="C33" s="1899" t="str">
        <f>IF(C37="","",IF(AND($D$3=$AE$27,$C$27=300),$AJ$31,IF($D$4="Торговая","",VLOOKUP($D$3,LBX.M,7,FALSE))))</f>
        <v>5820744/</v>
      </c>
      <c r="D33" s="1905" t="str">
        <f>IF(OR(C33="",C33=0),"",VLOOKUP(C33,всецены,2,FALSE))</f>
        <v xml:space="preserve">LBX, Загл, наружн, с лого, сер, симм    </v>
      </c>
      <c r="E33" s="1906">
        <f>IF(C33="",0,2)</f>
        <v>2</v>
      </c>
      <c r="F33" s="1907">
        <f>IF(C33="",0,VLOOKUP(C33,всецены,4,FALSE))</f>
        <v>14.637823200000001</v>
      </c>
      <c r="G33" s="1902">
        <f t="shared" si="4"/>
        <v>14.637823200000001</v>
      </c>
      <c r="H33" s="1904">
        <f>IF(C33=0,0,G33*E33)</f>
        <v>29.275646400000003</v>
      </c>
      <c r="I33" s="2413"/>
      <c r="J33" s="782"/>
      <c r="K33" s="782">
        <v>4</v>
      </c>
      <c r="L33" s="893">
        <v>350</v>
      </c>
      <c r="M33" s="892" t="str">
        <f t="shared" si="7"/>
        <v>3099389/</v>
      </c>
      <c r="N33" s="892" t="str">
        <f t="shared" si="7"/>
        <v>2999842/</v>
      </c>
      <c r="O33" s="892" t="str">
        <f t="shared" si="7"/>
        <v>4682185/</v>
      </c>
      <c r="P33" s="892" t="str">
        <f t="shared" si="7"/>
        <v>4657978/</v>
      </c>
      <c r="Q33" s="892" t="str">
        <f t="shared" si="7"/>
        <v>2550380/</v>
      </c>
      <c r="R33" s="892" t="str">
        <f t="shared" si="7"/>
        <v>5820744/</v>
      </c>
      <c r="S33" s="892" t="str">
        <f t="shared" si="7"/>
        <v>8650259/</v>
      </c>
      <c r="T33" s="892" t="str">
        <f t="shared" si="7"/>
        <v>3168711/</v>
      </c>
      <c r="U33" s="8">
        <v>350</v>
      </c>
      <c r="V33" s="891" t="s">
        <v>2364</v>
      </c>
      <c r="W33" s="1088" t="s">
        <v>2363</v>
      </c>
      <c r="X33" s="1088" t="s">
        <v>2373</v>
      </c>
      <c r="Y33" s="1088" t="s">
        <v>2372</v>
      </c>
      <c r="Z33" s="164" t="s">
        <v>2282</v>
      </c>
      <c r="AA33" s="43" t="s">
        <v>2486</v>
      </c>
      <c r="AB33" s="701" t="s">
        <v>2340</v>
      </c>
      <c r="AC33" s="164" t="s">
        <v>2288</v>
      </c>
      <c r="AD33" s="8">
        <v>350</v>
      </c>
      <c r="AE33" s="1088" t="s">
        <v>2384</v>
      </c>
      <c r="AF33" s="1088" t="s">
        <v>2383</v>
      </c>
      <c r="AG33" s="1088" t="s">
        <v>2373</v>
      </c>
      <c r="AH33" s="1088" t="s">
        <v>2372</v>
      </c>
      <c r="AI33" s="891" t="s">
        <v>2336</v>
      </c>
      <c r="AJ33" s="891" t="s">
        <v>2377</v>
      </c>
      <c r="AK33" s="891" t="s">
        <v>2303</v>
      </c>
      <c r="AL33" s="891" t="s">
        <v>2346</v>
      </c>
      <c r="AM33" s="8">
        <v>350</v>
      </c>
      <c r="AN33" s="696" t="s">
        <v>2386</v>
      </c>
      <c r="AO33" s="696" t="s">
        <v>2385</v>
      </c>
      <c r="AP33" s="1088" t="s">
        <v>2373</v>
      </c>
      <c r="AQ33" s="1088" t="s">
        <v>2372</v>
      </c>
      <c r="AR33" s="892" t="s">
        <v>2319</v>
      </c>
      <c r="AS33" s="892" t="s">
        <v>2342</v>
      </c>
      <c r="AT33" s="891" t="s">
        <v>2322</v>
      </c>
      <c r="AU33" s="891" t="s">
        <v>2338</v>
      </c>
      <c r="AV33" s="8">
        <v>350</v>
      </c>
      <c r="AW33" s="1087" t="s">
        <v>2857</v>
      </c>
      <c r="AX33" s="1087" t="s">
        <v>2856</v>
      </c>
      <c r="AY33" s="1088" t="s">
        <v>2373</v>
      </c>
      <c r="AZ33" s="771" t="s">
        <v>2372</v>
      </c>
      <c r="BA33" s="1087" t="s">
        <v>2850</v>
      </c>
      <c r="BB33" s="1087" t="s">
        <v>2852</v>
      </c>
      <c r="BC33" s="1088" t="s">
        <v>2848</v>
      </c>
      <c r="BD33" s="1088" t="s">
        <v>2854</v>
      </c>
      <c r="BG33" s="1101" t="s">
        <v>2398</v>
      </c>
      <c r="BH33" s="1102" t="str">
        <f>IF(D4="Торговая",VLOOKUP(BG33,BT31:BU34,2,FALSE),IF(D4="Индивидуальная",VLOOKUP(BG33,BT31:BU34,2,FALSE),VLOOKUP($BG$30,$AD$31:$AL$36,2,FALSE)))</f>
        <v>2533671/</v>
      </c>
      <c r="BI33" s="1102" t="str">
        <f>IF(D4="Торговая","",VLOOKUP($BG$30,$AD$31:$AL$36,3,FALSE))</f>
        <v>2511810/</v>
      </c>
      <c r="BJ33" s="1102" t="str">
        <f>VLOOKUP($BG$30,$AD$31:$AL$36,4,FALSE)</f>
        <v>4922514/</v>
      </c>
      <c r="BK33" s="1102" t="str">
        <f>VLOOKUP($BG$30,$AD$31:$AL$36,5,FALSE)</f>
        <v>4737284/</v>
      </c>
      <c r="BL33" s="1102" t="str">
        <f>VLOOKUP($BG$30,$AD$31:$AL$36,6,FALSE)</f>
        <v>8322157/</v>
      </c>
      <c r="BM33" s="1102" t="str">
        <f>VLOOKUP($BG$30,$AD$31:$AL$36,7,FALSE)</f>
        <v>7944577/</v>
      </c>
      <c r="BN33" s="1102" t="str">
        <f>VLOOKUP($BG$30,$AD$31:$AL$36,8,FALSE)</f>
        <v>4738450/</v>
      </c>
      <c r="BO33" s="1108" t="str">
        <f>VLOOKUP($BG$30,$AD$31:$AL$36,9,FALSE)</f>
        <v>9780599/</v>
      </c>
      <c r="BP33" s="1113" t="s">
        <v>2301</v>
      </c>
      <c r="BQ33" s="1110" t="s">
        <v>2344</v>
      </c>
      <c r="BR33" s="1103" t="s">
        <v>3041</v>
      </c>
      <c r="BT33" s="1534" t="s">
        <v>2397</v>
      </c>
      <c r="BU33" s="1534" t="str">
        <f>VLOOKUP($BG$30,$BK$41:$BO$46,4,FALSE)</f>
        <v>8577103/</v>
      </c>
      <c r="BX33" s="1534" t="s">
        <v>4470</v>
      </c>
      <c r="BY33" s="1534"/>
      <c r="BZ33" s="1534" t="s">
        <v>4471</v>
      </c>
      <c r="CA33" s="1534" t="s">
        <v>4472</v>
      </c>
      <c r="CB33" s="1534" t="s">
        <v>3709</v>
      </c>
      <c r="CC33" s="1534" t="s">
        <v>4473</v>
      </c>
    </row>
    <row r="34" spans="1:92" ht="12.75" customHeight="1" x14ac:dyDescent="0.2">
      <c r="A34" s="2412"/>
      <c r="B34" s="2073"/>
      <c r="C34" s="1899" t="str">
        <f>IF(VLOOKUP($D$3,BG31:BR35,2,FALSE)="z",$AE$31,VLOOKUP($D$3,BG31:BR35,2,FALSE))</f>
        <v>6431292/</v>
      </c>
      <c r="D34" s="1899" t="str">
        <f t="shared" si="2"/>
        <v>LBX, Боковина M 90,3/500 мм, сер, пр V20</v>
      </c>
      <c r="E34" s="1900">
        <v>1</v>
      </c>
      <c r="F34" s="1901">
        <f t="shared" si="3"/>
        <v>481.42174080000007</v>
      </c>
      <c r="G34" s="1902">
        <f t="shared" si="4"/>
        <v>481.42174080000007</v>
      </c>
      <c r="H34" s="1904">
        <f t="shared" si="6"/>
        <v>481.42174080000007</v>
      </c>
      <c r="I34" s="2413"/>
      <c r="J34" s="782"/>
      <c r="K34" s="782">
        <v>5</v>
      </c>
      <c r="L34" s="893">
        <v>400</v>
      </c>
      <c r="M34" s="892" t="str">
        <f t="shared" si="7"/>
        <v>5174035/</v>
      </c>
      <c r="N34" s="892" t="str">
        <f t="shared" si="7"/>
        <v>5031352/</v>
      </c>
      <c r="O34" s="892" t="str">
        <f t="shared" si="7"/>
        <v>4636718/</v>
      </c>
      <c r="P34" s="892" t="str">
        <f t="shared" si="7"/>
        <v>4423390/</v>
      </c>
      <c r="Q34" s="892" t="str">
        <f t="shared" si="7"/>
        <v>2550380/</v>
      </c>
      <c r="R34" s="892" t="str">
        <f t="shared" si="7"/>
        <v>5820744/</v>
      </c>
      <c r="S34" s="892" t="str">
        <f t="shared" si="7"/>
        <v>8650259/</v>
      </c>
      <c r="T34" s="892" t="str">
        <f t="shared" si="7"/>
        <v>3168711/</v>
      </c>
      <c r="U34" s="8">
        <v>400</v>
      </c>
      <c r="V34" s="696" t="s">
        <v>4074</v>
      </c>
      <c r="W34" s="1085" t="s">
        <v>4073</v>
      </c>
      <c r="X34" s="1088" t="s">
        <v>2988</v>
      </c>
      <c r="Y34" s="1088" t="s">
        <v>2987</v>
      </c>
      <c r="Z34" s="164" t="s">
        <v>2282</v>
      </c>
      <c r="AA34" s="43" t="s">
        <v>2486</v>
      </c>
      <c r="AB34" s="701" t="s">
        <v>2340</v>
      </c>
      <c r="AC34" s="164" t="s">
        <v>2288</v>
      </c>
      <c r="AD34" s="8">
        <v>400</v>
      </c>
      <c r="AE34" s="771" t="s">
        <v>3045</v>
      </c>
      <c r="AF34" s="771" t="s">
        <v>3044</v>
      </c>
      <c r="AG34" s="1088" t="s">
        <v>2988</v>
      </c>
      <c r="AH34" s="1088" t="s">
        <v>2987</v>
      </c>
      <c r="AI34" s="891" t="s">
        <v>2336</v>
      </c>
      <c r="AJ34" s="891" t="s">
        <v>2377</v>
      </c>
      <c r="AK34" s="891" t="s">
        <v>2303</v>
      </c>
      <c r="AL34" s="891" t="s">
        <v>2346</v>
      </c>
      <c r="AM34" s="8">
        <v>400</v>
      </c>
      <c r="AN34" s="1392" t="s">
        <v>4087</v>
      </c>
      <c r="AO34" s="1392" t="s">
        <v>4086</v>
      </c>
      <c r="AP34" s="1088" t="s">
        <v>2988</v>
      </c>
      <c r="AQ34" s="1088" t="s">
        <v>2987</v>
      </c>
      <c r="AR34" s="892" t="s">
        <v>2319</v>
      </c>
      <c r="AS34" s="892" t="s">
        <v>2342</v>
      </c>
      <c r="AT34" s="891" t="s">
        <v>2322</v>
      </c>
      <c r="AU34" s="891" t="s">
        <v>2338</v>
      </c>
      <c r="AV34" s="8">
        <v>400</v>
      </c>
      <c r="AX34" s="1085"/>
      <c r="AY34" s="771" t="s">
        <v>2988</v>
      </c>
      <c r="AZ34" s="771" t="s">
        <v>2987</v>
      </c>
      <c r="BA34" s="1085" t="s">
        <v>2850</v>
      </c>
      <c r="BB34" s="1085" t="s">
        <v>2852</v>
      </c>
      <c r="BC34" s="1088" t="s">
        <v>2848</v>
      </c>
      <c r="BD34" s="1088" t="s">
        <v>2854</v>
      </c>
      <c r="BG34" s="1101" t="s">
        <v>2397</v>
      </c>
      <c r="BH34" s="1102" t="str">
        <f>IF(D4="Торговая",VLOOKUP(BG34,BT31:BU34,2,FALSE),IF(D4="Индивидуальная",VLOOKUP(BG34,BT31:BU34,2,FALSE),VLOOKUP($BG$30,$AM$31:$AU$36,2,FALSE)))</f>
        <v>5430289/</v>
      </c>
      <c r="BI34" s="1102" t="str">
        <f>IF(D4="Торговая","",VLOOKUP($BG$30,$AM$31:$AU$36,3,FALSE))</f>
        <v>5417931/</v>
      </c>
      <c r="BJ34" s="1102" t="str">
        <f>VLOOKUP($BG$30,$AM$31:$AU$36,4,FALSE)</f>
        <v>4922514/</v>
      </c>
      <c r="BK34" s="1102" t="str">
        <f>VLOOKUP($BG$30,$AM$31:$AU$36,5,FALSE)</f>
        <v>4737284/</v>
      </c>
      <c r="BL34" s="1102" t="str">
        <f>VLOOKUP($BG$30,$AM$31:$AU$36,6,FALSE)</f>
        <v>5806987/</v>
      </c>
      <c r="BM34" s="1102" t="str">
        <f>VLOOKUP($BG$30,$AM$31:$AU$36,7,FALSE)</f>
        <v>9207744/</v>
      </c>
      <c r="BN34" s="1102" t="str">
        <f>VLOOKUP($BG$30,$AM$31:$AU$36,8,FALSE)</f>
        <v>5959595/</v>
      </c>
      <c r="BO34" s="1108" t="str">
        <f>VLOOKUP($BG$30,$AM$31:$AU$36,9,FALSE)</f>
        <v>8627853/</v>
      </c>
      <c r="BP34" s="1101" t="s">
        <v>3056</v>
      </c>
      <c r="BQ34" s="1102" t="s">
        <v>3058</v>
      </c>
      <c r="BR34" s="1103" t="s">
        <v>3167</v>
      </c>
      <c r="BT34" s="1534" t="s">
        <v>3159</v>
      </c>
      <c r="BU34" s="1534">
        <f>VLOOKUP($BG$30,$BK$41:$BO$46,5,FALSE)</f>
        <v>0</v>
      </c>
      <c r="BX34" s="1529"/>
      <c r="BY34" s="1529"/>
      <c r="BZ34" s="1529"/>
      <c r="CA34" s="1529"/>
      <c r="CB34" s="1529"/>
      <c r="CC34" s="1529"/>
    </row>
    <row r="35" spans="1:92" ht="12.75" customHeight="1" thickBot="1" x14ac:dyDescent="0.25">
      <c r="A35" s="2412"/>
      <c r="B35" s="2073"/>
      <c r="C35" s="1990" t="str">
        <f>IF(OR(MID($D$34,35,3)="кмп",MID($D$34,35,3)=" км"),"",IF(VLOOKUP($D$3,BG31:BR35,2,FALSE)="z",$AF$31,VLOOKUP($D$3,BG31:BR35,3,FALSE)))</f>
        <v>6410289/</v>
      </c>
      <c r="D35" s="1899" t="str">
        <f>IF(OR(C35="",C35=0),"",VLOOKUP(C35,всецены,2,FALSE))</f>
        <v>LBX, Боковина M 90,3/500 мм, сер,лев V20</v>
      </c>
      <c r="E35" s="1900">
        <v>1</v>
      </c>
      <c r="F35" s="1901">
        <f>IF(D35="","",VLOOKUP(C35,всецены,4,FALSE))</f>
        <v>481.42174080000007</v>
      </c>
      <c r="G35" s="1902">
        <f t="shared" si="4"/>
        <v>481.42174080000007</v>
      </c>
      <c r="H35" s="1904">
        <f>IF(C35="","",G35*E35)</f>
        <v>481.42174080000007</v>
      </c>
      <c r="I35" s="2413"/>
      <c r="J35" s="782"/>
      <c r="K35" s="782">
        <v>6</v>
      </c>
      <c r="L35" s="893">
        <v>450</v>
      </c>
      <c r="M35" s="892" t="str">
        <f t="shared" si="7"/>
        <v>1385220/</v>
      </c>
      <c r="N35" s="892" t="str">
        <f t="shared" si="7"/>
        <v>1345583/</v>
      </c>
      <c r="O35" s="892" t="str">
        <f t="shared" si="7"/>
        <v>9337924/</v>
      </c>
      <c r="P35" s="892" t="str">
        <f t="shared" si="7"/>
        <v>9287449/</v>
      </c>
      <c r="Q35" s="892" t="str">
        <f t="shared" si="7"/>
        <v>2550380/</v>
      </c>
      <c r="R35" s="892" t="str">
        <f t="shared" si="7"/>
        <v>5820744/</v>
      </c>
      <c r="S35" s="892" t="str">
        <f t="shared" si="7"/>
        <v>8650259/</v>
      </c>
      <c r="T35" s="892" t="str">
        <f t="shared" si="7"/>
        <v>3168711/</v>
      </c>
      <c r="U35" s="8">
        <v>450</v>
      </c>
      <c r="V35" s="1392" t="s">
        <v>5230</v>
      </c>
      <c r="W35" s="1087" t="s">
        <v>5231</v>
      </c>
      <c r="X35" s="1088" t="s">
        <v>2993</v>
      </c>
      <c r="Y35" s="1088" t="s">
        <v>2992</v>
      </c>
      <c r="Z35" s="164" t="s">
        <v>2282</v>
      </c>
      <c r="AA35" s="43" t="s">
        <v>2486</v>
      </c>
      <c r="AB35" s="701" t="s">
        <v>2340</v>
      </c>
      <c r="AC35" s="164" t="s">
        <v>2288</v>
      </c>
      <c r="AD35" s="8">
        <v>450</v>
      </c>
      <c r="AE35" s="771" t="s">
        <v>3028</v>
      </c>
      <c r="AF35" s="771" t="s">
        <v>3027</v>
      </c>
      <c r="AG35" s="1088" t="s">
        <v>2993</v>
      </c>
      <c r="AH35" s="1088" t="s">
        <v>2992</v>
      </c>
      <c r="AI35" s="891" t="s">
        <v>2336</v>
      </c>
      <c r="AJ35" s="891" t="s">
        <v>2377</v>
      </c>
      <c r="AK35" s="891" t="s">
        <v>2303</v>
      </c>
      <c r="AL35" s="891" t="s">
        <v>2346</v>
      </c>
      <c r="AM35" s="8">
        <v>450</v>
      </c>
      <c r="AN35" s="696" t="s">
        <v>3699</v>
      </c>
      <c r="AO35" s="696" t="s">
        <v>3698</v>
      </c>
      <c r="AP35" s="1088" t="s">
        <v>2993</v>
      </c>
      <c r="AQ35" s="1088" t="s">
        <v>2992</v>
      </c>
      <c r="AR35" s="892" t="s">
        <v>2319</v>
      </c>
      <c r="AS35" s="892" t="s">
        <v>2342</v>
      </c>
      <c r="AT35" s="891" t="s">
        <v>2322</v>
      </c>
      <c r="AU35" s="891" t="s">
        <v>2338</v>
      </c>
      <c r="AV35" s="8">
        <v>450</v>
      </c>
      <c r="AW35" s="1087" t="s">
        <v>4623</v>
      </c>
      <c r="AX35" s="1087" t="s">
        <v>4622</v>
      </c>
      <c r="AY35" s="771" t="s">
        <v>2993</v>
      </c>
      <c r="AZ35" s="771" t="s">
        <v>2992</v>
      </c>
      <c r="BA35" s="1085" t="s">
        <v>2850</v>
      </c>
      <c r="BB35" s="1085" t="s">
        <v>2852</v>
      </c>
      <c r="BC35" s="1088" t="s">
        <v>2848</v>
      </c>
      <c r="BD35" s="1088" t="s">
        <v>2854</v>
      </c>
      <c r="BG35" s="1104" t="s">
        <v>3159</v>
      </c>
      <c r="BH35" s="1105" t="str">
        <f>IF(D4="Торговая",VLOOKUP(BG35,BT31:BU34,2,FALSE),VLOOKUP($BG$30,$AV$31:$BD$36,2,FALSE))</f>
        <v>3653292/</v>
      </c>
      <c r="BI35" s="1105" t="str">
        <f>IF(D4="Торговая","",VLOOKUP($BG$30,$AV$31:$BD$36,3,FALSE))</f>
        <v>3722189/</v>
      </c>
      <c r="BJ35" s="1105" t="str">
        <f>VLOOKUP($BG$30,$AV$31:$BD$36,4,FALSE)</f>
        <v>4922514/</v>
      </c>
      <c r="BK35" s="1105" t="str">
        <f>VLOOKUP($BG$30,$AV$31:$BD$36,5,FALSE)</f>
        <v>4737284/</v>
      </c>
      <c r="BL35" s="1105" t="str">
        <f>VLOOKUP($BG$30,$AV$31:$BD$36,6,FALSE)</f>
        <v>2113518/</v>
      </c>
      <c r="BM35" s="1105" t="str">
        <f>VLOOKUP($BG$30,$AV$31:$BD$36,7,FALSE)</f>
        <v>2215958/</v>
      </c>
      <c r="BN35" s="1105" t="str">
        <f>VLOOKUP($BG$30,$AV$31:$BD$36,8,FALSE)</f>
        <v>1329408/</v>
      </c>
      <c r="BO35" s="1109" t="str">
        <f>VLOOKUP($BG$30,$AV$31:$BD$36,9,FALSE)</f>
        <v>2795908/</v>
      </c>
      <c r="BP35" s="1104" t="s">
        <v>2853</v>
      </c>
      <c r="BQ35" s="1105" t="s">
        <v>2864</v>
      </c>
      <c r="BR35" s="1106" t="s">
        <v>3076</v>
      </c>
    </row>
    <row r="36" spans="1:92" ht="12.75" customHeight="1" x14ac:dyDescent="0.2">
      <c r="A36" s="2412"/>
      <c r="B36" s="2073"/>
      <c r="C36" s="1954" t="str">
        <f>IF(C27&lt;350,$N$41,$N$42)</f>
        <v>1365128/</v>
      </c>
      <c r="D36" s="1965" t="str">
        <f>IF(C36=0,0,VLOOKUP(C36,всецены,2,FALSE))</f>
        <v>LBX, Tip-on BM, L3, 350-750 кмп T60L7540</v>
      </c>
      <c r="E36" s="1966">
        <v>1</v>
      </c>
      <c r="F36" s="1967">
        <f t="shared" si="3"/>
        <v>1107.5952887999999</v>
      </c>
      <c r="G36" s="1968">
        <f t="shared" si="4"/>
        <v>1107.5952887999999</v>
      </c>
      <c r="H36" s="1969">
        <f t="shared" si="6"/>
        <v>1107.5952887999999</v>
      </c>
      <c r="I36" s="2385"/>
      <c r="J36" s="782"/>
      <c r="K36" s="782">
        <v>7</v>
      </c>
      <c r="L36" s="893">
        <v>500</v>
      </c>
      <c r="M36" s="892" t="str">
        <f t="shared" si="7"/>
        <v>6431292/</v>
      </c>
      <c r="N36" s="892" t="str">
        <f t="shared" si="7"/>
        <v>6410289/</v>
      </c>
      <c r="O36" s="892" t="str">
        <f t="shared" si="7"/>
        <v>4922514/</v>
      </c>
      <c r="P36" s="892" t="str">
        <f t="shared" si="7"/>
        <v>4737284/</v>
      </c>
      <c r="Q36" s="892" t="str">
        <f t="shared" si="7"/>
        <v>2550380/</v>
      </c>
      <c r="R36" s="892" t="str">
        <f t="shared" si="7"/>
        <v>5820744/</v>
      </c>
      <c r="S36" s="892" t="str">
        <f t="shared" si="7"/>
        <v>8650259/</v>
      </c>
      <c r="T36" s="892" t="str">
        <f t="shared" si="7"/>
        <v>3168711/</v>
      </c>
      <c r="U36" s="8">
        <v>500</v>
      </c>
      <c r="V36" s="1392" t="s">
        <v>5232</v>
      </c>
      <c r="W36" s="1089" t="s">
        <v>5233</v>
      </c>
      <c r="X36" s="696" t="s">
        <v>2307</v>
      </c>
      <c r="Y36" s="696" t="s">
        <v>2302</v>
      </c>
      <c r="Z36" s="164" t="s">
        <v>2282</v>
      </c>
      <c r="AA36" s="43" t="s">
        <v>2486</v>
      </c>
      <c r="AB36" s="701" t="s">
        <v>2340</v>
      </c>
      <c r="AC36" s="164" t="s">
        <v>2288</v>
      </c>
      <c r="AD36" s="8">
        <v>500</v>
      </c>
      <c r="AE36" s="696" t="s">
        <v>2281</v>
      </c>
      <c r="AF36" s="703" t="s">
        <v>2280</v>
      </c>
      <c r="AG36" s="696" t="s">
        <v>2307</v>
      </c>
      <c r="AH36" s="696" t="s">
        <v>2302</v>
      </c>
      <c r="AI36" s="891" t="s">
        <v>2336</v>
      </c>
      <c r="AJ36" s="891" t="s">
        <v>2377</v>
      </c>
      <c r="AK36" s="891" t="s">
        <v>2303</v>
      </c>
      <c r="AL36" s="891" t="s">
        <v>2346</v>
      </c>
      <c r="AM36" s="8">
        <v>500</v>
      </c>
      <c r="AN36" s="696" t="s">
        <v>2317</v>
      </c>
      <c r="AO36" s="703" t="s">
        <v>2316</v>
      </c>
      <c r="AP36" s="696" t="s">
        <v>2307</v>
      </c>
      <c r="AQ36" s="696" t="s">
        <v>2302</v>
      </c>
      <c r="AR36" s="892" t="s">
        <v>2319</v>
      </c>
      <c r="AS36" s="892" t="s">
        <v>2342</v>
      </c>
      <c r="AT36" s="891" t="s">
        <v>2322</v>
      </c>
      <c r="AU36" s="891" t="s">
        <v>2338</v>
      </c>
      <c r="AV36" s="8">
        <v>500</v>
      </c>
      <c r="AW36" s="1087" t="s">
        <v>2858</v>
      </c>
      <c r="AX36" s="1089" t="s">
        <v>2859</v>
      </c>
      <c r="AY36" s="1085" t="s">
        <v>2307</v>
      </c>
      <c r="AZ36" s="1085" t="s">
        <v>2302</v>
      </c>
      <c r="BA36" s="1087" t="s">
        <v>2850</v>
      </c>
      <c r="BB36" s="1087" t="s">
        <v>2852</v>
      </c>
      <c r="BC36" s="1088" t="s">
        <v>2848</v>
      </c>
      <c r="BD36" s="1088" t="s">
        <v>2854</v>
      </c>
      <c r="BH36" s="771">
        <v>2</v>
      </c>
      <c r="BI36" s="771">
        <v>3</v>
      </c>
      <c r="BJ36" s="771">
        <v>4</v>
      </c>
      <c r="BK36" s="771">
        <v>5</v>
      </c>
      <c r="BL36" s="771">
        <v>6</v>
      </c>
      <c r="BM36" s="771">
        <v>7</v>
      </c>
      <c r="BN36" s="771">
        <v>8</v>
      </c>
      <c r="BO36" s="771">
        <v>9</v>
      </c>
      <c r="BP36" s="771">
        <v>10</v>
      </c>
      <c r="BQ36" s="771">
        <v>11</v>
      </c>
      <c r="BR36" s="771">
        <v>12</v>
      </c>
    </row>
    <row r="37" spans="1:92" ht="12.75" customHeight="1" thickBot="1" x14ac:dyDescent="0.25">
      <c r="A37" s="2412"/>
      <c r="B37" s="2074"/>
      <c r="C37" s="1960" t="str">
        <f>VLOOKUP(C27,$M$44:$N$49,2,0)</f>
        <v>9554467/</v>
      </c>
      <c r="D37" s="1953" t="str">
        <f>IF(OR(C37="",C37=0),"",VLOOKUP(C37,всецены,2,FALSE))</f>
        <v>LBX, Напр.Tip-on BM,500 мм,кмп 750.5001M</v>
      </c>
      <c r="E37" s="1970">
        <f>IF(C37="",0,1)</f>
        <v>1</v>
      </c>
      <c r="F37" s="1962">
        <f>IF(C37="",0,VLOOKUP(C37,всецены,4,FALSE))</f>
        <v>1669.5250572</v>
      </c>
      <c r="G37" s="1963">
        <f t="shared" si="4"/>
        <v>1669.5250572</v>
      </c>
      <c r="H37" s="1971">
        <f>IF(C37=0,0,G37*E37)</f>
        <v>1669.5250572</v>
      </c>
      <c r="I37" s="2414"/>
      <c r="J37" s="782"/>
      <c r="K37" s="782"/>
      <c r="M37" s="8">
        <v>2</v>
      </c>
      <c r="N37" s="8">
        <v>3</v>
      </c>
      <c r="O37" s="8">
        <v>4</v>
      </c>
      <c r="P37" s="8">
        <v>5</v>
      </c>
      <c r="Q37" s="8">
        <v>6</v>
      </c>
      <c r="R37" s="8">
        <v>7</v>
      </c>
      <c r="S37" s="8">
        <v>8</v>
      </c>
      <c r="T37" s="8">
        <v>9</v>
      </c>
      <c r="V37" s="875">
        <v>2</v>
      </c>
      <c r="W37" s="875">
        <v>3</v>
      </c>
      <c r="X37" s="875">
        <v>4</v>
      </c>
      <c r="Y37" s="875">
        <v>5</v>
      </c>
      <c r="Z37" s="875">
        <v>6</v>
      </c>
      <c r="AA37" s="875">
        <v>7</v>
      </c>
      <c r="AB37" s="875">
        <v>8</v>
      </c>
      <c r="AC37" s="875">
        <v>9</v>
      </c>
      <c r="AD37" s="875"/>
      <c r="AE37" s="875">
        <v>2</v>
      </c>
      <c r="AF37" s="875">
        <v>3</v>
      </c>
      <c r="AG37" s="875">
        <v>4</v>
      </c>
      <c r="AH37" s="875">
        <v>5</v>
      </c>
      <c r="AI37" s="875">
        <v>6</v>
      </c>
      <c r="AJ37" s="875">
        <v>7</v>
      </c>
      <c r="AK37" s="875">
        <v>8</v>
      </c>
      <c r="AL37" s="875">
        <v>9</v>
      </c>
      <c r="AN37" s="875">
        <v>2</v>
      </c>
      <c r="AO37" s="875">
        <v>3</v>
      </c>
      <c r="AP37" s="875">
        <v>4</v>
      </c>
      <c r="AQ37" s="875">
        <v>5</v>
      </c>
      <c r="AR37" s="875">
        <v>6</v>
      </c>
      <c r="AS37" s="875">
        <v>7</v>
      </c>
      <c r="AT37" s="875">
        <v>8</v>
      </c>
      <c r="AU37" s="875">
        <v>9</v>
      </c>
      <c r="AW37" s="875">
        <v>2</v>
      </c>
      <c r="AX37" s="875">
        <v>3</v>
      </c>
      <c r="AY37" s="875">
        <v>4</v>
      </c>
      <c r="AZ37" s="875">
        <v>5</v>
      </c>
      <c r="BA37" s="875">
        <v>6</v>
      </c>
      <c r="BB37" s="875">
        <v>7</v>
      </c>
      <c r="BC37" s="875">
        <v>8</v>
      </c>
      <c r="BD37" s="875">
        <v>9</v>
      </c>
      <c r="CN37" s="1542"/>
    </row>
    <row r="38" spans="1:92" ht="9" customHeight="1" thickBot="1" x14ac:dyDescent="0.25">
      <c r="A38" s="849"/>
      <c r="B38" s="854"/>
      <c r="C38" s="855"/>
      <c r="D38" s="856"/>
      <c r="E38" s="857"/>
      <c r="F38" s="1443"/>
      <c r="G38" s="1443"/>
      <c r="H38" s="859"/>
      <c r="I38" s="876"/>
      <c r="J38" s="782"/>
      <c r="K38" s="782"/>
    </row>
    <row r="39" spans="1:92" ht="12.75" customHeight="1" x14ac:dyDescent="0.2">
      <c r="A39" s="849"/>
      <c r="B39" s="1524" t="str">
        <f>IF($D$3="БЕЛЫЙ ШЕЛК - матовый","270,300,350,400,450,500мм","270,350,400,450,500мм")</f>
        <v>270,350,400,450,500мм</v>
      </c>
      <c r="C39" s="698"/>
      <c r="D39" s="833"/>
      <c r="E39" s="833"/>
      <c r="F39" s="2128" t="s">
        <v>1183</v>
      </c>
      <c r="G39" s="2128"/>
      <c r="H39" s="2128"/>
      <c r="I39" s="2139"/>
      <c r="J39" s="782"/>
      <c r="K39" s="782"/>
      <c r="BK39" s="771" t="s">
        <v>7039</v>
      </c>
      <c r="BT39" s="8"/>
    </row>
    <row r="40" spans="1:92" ht="12.75" customHeight="1" x14ac:dyDescent="0.2">
      <c r="A40" s="849"/>
      <c r="B40" s="844"/>
      <c r="C40" s="1881"/>
      <c r="D40" s="852"/>
      <c r="E40" s="852"/>
      <c r="F40" s="1442"/>
      <c r="G40" s="1442"/>
      <c r="H40" s="853"/>
      <c r="I40" s="1940" t="str">
        <f>IF(СОДЕРЖАНИЕ!P2=1,"EUR","RUB")</f>
        <v>RUB</v>
      </c>
      <c r="J40" s="782"/>
      <c r="K40" s="782"/>
      <c r="BG40" s="884"/>
      <c r="BL40" s="771" t="s">
        <v>2396</v>
      </c>
      <c r="BM40" s="771" t="s">
        <v>2398</v>
      </c>
      <c r="BN40" s="771" t="s">
        <v>2397</v>
      </c>
      <c r="BO40" s="771" t="s">
        <v>3159</v>
      </c>
      <c r="BT40" s="8"/>
    </row>
    <row r="41" spans="1:92" ht="12.75" customHeight="1" x14ac:dyDescent="0.2">
      <c r="A41" s="896"/>
      <c r="B41" s="2383"/>
      <c r="C41" s="1899" t="s">
        <v>2984</v>
      </c>
      <c r="D41" s="1899" t="str">
        <f t="shared" ref="D41:D52" si="8">VLOOKUP(C41,всецены,2,FALSE)</f>
        <v xml:space="preserve">LBX, Держ п/п, лев, ZI7.0M01.01         </v>
      </c>
      <c r="E41" s="1900">
        <v>1</v>
      </c>
      <c r="F41" s="1901">
        <f t="shared" ref="F41:F52" si="9">VLOOKUP(C41,всецены,4,FALSE)</f>
        <v>247.21656959999999</v>
      </c>
      <c r="G41" s="1901">
        <f>F41</f>
        <v>247.21656959999999</v>
      </c>
      <c r="H41" s="1904">
        <f>G41*E41</f>
        <v>247.21656959999999</v>
      </c>
      <c r="I41" s="2385">
        <f>SUM(H41:H53)</f>
        <v>5789.2590756000009</v>
      </c>
      <c r="J41" s="782"/>
      <c r="K41" s="782"/>
      <c r="M41" s="8">
        <v>270</v>
      </c>
      <c r="N41" s="8" t="s">
        <v>3739</v>
      </c>
      <c r="O41" s="8" t="s">
        <v>3740</v>
      </c>
      <c r="BK41" s="1943">
        <v>270</v>
      </c>
      <c r="BL41" s="1529" t="s">
        <v>4442</v>
      </c>
      <c r="BM41" s="1534" t="s">
        <v>4455</v>
      </c>
      <c r="BN41" s="1534" t="s">
        <v>4470</v>
      </c>
      <c r="BO41" s="1529"/>
      <c r="BT41" s="8"/>
    </row>
    <row r="42" spans="1:92" ht="12.75" customHeight="1" x14ac:dyDescent="0.2">
      <c r="A42" s="896"/>
      <c r="B42" s="2073"/>
      <c r="C42" s="1899" t="s">
        <v>2990</v>
      </c>
      <c r="D42" s="738" t="str">
        <f t="shared" si="8"/>
        <v xml:space="preserve">LBX, Держ п/п, прав, ZI7.0M01.01        </v>
      </c>
      <c r="E42" s="739">
        <v>1</v>
      </c>
      <c r="F42" s="1458">
        <f t="shared" si="9"/>
        <v>247.21656959999999</v>
      </c>
      <c r="G42" s="1901">
        <f t="shared" ref="G42:G53" si="10">F42</f>
        <v>247.21656959999999</v>
      </c>
      <c r="H42" s="1893">
        <f t="shared" ref="H42:H52" si="11">G42*E42</f>
        <v>247.21656959999999</v>
      </c>
      <c r="I42" s="2386"/>
      <c r="J42" s="782"/>
      <c r="K42" s="782"/>
      <c r="N42" s="771" t="s">
        <v>3541</v>
      </c>
      <c r="O42" s="771" t="s">
        <v>3542</v>
      </c>
      <c r="V42" s="1936"/>
      <c r="W42" s="1936"/>
      <c r="X42" s="1936"/>
      <c r="Y42" s="1936"/>
      <c r="AG42" s="1936"/>
      <c r="AK42" s="1936"/>
      <c r="BH42" s="1936"/>
      <c r="BI42" s="1936"/>
      <c r="BJ42" s="1936"/>
      <c r="BK42" s="1943">
        <v>300</v>
      </c>
      <c r="BL42" s="1529" t="s">
        <v>4443</v>
      </c>
      <c r="BM42" s="1534" t="s">
        <v>7035</v>
      </c>
      <c r="BN42" s="1534" t="s">
        <v>6783</v>
      </c>
      <c r="BO42" s="1529"/>
      <c r="BP42" s="1936"/>
      <c r="BT42" s="8"/>
    </row>
    <row r="43" spans="1:92" ht="12.75" customHeight="1" x14ac:dyDescent="0.2">
      <c r="A43" s="896"/>
      <c r="B43" s="2073"/>
      <c r="C43" s="1899" t="str">
        <f>VLOOKUP($D$3,LBX.M,10,FALSE)</f>
        <v>4682008/</v>
      </c>
      <c r="D43" s="738" t="str">
        <f t="shared" si="8"/>
        <v xml:space="preserve">LBX, Загл держ п/п М, сер, лев ZI7.0MS3 </v>
      </c>
      <c r="E43" s="739">
        <v>1</v>
      </c>
      <c r="F43" s="1458">
        <f t="shared" si="9"/>
        <v>91.079788800000017</v>
      </c>
      <c r="G43" s="1901">
        <f t="shared" si="10"/>
        <v>91.079788800000017</v>
      </c>
      <c r="H43" s="1893">
        <f t="shared" si="11"/>
        <v>91.079788800000017</v>
      </c>
      <c r="I43" s="2386"/>
      <c r="J43" s="782"/>
      <c r="K43" s="782"/>
      <c r="V43" s="1936"/>
      <c r="W43" s="1936"/>
      <c r="X43" s="1936"/>
      <c r="Y43" s="1936"/>
      <c r="AA43" s="1936"/>
      <c r="AK43" s="1936"/>
      <c r="BK43" s="1943">
        <v>350</v>
      </c>
      <c r="BL43" s="1529" t="s">
        <v>4444</v>
      </c>
      <c r="BM43" s="1534" t="s">
        <v>4456</v>
      </c>
      <c r="BN43" s="1534" t="s">
        <v>4471</v>
      </c>
      <c r="BO43" s="1529"/>
      <c r="BP43" s="1936"/>
      <c r="BT43" s="8"/>
    </row>
    <row r="44" spans="1:92" ht="12.75" customHeight="1" x14ac:dyDescent="0.2">
      <c r="A44" s="896"/>
      <c r="B44" s="2073"/>
      <c r="C44" s="1899" t="str">
        <f>VLOOKUP($D$3,LBX.M,11,FALSE)</f>
        <v>8248549/</v>
      </c>
      <c r="D44" s="738" t="str">
        <f t="shared" si="8"/>
        <v>LBX, Загл держ п/п M, сер, прав ZI7.0MS3</v>
      </c>
      <c r="E44" s="739">
        <v>1</v>
      </c>
      <c r="F44" s="1458">
        <f t="shared" si="9"/>
        <v>91.079788800000017</v>
      </c>
      <c r="G44" s="1901">
        <f t="shared" si="10"/>
        <v>91.079788800000017</v>
      </c>
      <c r="H44" s="1893">
        <f t="shared" si="11"/>
        <v>91.079788800000017</v>
      </c>
      <c r="I44" s="2386"/>
      <c r="J44" s="782"/>
      <c r="K44" s="782"/>
      <c r="L44" s="1936"/>
      <c r="M44" s="8">
        <v>270</v>
      </c>
      <c r="N44" s="771" t="s">
        <v>4071</v>
      </c>
      <c r="O44" s="771" t="s">
        <v>4072</v>
      </c>
      <c r="AA44" s="1936"/>
      <c r="AK44" s="1936"/>
      <c r="BK44" s="1943">
        <v>400</v>
      </c>
      <c r="BL44" s="1529" t="s">
        <v>4445</v>
      </c>
      <c r="BM44" s="1534" t="s">
        <v>4457</v>
      </c>
      <c r="BN44" s="1534" t="s">
        <v>4472</v>
      </c>
      <c r="BO44" s="1529"/>
      <c r="BT44" s="8"/>
    </row>
    <row r="45" spans="1:92" ht="12.75" customHeight="1" x14ac:dyDescent="0.2">
      <c r="A45" s="896"/>
      <c r="B45" s="2073"/>
      <c r="C45" s="1899" t="str">
        <f>VLOOKUP($D$3,LBX.M,12,FALSE)</f>
        <v>5897587/</v>
      </c>
      <c r="D45" s="738" t="str">
        <f t="shared" si="8"/>
        <v xml:space="preserve">LBX, Пп б/п п/раскр, сер, ZV7.1043C01   </v>
      </c>
      <c r="E45" s="739">
        <v>1</v>
      </c>
      <c r="F45" s="1458">
        <f t="shared" si="9"/>
        <v>1253.9735208</v>
      </c>
      <c r="G45" s="1901">
        <f t="shared" si="10"/>
        <v>1253.9735208</v>
      </c>
      <c r="H45" s="1893">
        <f t="shared" si="11"/>
        <v>1253.9735208</v>
      </c>
      <c r="I45" s="2386"/>
      <c r="J45" s="782"/>
      <c r="K45" s="782"/>
      <c r="L45" s="1936"/>
      <c r="M45" s="8">
        <v>300</v>
      </c>
      <c r="N45" s="771" t="s">
        <v>6739</v>
      </c>
      <c r="O45" s="771" t="s">
        <v>5892</v>
      </c>
      <c r="AK45" s="1936"/>
      <c r="BK45" s="1943">
        <v>450</v>
      </c>
      <c r="BL45" s="1529" t="s">
        <v>3646</v>
      </c>
      <c r="BM45" s="1534" t="s">
        <v>4458</v>
      </c>
      <c r="BN45" s="1534" t="s">
        <v>3709</v>
      </c>
      <c r="BO45" s="1529"/>
    </row>
    <row r="46" spans="1:92" ht="12.75" customHeight="1" x14ac:dyDescent="0.2">
      <c r="A46" s="896"/>
      <c r="B46" s="2073"/>
      <c r="C46" s="1899" t="str">
        <f>VLOOKUP($D$3,LBX.M,8,FALSE)</f>
        <v>8650259/</v>
      </c>
      <c r="D46" s="738" t="str">
        <f t="shared" si="8"/>
        <v>LBX, Держат. задн. ст, 102 мм, сер, лев.</v>
      </c>
      <c r="E46" s="739">
        <v>1</v>
      </c>
      <c r="F46" s="1458">
        <f t="shared" si="9"/>
        <v>35.781345600000002</v>
      </c>
      <c r="G46" s="1901">
        <f t="shared" si="10"/>
        <v>35.781345600000002</v>
      </c>
      <c r="H46" s="1893">
        <f t="shared" si="11"/>
        <v>35.781345600000002</v>
      </c>
      <c r="I46" s="2386"/>
      <c r="J46" s="782"/>
      <c r="K46" s="782"/>
      <c r="L46" s="1936"/>
      <c r="M46" s="8">
        <v>350</v>
      </c>
      <c r="N46" s="771" t="s">
        <v>3547</v>
      </c>
      <c r="O46" s="771" t="s">
        <v>3548</v>
      </c>
      <c r="V46" s="1936"/>
      <c r="W46" s="1936"/>
      <c r="X46" s="1936"/>
      <c r="Y46" s="1936"/>
      <c r="AE46" s="1936"/>
      <c r="AF46" s="1936"/>
      <c r="AG46" s="1936"/>
      <c r="AH46" s="1936"/>
      <c r="AK46" s="1936"/>
      <c r="BK46" s="1943">
        <v>500</v>
      </c>
      <c r="BL46" s="1529" t="s">
        <v>4446</v>
      </c>
      <c r="BM46" s="1534" t="s">
        <v>4459</v>
      </c>
      <c r="BN46" s="1534" t="s">
        <v>4473</v>
      </c>
      <c r="BO46" s="1529"/>
    </row>
    <row r="47" spans="1:92" ht="12.75" customHeight="1" x14ac:dyDescent="0.2">
      <c r="A47" s="896"/>
      <c r="B47" s="2073"/>
      <c r="C47" s="1899" t="str">
        <f>VLOOKUP($D$3,LBX.M,9,FALSE)</f>
        <v>3168711/</v>
      </c>
      <c r="D47" s="1899" t="str">
        <f t="shared" si="8"/>
        <v>LBX, Держат. задн. ст, 102 мм, сер, прав</v>
      </c>
      <c r="E47" s="1900">
        <v>1</v>
      </c>
      <c r="F47" s="1901">
        <f t="shared" si="9"/>
        <v>35.781345600000002</v>
      </c>
      <c r="G47" s="1901">
        <f t="shared" si="10"/>
        <v>35.781345600000002</v>
      </c>
      <c r="H47" s="1913">
        <f t="shared" si="11"/>
        <v>35.781345600000002</v>
      </c>
      <c r="I47" s="2386"/>
      <c r="J47" s="782"/>
      <c r="K47" s="782"/>
      <c r="M47" s="8">
        <v>400</v>
      </c>
      <c r="N47" s="771" t="s">
        <v>3737</v>
      </c>
      <c r="O47" s="771" t="s">
        <v>3738</v>
      </c>
    </row>
    <row r="48" spans="1:92" ht="12.75" customHeight="1" x14ac:dyDescent="0.2">
      <c r="A48" s="896"/>
      <c r="B48" s="2073"/>
      <c r="C48" s="1899" t="str">
        <f>IF(C53="","",IF(AND($D$3=$AE$27,$C$27=300),$AI$31,IF($D$4="Торговая","",VLOOKUP($D$3,LBX.M,6,FALSE))))</f>
        <v>2550380/</v>
      </c>
      <c r="D48" s="1905" t="str">
        <f>IF(OR(C48="",C48=0),"",VLOOKUP(C48,всецены,2,FALSE))</f>
        <v xml:space="preserve">LBX, Загл, внутр, сер, симм (М,С,F)     </v>
      </c>
      <c r="E48" s="1906">
        <f>IF(C48="",0,2)</f>
        <v>2</v>
      </c>
      <c r="F48" s="1907">
        <f>IF(C48="",0,VLOOKUP(C48,всецены,4,FALSE))</f>
        <v>8.9453364000000004</v>
      </c>
      <c r="G48" s="1901">
        <f t="shared" si="10"/>
        <v>8.9453364000000004</v>
      </c>
      <c r="H48" s="1904">
        <f>IF(C48=0,0,G48*E48)</f>
        <v>17.890672800000001</v>
      </c>
      <c r="I48" s="2386"/>
      <c r="J48" s="782"/>
      <c r="K48" s="782"/>
      <c r="M48" s="8">
        <v>450</v>
      </c>
      <c r="N48" s="771" t="s">
        <v>3544</v>
      </c>
      <c r="O48" s="771" t="s">
        <v>3545</v>
      </c>
      <c r="BT48" s="1936"/>
      <c r="BU48" s="1936"/>
      <c r="BV48" s="1936"/>
      <c r="BW48" s="1936"/>
      <c r="BX48" s="1936"/>
      <c r="BY48" s="1936"/>
      <c r="BZ48" s="1936"/>
      <c r="CA48" s="1936"/>
      <c r="CB48" s="1936"/>
      <c r="CC48" s="1936"/>
      <c r="CD48" s="1936"/>
    </row>
    <row r="49" spans="1:130" ht="12.75" customHeight="1" x14ac:dyDescent="0.2">
      <c r="A49" s="896"/>
      <c r="B49" s="2073"/>
      <c r="C49" s="1899" t="str">
        <f>IF(C53="","",IF(AND($D$3=$AE$27,$C$27=300),$AJ$31,IF($D$4="Торговая","",VLOOKUP($D$3,LBX.M,7,FALSE))))</f>
        <v>5820744/</v>
      </c>
      <c r="D49" s="1905" t="str">
        <f>IF(OR(C49="",C49=0),"",VLOOKUP(C49,всецены,2,FALSE))</f>
        <v xml:space="preserve">LBX, Загл, наружн, с лого, сер, симм    </v>
      </c>
      <c r="E49" s="1906">
        <f>IF(C49="",0,2)</f>
        <v>2</v>
      </c>
      <c r="F49" s="1907">
        <f>IF(C49="",0,VLOOKUP(C49,всецены,4,FALSE))</f>
        <v>14.637823200000001</v>
      </c>
      <c r="G49" s="1901">
        <f t="shared" si="10"/>
        <v>14.637823200000001</v>
      </c>
      <c r="H49" s="1904">
        <f>IF(C49=0,0,G49*E49)</f>
        <v>29.275646400000003</v>
      </c>
      <c r="I49" s="2386"/>
      <c r="J49" s="782"/>
      <c r="K49" s="782"/>
      <c r="M49" s="8">
        <v>500</v>
      </c>
      <c r="N49" s="771" t="s">
        <v>3549</v>
      </c>
      <c r="O49" s="771" t="s">
        <v>3550</v>
      </c>
      <c r="AI49" s="1936"/>
      <c r="AJ49" s="1936"/>
      <c r="AK49" s="1936"/>
      <c r="AL49" s="1936"/>
      <c r="AM49" s="1936"/>
      <c r="AR49" s="1936"/>
      <c r="AS49" s="1936"/>
      <c r="AT49" s="1936"/>
      <c r="AU49" s="1936"/>
      <c r="AV49" s="1936"/>
      <c r="AW49" s="1936"/>
      <c r="AX49" s="1936"/>
      <c r="AY49" s="1936"/>
      <c r="AZ49" s="1936"/>
      <c r="BA49" s="1936"/>
      <c r="BB49" s="1936"/>
      <c r="BC49" s="1936"/>
      <c r="BD49" s="1936"/>
      <c r="BE49" s="1936"/>
      <c r="BF49" s="1936"/>
      <c r="BG49" s="1936"/>
      <c r="BH49" s="1936"/>
      <c r="BI49" s="1936"/>
      <c r="BJ49" s="1936"/>
      <c r="BK49" s="1936"/>
      <c r="BL49" s="1936"/>
      <c r="BM49" s="1936"/>
      <c r="BN49" s="1936"/>
      <c r="BO49" s="1936"/>
      <c r="BP49" s="1936"/>
      <c r="BQ49" s="1936"/>
      <c r="BR49" s="1936"/>
      <c r="BS49" s="1936"/>
      <c r="BT49" s="1936"/>
      <c r="BU49" s="1936"/>
      <c r="BV49" s="1936"/>
      <c r="BW49" s="1936"/>
      <c r="BX49" s="1936"/>
      <c r="BY49" s="1936"/>
      <c r="BZ49" s="1936"/>
      <c r="CA49" s="1936"/>
      <c r="CB49" s="1936"/>
      <c r="CC49" s="1936"/>
      <c r="CD49" s="1936"/>
    </row>
    <row r="50" spans="1:130" ht="12.75" customHeight="1" x14ac:dyDescent="0.2">
      <c r="A50" s="896"/>
      <c r="B50" s="2073"/>
      <c r="C50" s="1965" t="str">
        <f>C36</f>
        <v>1365128/</v>
      </c>
      <c r="D50" s="1965" t="str">
        <f t="shared" si="8"/>
        <v>LBX, Tip-on BM, L3, 350-750 кмп T60L7540</v>
      </c>
      <c r="E50" s="1966">
        <v>1</v>
      </c>
      <c r="F50" s="1967">
        <f t="shared" si="9"/>
        <v>1107.5952887999999</v>
      </c>
      <c r="G50" s="1967">
        <f t="shared" si="10"/>
        <v>1107.5952887999999</v>
      </c>
      <c r="H50" s="1972">
        <f t="shared" si="11"/>
        <v>1107.5952887999999</v>
      </c>
      <c r="I50" s="2386"/>
      <c r="J50" s="782"/>
      <c r="K50" s="782"/>
      <c r="AI50" s="1936"/>
      <c r="AJ50" s="1936"/>
      <c r="AK50" s="1936"/>
      <c r="AL50" s="1936"/>
      <c r="AM50" s="1936"/>
      <c r="AR50" s="1936"/>
      <c r="AS50" s="1936"/>
      <c r="AT50" s="1936"/>
      <c r="AU50" s="1936"/>
      <c r="AV50" s="1936"/>
      <c r="AW50" s="1936"/>
      <c r="AX50" s="1936"/>
      <c r="AY50" s="1936"/>
      <c r="AZ50" s="1936"/>
      <c r="BA50" s="1936"/>
      <c r="BB50" s="1936"/>
      <c r="BC50" s="1936"/>
      <c r="BD50" s="1936"/>
      <c r="BE50" s="1936"/>
      <c r="BF50" s="1936"/>
      <c r="BG50" s="1936"/>
      <c r="BH50" s="1936"/>
      <c r="BI50" s="1936"/>
      <c r="BJ50" s="1936"/>
      <c r="BK50" s="1936"/>
      <c r="BL50" s="1936"/>
      <c r="BM50" s="1936"/>
      <c r="BN50" s="1936"/>
      <c r="BO50" s="1936"/>
      <c r="BP50" s="1936"/>
      <c r="BQ50" s="1936"/>
      <c r="BR50" s="1936"/>
      <c r="BS50" s="1936"/>
      <c r="BT50" s="1936"/>
      <c r="BU50" s="1936"/>
      <c r="BV50" s="1936"/>
      <c r="BW50" s="1936"/>
      <c r="BX50" s="1936"/>
      <c r="BY50" s="1936"/>
      <c r="BZ50" s="1936"/>
      <c r="CA50" s="1936"/>
      <c r="CB50" s="1936"/>
      <c r="CC50" s="1936"/>
      <c r="CD50" s="1936"/>
    </row>
    <row r="51" spans="1:130" ht="12.75" customHeight="1" x14ac:dyDescent="0.2">
      <c r="A51" s="896"/>
      <c r="B51" s="2073"/>
      <c r="C51" s="1965" t="str">
        <f>C37</f>
        <v>9554467/</v>
      </c>
      <c r="D51" s="1965" t="str">
        <f t="shared" si="8"/>
        <v>LBX, Напр.Tip-on BM,500 мм,кмп 750.5001M</v>
      </c>
      <c r="E51" s="1966">
        <v>1</v>
      </c>
      <c r="F51" s="1967">
        <f t="shared" si="9"/>
        <v>1669.5250572</v>
      </c>
      <c r="G51" s="1967">
        <f t="shared" si="10"/>
        <v>1669.5250572</v>
      </c>
      <c r="H51" s="1972">
        <f t="shared" si="11"/>
        <v>1669.5250572</v>
      </c>
      <c r="I51" s="2386"/>
      <c r="J51" s="782"/>
      <c r="K51" s="782"/>
      <c r="AI51" s="1936"/>
      <c r="AJ51" s="1936"/>
      <c r="AK51" s="1936"/>
      <c r="AL51" s="1936"/>
      <c r="AM51" s="1936"/>
      <c r="AR51" s="1936"/>
      <c r="AS51" s="1936"/>
      <c r="AT51" s="1936"/>
      <c r="AU51" s="1936"/>
      <c r="AV51" s="1936"/>
      <c r="AW51" s="1936"/>
      <c r="AX51" s="1936"/>
      <c r="AY51" s="1936"/>
      <c r="AZ51" s="1936"/>
      <c r="BA51" s="1936"/>
      <c r="BB51" s="1936"/>
      <c r="BC51" s="1936"/>
      <c r="BD51" s="1936"/>
      <c r="BE51" s="1936"/>
      <c r="BF51" s="1936"/>
      <c r="BG51" s="1936"/>
      <c r="BH51" s="1936"/>
      <c r="BI51" s="1936"/>
      <c r="BJ51" s="1936"/>
      <c r="BK51" s="1936"/>
      <c r="BL51" s="1936"/>
      <c r="BM51" s="1936"/>
      <c r="BN51" s="1936"/>
      <c r="BO51" s="1936"/>
      <c r="BP51" s="1936"/>
      <c r="BQ51" s="1936"/>
      <c r="BR51" s="1936"/>
      <c r="BS51" s="1936"/>
      <c r="BT51" s="1936"/>
      <c r="BU51" s="1936"/>
      <c r="BV51" s="1936"/>
      <c r="BW51" s="1936"/>
      <c r="BX51" s="1936"/>
      <c r="BY51" s="1936"/>
      <c r="BZ51" s="1936"/>
      <c r="CA51" s="1936"/>
      <c r="CB51" s="1936"/>
      <c r="CC51" s="1936"/>
      <c r="CD51" s="1936"/>
    </row>
    <row r="52" spans="1:130" ht="12.75" customHeight="1" x14ac:dyDescent="0.2">
      <c r="A52" s="896"/>
      <c r="B52" s="2073"/>
      <c r="C52" s="1899" t="str">
        <f>C34</f>
        <v>6431292/</v>
      </c>
      <c r="D52" s="1899" t="str">
        <f t="shared" si="8"/>
        <v>LBX, Боковина M 90,3/500 мм, сер, пр V20</v>
      </c>
      <c r="E52" s="1900">
        <v>1</v>
      </c>
      <c r="F52" s="1901">
        <f t="shared" si="9"/>
        <v>481.42174080000007</v>
      </c>
      <c r="G52" s="1901">
        <f t="shared" si="10"/>
        <v>481.42174080000007</v>
      </c>
      <c r="H52" s="1913">
        <f t="shared" si="11"/>
        <v>481.42174080000007</v>
      </c>
      <c r="I52" s="2386"/>
      <c r="J52" s="782"/>
      <c r="K52" s="782"/>
      <c r="AG52" s="1936"/>
      <c r="AH52" s="1936"/>
      <c r="AI52" s="1936"/>
      <c r="AJ52" s="1936"/>
      <c r="AK52" s="1936"/>
      <c r="AL52" s="1936"/>
      <c r="AM52" s="1936"/>
      <c r="AR52" s="1936"/>
      <c r="AS52" s="1936"/>
      <c r="AT52" s="1936"/>
      <c r="AU52" s="1936"/>
      <c r="AV52" s="1936"/>
      <c r="AW52" s="1936"/>
      <c r="AX52" s="1936"/>
      <c r="AY52" s="1936"/>
      <c r="AZ52" s="1936"/>
      <c r="BA52" s="1936"/>
      <c r="BB52" s="1936"/>
      <c r="BC52" s="1936"/>
      <c r="BD52" s="1936"/>
      <c r="BE52" s="1936"/>
      <c r="BF52" s="1936"/>
      <c r="BG52" s="1936"/>
      <c r="BH52" s="1936"/>
      <c r="BI52" s="1936"/>
      <c r="BJ52" s="1936"/>
      <c r="BK52" s="1936"/>
      <c r="BL52" s="1936"/>
      <c r="BM52" s="1936"/>
      <c r="BN52" s="1936"/>
      <c r="BO52" s="1936"/>
      <c r="BP52" s="1936"/>
      <c r="BQ52" s="1936"/>
      <c r="BR52" s="1936"/>
      <c r="BS52" s="1936"/>
      <c r="BT52" s="1936"/>
      <c r="BU52" s="1936"/>
      <c r="BV52" s="1936"/>
      <c r="BW52" s="1936"/>
      <c r="BX52" s="1936"/>
      <c r="BY52" s="1936"/>
      <c r="BZ52" s="1936"/>
      <c r="CA52" s="1936"/>
      <c r="CB52" s="1936"/>
      <c r="CC52" s="1936"/>
      <c r="CD52" s="1936"/>
    </row>
    <row r="53" spans="1:130" ht="12.75" customHeight="1" thickBot="1" x14ac:dyDescent="0.25">
      <c r="A53" s="896"/>
      <c r="B53" s="2074"/>
      <c r="C53" s="1885" t="str">
        <f>C35</f>
        <v>6410289/</v>
      </c>
      <c r="D53" s="1874" t="str">
        <f>IF(OR(C53="",C53=0),"",VLOOKUP(C53,всецены,2,FALSE))</f>
        <v>LBX, Боковина M 90,3/500 мм, сер,лев V20</v>
      </c>
      <c r="E53" s="1886">
        <f>IF(C53="",0,1)</f>
        <v>1</v>
      </c>
      <c r="F53" s="1876">
        <f>IF(C53="",0,VLOOKUP(C53,всецены,4,FALSE))</f>
        <v>481.42174080000007</v>
      </c>
      <c r="G53" s="1898">
        <f t="shared" si="10"/>
        <v>481.42174080000007</v>
      </c>
      <c r="H53" s="1894">
        <f>IF(C53=0,0,G53*E53)</f>
        <v>481.42174080000007</v>
      </c>
      <c r="I53" s="2387"/>
      <c r="J53" s="782"/>
      <c r="K53" s="782"/>
      <c r="AG53" s="1936"/>
      <c r="AH53" s="1936"/>
      <c r="AI53" s="1936"/>
      <c r="AJ53" s="1936"/>
      <c r="AK53" s="1936"/>
      <c r="AL53" s="1936"/>
      <c r="AM53" s="1936"/>
      <c r="AR53" s="1936"/>
      <c r="AS53" s="1936"/>
      <c r="AT53" s="1936"/>
      <c r="AU53" s="1936"/>
      <c r="AV53" s="1936"/>
      <c r="AW53" s="1936"/>
      <c r="AX53" s="1936"/>
      <c r="AY53" s="1936"/>
      <c r="AZ53" s="1936"/>
      <c r="BA53" s="1936"/>
      <c r="BB53" s="1936"/>
      <c r="BC53" s="1936"/>
      <c r="BD53" s="1936"/>
      <c r="BE53" s="1936"/>
      <c r="BF53" s="1936"/>
      <c r="BG53" s="1936"/>
      <c r="BH53" s="1936"/>
      <c r="BI53" s="1936"/>
      <c r="BJ53" s="1936"/>
      <c r="BK53" s="1936"/>
      <c r="BL53" s="1936"/>
      <c r="BM53" s="1936"/>
      <c r="BN53" s="1936"/>
      <c r="BO53" s="1936"/>
      <c r="BP53" s="1936"/>
      <c r="BQ53" s="1936"/>
      <c r="BR53" s="1936"/>
      <c r="BS53" s="1936"/>
      <c r="BT53" s="1936"/>
      <c r="BU53" s="1936"/>
      <c r="BV53" s="1936"/>
      <c r="BW53" s="1936"/>
      <c r="BX53" s="1936"/>
      <c r="BY53" s="1936"/>
      <c r="BZ53" s="1936"/>
      <c r="CA53" s="1936"/>
      <c r="CB53" s="1936"/>
      <c r="CC53" s="1936"/>
      <c r="CD53" s="1936"/>
    </row>
    <row r="54" spans="1:130" ht="12.75" customHeight="1" x14ac:dyDescent="0.2">
      <c r="B54" s="1381" t="s">
        <v>3551</v>
      </c>
      <c r="C54" s="875"/>
      <c r="D54" s="28"/>
      <c r="E54" s="781"/>
      <c r="F54" s="1539"/>
      <c r="G54" s="1539"/>
      <c r="H54" s="787"/>
      <c r="I54" s="771"/>
      <c r="K54" s="8"/>
      <c r="AF54" s="771"/>
      <c r="DT54" s="771"/>
      <c r="DU54" s="771"/>
      <c r="DV54" s="771"/>
      <c r="DW54" s="771"/>
      <c r="DX54" s="771"/>
      <c r="DY54" s="771"/>
      <c r="DZ54" s="771"/>
    </row>
    <row r="55" spans="1:130" ht="8.1" customHeight="1" x14ac:dyDescent="0.2">
      <c r="B55" s="1935"/>
      <c r="C55" s="712"/>
      <c r="D55" s="713"/>
      <c r="E55" s="1945"/>
      <c r="F55" s="1444"/>
      <c r="G55" s="1444"/>
      <c r="H55" s="715"/>
      <c r="I55" s="19"/>
      <c r="J55" s="782"/>
      <c r="K55" s="782"/>
      <c r="AG55" s="1936"/>
      <c r="AH55" s="1936"/>
      <c r="AI55" s="1936"/>
      <c r="AJ55" s="1936"/>
      <c r="AK55" s="1936"/>
      <c r="AL55" s="1936"/>
      <c r="AM55" s="1936"/>
      <c r="AN55" s="1936"/>
      <c r="AO55" s="1936"/>
      <c r="AP55" s="1936"/>
      <c r="AQ55" s="1936"/>
      <c r="AR55" s="1936"/>
      <c r="AS55" s="1936"/>
      <c r="AT55" s="1936"/>
      <c r="AU55" s="1936"/>
      <c r="AV55" s="1936"/>
      <c r="AW55" s="1936"/>
      <c r="AX55" s="1936"/>
      <c r="AY55" s="1936"/>
      <c r="AZ55" s="1936"/>
      <c r="BA55" s="1936"/>
      <c r="BB55" s="1936"/>
      <c r="BC55" s="1936"/>
      <c r="BD55" s="1936"/>
      <c r="BE55" s="1936"/>
      <c r="BF55" s="1936"/>
      <c r="BG55" s="1936"/>
      <c r="BH55" s="1936"/>
      <c r="BI55" s="1936"/>
      <c r="BJ55" s="1936"/>
      <c r="BK55" s="1936"/>
      <c r="BL55" s="1936"/>
      <c r="BM55" s="1936"/>
      <c r="BN55" s="1936"/>
      <c r="BO55" s="1936"/>
      <c r="BP55" s="1936"/>
      <c r="BQ55" s="1936"/>
      <c r="BR55" s="1936"/>
      <c r="BS55" s="1936"/>
      <c r="BT55" s="1936"/>
      <c r="BU55" s="1936"/>
      <c r="BV55" s="1936"/>
      <c r="BW55" s="1936"/>
      <c r="BX55" s="1936"/>
      <c r="BY55" s="1936"/>
      <c r="BZ55" s="1936"/>
      <c r="CA55" s="1936"/>
      <c r="CB55" s="1936"/>
      <c r="CC55" s="1936"/>
      <c r="CD55" s="1936"/>
    </row>
    <row r="56" spans="1:130" ht="20.100000000000001" hidden="1" customHeight="1" x14ac:dyDescent="0.2">
      <c r="A56" s="843"/>
      <c r="B56" s="2393" t="s">
        <v>2354</v>
      </c>
      <c r="C56" s="2394"/>
      <c r="D56" s="2394"/>
      <c r="E56" s="2394"/>
      <c r="F56" s="2394"/>
      <c r="G56" s="2394"/>
      <c r="H56" s="2395"/>
      <c r="I56" s="611"/>
      <c r="J56" s="782"/>
      <c r="K56" s="782"/>
      <c r="AG56" s="1936"/>
      <c r="AH56" s="1936"/>
      <c r="AI56" s="1936"/>
      <c r="AJ56" s="1936"/>
      <c r="AK56" s="1936"/>
      <c r="AL56" s="1936"/>
      <c r="AM56" s="1936"/>
      <c r="AN56" s="1936"/>
      <c r="AO56" s="1936"/>
      <c r="AP56" s="1936"/>
      <c r="AQ56" s="1936"/>
      <c r="AR56" s="1936"/>
      <c r="AS56" s="1936"/>
      <c r="AT56" s="1936"/>
      <c r="AU56" s="1936"/>
      <c r="AV56" s="1936"/>
      <c r="AW56" s="1936"/>
      <c r="AX56" s="1936"/>
      <c r="AY56" s="1936"/>
      <c r="AZ56" s="1936"/>
      <c r="BA56" s="1936"/>
      <c r="BB56" s="1936"/>
      <c r="BC56" s="1936"/>
      <c r="BD56" s="1936"/>
      <c r="BE56" s="1936"/>
      <c r="BF56" s="1936"/>
      <c r="BG56" s="1936"/>
      <c r="BH56" s="1936"/>
      <c r="BI56" s="1936"/>
      <c r="BJ56" s="1936"/>
      <c r="BK56" s="1936"/>
      <c r="BL56" s="1936"/>
      <c r="BM56" s="1936"/>
      <c r="BN56" s="1936"/>
      <c r="BO56" s="1936"/>
      <c r="BP56" s="1936"/>
      <c r="BQ56" s="1936"/>
      <c r="BR56" s="1936"/>
      <c r="BS56" s="1936"/>
      <c r="BT56" s="1936"/>
      <c r="BU56" s="1936"/>
      <c r="BV56" s="1936"/>
      <c r="BW56" s="1936"/>
      <c r="BX56" s="1936"/>
      <c r="BY56" s="1936"/>
      <c r="BZ56" s="1936"/>
      <c r="CA56" s="1936"/>
      <c r="CB56" s="1936"/>
      <c r="CC56" s="1936"/>
      <c r="CD56" s="1936"/>
    </row>
    <row r="57" spans="1:130" ht="20.100000000000001" hidden="1" customHeight="1" x14ac:dyDescent="0.2">
      <c r="A57" s="843"/>
      <c r="B57" s="2396"/>
      <c r="C57" s="2396"/>
      <c r="D57" s="2396"/>
      <c r="E57" s="2396"/>
      <c r="F57" s="2396"/>
      <c r="G57" s="2396"/>
      <c r="H57" s="2397"/>
      <c r="I57" s="611"/>
      <c r="J57" s="782"/>
      <c r="K57" s="782"/>
      <c r="AG57" s="1936"/>
      <c r="AH57" s="1936"/>
      <c r="AI57" s="1936"/>
      <c r="AJ57" s="1936"/>
      <c r="AK57" s="1936"/>
      <c r="AL57" s="1936"/>
      <c r="AM57" s="1936"/>
      <c r="AN57" s="1936"/>
      <c r="AO57" s="1936"/>
      <c r="AP57" s="1936"/>
      <c r="AQ57" s="1936"/>
      <c r="AR57" s="1936"/>
      <c r="AS57" s="1936"/>
      <c r="AT57" s="1936"/>
      <c r="AU57" s="1936"/>
      <c r="AV57" s="1936"/>
      <c r="AW57" s="1936"/>
      <c r="AX57" s="1936"/>
      <c r="AY57" s="1936"/>
      <c r="AZ57" s="1936"/>
      <c r="BA57" s="1936"/>
      <c r="BB57" s="1936"/>
      <c r="BC57" s="1936"/>
      <c r="BD57" s="1936"/>
      <c r="BE57" s="1936"/>
      <c r="BF57" s="1936"/>
      <c r="BG57" s="1936"/>
      <c r="BH57" s="1936"/>
      <c r="BI57" s="1936"/>
      <c r="BJ57" s="1936"/>
      <c r="BK57" s="1936"/>
      <c r="BL57" s="1936"/>
      <c r="BM57" s="1936"/>
      <c r="BN57" s="1936"/>
      <c r="BO57" s="1936"/>
      <c r="BP57" s="1936"/>
      <c r="BQ57" s="1936"/>
      <c r="BR57" s="1936"/>
      <c r="BS57" s="1936"/>
      <c r="BT57" s="1936"/>
      <c r="BU57" s="1936"/>
      <c r="BV57" s="1936"/>
      <c r="BW57" s="1936"/>
      <c r="BX57" s="1936"/>
      <c r="BY57" s="1936"/>
      <c r="BZ57" s="1936"/>
      <c r="CA57" s="1936"/>
      <c r="CB57" s="1936"/>
      <c r="CC57" s="1936"/>
      <c r="CD57" s="1936"/>
    </row>
    <row r="58" spans="1:130" ht="12.75" hidden="1" customHeight="1" x14ac:dyDescent="0.2">
      <c r="A58" s="843"/>
      <c r="B58" s="717"/>
      <c r="C58" s="718"/>
      <c r="D58" s="719"/>
      <c r="E58" s="719"/>
      <c r="F58" s="1445"/>
      <c r="G58" s="1445"/>
      <c r="H58" s="720"/>
      <c r="I58" s="721"/>
      <c r="J58" s="782"/>
      <c r="K58" s="782"/>
      <c r="V58" s="158"/>
      <c r="AG58" s="1936"/>
      <c r="AH58" s="1936"/>
      <c r="AI58" s="1936"/>
      <c r="AJ58" s="1936"/>
      <c r="AK58" s="1936"/>
      <c r="AL58" s="1936"/>
      <c r="AM58" s="1936"/>
      <c r="AN58" s="1936"/>
      <c r="AO58" s="1936"/>
      <c r="AP58" s="1936"/>
      <c r="AQ58" s="1936"/>
      <c r="AR58" s="1936"/>
      <c r="AS58" s="1936"/>
      <c r="AT58" s="1936"/>
      <c r="AU58" s="1936"/>
      <c r="AV58" s="1936"/>
      <c r="AW58" s="1936"/>
      <c r="AX58" s="1936"/>
      <c r="AY58" s="1936"/>
      <c r="AZ58" s="1936"/>
      <c r="BA58" s="1936"/>
      <c r="BB58" s="1936"/>
      <c r="BC58" s="1936"/>
      <c r="BD58" s="1936"/>
      <c r="BE58" s="1936"/>
      <c r="BF58" s="1936"/>
      <c r="BG58" s="1936"/>
      <c r="BH58" s="1936"/>
      <c r="BI58" s="1936"/>
      <c r="BJ58" s="1936"/>
      <c r="BK58" s="1936"/>
      <c r="BL58" s="1936"/>
      <c r="BM58" s="1936"/>
      <c r="BN58" s="1936"/>
      <c r="BO58" s="1936"/>
      <c r="BP58" s="1936"/>
      <c r="BQ58" s="1936"/>
      <c r="BR58" s="1936"/>
      <c r="BS58" s="1936"/>
      <c r="BT58" s="1936"/>
      <c r="BU58" s="1936"/>
      <c r="BV58" s="1936"/>
      <c r="BW58" s="1936"/>
      <c r="BX58" s="1936"/>
      <c r="BY58" s="1936"/>
      <c r="BZ58" s="1936"/>
      <c r="CA58" s="1936"/>
      <c r="CB58" s="1936"/>
      <c r="CC58" s="1936"/>
      <c r="CD58" s="1936"/>
    </row>
    <row r="59" spans="1:130" ht="15.75" hidden="1" customHeight="1" x14ac:dyDescent="0.2">
      <c r="A59" s="843"/>
      <c r="B59" s="844" t="s">
        <v>1639</v>
      </c>
      <c r="C59" s="850">
        <v>500</v>
      </c>
      <c r="D59" s="867" t="s">
        <v>1689</v>
      </c>
      <c r="E59" s="867"/>
      <c r="F59" s="1446"/>
      <c r="G59" s="1519"/>
      <c r="H59" s="868"/>
      <c r="I59" s="2388" t="s">
        <v>1850</v>
      </c>
      <c r="J59" s="782"/>
      <c r="K59" s="782"/>
      <c r="AG59" s="1936"/>
      <c r="AH59" s="1936"/>
      <c r="AI59" s="1936"/>
      <c r="AJ59" s="1936"/>
      <c r="AK59" s="1936"/>
      <c r="AL59" s="1936"/>
      <c r="AM59" s="1936"/>
      <c r="AN59" s="1936"/>
      <c r="AO59" s="1936"/>
      <c r="AP59" s="1936"/>
      <c r="AQ59" s="1936"/>
      <c r="AR59" s="1936"/>
      <c r="AS59" s="1936"/>
      <c r="AT59" s="1936"/>
      <c r="AU59" s="1936"/>
      <c r="AV59" s="1936"/>
      <c r="AW59" s="1936"/>
      <c r="AX59" s="1936"/>
      <c r="AY59" s="1936"/>
      <c r="AZ59" s="1936"/>
      <c r="BA59" s="1936"/>
      <c r="BB59" s="1936"/>
      <c r="BC59" s="1936"/>
      <c r="BD59" s="1936"/>
      <c r="BE59" s="1936"/>
      <c r="BF59" s="1936"/>
      <c r="BG59" s="1936"/>
      <c r="BH59" s="1936"/>
      <c r="BI59" s="1936"/>
      <c r="BJ59" s="1936"/>
      <c r="BK59" s="1936"/>
      <c r="BL59" s="1936"/>
      <c r="BM59" s="1936"/>
      <c r="BN59" s="1936"/>
      <c r="BO59" s="1936"/>
      <c r="BP59" s="1936"/>
      <c r="BQ59" s="1936"/>
      <c r="BR59" s="1936"/>
      <c r="BS59" s="1936"/>
      <c r="BT59" s="1936"/>
      <c r="BU59" s="1936"/>
      <c r="BV59" s="1936"/>
      <c r="BW59" s="1936"/>
      <c r="BX59" s="1936"/>
      <c r="BY59" s="1936"/>
      <c r="BZ59" s="1936"/>
      <c r="CA59" s="1936"/>
      <c r="CB59" s="1936"/>
      <c r="CC59" s="1936"/>
      <c r="CD59" s="1936"/>
    </row>
    <row r="60" spans="1:130" ht="9.9499999999999993" hidden="1" customHeight="1" x14ac:dyDescent="0.2">
      <c r="A60" s="2384"/>
      <c r="B60" s="2072"/>
      <c r="C60" s="135" t="s">
        <v>1301</v>
      </c>
      <c r="D60" s="139" t="s">
        <v>784</v>
      </c>
      <c r="E60" s="140" t="s">
        <v>2117</v>
      </c>
      <c r="F60" s="1440"/>
      <c r="G60" s="1453"/>
      <c r="H60" s="178" t="s">
        <v>2116</v>
      </c>
      <c r="I60" s="2389"/>
      <c r="J60" s="786"/>
      <c r="K60" s="782"/>
      <c r="AG60" s="1936"/>
      <c r="AH60" s="1936"/>
      <c r="AI60" s="1936"/>
      <c r="AJ60" s="1936"/>
      <c r="AK60" s="1936"/>
      <c r="AL60" s="1936"/>
      <c r="AM60" s="1936"/>
      <c r="AN60" s="1936"/>
      <c r="AO60" s="1936"/>
      <c r="AP60" s="1936"/>
      <c r="AQ60" s="1936"/>
      <c r="AR60" s="1936"/>
      <c r="AS60" s="1936"/>
      <c r="AT60" s="1936"/>
      <c r="AU60" s="1936"/>
      <c r="AV60" s="1936"/>
      <c r="AW60" s="1936"/>
      <c r="AX60" s="1936"/>
      <c r="AY60" s="1936"/>
      <c r="AZ60" s="1936"/>
      <c r="BA60" s="1936"/>
      <c r="BB60" s="1936"/>
      <c r="BC60" s="1936"/>
      <c r="BD60" s="1936"/>
      <c r="BE60" s="1936"/>
      <c r="BF60" s="1936"/>
      <c r="BG60" s="1936"/>
      <c r="BH60" s="1936"/>
      <c r="BI60" s="1936"/>
      <c r="BJ60" s="1936"/>
      <c r="BK60" s="1936"/>
      <c r="BL60" s="1936"/>
      <c r="BM60" s="1936"/>
      <c r="BN60" s="1936"/>
      <c r="BO60" s="1936"/>
      <c r="BP60" s="1936"/>
      <c r="BQ60" s="1936"/>
      <c r="BR60" s="1936"/>
      <c r="BS60" s="1936"/>
      <c r="BT60" s="1936"/>
      <c r="BU60" s="1936"/>
      <c r="BV60" s="1936"/>
      <c r="BW60" s="1936"/>
      <c r="BX60" s="1936"/>
      <c r="BY60" s="1936"/>
      <c r="BZ60" s="1936"/>
      <c r="CA60" s="1936"/>
      <c r="CB60" s="1936"/>
      <c r="CC60" s="1936"/>
      <c r="CD60" s="1936"/>
    </row>
    <row r="61" spans="1:130" ht="12.75" hidden="1" customHeight="1" x14ac:dyDescent="0.2">
      <c r="A61" s="2384"/>
      <c r="B61" s="2073"/>
      <c r="C61" s="701"/>
      <c r="D61" s="43" t="e">
        <f t="shared" ref="D61:D70" si="12">VLOOKUP(C61,всецены,2,FALSE)</f>
        <v>#N/A</v>
      </c>
      <c r="E61" s="80">
        <v>1</v>
      </c>
      <c r="F61" s="1447" t="e">
        <f t="shared" ref="F61:F70" si="13">VLOOKUP(C61,всецены,4,FALSE)</f>
        <v>#N/A</v>
      </c>
      <c r="G61" s="1520"/>
      <c r="H61" s="723" t="e">
        <f t="shared" ref="H61:H70" si="14">F61*E61</f>
        <v>#N/A</v>
      </c>
      <c r="I61" s="2405" t="e">
        <f>SUM(H61:H70)</f>
        <v>#N/A</v>
      </c>
      <c r="J61" s="782"/>
      <c r="K61" s="786"/>
      <c r="V61" s="88"/>
      <c r="AG61" s="1936"/>
      <c r="AH61" s="1936"/>
      <c r="AI61" s="1936"/>
      <c r="AJ61" s="1936"/>
      <c r="AK61" s="1936"/>
      <c r="AL61" s="1936"/>
      <c r="AM61" s="1936"/>
      <c r="AN61" s="1936"/>
      <c r="AO61" s="1936"/>
      <c r="AP61" s="1936"/>
      <c r="AQ61" s="1936"/>
      <c r="AR61" s="1936"/>
      <c r="AS61" s="1936"/>
      <c r="AT61" s="1936"/>
      <c r="AU61" s="1936"/>
      <c r="AV61" s="1936"/>
      <c r="AW61" s="1936"/>
      <c r="AX61" s="1936"/>
      <c r="AY61" s="1936"/>
      <c r="AZ61" s="1936"/>
      <c r="BA61" s="1936"/>
      <c r="BB61" s="1936"/>
      <c r="BC61" s="1936"/>
      <c r="BD61" s="1936"/>
      <c r="BE61" s="1936"/>
      <c r="BF61" s="1936"/>
      <c r="BG61" s="1936"/>
      <c r="BH61" s="1936"/>
      <c r="BI61" s="1936"/>
      <c r="BJ61" s="1936"/>
      <c r="BK61" s="1936"/>
      <c r="BL61" s="1936"/>
      <c r="BM61" s="1936"/>
      <c r="BN61" s="1936"/>
      <c r="BO61" s="1936"/>
      <c r="BP61" s="1936"/>
      <c r="BQ61" s="1936"/>
      <c r="BR61" s="1936"/>
      <c r="BS61" s="1936"/>
      <c r="BT61" s="1936"/>
      <c r="BU61" s="1936"/>
      <c r="BV61" s="1936"/>
      <c r="BW61" s="1936"/>
      <c r="BX61" s="1936"/>
      <c r="BY61" s="1936"/>
      <c r="BZ61" s="1936"/>
      <c r="CA61" s="1936"/>
      <c r="CB61" s="1936"/>
      <c r="CC61" s="1936"/>
      <c r="CD61" s="1936"/>
    </row>
    <row r="62" spans="1:130" ht="12.75" hidden="1" customHeight="1" x14ac:dyDescent="0.2">
      <c r="A62" s="2384"/>
      <c r="B62" s="2073"/>
      <c r="C62" s="701"/>
      <c r="D62" s="43" t="e">
        <f t="shared" si="12"/>
        <v>#N/A</v>
      </c>
      <c r="E62" s="80">
        <v>1</v>
      </c>
      <c r="F62" s="1447" t="e">
        <f t="shared" si="13"/>
        <v>#N/A</v>
      </c>
      <c r="G62" s="1520"/>
      <c r="H62" s="723" t="e">
        <f t="shared" si="14"/>
        <v>#N/A</v>
      </c>
      <c r="I62" s="2386"/>
      <c r="J62" s="782"/>
      <c r="K62" s="782"/>
      <c r="L62" s="106"/>
      <c r="M62" s="106"/>
      <c r="N62" s="106"/>
      <c r="O62" s="106"/>
      <c r="P62" s="106"/>
      <c r="Q62" s="106"/>
      <c r="R62" s="106"/>
      <c r="S62" s="106"/>
      <c r="T62" s="106"/>
      <c r="U62" s="106" t="s">
        <v>2115</v>
      </c>
      <c r="AG62" s="1936"/>
      <c r="AH62" s="1936"/>
      <c r="AI62" s="1936"/>
      <c r="AJ62" s="1936"/>
      <c r="AK62" s="1936"/>
      <c r="AL62" s="1936"/>
      <c r="AM62" s="1936"/>
      <c r="AN62" s="1936"/>
      <c r="AO62" s="1936"/>
      <c r="AP62" s="1936"/>
      <c r="AQ62" s="1936"/>
      <c r="AR62" s="1936"/>
      <c r="AS62" s="1936"/>
      <c r="AT62" s="1936"/>
      <c r="AU62" s="1936"/>
      <c r="AV62" s="1936"/>
      <c r="AW62" s="1936"/>
      <c r="AX62" s="1936"/>
      <c r="AY62" s="1936"/>
      <c r="AZ62" s="1936"/>
      <c r="BA62" s="1936"/>
      <c r="BB62" s="1936"/>
      <c r="BC62" s="1936"/>
      <c r="BD62" s="1936"/>
      <c r="BE62" s="1936"/>
      <c r="BF62" s="1936"/>
      <c r="BG62" s="1936"/>
      <c r="BH62" s="1936"/>
      <c r="BI62" s="1936"/>
      <c r="BJ62" s="1936"/>
      <c r="BK62" s="1936"/>
      <c r="BL62" s="1936"/>
      <c r="BM62" s="1936"/>
      <c r="BN62" s="1936"/>
      <c r="BO62" s="1936"/>
      <c r="BP62" s="1936"/>
      <c r="BQ62" s="1936"/>
      <c r="BR62" s="1936"/>
      <c r="BS62" s="1936"/>
      <c r="BT62" s="1936"/>
      <c r="BU62" s="1936"/>
      <c r="BV62" s="1936"/>
      <c r="BW62" s="1936"/>
      <c r="BX62" s="1936"/>
      <c r="BY62" s="1936"/>
      <c r="BZ62" s="1936"/>
      <c r="CA62" s="1936"/>
      <c r="CB62" s="1936"/>
      <c r="CC62" s="1936"/>
      <c r="CD62" s="1936"/>
    </row>
    <row r="63" spans="1:130" ht="12.75" hidden="1" customHeight="1" x14ac:dyDescent="0.2">
      <c r="A63" s="2384"/>
      <c r="B63" s="2073"/>
      <c r="C63" s="43"/>
      <c r="D63" s="43" t="e">
        <f t="shared" si="12"/>
        <v>#N/A</v>
      </c>
      <c r="E63" s="80">
        <v>1</v>
      </c>
      <c r="F63" s="1447" t="e">
        <f t="shared" si="13"/>
        <v>#N/A</v>
      </c>
      <c r="G63" s="1520"/>
      <c r="H63" s="723" t="e">
        <f t="shared" si="14"/>
        <v>#N/A</v>
      </c>
      <c r="I63" s="2386"/>
      <c r="J63" s="782"/>
      <c r="K63" s="782"/>
      <c r="V63" s="1938" t="s">
        <v>1645</v>
      </c>
      <c r="W63" s="1938" t="s">
        <v>1644</v>
      </c>
      <c r="X63" s="8" t="s">
        <v>1641</v>
      </c>
      <c r="Y63" s="8" t="s">
        <v>1642</v>
      </c>
      <c r="AF63" s="1938"/>
      <c r="AG63" s="1936"/>
      <c r="AH63" s="1936"/>
      <c r="AI63" s="1936"/>
      <c r="AJ63" s="1936"/>
      <c r="AK63" s="1936"/>
      <c r="AL63" s="1936"/>
      <c r="AM63" s="1936"/>
      <c r="AN63" s="1936"/>
      <c r="AO63" s="1936"/>
      <c r="AP63" s="1936"/>
      <c r="AQ63" s="1936"/>
      <c r="AR63" s="1936"/>
      <c r="AS63" s="1936"/>
      <c r="AT63" s="1936"/>
      <c r="AU63" s="1936"/>
      <c r="AV63" s="1936"/>
      <c r="AW63" s="1936"/>
      <c r="AX63" s="1936"/>
      <c r="AY63" s="1936"/>
      <c r="AZ63" s="1936"/>
      <c r="BA63" s="1936"/>
      <c r="BB63" s="1936"/>
      <c r="BC63" s="1936"/>
      <c r="BD63" s="1936"/>
      <c r="BE63" s="1936"/>
      <c r="BF63" s="1936"/>
      <c r="BG63" s="1936"/>
      <c r="BH63" s="1936"/>
      <c r="BI63" s="1936"/>
      <c r="BJ63" s="1936"/>
      <c r="BK63" s="1936"/>
      <c r="BL63" s="1936"/>
      <c r="BM63" s="1936"/>
      <c r="BN63" s="1936"/>
      <c r="BO63" s="1936"/>
      <c r="BP63" s="1936"/>
      <c r="BQ63" s="1936"/>
      <c r="BR63" s="1936"/>
      <c r="BS63" s="1936"/>
      <c r="BT63" s="1936"/>
      <c r="BU63" s="1936"/>
      <c r="BV63" s="1936"/>
      <c r="BW63" s="1936"/>
      <c r="BX63" s="1936"/>
      <c r="BY63" s="1936"/>
      <c r="BZ63" s="1936"/>
      <c r="CA63" s="1936"/>
      <c r="CB63" s="1936"/>
      <c r="CC63" s="1936"/>
      <c r="CD63" s="1936"/>
    </row>
    <row r="64" spans="1:130" ht="12.75" hidden="1" customHeight="1" x14ac:dyDescent="0.2">
      <c r="A64" s="2384"/>
      <c r="B64" s="2073"/>
      <c r="C64" s="43"/>
      <c r="D64" s="43" t="e">
        <f t="shared" si="12"/>
        <v>#N/A</v>
      </c>
      <c r="E64" s="80">
        <v>1</v>
      </c>
      <c r="F64" s="1447" t="e">
        <f t="shared" si="13"/>
        <v>#N/A</v>
      </c>
      <c r="G64" s="1520"/>
      <c r="H64" s="723" t="e">
        <f t="shared" si="14"/>
        <v>#N/A</v>
      </c>
      <c r="I64" s="2386"/>
      <c r="J64" s="782"/>
      <c r="K64" s="782"/>
      <c r="U64" s="8">
        <v>270</v>
      </c>
      <c r="V64" s="696"/>
      <c r="W64" s="696"/>
      <c r="X64" s="696"/>
      <c r="Y64" s="696"/>
      <c r="Z64" s="875"/>
      <c r="AA64" s="875"/>
      <c r="AB64" s="875"/>
      <c r="AC64" s="875"/>
      <c r="AD64" s="875"/>
      <c r="AE64" s="875"/>
      <c r="AF64" s="28"/>
      <c r="AG64" s="1936"/>
      <c r="AH64" s="1936"/>
      <c r="AI64" s="1936"/>
      <c r="AJ64" s="1936"/>
      <c r="AK64" s="1936"/>
      <c r="AL64" s="1936"/>
      <c r="AM64" s="1936"/>
      <c r="AN64" s="1936"/>
      <c r="AO64" s="1936"/>
      <c r="AP64" s="1936"/>
      <c r="AQ64" s="1936"/>
      <c r="AR64" s="1936"/>
      <c r="AS64" s="1936"/>
      <c r="AT64" s="1936"/>
      <c r="AU64" s="1936"/>
      <c r="AV64" s="1936"/>
      <c r="AW64" s="1936"/>
      <c r="AX64" s="1936"/>
      <c r="AY64" s="1936"/>
      <c r="AZ64" s="1936"/>
      <c r="BA64" s="1936"/>
      <c r="BB64" s="1936"/>
      <c r="BC64" s="1936"/>
      <c r="BD64" s="1936"/>
      <c r="BE64" s="1936"/>
      <c r="BF64" s="1936"/>
      <c r="BG64" s="1936"/>
      <c r="BH64" s="1936"/>
      <c r="BI64" s="1936"/>
      <c r="BJ64" s="1936"/>
      <c r="BK64" s="1936"/>
      <c r="BL64" s="1936"/>
      <c r="BM64" s="1936"/>
      <c r="BN64" s="1936"/>
      <c r="BO64" s="1936"/>
      <c r="BP64" s="1936"/>
      <c r="BQ64" s="1936"/>
      <c r="BR64" s="1936"/>
      <c r="BS64" s="1936"/>
      <c r="BT64" s="1936"/>
      <c r="BU64" s="1936"/>
      <c r="BV64" s="1936"/>
      <c r="BW64" s="1936"/>
      <c r="BX64" s="1936"/>
      <c r="BY64" s="1936"/>
      <c r="BZ64" s="1936"/>
      <c r="CA64" s="1936"/>
      <c r="CB64" s="1936"/>
      <c r="CC64" s="1936"/>
      <c r="CD64" s="1936"/>
    </row>
    <row r="65" spans="1:82" ht="12.75" hidden="1" customHeight="1" x14ac:dyDescent="0.2">
      <c r="A65" s="2384"/>
      <c r="B65" s="2073"/>
      <c r="C65" s="164"/>
      <c r="D65" s="43" t="e">
        <f t="shared" si="12"/>
        <v>#N/A</v>
      </c>
      <c r="E65" s="80">
        <v>2</v>
      </c>
      <c r="F65" s="1447" t="e">
        <f t="shared" si="13"/>
        <v>#N/A</v>
      </c>
      <c r="G65" s="1520"/>
      <c r="H65" s="723" t="e">
        <f t="shared" si="14"/>
        <v>#N/A</v>
      </c>
      <c r="I65" s="2386"/>
      <c r="J65" s="782"/>
      <c r="K65" s="782"/>
      <c r="U65" s="8">
        <v>350</v>
      </c>
      <c r="V65" s="696"/>
      <c r="W65" s="696"/>
      <c r="X65" s="696"/>
      <c r="Y65" s="696"/>
      <c r="Z65" s="875"/>
      <c r="AA65" s="875"/>
      <c r="AB65" s="875"/>
      <c r="AC65" s="875"/>
      <c r="AD65" s="875"/>
      <c r="AE65" s="875"/>
      <c r="AF65" s="28"/>
      <c r="AG65" s="1936"/>
      <c r="AH65" s="1936"/>
      <c r="AI65" s="1936"/>
      <c r="AJ65" s="1936"/>
      <c r="AK65" s="1936"/>
      <c r="AL65" s="1936"/>
      <c r="AM65" s="1936"/>
      <c r="AN65" s="1936"/>
      <c r="AO65" s="1936"/>
      <c r="AP65" s="1936"/>
      <c r="AQ65" s="1936"/>
      <c r="AR65" s="1936"/>
      <c r="AS65" s="1936"/>
      <c r="AT65" s="1936"/>
      <c r="AU65" s="1936"/>
      <c r="AV65" s="1936"/>
      <c r="AW65" s="1936"/>
      <c r="AX65" s="1936"/>
      <c r="AY65" s="1936"/>
      <c r="AZ65" s="1936"/>
      <c r="BA65" s="1936"/>
      <c r="BB65" s="1936"/>
      <c r="BC65" s="1936"/>
      <c r="BD65" s="1936"/>
      <c r="BE65" s="1936"/>
      <c r="BF65" s="1936"/>
      <c r="BG65" s="1936"/>
      <c r="BH65" s="1936"/>
      <c r="BI65" s="1936"/>
      <c r="BJ65" s="1936"/>
      <c r="BK65" s="1936"/>
      <c r="BL65" s="1936"/>
      <c r="BM65" s="1936"/>
      <c r="BN65" s="1936"/>
      <c r="BO65" s="1936"/>
      <c r="BP65" s="1936"/>
      <c r="BQ65" s="1936"/>
      <c r="BR65" s="1936"/>
      <c r="BS65" s="1936"/>
      <c r="BT65" s="1936"/>
      <c r="BU65" s="1936"/>
      <c r="BV65" s="1936"/>
      <c r="BW65" s="1936"/>
      <c r="BX65" s="1936"/>
      <c r="BY65" s="1936"/>
      <c r="BZ65" s="1936"/>
      <c r="CA65" s="1936"/>
      <c r="CB65" s="1936"/>
      <c r="CC65" s="1936"/>
      <c r="CD65" s="1936"/>
    </row>
    <row r="66" spans="1:82" ht="12.75" hidden="1" customHeight="1" x14ac:dyDescent="0.2">
      <c r="A66" s="2384"/>
      <c r="B66" s="2073"/>
      <c r="C66" s="43"/>
      <c r="D66" s="43" t="e">
        <f t="shared" si="12"/>
        <v>#N/A</v>
      </c>
      <c r="E66" s="80">
        <v>2</v>
      </c>
      <c r="F66" s="1447" t="e">
        <f t="shared" si="13"/>
        <v>#N/A</v>
      </c>
      <c r="G66" s="1520"/>
      <c r="H66" s="723" t="e">
        <f t="shared" si="14"/>
        <v>#N/A</v>
      </c>
      <c r="I66" s="2386"/>
      <c r="J66" s="782"/>
      <c r="K66" s="782"/>
      <c r="U66" s="8">
        <v>400</v>
      </c>
      <c r="V66" s="696"/>
      <c r="W66" s="696"/>
      <c r="X66" s="696"/>
      <c r="Y66" s="696"/>
      <c r="Z66" s="875"/>
      <c r="AA66" s="875"/>
      <c r="AB66" s="875"/>
      <c r="AC66" s="875"/>
      <c r="AD66" s="875"/>
      <c r="AE66" s="875"/>
      <c r="AF66" s="28"/>
      <c r="AG66" s="1936"/>
      <c r="AH66" s="1936"/>
      <c r="AI66" s="1936"/>
      <c r="AJ66" s="1936"/>
      <c r="AK66" s="1936"/>
      <c r="AL66" s="1936"/>
      <c r="AM66" s="1936"/>
      <c r="AN66" s="1936"/>
      <c r="AO66" s="1936"/>
      <c r="AP66" s="1936"/>
      <c r="AQ66" s="1936"/>
      <c r="AR66" s="1936"/>
      <c r="AS66" s="1936"/>
      <c r="AT66" s="1936"/>
      <c r="AU66" s="1936"/>
      <c r="AV66" s="1936"/>
      <c r="AW66" s="1936"/>
      <c r="AX66" s="1936"/>
      <c r="AY66" s="1936"/>
      <c r="AZ66" s="1936"/>
      <c r="BA66" s="1936"/>
      <c r="BB66" s="1936"/>
      <c r="BC66" s="1936"/>
      <c r="BD66" s="1936"/>
      <c r="BE66" s="1936"/>
      <c r="BF66" s="1936"/>
      <c r="BG66" s="1936"/>
      <c r="BH66" s="1936"/>
      <c r="BI66" s="1936"/>
      <c r="BJ66" s="1936"/>
      <c r="BK66" s="1936"/>
      <c r="BL66" s="1936"/>
      <c r="BM66" s="1936"/>
      <c r="BN66" s="1936"/>
      <c r="BO66" s="1936"/>
      <c r="BP66" s="1936"/>
      <c r="BQ66" s="1936"/>
      <c r="BR66" s="1936"/>
      <c r="BS66" s="1936"/>
      <c r="BT66" s="1936"/>
      <c r="BU66" s="1936"/>
      <c r="BV66" s="1936"/>
      <c r="BW66" s="1936"/>
      <c r="BX66" s="1936"/>
      <c r="BY66" s="1936"/>
      <c r="BZ66" s="1936"/>
      <c r="CA66" s="1936"/>
      <c r="CB66" s="1936"/>
      <c r="CC66" s="1936"/>
      <c r="CD66" s="1936"/>
    </row>
    <row r="67" spans="1:82" ht="12.75" hidden="1" customHeight="1" x14ac:dyDescent="0.2">
      <c r="A67" s="2384"/>
      <c r="B67" s="2073"/>
      <c r="C67" s="43"/>
      <c r="D67" s="43" t="e">
        <f>VLOOKUP(C67,всецены,2,FALSE)</f>
        <v>#N/A</v>
      </c>
      <c r="E67" s="80">
        <v>1</v>
      </c>
      <c r="F67" s="1447" t="e">
        <f t="shared" si="13"/>
        <v>#N/A</v>
      </c>
      <c r="G67" s="1520"/>
      <c r="H67" s="723" t="e">
        <f t="shared" si="14"/>
        <v>#N/A</v>
      </c>
      <c r="I67" s="2386"/>
      <c r="J67" s="782"/>
      <c r="K67" s="782"/>
      <c r="U67" s="8">
        <v>450</v>
      </c>
      <c r="V67" s="696"/>
      <c r="W67" s="696"/>
      <c r="X67" s="696"/>
      <c r="Y67" s="696"/>
      <c r="Z67" s="875"/>
      <c r="AA67" s="875"/>
      <c r="AB67" s="875"/>
      <c r="AC67" s="875"/>
      <c r="AD67" s="875"/>
      <c r="AE67" s="875"/>
      <c r="AF67" s="28"/>
      <c r="AG67" s="1936"/>
      <c r="AH67" s="1936"/>
      <c r="AI67" s="1936"/>
      <c r="AJ67" s="1936"/>
      <c r="AK67" s="1936"/>
      <c r="AL67" s="1936"/>
      <c r="AM67" s="1936"/>
      <c r="AN67" s="1936"/>
      <c r="AO67" s="1936"/>
      <c r="AP67" s="1936"/>
      <c r="AQ67" s="1936"/>
      <c r="AR67" s="1936"/>
      <c r="AS67" s="1936"/>
      <c r="AT67" s="1936"/>
      <c r="AU67" s="1936"/>
      <c r="AV67" s="1936"/>
      <c r="AW67" s="1936"/>
      <c r="AX67" s="1936"/>
      <c r="AY67" s="1936"/>
      <c r="AZ67" s="1936"/>
      <c r="BA67" s="1936"/>
      <c r="BB67" s="1936"/>
      <c r="BC67" s="1936"/>
      <c r="BD67" s="1936"/>
      <c r="BE67" s="1936"/>
      <c r="BF67" s="1936"/>
      <c r="BG67" s="1936"/>
      <c r="BH67" s="1936"/>
      <c r="BI67" s="1936"/>
      <c r="BJ67" s="1936"/>
      <c r="BK67" s="1936"/>
      <c r="BL67" s="1936"/>
      <c r="BM67" s="1936"/>
      <c r="BN67" s="1936"/>
      <c r="BO67" s="1936"/>
      <c r="BP67" s="1936"/>
      <c r="BQ67" s="1936"/>
      <c r="BR67" s="1936"/>
      <c r="BS67" s="1936"/>
      <c r="BT67" s="1936"/>
      <c r="BU67" s="1936"/>
      <c r="BV67" s="1936"/>
      <c r="BW67" s="1936"/>
      <c r="BX67" s="1936"/>
      <c r="BY67" s="1936"/>
      <c r="BZ67" s="1936"/>
      <c r="CA67" s="1936"/>
      <c r="CB67" s="1936"/>
      <c r="CC67" s="1936"/>
      <c r="CD67" s="1936"/>
    </row>
    <row r="68" spans="1:82" ht="12.75" hidden="1" customHeight="1" x14ac:dyDescent="0.2">
      <c r="A68" s="2384"/>
      <c r="B68" s="2073"/>
      <c r="C68" s="43"/>
      <c r="D68" s="43" t="e">
        <f t="shared" si="12"/>
        <v>#N/A</v>
      </c>
      <c r="E68" s="80">
        <v>1</v>
      </c>
      <c r="F68" s="1447" t="e">
        <f t="shared" si="13"/>
        <v>#N/A</v>
      </c>
      <c r="G68" s="1520"/>
      <c r="H68" s="723" t="e">
        <f t="shared" si="14"/>
        <v>#N/A</v>
      </c>
      <c r="I68" s="2386"/>
      <c r="J68" s="782"/>
      <c r="K68" s="782"/>
      <c r="U68" s="8">
        <v>500</v>
      </c>
      <c r="V68" s="696"/>
      <c r="W68" s="696"/>
      <c r="X68" s="696" t="s">
        <v>2307</v>
      </c>
      <c r="Y68" s="696" t="s">
        <v>2302</v>
      </c>
      <c r="Z68" s="875"/>
      <c r="AA68" s="875"/>
      <c r="AB68" s="875"/>
      <c r="AC68" s="875"/>
      <c r="AD68" s="875"/>
      <c r="AE68" s="875"/>
      <c r="AF68" s="28"/>
      <c r="AG68" s="1936"/>
      <c r="AH68" s="1936"/>
      <c r="AI68" s="1936"/>
      <c r="AJ68" s="1936"/>
      <c r="AK68" s="1936"/>
      <c r="AL68" s="1936"/>
      <c r="AM68" s="1936"/>
      <c r="AN68" s="1936"/>
      <c r="AO68" s="1936"/>
      <c r="AP68" s="1936"/>
      <c r="AQ68" s="1936"/>
      <c r="AR68" s="1936"/>
      <c r="AS68" s="1936"/>
      <c r="AT68" s="1936"/>
      <c r="AU68" s="1936"/>
      <c r="AV68" s="1936"/>
      <c r="AW68" s="1936"/>
      <c r="AX68" s="1936"/>
      <c r="AY68" s="1936"/>
      <c r="AZ68" s="1936"/>
      <c r="BA68" s="1936"/>
      <c r="BB68" s="1936"/>
      <c r="BC68" s="1936"/>
      <c r="BD68" s="1936"/>
      <c r="BE68" s="1936"/>
      <c r="BF68" s="1936"/>
      <c r="BG68" s="1936"/>
      <c r="BH68" s="1936"/>
      <c r="BI68" s="1936"/>
      <c r="BJ68" s="1936"/>
      <c r="BK68" s="1936"/>
      <c r="BL68" s="1936"/>
      <c r="BM68" s="1936"/>
      <c r="BN68" s="1936"/>
      <c r="BO68" s="1936"/>
      <c r="BP68" s="1936"/>
      <c r="BQ68" s="1936"/>
      <c r="BR68" s="1936"/>
      <c r="BS68" s="1936"/>
      <c r="BT68" s="1936"/>
      <c r="BU68" s="1936"/>
      <c r="BV68" s="1936"/>
      <c r="BW68" s="1936"/>
      <c r="BX68" s="1936"/>
      <c r="BY68" s="1936"/>
      <c r="BZ68" s="1936"/>
      <c r="CA68" s="1936"/>
      <c r="CB68" s="1936"/>
      <c r="CC68" s="1936"/>
      <c r="CD68" s="1936"/>
    </row>
    <row r="69" spans="1:82" ht="12.75" hidden="1" customHeight="1" x14ac:dyDescent="0.2">
      <c r="A69" s="2384"/>
      <c r="B69" s="2073"/>
      <c r="C69" s="724"/>
      <c r="D69" s="43" t="e">
        <f t="shared" si="12"/>
        <v>#N/A</v>
      </c>
      <c r="E69" s="80">
        <v>1</v>
      </c>
      <c r="F69" s="1447" t="e">
        <f t="shared" si="13"/>
        <v>#N/A</v>
      </c>
      <c r="G69" s="1520"/>
      <c r="H69" s="723" t="e">
        <f t="shared" si="14"/>
        <v>#N/A</v>
      </c>
      <c r="I69" s="2386"/>
      <c r="J69" s="782"/>
      <c r="K69" s="782"/>
      <c r="AG69" s="1936"/>
      <c r="AH69" s="1936"/>
      <c r="AI69" s="1936"/>
      <c r="AJ69" s="1936"/>
      <c r="AK69" s="1936"/>
      <c r="AL69" s="1936"/>
      <c r="AM69" s="1936"/>
      <c r="AN69" s="1936"/>
      <c r="AO69" s="1936"/>
      <c r="AP69" s="1936"/>
      <c r="AQ69" s="1936"/>
      <c r="AR69" s="1936"/>
      <c r="AS69" s="1936"/>
      <c r="AT69" s="1936"/>
      <c r="AU69" s="1936"/>
      <c r="AV69" s="1936"/>
      <c r="AW69" s="1936"/>
      <c r="AX69" s="1936"/>
      <c r="AY69" s="1936"/>
      <c r="AZ69" s="1936"/>
      <c r="BA69" s="1936"/>
      <c r="BB69" s="1936"/>
      <c r="BC69" s="1936"/>
      <c r="BD69" s="1936"/>
      <c r="BE69" s="1936"/>
      <c r="BF69" s="1936"/>
      <c r="BG69" s="1936"/>
      <c r="BH69" s="1936"/>
      <c r="BI69" s="1936"/>
      <c r="BJ69" s="1936"/>
      <c r="BK69" s="1936"/>
      <c r="BL69" s="1936"/>
      <c r="BM69" s="1936"/>
      <c r="BN69" s="1936"/>
      <c r="BO69" s="1936"/>
      <c r="BP69" s="1936"/>
      <c r="BQ69" s="1936"/>
      <c r="BR69" s="1936"/>
      <c r="BS69" s="1936"/>
      <c r="BT69" s="1936"/>
      <c r="BU69" s="1936"/>
      <c r="BV69" s="1936"/>
      <c r="BW69" s="1936"/>
      <c r="BX69" s="1936"/>
      <c r="BY69" s="1936"/>
      <c r="BZ69" s="1936"/>
      <c r="CA69" s="1936"/>
      <c r="CB69" s="1936"/>
      <c r="CC69" s="1936"/>
      <c r="CD69" s="1936"/>
    </row>
    <row r="70" spans="1:82" ht="12.75" hidden="1" customHeight="1" x14ac:dyDescent="0.2">
      <c r="A70" s="2384"/>
      <c r="B70" s="2074"/>
      <c r="C70" s="725"/>
      <c r="D70" s="404" t="e">
        <f t="shared" si="12"/>
        <v>#N/A</v>
      </c>
      <c r="E70" s="381">
        <v>1</v>
      </c>
      <c r="F70" s="1448" t="e">
        <f t="shared" si="13"/>
        <v>#N/A</v>
      </c>
      <c r="G70" s="1521"/>
      <c r="H70" s="726" t="e">
        <f t="shared" si="14"/>
        <v>#N/A</v>
      </c>
      <c r="I70" s="2387"/>
      <c r="J70" s="782"/>
      <c r="K70" s="782"/>
      <c r="AG70" s="1936"/>
      <c r="AH70" s="1936"/>
      <c r="AI70" s="1936"/>
      <c r="AJ70" s="1936"/>
      <c r="AK70" s="1936"/>
      <c r="AL70" s="1936"/>
      <c r="AM70" s="1936"/>
      <c r="AN70" s="1936"/>
      <c r="AO70" s="1936"/>
      <c r="AP70" s="1936"/>
      <c r="AQ70" s="1936"/>
      <c r="AR70" s="1936"/>
      <c r="AS70" s="1936"/>
      <c r="AT70" s="1936"/>
      <c r="AU70" s="1936"/>
      <c r="AV70" s="1936"/>
      <c r="AW70" s="1936"/>
      <c r="AX70" s="1936"/>
      <c r="AY70" s="1936"/>
      <c r="AZ70" s="1936"/>
      <c r="BA70" s="1936"/>
      <c r="BB70" s="1936"/>
      <c r="BC70" s="1936"/>
      <c r="BD70" s="1936"/>
      <c r="BE70" s="1936"/>
      <c r="BF70" s="1936"/>
      <c r="BG70" s="1936"/>
      <c r="BH70" s="1936"/>
      <c r="BI70" s="1936"/>
      <c r="BJ70" s="1936"/>
      <c r="BK70" s="1936"/>
      <c r="BL70" s="1936"/>
      <c r="BM70" s="1936"/>
      <c r="BN70" s="1936"/>
      <c r="BO70" s="1936"/>
      <c r="BP70" s="1936"/>
      <c r="BQ70" s="1936"/>
      <c r="BR70" s="1936"/>
      <c r="BS70" s="1936"/>
      <c r="BT70" s="1936"/>
      <c r="BU70" s="1936"/>
      <c r="BV70" s="1936"/>
      <c r="BW70" s="1936"/>
      <c r="BX70" s="1936"/>
      <c r="BY70" s="1936"/>
      <c r="BZ70" s="1936"/>
      <c r="CA70" s="1936"/>
      <c r="CB70" s="1936"/>
      <c r="CC70" s="1936"/>
      <c r="CD70" s="1936"/>
    </row>
    <row r="71" spans="1:82" ht="9" hidden="1" customHeight="1" x14ac:dyDescent="0.2">
      <c r="A71" s="843"/>
      <c r="B71" s="861"/>
      <c r="C71" s="862"/>
      <c r="D71" s="863"/>
      <c r="E71" s="864"/>
      <c r="F71" s="1449"/>
      <c r="G71" s="1449"/>
      <c r="H71" s="866"/>
      <c r="I71" s="872"/>
      <c r="J71" s="782"/>
      <c r="K71" s="782"/>
      <c r="AG71" s="1936"/>
      <c r="AH71" s="1936"/>
      <c r="AI71" s="1936"/>
      <c r="AJ71" s="1936"/>
      <c r="AK71" s="1936"/>
      <c r="AL71" s="1936"/>
      <c r="AM71" s="1936"/>
      <c r="AN71" s="1936"/>
      <c r="AO71" s="1936"/>
      <c r="AP71" s="1936"/>
      <c r="AQ71" s="1936"/>
      <c r="AR71" s="1936"/>
      <c r="AS71" s="1936"/>
      <c r="AT71" s="1936"/>
      <c r="AU71" s="1936"/>
      <c r="AV71" s="1936"/>
      <c r="AW71" s="1936"/>
      <c r="AX71" s="1936"/>
      <c r="AY71" s="1936"/>
      <c r="AZ71" s="1936"/>
      <c r="BA71" s="1936"/>
      <c r="BB71" s="1936"/>
      <c r="BC71" s="1936"/>
      <c r="BD71" s="1936"/>
      <c r="BE71" s="1936"/>
      <c r="BF71" s="1936"/>
      <c r="BG71" s="1936"/>
      <c r="BH71" s="1936"/>
      <c r="BI71" s="1936"/>
      <c r="BJ71" s="1936"/>
      <c r="BK71" s="1936"/>
      <c r="BL71" s="1936"/>
      <c r="BM71" s="1936"/>
      <c r="BN71" s="1936"/>
      <c r="BO71" s="1936"/>
      <c r="BP71" s="1936"/>
      <c r="BQ71" s="1936"/>
      <c r="BR71" s="1936"/>
      <c r="BS71" s="1936"/>
      <c r="BT71" s="1936"/>
      <c r="BU71" s="1936"/>
      <c r="BV71" s="1936"/>
      <c r="BW71" s="1936"/>
      <c r="BX71" s="1936"/>
      <c r="BY71" s="1936"/>
      <c r="BZ71" s="1936"/>
      <c r="CA71" s="1936"/>
      <c r="CB71" s="1936"/>
      <c r="CC71" s="1936"/>
      <c r="CD71" s="1936"/>
    </row>
    <row r="72" spans="1:82" ht="12.75" hidden="1" customHeight="1" x14ac:dyDescent="0.2">
      <c r="A72" s="843"/>
      <c r="B72" s="729"/>
      <c r="C72" s="719"/>
      <c r="D72" s="2144" t="s">
        <v>1183</v>
      </c>
      <c r="E72" s="2144"/>
      <c r="F72" s="2144"/>
      <c r="G72" s="2144"/>
      <c r="H72" s="2144"/>
      <c r="I72" s="2145"/>
      <c r="J72" s="782"/>
      <c r="K72" s="782"/>
      <c r="AG72" s="1936"/>
      <c r="AH72" s="1936"/>
      <c r="AI72" s="1936"/>
      <c r="AJ72" s="1936"/>
      <c r="AK72" s="1936"/>
      <c r="AL72" s="1936"/>
      <c r="AM72" s="1936"/>
      <c r="AN72" s="1936"/>
      <c r="AO72" s="1936"/>
      <c r="AP72" s="1936"/>
      <c r="AQ72" s="1936"/>
      <c r="AR72" s="1936"/>
      <c r="AS72" s="1936"/>
      <c r="AT72" s="1936"/>
      <c r="AU72" s="1936"/>
      <c r="AV72" s="1936"/>
      <c r="AW72" s="1936"/>
      <c r="AX72" s="1936"/>
      <c r="AY72" s="1936"/>
      <c r="AZ72" s="1936"/>
      <c r="BA72" s="1936"/>
      <c r="BB72" s="1936"/>
      <c r="BC72" s="1936"/>
      <c r="BD72" s="1936"/>
      <c r="BE72" s="1936"/>
      <c r="BF72" s="1936"/>
      <c r="BG72" s="1936"/>
      <c r="BH72" s="1936"/>
      <c r="BI72" s="1936"/>
      <c r="BJ72" s="1936"/>
      <c r="BK72" s="1936"/>
      <c r="BL72" s="1936"/>
      <c r="BM72" s="1936"/>
      <c r="BN72" s="1936"/>
      <c r="BO72" s="1936"/>
      <c r="BP72" s="1936"/>
      <c r="BQ72" s="1936"/>
      <c r="BR72" s="1936"/>
      <c r="BS72" s="1936"/>
      <c r="BT72" s="1936"/>
      <c r="BU72" s="1936"/>
      <c r="BV72" s="1936"/>
      <c r="BW72" s="1936"/>
      <c r="BX72" s="1936"/>
      <c r="BY72" s="1936"/>
      <c r="BZ72" s="1936"/>
      <c r="CA72" s="1936"/>
      <c r="CB72" s="1936"/>
      <c r="CC72" s="1936"/>
      <c r="CD72" s="1936"/>
    </row>
    <row r="73" spans="1:82" ht="15.75" hidden="1" customHeight="1" x14ac:dyDescent="0.2">
      <c r="A73" s="843"/>
      <c r="B73" s="844" t="s">
        <v>1639</v>
      </c>
      <c r="C73" s="850">
        <v>500</v>
      </c>
      <c r="D73" s="867" t="s">
        <v>1689</v>
      </c>
      <c r="E73" s="869"/>
      <c r="F73" s="1450"/>
      <c r="G73" s="1522"/>
      <c r="H73" s="870"/>
      <c r="I73" s="2388" t="s">
        <v>1850</v>
      </c>
      <c r="J73" s="782"/>
      <c r="K73" s="782"/>
      <c r="AG73" s="1936"/>
      <c r="AH73" s="1936"/>
      <c r="AI73" s="1936"/>
      <c r="AJ73" s="1936"/>
      <c r="AK73" s="1936"/>
      <c r="AL73" s="1936"/>
      <c r="AM73" s="1936"/>
      <c r="AN73" s="1936"/>
      <c r="AO73" s="1936"/>
      <c r="AP73" s="1936"/>
      <c r="AQ73" s="1936"/>
      <c r="AR73" s="1936"/>
      <c r="AS73" s="1936"/>
      <c r="AT73" s="1936"/>
      <c r="AU73" s="1936"/>
      <c r="AV73" s="1936"/>
      <c r="AW73" s="1936"/>
      <c r="AX73" s="1936"/>
      <c r="AY73" s="1936"/>
      <c r="AZ73" s="1936"/>
      <c r="BA73" s="1936"/>
      <c r="BB73" s="1936"/>
      <c r="BC73" s="1936"/>
      <c r="BD73" s="1936"/>
      <c r="BE73" s="1936"/>
      <c r="BF73" s="1936"/>
      <c r="BG73" s="1936"/>
      <c r="BH73" s="1936"/>
      <c r="BI73" s="1936"/>
      <c r="BJ73" s="1936"/>
      <c r="BK73" s="1936"/>
      <c r="BL73" s="1936"/>
      <c r="BM73" s="1936"/>
      <c r="BN73" s="1936"/>
      <c r="BO73" s="1936"/>
      <c r="BP73" s="1936"/>
      <c r="BQ73" s="1936"/>
      <c r="BR73" s="1936"/>
      <c r="BS73" s="1936"/>
      <c r="BT73" s="1936"/>
      <c r="BU73" s="1936"/>
      <c r="BV73" s="1936"/>
      <c r="BW73" s="1936"/>
      <c r="BX73" s="1936"/>
      <c r="BY73" s="1936"/>
      <c r="BZ73" s="1936"/>
      <c r="CA73" s="1936"/>
      <c r="CB73" s="1936"/>
      <c r="CC73" s="1936"/>
      <c r="CD73" s="1936"/>
    </row>
    <row r="74" spans="1:82" ht="9" hidden="1" customHeight="1" x14ac:dyDescent="0.2">
      <c r="A74" s="2384"/>
      <c r="B74" s="2072"/>
      <c r="C74" s="135" t="s">
        <v>1301</v>
      </c>
      <c r="D74" s="139" t="s">
        <v>784</v>
      </c>
      <c r="E74" s="140" t="s">
        <v>2117</v>
      </c>
      <c r="F74" s="1440"/>
      <c r="G74" s="1453"/>
      <c r="H74" s="178" t="s">
        <v>2116</v>
      </c>
      <c r="I74" s="2389"/>
      <c r="J74" s="782"/>
      <c r="K74" s="782"/>
      <c r="AG74" s="1936"/>
      <c r="AH74" s="1936"/>
      <c r="AI74" s="1936"/>
      <c r="AJ74" s="1936"/>
      <c r="AK74" s="1936"/>
      <c r="AL74" s="1936"/>
      <c r="AM74" s="1936"/>
      <c r="AN74" s="1936"/>
      <c r="AO74" s="1936"/>
      <c r="AP74" s="1936"/>
      <c r="AQ74" s="1936"/>
      <c r="AR74" s="1936"/>
      <c r="AS74" s="1936"/>
      <c r="AT74" s="1936"/>
      <c r="AU74" s="1936"/>
      <c r="AV74" s="1936"/>
      <c r="AW74" s="1936"/>
      <c r="AX74" s="1936"/>
      <c r="AY74" s="1936"/>
      <c r="AZ74" s="1936"/>
      <c r="BA74" s="1936"/>
      <c r="BB74" s="1936"/>
      <c r="BC74" s="1936"/>
      <c r="BD74" s="1936"/>
      <c r="BE74" s="1936"/>
      <c r="BF74" s="1936"/>
      <c r="BG74" s="1936"/>
      <c r="BH74" s="1936"/>
      <c r="BI74" s="1936"/>
      <c r="BJ74" s="1936"/>
      <c r="BK74" s="1936"/>
      <c r="BL74" s="1936"/>
      <c r="BM74" s="1936"/>
      <c r="BN74" s="1936"/>
      <c r="BO74" s="1936"/>
      <c r="BP74" s="1936"/>
      <c r="BQ74" s="1936"/>
      <c r="BR74" s="1936"/>
      <c r="BS74" s="1936"/>
      <c r="BT74" s="1936"/>
      <c r="BU74" s="1936"/>
      <c r="BV74" s="1936"/>
      <c r="BW74" s="1936"/>
      <c r="BX74" s="1936"/>
      <c r="BY74" s="1936"/>
      <c r="BZ74" s="1936"/>
      <c r="CA74" s="1936"/>
      <c r="CB74" s="1936"/>
      <c r="CC74" s="1936"/>
      <c r="CD74" s="1936"/>
    </row>
    <row r="75" spans="1:82" ht="12.75" hidden="1" customHeight="1" x14ac:dyDescent="0.2">
      <c r="A75" s="2384"/>
      <c r="B75" s="2073"/>
      <c r="C75" s="701"/>
      <c r="D75" s="43" t="e">
        <f t="shared" ref="D75:D87" si="15">VLOOKUP(C75,всецены,2,FALSE)</f>
        <v>#N/A</v>
      </c>
      <c r="E75" s="80">
        <v>1</v>
      </c>
      <c r="F75" s="1447" t="e">
        <f t="shared" ref="F75:F87" si="16">VLOOKUP(C75,всецены,4,FALSE)</f>
        <v>#N/A</v>
      </c>
      <c r="G75" s="1520"/>
      <c r="H75" s="723" t="e">
        <f t="shared" ref="H75:H87" si="17">F75*E75</f>
        <v>#N/A</v>
      </c>
      <c r="I75" s="2415" t="e">
        <f>SUM(H75:H87)</f>
        <v>#N/A</v>
      </c>
      <c r="J75" s="782"/>
      <c r="K75" s="782"/>
      <c r="AG75" s="1936"/>
      <c r="AH75" s="1936"/>
      <c r="AI75" s="1936"/>
      <c r="AJ75" s="1936"/>
      <c r="AK75" s="1936"/>
      <c r="AL75" s="1936"/>
      <c r="AM75" s="1936"/>
      <c r="AN75" s="1936"/>
      <c r="AO75" s="1936"/>
      <c r="AP75" s="1936"/>
      <c r="AQ75" s="1936"/>
      <c r="AR75" s="1936"/>
      <c r="AS75" s="1936"/>
      <c r="AT75" s="1936"/>
      <c r="AU75" s="1936"/>
      <c r="AV75" s="1936"/>
      <c r="AW75" s="1936"/>
      <c r="AX75" s="1936"/>
      <c r="AY75" s="1936"/>
      <c r="AZ75" s="1936"/>
      <c r="BA75" s="1936"/>
      <c r="BB75" s="1936"/>
      <c r="BC75" s="1936"/>
      <c r="BD75" s="1936"/>
      <c r="BE75" s="1936"/>
      <c r="BF75" s="1936"/>
      <c r="BG75" s="1936"/>
      <c r="BH75" s="1936"/>
      <c r="BI75" s="1936"/>
      <c r="BJ75" s="1936"/>
      <c r="BK75" s="1936"/>
      <c r="BL75" s="1936"/>
      <c r="BM75" s="1936"/>
      <c r="BN75" s="1936"/>
      <c r="BO75" s="1936"/>
      <c r="BP75" s="1936"/>
      <c r="BQ75" s="1936"/>
      <c r="BR75" s="1936"/>
      <c r="BS75" s="1936"/>
      <c r="BT75" s="1936"/>
      <c r="BU75" s="1936"/>
      <c r="BV75" s="1936"/>
      <c r="BW75" s="1936"/>
      <c r="BX75" s="1936"/>
      <c r="BY75" s="1936"/>
      <c r="BZ75" s="1936"/>
      <c r="CA75" s="1936"/>
      <c r="CB75" s="1936"/>
      <c r="CC75" s="1936"/>
      <c r="CD75" s="1936"/>
    </row>
    <row r="76" spans="1:82" ht="12.75" hidden="1" customHeight="1" x14ac:dyDescent="0.2">
      <c r="A76" s="2384"/>
      <c r="B76" s="2073"/>
      <c r="C76" s="701"/>
      <c r="D76" s="43" t="e">
        <f t="shared" si="15"/>
        <v>#N/A</v>
      </c>
      <c r="E76" s="80">
        <v>1</v>
      </c>
      <c r="F76" s="1447" t="e">
        <f t="shared" si="16"/>
        <v>#N/A</v>
      </c>
      <c r="G76" s="1520"/>
      <c r="H76" s="723" t="e">
        <f t="shared" si="17"/>
        <v>#N/A</v>
      </c>
      <c r="I76" s="2416"/>
      <c r="J76" s="782"/>
      <c r="K76" s="782"/>
      <c r="AG76" s="1936"/>
      <c r="AH76" s="1936"/>
      <c r="AI76" s="1936"/>
      <c r="AJ76" s="1936"/>
      <c r="AK76" s="1936"/>
      <c r="AL76" s="1936"/>
      <c r="AM76" s="1936"/>
      <c r="AN76" s="1936"/>
      <c r="AO76" s="1936"/>
      <c r="AP76" s="1936"/>
      <c r="AQ76" s="1936"/>
      <c r="AR76" s="1936"/>
      <c r="AS76" s="1936"/>
      <c r="AT76" s="1936"/>
      <c r="AU76" s="1936"/>
      <c r="AV76" s="1936"/>
      <c r="AW76" s="1936"/>
      <c r="AX76" s="1936"/>
      <c r="AY76" s="1936"/>
      <c r="AZ76" s="1936"/>
      <c r="BA76" s="1936"/>
      <c r="BB76" s="1936"/>
      <c r="BC76" s="1936"/>
      <c r="BD76" s="1936"/>
      <c r="BE76" s="1936"/>
      <c r="BF76" s="1936"/>
      <c r="BG76" s="1936"/>
      <c r="BH76" s="1936"/>
      <c r="BI76" s="1936"/>
      <c r="BJ76" s="1936"/>
      <c r="BK76" s="1936"/>
      <c r="BL76" s="1936"/>
      <c r="BM76" s="1936"/>
      <c r="BN76" s="1936"/>
      <c r="BO76" s="1936"/>
      <c r="BP76" s="1936"/>
      <c r="BQ76" s="1936"/>
      <c r="BR76" s="1936"/>
      <c r="BS76" s="1936"/>
      <c r="BT76" s="1936"/>
      <c r="BU76" s="1936"/>
      <c r="BV76" s="1936"/>
      <c r="BW76" s="1936"/>
      <c r="BX76" s="1936"/>
      <c r="BY76" s="1936"/>
      <c r="BZ76" s="1936"/>
      <c r="CA76" s="1936"/>
      <c r="CB76" s="1936"/>
      <c r="CC76" s="1936"/>
      <c r="CD76" s="1936"/>
    </row>
    <row r="77" spans="1:82" ht="12.75" hidden="1" customHeight="1" x14ac:dyDescent="0.2">
      <c r="A77" s="2384"/>
      <c r="B77" s="2073"/>
      <c r="C77" s="43"/>
      <c r="D77" s="43" t="e">
        <f t="shared" si="15"/>
        <v>#N/A</v>
      </c>
      <c r="E77" s="80">
        <v>1</v>
      </c>
      <c r="F77" s="1447" t="e">
        <f t="shared" si="16"/>
        <v>#N/A</v>
      </c>
      <c r="G77" s="1520"/>
      <c r="H77" s="723" t="e">
        <f t="shared" si="17"/>
        <v>#N/A</v>
      </c>
      <c r="I77" s="2416"/>
      <c r="J77" s="782"/>
      <c r="K77" s="782"/>
      <c r="AG77" s="1936"/>
      <c r="AH77" s="1936"/>
      <c r="AI77" s="1936"/>
      <c r="AJ77" s="1936"/>
      <c r="AK77" s="1936"/>
      <c r="AL77" s="1936"/>
      <c r="AM77" s="1936"/>
      <c r="AN77" s="1936"/>
      <c r="AO77" s="1936"/>
      <c r="AP77" s="1936"/>
      <c r="AQ77" s="1936"/>
      <c r="AR77" s="1936"/>
      <c r="AS77" s="1936"/>
      <c r="AT77" s="1936"/>
      <c r="AU77" s="1936"/>
      <c r="AV77" s="1936"/>
      <c r="AW77" s="1936"/>
      <c r="AX77" s="1936"/>
      <c r="AY77" s="1936"/>
      <c r="AZ77" s="1936"/>
      <c r="BA77" s="1936"/>
      <c r="BB77" s="1936"/>
      <c r="BC77" s="1936"/>
      <c r="BD77" s="1936"/>
      <c r="BE77" s="1936"/>
      <c r="BF77" s="1936"/>
      <c r="BG77" s="1936"/>
      <c r="BH77" s="1936"/>
      <c r="BI77" s="1936"/>
      <c r="BJ77" s="1936"/>
      <c r="BK77" s="1936"/>
      <c r="BL77" s="1936"/>
      <c r="BM77" s="1936"/>
      <c r="BN77" s="1936"/>
      <c r="BO77" s="1936"/>
      <c r="BP77" s="1936"/>
      <c r="BQ77" s="1936"/>
      <c r="BR77" s="1936"/>
      <c r="BS77" s="1936"/>
      <c r="BT77" s="1936"/>
      <c r="BU77" s="1936"/>
      <c r="BV77" s="1936"/>
      <c r="BW77" s="1936"/>
      <c r="BX77" s="1936"/>
      <c r="BY77" s="1936"/>
      <c r="BZ77" s="1936"/>
      <c r="CA77" s="1936"/>
      <c r="CB77" s="1936"/>
      <c r="CC77" s="1936"/>
      <c r="CD77" s="1936"/>
    </row>
    <row r="78" spans="1:82" ht="12.75" hidden="1" customHeight="1" x14ac:dyDescent="0.2">
      <c r="A78" s="2384"/>
      <c r="B78" s="2073"/>
      <c r="C78" s="43"/>
      <c r="D78" s="43" t="e">
        <f t="shared" si="15"/>
        <v>#N/A</v>
      </c>
      <c r="E78" s="80">
        <v>1</v>
      </c>
      <c r="F78" s="1447" t="e">
        <f t="shared" si="16"/>
        <v>#N/A</v>
      </c>
      <c r="G78" s="1520"/>
      <c r="H78" s="723" t="e">
        <f t="shared" si="17"/>
        <v>#N/A</v>
      </c>
      <c r="I78" s="2416"/>
      <c r="J78" s="782"/>
      <c r="K78" s="782"/>
      <c r="AG78" s="1936"/>
      <c r="AH78" s="1936"/>
      <c r="AI78" s="1936"/>
      <c r="AJ78" s="1936"/>
      <c r="AK78" s="1936"/>
      <c r="AL78" s="1936"/>
      <c r="AM78" s="1936"/>
      <c r="AN78" s="1936"/>
      <c r="AO78" s="1936"/>
      <c r="AP78" s="1936"/>
      <c r="AQ78" s="1936"/>
      <c r="AR78" s="1936"/>
      <c r="AS78" s="1936"/>
      <c r="AT78" s="1936"/>
      <c r="AU78" s="1936"/>
      <c r="AV78" s="1936"/>
      <c r="AW78" s="1936"/>
      <c r="AX78" s="1936"/>
      <c r="AY78" s="1936"/>
      <c r="AZ78" s="1936"/>
      <c r="BA78" s="1936"/>
      <c r="BB78" s="1936"/>
      <c r="BC78" s="1936"/>
      <c r="BD78" s="1936"/>
      <c r="BE78" s="1936"/>
      <c r="BF78" s="1936"/>
      <c r="BG78" s="1936"/>
      <c r="BH78" s="1936"/>
      <c r="BI78" s="1936"/>
      <c r="BJ78" s="1936"/>
      <c r="BK78" s="1936"/>
      <c r="BL78" s="1936"/>
      <c r="BM78" s="1936"/>
      <c r="BN78" s="1936"/>
      <c r="BO78" s="1936"/>
      <c r="BP78" s="1936"/>
      <c r="BQ78" s="1936"/>
      <c r="BR78" s="1936"/>
      <c r="BS78" s="1936"/>
      <c r="BT78" s="1936"/>
      <c r="BU78" s="1936"/>
      <c r="BV78" s="1936"/>
      <c r="BW78" s="1936"/>
      <c r="BX78" s="1936"/>
      <c r="BY78" s="1936"/>
      <c r="BZ78" s="1936"/>
      <c r="CA78" s="1936"/>
      <c r="CB78" s="1936"/>
      <c r="CC78" s="1936"/>
      <c r="CD78" s="1936"/>
    </row>
    <row r="79" spans="1:82" ht="12.75" hidden="1" customHeight="1" x14ac:dyDescent="0.2">
      <c r="A79" s="2384"/>
      <c r="B79" s="2073"/>
      <c r="C79" s="43"/>
      <c r="D79" s="43" t="e">
        <f t="shared" si="15"/>
        <v>#N/A</v>
      </c>
      <c r="E79" s="80">
        <v>2</v>
      </c>
      <c r="F79" s="1447" t="e">
        <f t="shared" si="16"/>
        <v>#N/A</v>
      </c>
      <c r="G79" s="1520"/>
      <c r="H79" s="723" t="e">
        <f t="shared" si="17"/>
        <v>#N/A</v>
      </c>
      <c r="I79" s="2416"/>
      <c r="J79" s="782"/>
      <c r="K79" s="782"/>
      <c r="AG79" s="1936"/>
      <c r="AH79" s="1936"/>
      <c r="AI79" s="1936"/>
      <c r="AJ79" s="1936"/>
      <c r="AK79" s="1936"/>
      <c r="AL79" s="1936"/>
      <c r="AM79" s="1936"/>
      <c r="AN79" s="1936"/>
      <c r="AO79" s="1936"/>
      <c r="AP79" s="1936"/>
      <c r="AQ79" s="1936"/>
      <c r="AR79" s="1936"/>
      <c r="AS79" s="1936"/>
      <c r="AT79" s="1936"/>
      <c r="AU79" s="1936"/>
      <c r="AV79" s="1936"/>
      <c r="AW79" s="1936"/>
      <c r="AX79" s="1936"/>
      <c r="AY79" s="1936"/>
      <c r="AZ79" s="1936"/>
      <c r="BA79" s="1936"/>
      <c r="BB79" s="1936"/>
      <c r="BC79" s="1936"/>
      <c r="BD79" s="1936"/>
      <c r="BE79" s="1936"/>
      <c r="BF79" s="1936"/>
      <c r="BG79" s="1936"/>
      <c r="BH79" s="1936"/>
      <c r="BI79" s="1936"/>
      <c r="BJ79" s="1936"/>
      <c r="BK79" s="1936"/>
      <c r="BL79" s="1936"/>
      <c r="BM79" s="1936"/>
      <c r="BN79" s="1936"/>
      <c r="BO79" s="1936"/>
      <c r="BP79" s="1936"/>
      <c r="BQ79" s="1936"/>
      <c r="BR79" s="1936"/>
      <c r="BS79" s="1936"/>
      <c r="BT79" s="1936"/>
      <c r="BU79" s="1936"/>
      <c r="BV79" s="1936"/>
      <c r="BW79" s="1936"/>
      <c r="BX79" s="1936"/>
      <c r="BY79" s="1936"/>
      <c r="BZ79" s="1936"/>
      <c r="CA79" s="1936"/>
      <c r="CB79" s="1936"/>
      <c r="CC79" s="1936"/>
      <c r="CD79" s="1936"/>
    </row>
    <row r="80" spans="1:82" ht="12.75" hidden="1" customHeight="1" x14ac:dyDescent="0.2">
      <c r="A80" s="2384"/>
      <c r="B80" s="2073"/>
      <c r="C80" s="724"/>
      <c r="D80" s="43" t="e">
        <f t="shared" si="15"/>
        <v>#N/A</v>
      </c>
      <c r="E80" s="80">
        <v>1</v>
      </c>
      <c r="F80" s="1447" t="e">
        <f t="shared" si="16"/>
        <v>#N/A</v>
      </c>
      <c r="G80" s="1520"/>
      <c r="H80" s="723" t="e">
        <f t="shared" si="17"/>
        <v>#N/A</v>
      </c>
      <c r="I80" s="2416"/>
      <c r="J80" s="782"/>
      <c r="K80" s="782"/>
      <c r="L80" s="1936"/>
      <c r="M80" s="1936"/>
      <c r="N80" s="1936"/>
      <c r="O80" s="1936"/>
      <c r="P80" s="1936"/>
      <c r="Q80" s="1936"/>
      <c r="R80" s="1936"/>
      <c r="S80" s="1936"/>
      <c r="T80" s="1936"/>
      <c r="U80" s="1936"/>
      <c r="V80" s="1936"/>
      <c r="W80" s="1936"/>
      <c r="X80" s="1936"/>
      <c r="Y80" s="1936"/>
      <c r="Z80" s="1936"/>
      <c r="AA80" s="1936"/>
      <c r="AB80" s="1936"/>
      <c r="AC80" s="1936"/>
      <c r="AD80" s="1936"/>
      <c r="AE80" s="1936"/>
      <c r="AF80" s="1936"/>
      <c r="AG80" s="1936"/>
      <c r="AH80" s="1936"/>
      <c r="AI80" s="1936"/>
      <c r="AJ80" s="1936"/>
      <c r="AK80" s="1936"/>
      <c r="AL80" s="1936"/>
      <c r="AM80" s="1936"/>
      <c r="AN80" s="1936"/>
      <c r="AO80" s="1936"/>
      <c r="AP80" s="1936"/>
      <c r="AQ80" s="1936"/>
      <c r="AR80" s="1936"/>
      <c r="AS80" s="1936"/>
      <c r="AT80" s="1936"/>
      <c r="AU80" s="1936"/>
      <c r="AV80" s="1936"/>
      <c r="AW80" s="1936"/>
      <c r="AX80" s="1936"/>
      <c r="AY80" s="1936"/>
      <c r="AZ80" s="1936"/>
      <c r="BA80" s="1936"/>
      <c r="BB80" s="1936"/>
      <c r="BC80" s="1936"/>
      <c r="BD80" s="1936"/>
      <c r="BE80" s="1936"/>
      <c r="BF80" s="1936"/>
      <c r="BG80" s="1936"/>
      <c r="BH80" s="1936"/>
      <c r="BI80" s="1936"/>
      <c r="BJ80" s="1936"/>
      <c r="BK80" s="1936"/>
      <c r="BL80" s="1936"/>
      <c r="BM80" s="1936"/>
      <c r="BN80" s="1936"/>
      <c r="BO80" s="1936"/>
      <c r="BP80" s="1936"/>
      <c r="BQ80" s="1936"/>
      <c r="BR80" s="1936"/>
      <c r="BS80" s="1936"/>
      <c r="BT80" s="1936"/>
      <c r="BU80" s="1936"/>
      <c r="BV80" s="1936"/>
      <c r="BW80" s="1936"/>
      <c r="BX80" s="1936"/>
      <c r="BY80" s="1936"/>
      <c r="BZ80" s="1936"/>
      <c r="CA80" s="1936"/>
      <c r="CB80" s="1936"/>
      <c r="CC80" s="1936"/>
      <c r="CD80" s="1936"/>
    </row>
    <row r="81" spans="1:82" ht="12.75" hidden="1" customHeight="1" x14ac:dyDescent="0.2">
      <c r="A81" s="2384"/>
      <c r="B81" s="2073"/>
      <c r="C81" s="724"/>
      <c r="D81" s="43" t="e">
        <f t="shared" si="15"/>
        <v>#N/A</v>
      </c>
      <c r="E81" s="80">
        <v>1</v>
      </c>
      <c r="F81" s="1447" t="e">
        <f t="shared" si="16"/>
        <v>#N/A</v>
      </c>
      <c r="G81" s="1520"/>
      <c r="H81" s="723" t="e">
        <f t="shared" si="17"/>
        <v>#N/A</v>
      </c>
      <c r="I81" s="2416"/>
      <c r="J81" s="782"/>
      <c r="K81" s="782"/>
      <c r="L81" s="1936"/>
      <c r="M81" s="1936"/>
      <c r="N81" s="1936"/>
      <c r="O81" s="1936"/>
      <c r="P81" s="1936"/>
      <c r="Q81" s="1936"/>
      <c r="R81" s="1936"/>
      <c r="S81" s="1936"/>
      <c r="T81" s="1936"/>
      <c r="U81" s="1936"/>
      <c r="V81" s="1936"/>
      <c r="W81" s="1936"/>
      <c r="X81" s="1936"/>
      <c r="Y81" s="1936"/>
      <c r="Z81" s="1936"/>
      <c r="AA81" s="1936"/>
      <c r="AB81" s="1936"/>
      <c r="AC81" s="1936"/>
      <c r="AD81" s="1936"/>
      <c r="AE81" s="1936"/>
      <c r="AF81" s="1936"/>
      <c r="AG81" s="1936"/>
      <c r="AH81" s="1936"/>
      <c r="AI81" s="1936"/>
      <c r="AJ81" s="1936"/>
      <c r="AK81" s="1936"/>
      <c r="AL81" s="1936"/>
      <c r="AM81" s="1936"/>
      <c r="AN81" s="1936"/>
      <c r="AO81" s="1936"/>
      <c r="AP81" s="1936"/>
      <c r="AQ81" s="1936"/>
      <c r="AR81" s="1936"/>
      <c r="AS81" s="1936"/>
      <c r="AT81" s="1936"/>
      <c r="AU81" s="1936"/>
      <c r="AV81" s="1936"/>
      <c r="AW81" s="1936"/>
      <c r="AX81" s="1936"/>
      <c r="AY81" s="1936"/>
      <c r="AZ81" s="1936"/>
      <c r="BA81" s="1936"/>
      <c r="BB81" s="1936"/>
      <c r="BC81" s="1936"/>
      <c r="BD81" s="1936"/>
      <c r="BE81" s="1936"/>
      <c r="BF81" s="1936"/>
      <c r="BG81" s="1936"/>
      <c r="BH81" s="1936"/>
      <c r="BI81" s="1936"/>
      <c r="BJ81" s="1936"/>
      <c r="BK81" s="1936"/>
      <c r="BL81" s="1936"/>
      <c r="BM81" s="1936"/>
      <c r="BN81" s="1936"/>
      <c r="BO81" s="1936"/>
      <c r="BP81" s="1936"/>
      <c r="BQ81" s="1936"/>
      <c r="BR81" s="1936"/>
      <c r="BS81" s="1936"/>
      <c r="BT81" s="1936"/>
      <c r="BU81" s="1936"/>
      <c r="BV81" s="1936"/>
      <c r="BW81" s="1936"/>
      <c r="BX81" s="1936"/>
      <c r="BY81" s="1936"/>
      <c r="BZ81" s="1936"/>
      <c r="CA81" s="1936"/>
      <c r="CB81" s="1936"/>
      <c r="CC81" s="1936"/>
      <c r="CD81" s="1936"/>
    </row>
    <row r="82" spans="1:82" ht="12.75" hidden="1" customHeight="1" x14ac:dyDescent="0.2">
      <c r="A82" s="2384"/>
      <c r="B82" s="2073"/>
      <c r="C82" s="43"/>
      <c r="D82" s="43" t="e">
        <f t="shared" si="15"/>
        <v>#N/A</v>
      </c>
      <c r="E82" s="80">
        <v>1</v>
      </c>
      <c r="F82" s="1447" t="e">
        <f t="shared" si="16"/>
        <v>#N/A</v>
      </c>
      <c r="G82" s="1520"/>
      <c r="H82" s="723" t="e">
        <f t="shared" si="17"/>
        <v>#N/A</v>
      </c>
      <c r="I82" s="2416"/>
      <c r="J82" s="782"/>
      <c r="K82" s="782"/>
      <c r="L82" s="1936"/>
      <c r="M82" s="1936"/>
      <c r="N82" s="1936"/>
      <c r="O82" s="1936"/>
      <c r="P82" s="1936"/>
      <c r="Q82" s="1936"/>
      <c r="R82" s="1936"/>
      <c r="S82" s="1936"/>
      <c r="T82" s="1936"/>
      <c r="U82" s="1936"/>
      <c r="V82" s="1936"/>
      <c r="W82" s="1936"/>
      <c r="X82" s="1936"/>
      <c r="Y82" s="1936"/>
      <c r="Z82" s="1936"/>
      <c r="AA82" s="1936"/>
      <c r="AB82" s="1936"/>
      <c r="AC82" s="1936"/>
      <c r="AD82" s="1936"/>
      <c r="AE82" s="1936"/>
      <c r="AF82" s="1936"/>
      <c r="BE82" s="1936"/>
      <c r="BF82" s="1936"/>
      <c r="BG82" s="1936"/>
      <c r="BH82" s="1936"/>
      <c r="BI82" s="1936"/>
      <c r="BJ82" s="1936"/>
      <c r="BK82" s="1936"/>
      <c r="BL82" s="1936"/>
      <c r="BM82" s="1936"/>
      <c r="BN82" s="1936"/>
      <c r="BO82" s="1936"/>
      <c r="BP82" s="1936"/>
      <c r="BQ82" s="1936"/>
      <c r="BR82" s="1936"/>
      <c r="BS82" s="1936"/>
      <c r="BT82" s="1936"/>
      <c r="BU82" s="1936"/>
      <c r="BV82" s="1936"/>
      <c r="BW82" s="1936"/>
      <c r="BX82" s="1936"/>
      <c r="BY82" s="1936"/>
      <c r="BZ82" s="1936"/>
      <c r="CA82" s="1936"/>
      <c r="CB82" s="1936"/>
      <c r="CC82" s="1936"/>
      <c r="CD82" s="1936"/>
    </row>
    <row r="83" spans="1:82" ht="12.75" hidden="1" customHeight="1" x14ac:dyDescent="0.2">
      <c r="A83" s="2384"/>
      <c r="B83" s="2073"/>
      <c r="C83" s="43"/>
      <c r="D83" s="43" t="e">
        <f t="shared" si="15"/>
        <v>#N/A</v>
      </c>
      <c r="E83" s="80">
        <v>1</v>
      </c>
      <c r="F83" s="1447" t="e">
        <f t="shared" si="16"/>
        <v>#N/A</v>
      </c>
      <c r="G83" s="1520"/>
      <c r="H83" s="723" t="e">
        <f t="shared" si="17"/>
        <v>#N/A</v>
      </c>
      <c r="I83" s="2416"/>
      <c r="J83" s="782"/>
      <c r="K83" s="782"/>
      <c r="L83" s="1936"/>
      <c r="M83" s="1936"/>
      <c r="N83" s="1936"/>
      <c r="O83" s="1936"/>
      <c r="P83" s="1936"/>
      <c r="Q83" s="1936"/>
      <c r="R83" s="1936"/>
      <c r="S83" s="1936"/>
      <c r="T83" s="1936"/>
      <c r="U83" s="1936"/>
      <c r="V83" s="1936"/>
      <c r="W83" s="1936"/>
      <c r="X83" s="1936"/>
      <c r="Y83" s="1936"/>
      <c r="Z83" s="1936"/>
      <c r="AA83" s="1936"/>
      <c r="AB83" s="1936"/>
      <c r="AC83" s="1936"/>
      <c r="AD83" s="1936"/>
      <c r="AE83" s="1936"/>
      <c r="AF83" s="1936"/>
      <c r="BE83" s="1936"/>
      <c r="BF83" s="1936"/>
      <c r="BG83" s="1936"/>
      <c r="BH83" s="1936"/>
      <c r="BI83" s="1936"/>
      <c r="BJ83" s="1936"/>
      <c r="BK83" s="1936"/>
      <c r="BL83" s="1936"/>
      <c r="BM83" s="1936"/>
      <c r="BN83" s="1936"/>
      <c r="BO83" s="1936"/>
      <c r="BP83" s="1936"/>
      <c r="BQ83" s="1936"/>
      <c r="BR83" s="1936"/>
      <c r="BS83" s="1936"/>
      <c r="BT83" s="1936"/>
      <c r="BU83" s="1936"/>
      <c r="BV83" s="1936"/>
      <c r="BW83" s="1936"/>
      <c r="BX83" s="1936"/>
      <c r="BY83" s="1936"/>
      <c r="BZ83" s="1936"/>
      <c r="CA83" s="1936"/>
      <c r="CB83" s="1936"/>
      <c r="CC83" s="1936"/>
      <c r="CD83" s="1936"/>
    </row>
    <row r="84" spans="1:82" ht="12.75" hidden="1" customHeight="1" x14ac:dyDescent="0.2">
      <c r="A84" s="2384"/>
      <c r="B84" s="2073"/>
      <c r="C84" s="724"/>
      <c r="D84" s="43" t="e">
        <f t="shared" si="15"/>
        <v>#N/A</v>
      </c>
      <c r="E84" s="80">
        <v>1</v>
      </c>
      <c r="F84" s="1447" t="e">
        <f t="shared" si="16"/>
        <v>#N/A</v>
      </c>
      <c r="G84" s="1520"/>
      <c r="H84" s="723" t="e">
        <f t="shared" si="17"/>
        <v>#N/A</v>
      </c>
      <c r="I84" s="2416"/>
      <c r="J84" s="782"/>
      <c r="K84" s="782"/>
      <c r="L84" s="1936"/>
      <c r="M84" s="1936"/>
      <c r="N84" s="1936"/>
      <c r="O84" s="1936"/>
      <c r="P84" s="1936"/>
      <c r="Q84" s="1936"/>
      <c r="R84" s="1936"/>
      <c r="S84" s="1936"/>
      <c r="T84" s="1936"/>
      <c r="U84" s="1936"/>
      <c r="V84" s="1936"/>
      <c r="W84" s="1936"/>
      <c r="X84" s="1936"/>
      <c r="Y84" s="1936"/>
      <c r="Z84" s="1936"/>
      <c r="AA84" s="1936"/>
      <c r="AB84" s="1936"/>
      <c r="AC84" s="1936"/>
      <c r="AD84" s="1936"/>
      <c r="AE84" s="1936"/>
      <c r="AF84" s="1936"/>
      <c r="BE84" s="1936"/>
      <c r="BF84" s="1936"/>
      <c r="BG84" s="1936"/>
      <c r="BH84" s="1936"/>
      <c r="BI84" s="1936"/>
      <c r="BJ84" s="1936"/>
      <c r="BK84" s="1936"/>
      <c r="BL84" s="1936"/>
      <c r="BM84" s="1936"/>
      <c r="BN84" s="1936"/>
      <c r="BO84" s="1936"/>
      <c r="BP84" s="1936"/>
      <c r="BQ84" s="1936"/>
      <c r="BR84" s="1936"/>
      <c r="BS84" s="1936"/>
      <c r="BT84" s="1936"/>
      <c r="BU84" s="1936"/>
      <c r="BV84" s="1936"/>
      <c r="BW84" s="1936"/>
      <c r="BX84" s="1936"/>
      <c r="BY84" s="1936"/>
      <c r="BZ84" s="1936"/>
      <c r="CA84" s="1936"/>
      <c r="CB84" s="1936"/>
      <c r="CC84" s="1936"/>
      <c r="CD84" s="1936"/>
    </row>
    <row r="85" spans="1:82" ht="12.75" hidden="1" customHeight="1" x14ac:dyDescent="0.2">
      <c r="A85" s="1939"/>
      <c r="B85" s="2073"/>
      <c r="C85" s="724"/>
      <c r="D85" s="43" t="e">
        <f t="shared" si="15"/>
        <v>#N/A</v>
      </c>
      <c r="E85" s="80">
        <v>1</v>
      </c>
      <c r="F85" s="1447" t="e">
        <f t="shared" si="16"/>
        <v>#N/A</v>
      </c>
      <c r="G85" s="1520"/>
      <c r="H85" s="723" t="e">
        <f t="shared" si="17"/>
        <v>#N/A</v>
      </c>
      <c r="I85" s="2416"/>
      <c r="J85" s="782"/>
      <c r="K85" s="782"/>
      <c r="L85" s="1936"/>
      <c r="M85" s="1936"/>
      <c r="N85" s="1936"/>
      <c r="O85" s="1936"/>
      <c r="P85" s="1936"/>
      <c r="Q85" s="1936"/>
      <c r="R85" s="1936"/>
      <c r="S85" s="1936"/>
      <c r="T85" s="1936"/>
      <c r="U85" s="1936"/>
      <c r="V85" s="1936"/>
      <c r="W85" s="1936"/>
      <c r="X85" s="1936"/>
      <c r="Y85" s="1936"/>
      <c r="Z85" s="1936"/>
      <c r="AA85" s="1936"/>
      <c r="AB85" s="1936"/>
      <c r="AC85" s="1936"/>
      <c r="AD85" s="1936"/>
      <c r="AE85" s="1936"/>
      <c r="AF85" s="1936"/>
      <c r="BE85" s="1936"/>
      <c r="BF85" s="1936"/>
      <c r="BG85" s="1936"/>
      <c r="BH85" s="1936"/>
      <c r="BI85" s="1936"/>
      <c r="BJ85" s="1936"/>
      <c r="BK85" s="1936"/>
      <c r="BL85" s="1936"/>
      <c r="BM85" s="1936"/>
      <c r="BN85" s="1936"/>
      <c r="BO85" s="1936"/>
      <c r="BP85" s="1936"/>
      <c r="BQ85" s="1936"/>
      <c r="BR85" s="1936"/>
      <c r="BS85" s="1936"/>
      <c r="BT85" s="1936"/>
      <c r="BU85" s="1936"/>
      <c r="BV85" s="1936"/>
      <c r="BW85" s="1936"/>
      <c r="BX85" s="1936"/>
      <c r="BY85" s="1936"/>
      <c r="BZ85" s="1936"/>
      <c r="CA85" s="1936"/>
      <c r="CB85" s="1936"/>
      <c r="CC85" s="1936"/>
      <c r="CD85" s="1936"/>
    </row>
    <row r="86" spans="1:82" ht="12.75" hidden="1" customHeight="1" x14ac:dyDescent="0.2">
      <c r="A86" s="843"/>
      <c r="B86" s="2073"/>
      <c r="C86" s="71"/>
      <c r="D86" s="43" t="e">
        <f t="shared" si="15"/>
        <v>#N/A</v>
      </c>
      <c r="E86" s="80">
        <v>1</v>
      </c>
      <c r="F86" s="1447" t="e">
        <f t="shared" si="16"/>
        <v>#N/A</v>
      </c>
      <c r="G86" s="1520"/>
      <c r="H86" s="723" t="e">
        <f t="shared" si="17"/>
        <v>#N/A</v>
      </c>
      <c r="I86" s="2416"/>
      <c r="J86" s="782"/>
      <c r="K86" s="782"/>
      <c r="L86" s="1936"/>
      <c r="M86" s="1936"/>
      <c r="N86" s="1936"/>
      <c r="O86" s="1936"/>
      <c r="P86" s="1936"/>
      <c r="Q86" s="1936"/>
      <c r="R86" s="1936"/>
      <c r="S86" s="1936"/>
      <c r="T86" s="1936"/>
      <c r="U86" s="1936"/>
      <c r="V86" s="1936"/>
      <c r="W86" s="1936"/>
      <c r="X86" s="1936"/>
      <c r="Y86" s="1936"/>
      <c r="Z86" s="1936"/>
      <c r="AA86" s="1936"/>
      <c r="AB86" s="1936"/>
      <c r="AC86" s="1936"/>
      <c r="AD86" s="1936"/>
      <c r="AE86" s="1936"/>
      <c r="AF86" s="1936"/>
      <c r="BE86" s="1936"/>
      <c r="BF86" s="1936"/>
      <c r="BG86" s="1936"/>
      <c r="BH86" s="1936"/>
      <c r="BI86" s="1936"/>
      <c r="BJ86" s="1936"/>
      <c r="BK86" s="1936"/>
      <c r="BL86" s="1936"/>
      <c r="BM86" s="1936"/>
      <c r="BN86" s="1936"/>
      <c r="BO86" s="1936"/>
      <c r="BP86" s="1936"/>
      <c r="BQ86" s="1936"/>
      <c r="BR86" s="1936"/>
      <c r="BS86" s="1936"/>
      <c r="BT86" s="1936"/>
      <c r="BU86" s="1936"/>
      <c r="BV86" s="1936"/>
      <c r="BW86" s="1936"/>
      <c r="BX86" s="1936"/>
      <c r="BY86" s="1936"/>
      <c r="BZ86" s="1936"/>
      <c r="CA86" s="1936"/>
      <c r="CB86" s="1936"/>
      <c r="CC86" s="1936"/>
      <c r="CD86" s="1936"/>
    </row>
    <row r="87" spans="1:82" ht="12.75" hidden="1" customHeight="1" x14ac:dyDescent="0.2">
      <c r="B87" s="2074"/>
      <c r="C87" s="353"/>
      <c r="D87" s="404" t="e">
        <f t="shared" si="15"/>
        <v>#N/A</v>
      </c>
      <c r="E87" s="381">
        <v>1</v>
      </c>
      <c r="F87" s="1448" t="e">
        <f t="shared" si="16"/>
        <v>#N/A</v>
      </c>
      <c r="G87" s="1521"/>
      <c r="H87" s="726" t="e">
        <f t="shared" si="17"/>
        <v>#N/A</v>
      </c>
      <c r="I87" s="2417"/>
      <c r="J87" s="782"/>
      <c r="K87" s="782"/>
      <c r="L87" s="1936"/>
      <c r="M87" s="1936"/>
      <c r="N87" s="1936"/>
      <c r="O87" s="1936"/>
      <c r="P87" s="1936"/>
      <c r="Q87" s="1936"/>
      <c r="R87" s="1936"/>
      <c r="S87" s="1936"/>
      <c r="T87" s="1936"/>
      <c r="U87" s="1936"/>
      <c r="V87" s="1936"/>
      <c r="W87" s="1936"/>
      <c r="X87" s="1936"/>
      <c r="Y87" s="1936"/>
      <c r="Z87" s="1936"/>
      <c r="AA87" s="1936"/>
      <c r="AB87" s="1936"/>
      <c r="AC87" s="1936"/>
      <c r="AD87" s="1936"/>
      <c r="AE87" s="1936"/>
      <c r="AF87" s="1936"/>
      <c r="BE87" s="1936"/>
      <c r="BF87" s="1936"/>
      <c r="BG87" s="1936"/>
      <c r="BH87" s="1936"/>
      <c r="BI87" s="1936"/>
      <c r="BJ87" s="1936"/>
      <c r="BK87" s="1936"/>
      <c r="BL87" s="1936"/>
      <c r="BM87" s="1936"/>
      <c r="BN87" s="1936"/>
      <c r="BO87" s="1936"/>
      <c r="BP87" s="1936"/>
      <c r="BQ87" s="1936"/>
      <c r="BR87" s="1936"/>
      <c r="BS87" s="1936"/>
      <c r="BT87" s="1936"/>
      <c r="BU87" s="1936"/>
      <c r="BV87" s="1936"/>
      <c r="BW87" s="1936"/>
      <c r="BX87" s="1936"/>
      <c r="BY87" s="1936"/>
      <c r="BZ87" s="1936"/>
      <c r="CA87" s="1936"/>
      <c r="CB87" s="1936"/>
      <c r="CC87" s="1936"/>
      <c r="CD87" s="1936"/>
    </row>
    <row r="88" spans="1:82" ht="8.1" hidden="1" customHeight="1" x14ac:dyDescent="0.2">
      <c r="B88" s="8"/>
      <c r="C88" s="8"/>
      <c r="D88" s="8"/>
      <c r="E88" s="1938"/>
      <c r="F88" s="1441"/>
      <c r="G88" s="1441"/>
      <c r="H88" s="37"/>
      <c r="I88" s="35"/>
      <c r="K88" s="782"/>
      <c r="L88" s="1936"/>
      <c r="M88" s="1936"/>
      <c r="N88" s="1936"/>
      <c r="O88" s="1936"/>
      <c r="P88" s="1936"/>
      <c r="Q88" s="1936"/>
      <c r="R88" s="1936"/>
      <c r="S88" s="1936"/>
      <c r="T88" s="1936"/>
      <c r="U88" s="1936"/>
      <c r="V88" s="1936"/>
      <c r="W88" s="1936"/>
      <c r="X88" s="1936"/>
      <c r="Y88" s="1936"/>
      <c r="Z88" s="1936"/>
      <c r="AA88" s="1936"/>
      <c r="AB88" s="1936"/>
      <c r="AC88" s="1936"/>
      <c r="AD88" s="1936"/>
      <c r="AE88" s="1936"/>
      <c r="AF88" s="1936"/>
      <c r="BE88" s="1936"/>
      <c r="BF88" s="1936"/>
      <c r="BG88" s="1936"/>
      <c r="BH88" s="1936"/>
      <c r="BI88" s="1936"/>
      <c r="BJ88" s="1936"/>
      <c r="BK88" s="1936"/>
      <c r="BL88" s="1936"/>
      <c r="BM88" s="1936"/>
      <c r="BN88" s="1936"/>
      <c r="BO88" s="1936"/>
      <c r="BP88" s="1936"/>
      <c r="BQ88" s="1936"/>
      <c r="BR88" s="1936"/>
      <c r="BS88" s="1936"/>
      <c r="BT88" s="1936"/>
      <c r="BU88" s="1936"/>
      <c r="BV88" s="1936"/>
      <c r="BW88" s="1936"/>
      <c r="BX88" s="1936"/>
      <c r="BY88" s="1936"/>
      <c r="BZ88" s="1936"/>
      <c r="CA88" s="1936"/>
      <c r="CB88" s="1936"/>
      <c r="CC88" s="1936"/>
      <c r="CD88" s="1936"/>
    </row>
    <row r="89" spans="1:82" ht="20.100000000000001" customHeight="1" x14ac:dyDescent="0.2">
      <c r="A89" s="843"/>
      <c r="B89" s="2393" t="s">
        <v>2353</v>
      </c>
      <c r="C89" s="2394"/>
      <c r="D89" s="2394"/>
      <c r="E89" s="2394"/>
      <c r="F89" s="2394"/>
      <c r="G89" s="2394"/>
      <c r="H89" s="2394"/>
      <c r="I89" s="1577"/>
      <c r="L89" s="1936"/>
      <c r="M89" s="1936"/>
      <c r="N89" s="1936"/>
      <c r="O89" s="1936"/>
      <c r="P89" s="1936"/>
      <c r="Q89" s="1936"/>
      <c r="R89" s="1936"/>
      <c r="S89" s="1936"/>
      <c r="T89" s="1936"/>
      <c r="U89" s="1936"/>
      <c r="V89" s="1936"/>
      <c r="W89" s="1936"/>
      <c r="X89" s="1936"/>
      <c r="Y89" s="1936"/>
      <c r="Z89" s="1936"/>
      <c r="AA89" s="1936"/>
      <c r="AB89" s="1936"/>
      <c r="AC89" s="1936"/>
      <c r="AD89" s="1936"/>
      <c r="AE89" s="1936"/>
      <c r="AF89" s="1936"/>
      <c r="BE89" s="1936"/>
      <c r="BF89" s="1936"/>
      <c r="BG89" s="1936"/>
      <c r="BH89" s="1936"/>
      <c r="BI89" s="1936"/>
      <c r="BJ89" s="1936"/>
      <c r="BK89" s="1936"/>
      <c r="BL89" s="1936"/>
      <c r="BM89" s="1936"/>
      <c r="BN89" s="1936"/>
      <c r="BO89" s="1936"/>
      <c r="BP89" s="1936"/>
      <c r="BQ89" s="1936"/>
      <c r="BR89" s="1936"/>
      <c r="BS89" s="1936"/>
      <c r="BT89" s="1936"/>
      <c r="BU89" s="1936"/>
      <c r="BV89" s="1936"/>
      <c r="BW89" s="1936"/>
      <c r="BX89" s="1936"/>
      <c r="BY89" s="1936"/>
      <c r="BZ89" s="1936"/>
      <c r="CA89" s="1936"/>
      <c r="CB89" s="1936"/>
      <c r="CC89" s="1936"/>
      <c r="CD89" s="1936"/>
    </row>
    <row r="90" spans="1:82" ht="20.100000000000001" customHeight="1" thickBot="1" x14ac:dyDescent="0.25">
      <c r="A90" s="843"/>
      <c r="B90" s="2396"/>
      <c r="C90" s="2396"/>
      <c r="D90" s="2396"/>
      <c r="E90" s="2396"/>
      <c r="F90" s="2396"/>
      <c r="G90" s="2396"/>
      <c r="H90" s="2396"/>
      <c r="I90" s="688" t="str">
        <f>CONCATENATE("C",$C$92,$D$3)</f>
        <v>C500ORION матово-серый</v>
      </c>
      <c r="L90" s="771"/>
      <c r="M90" s="771"/>
      <c r="N90" s="771"/>
      <c r="O90" s="771"/>
      <c r="P90" s="771"/>
      <c r="Q90" s="771"/>
      <c r="R90" s="771"/>
      <c r="S90" s="771"/>
      <c r="T90" s="771"/>
      <c r="U90" s="771"/>
      <c r="V90" s="771"/>
      <c r="W90" s="771"/>
      <c r="X90" s="771"/>
      <c r="Y90" s="771"/>
      <c r="Z90" s="771"/>
      <c r="AA90" s="771"/>
      <c r="AB90" s="771"/>
      <c r="AC90" s="771"/>
      <c r="AD90" s="771"/>
      <c r="AE90" s="771"/>
      <c r="AF90" s="771"/>
      <c r="BE90" s="1936"/>
      <c r="BF90" s="1936"/>
      <c r="BG90" s="1936"/>
      <c r="BH90" s="1936"/>
      <c r="BI90" s="1936"/>
      <c r="BJ90" s="1936"/>
      <c r="BK90" s="1936"/>
      <c r="BL90" s="1936"/>
      <c r="BM90" s="1936"/>
      <c r="BN90" s="1936"/>
      <c r="BO90" s="1936"/>
      <c r="BP90" s="1936"/>
      <c r="BQ90" s="1936"/>
      <c r="BR90" s="1936"/>
      <c r="BS90" s="1936"/>
      <c r="BT90" s="1936"/>
      <c r="BU90" s="1936"/>
      <c r="BV90" s="1936"/>
      <c r="BW90" s="1936"/>
      <c r="BX90" s="1936"/>
      <c r="BY90" s="1936"/>
      <c r="BZ90" s="1936"/>
      <c r="CA90" s="1936"/>
      <c r="CB90" s="1936"/>
      <c r="CC90" s="1936"/>
      <c r="CD90" s="1936"/>
    </row>
    <row r="91" spans="1:82" ht="15" customHeight="1" x14ac:dyDescent="0.2">
      <c r="A91" s="843"/>
      <c r="B91" s="1524" t="str">
        <f>IF($D$3="БЕЛЫЙ ШЕЛК - матовый","270,300,350,400,450,500мм","270,350,400,450,500мм")</f>
        <v>270,350,400,450,500мм</v>
      </c>
      <c r="C91" s="1941" t="str">
        <f>IF(OR(D4="Промышленная",D4="Торговая"),"",IFERROR(VLOOKUP(I90,Индивидуальная,2,FALSE),""))</f>
        <v/>
      </c>
      <c r="D91" s="1525"/>
      <c r="E91" s="719"/>
      <c r="F91" s="1445"/>
      <c r="G91" s="1445"/>
      <c r="H91" s="720"/>
      <c r="I91" s="721"/>
      <c r="L91" s="771"/>
      <c r="M91" s="771"/>
      <c r="N91" s="771"/>
      <c r="O91" s="771"/>
      <c r="P91" s="771"/>
      <c r="Q91" s="771"/>
      <c r="R91" s="771"/>
      <c r="S91" s="771"/>
      <c r="T91" s="771"/>
      <c r="U91" s="771"/>
      <c r="V91" s="771"/>
      <c r="W91" s="771"/>
      <c r="X91" s="771"/>
      <c r="Y91" s="771"/>
      <c r="Z91" s="771"/>
      <c r="AA91" s="771"/>
      <c r="AB91" s="771"/>
      <c r="AC91" s="771"/>
      <c r="AD91" s="771"/>
      <c r="AE91" s="771"/>
      <c r="AF91" s="771"/>
      <c r="BE91" s="1936"/>
      <c r="BF91" s="1936"/>
      <c r="BG91" s="1936"/>
      <c r="BH91" s="1936"/>
      <c r="BI91" s="1936"/>
      <c r="BJ91" s="1936"/>
      <c r="BK91" s="1936"/>
      <c r="BL91" s="1936"/>
      <c r="BM91" s="1936"/>
      <c r="BN91" s="1936"/>
      <c r="BO91" s="1936"/>
      <c r="BP91" s="1936"/>
      <c r="BQ91" s="1936"/>
      <c r="BR91" s="1936"/>
      <c r="BS91" s="1936"/>
      <c r="BT91" s="1936"/>
      <c r="BU91" s="1936"/>
      <c r="BV91" s="1936"/>
      <c r="BW91" s="1936"/>
      <c r="BX91" s="1936"/>
      <c r="BY91" s="1936"/>
      <c r="BZ91" s="1936"/>
      <c r="CA91" s="1936"/>
      <c r="CB91" s="1936"/>
      <c r="CC91" s="1936"/>
      <c r="CD91" s="1936"/>
    </row>
    <row r="92" spans="1:82" ht="15.75" customHeight="1" thickBot="1" x14ac:dyDescent="0.25">
      <c r="A92" s="843"/>
      <c r="B92" s="844" t="s">
        <v>1639</v>
      </c>
      <c r="C92" s="850">
        <v>500</v>
      </c>
      <c r="D92" s="867" t="s">
        <v>1689</v>
      </c>
      <c r="E92" s="867"/>
      <c r="F92" s="1446"/>
      <c r="G92" s="1519"/>
      <c r="H92" s="868"/>
      <c r="I92" s="2388" t="str">
        <f>IF(СОДЕРЖАНИЕ!P2=1,"EUR","RUB")</f>
        <v>RUB</v>
      </c>
      <c r="L92" s="771"/>
      <c r="M92" s="771"/>
      <c r="N92" s="771"/>
      <c r="O92" s="771"/>
      <c r="P92" s="771"/>
      <c r="Q92" s="771"/>
      <c r="R92" s="771"/>
      <c r="S92" s="771"/>
      <c r="T92" s="771"/>
      <c r="U92" s="771"/>
      <c r="V92" s="771"/>
      <c r="W92" s="771"/>
      <c r="X92" s="771"/>
      <c r="Y92" s="771"/>
      <c r="Z92" s="771"/>
      <c r="AA92" s="771"/>
      <c r="AB92" s="771"/>
      <c r="AC92" s="771"/>
      <c r="AD92" s="771"/>
      <c r="AE92" s="771"/>
      <c r="AF92" s="771"/>
      <c r="BE92" s="1936"/>
      <c r="BF92" s="1936"/>
      <c r="BG92" s="1936"/>
      <c r="BH92" s="1936"/>
      <c r="BI92" s="1936"/>
      <c r="BJ92" s="1936"/>
      <c r="BK92" s="1936"/>
      <c r="BL92" s="1936"/>
      <c r="BM92" s="1936"/>
      <c r="BN92" s="1936"/>
      <c r="BO92" s="1936"/>
      <c r="BP92" s="1936"/>
      <c r="BQ92" s="1936"/>
      <c r="BR92" s="1936"/>
      <c r="BS92" s="1936"/>
      <c r="BT92" s="1936"/>
      <c r="BU92" s="1936"/>
      <c r="BV92" s="1936"/>
      <c r="BW92" s="1936"/>
      <c r="BX92" s="1936"/>
      <c r="BY92" s="1936"/>
      <c r="BZ92" s="1936"/>
      <c r="CA92" s="1936"/>
      <c r="CB92" s="1936"/>
      <c r="CC92" s="1936"/>
      <c r="CD92" s="1936"/>
    </row>
    <row r="93" spans="1:82" ht="9" customHeight="1" x14ac:dyDescent="0.2">
      <c r="A93" s="843"/>
      <c r="B93" s="2072"/>
      <c r="C93" s="135" t="s">
        <v>1301</v>
      </c>
      <c r="D93" s="139" t="s">
        <v>784</v>
      </c>
      <c r="E93" s="140" t="s">
        <v>2117</v>
      </c>
      <c r="F93" s="1440"/>
      <c r="G93" s="1456" t="s">
        <v>4335</v>
      </c>
      <c r="H93" s="178" t="s">
        <v>2116</v>
      </c>
      <c r="I93" s="2389"/>
      <c r="L93" s="1936"/>
      <c r="M93" s="2398" t="str">
        <f>$D$3</f>
        <v>ORION матово-серый</v>
      </c>
      <c r="N93" s="2399"/>
      <c r="O93" s="2399"/>
      <c r="P93" s="2399"/>
      <c r="Q93" s="2399"/>
      <c r="R93" s="2399"/>
      <c r="S93" s="2399"/>
      <c r="T93" s="2400"/>
      <c r="U93" s="1936"/>
      <c r="V93" s="2409" t="str">
        <f>V27</f>
        <v>ORION матово-серый</v>
      </c>
      <c r="W93" s="2410"/>
      <c r="X93" s="2410"/>
      <c r="Y93" s="2410"/>
      <c r="Z93" s="2410"/>
      <c r="AA93" s="2410"/>
      <c r="AB93" s="2410"/>
      <c r="AC93" s="2411"/>
      <c r="AE93" s="2408" t="str">
        <f>AE27</f>
        <v>БЕЛЫЙ ШЕЛК - матовый</v>
      </c>
      <c r="AF93" s="2408"/>
      <c r="AG93" s="2408"/>
      <c r="AH93" s="2408"/>
      <c r="AI93" s="2408"/>
      <c r="AJ93" s="2408"/>
      <c r="AK93" s="2408"/>
      <c r="AL93" s="2408"/>
      <c r="AM93" s="8"/>
      <c r="AN93" s="2427" t="str">
        <f>AN27</f>
        <v>ТЕРРА ЧЕРНЫЙ - матовый</v>
      </c>
      <c r="AO93" s="2428"/>
      <c r="AP93" s="2428"/>
      <c r="AQ93" s="2428"/>
      <c r="AR93" s="2428"/>
      <c r="AS93" s="2428"/>
      <c r="AT93" s="2428"/>
      <c r="AU93" s="2428"/>
      <c r="AV93" s="8"/>
      <c r="AW93" s="2425" t="str">
        <f>AW27</f>
        <v>Гавана Коричневый</v>
      </c>
      <c r="AX93" s="2426"/>
      <c r="AY93" s="2426"/>
      <c r="AZ93" s="2426"/>
      <c r="BA93" s="2426"/>
      <c r="BB93" s="2426"/>
      <c r="BC93" s="2426"/>
      <c r="BD93" s="2426"/>
      <c r="BE93" s="1936"/>
      <c r="BF93" s="1936"/>
      <c r="BG93" s="1936"/>
      <c r="BH93" s="1936"/>
      <c r="BI93" s="1936"/>
      <c r="BJ93" s="1936"/>
      <c r="BK93" s="1936"/>
      <c r="BL93" s="1936"/>
      <c r="BM93" s="1936"/>
      <c r="BN93" s="1936"/>
      <c r="BO93" s="1936"/>
      <c r="BP93" s="1936"/>
      <c r="BQ93" s="1936"/>
      <c r="BR93" s="1936"/>
      <c r="BS93" s="1936"/>
      <c r="BT93" s="1936"/>
      <c r="BU93" s="1936"/>
      <c r="BV93" s="1936"/>
      <c r="BW93" s="1936"/>
      <c r="BX93" s="1936"/>
      <c r="BY93" s="1936"/>
      <c r="BZ93" s="1936"/>
      <c r="CA93" s="1936"/>
      <c r="CB93" s="1936"/>
      <c r="CC93" s="1936"/>
      <c r="CD93" s="1936"/>
    </row>
    <row r="94" spans="1:82" ht="12.75" customHeight="1" x14ac:dyDescent="0.2">
      <c r="A94" s="2384"/>
      <c r="B94" s="2073"/>
      <c r="C94" s="701" t="s">
        <v>2327</v>
      </c>
      <c r="D94" s="43" t="str">
        <f t="shared" ref="D94:D96" si="18">VLOOKUP(C94,всецены,2,FALSE)</f>
        <v xml:space="preserve">LBX, Крепление фасада С, EXPANDO, симм  </v>
      </c>
      <c r="E94" s="80">
        <v>2</v>
      </c>
      <c r="F94" s="1459">
        <f t="shared" ref="F94:F101" si="19">VLOOKUP(C94,всецены,4,FALSE)</f>
        <v>51.232381200000006</v>
      </c>
      <c r="G94" s="1518">
        <f>F94</f>
        <v>51.232381200000006</v>
      </c>
      <c r="H94" s="1455">
        <f>G94*E94</f>
        <v>102.46476240000001</v>
      </c>
      <c r="I94" s="2405">
        <f>IF(C91="",SUM(H94:H102),VLOOKUP(C91,всецены,4,FALSE))</f>
        <v>4657.2674148000006</v>
      </c>
      <c r="L94" s="771"/>
      <c r="M94" s="771"/>
      <c r="N94" s="771"/>
      <c r="O94" s="771"/>
      <c r="P94" s="771"/>
      <c r="Q94" s="771"/>
      <c r="R94" s="771"/>
      <c r="S94" s="771"/>
      <c r="T94" s="771"/>
      <c r="U94" s="771"/>
      <c r="V94" s="771"/>
      <c r="W94" s="771"/>
      <c r="X94" s="771"/>
      <c r="Y94" s="771"/>
      <c r="Z94" s="771"/>
      <c r="AA94" s="771"/>
      <c r="AB94" s="771"/>
      <c r="AC94" s="771"/>
      <c r="AD94" s="771"/>
      <c r="AE94" s="771"/>
      <c r="AF94" s="771"/>
      <c r="BE94" s="1936"/>
      <c r="BF94" s="1936"/>
      <c r="BG94" s="1936"/>
      <c r="BH94" s="1936"/>
      <c r="BI94" s="1936"/>
      <c r="BJ94" s="1936"/>
      <c r="BK94" s="1936"/>
      <c r="BL94" s="1936"/>
      <c r="BM94" s="1936"/>
      <c r="BN94" s="1936"/>
      <c r="BO94" s="1936"/>
      <c r="BP94" s="1936"/>
      <c r="BQ94" s="1936"/>
      <c r="BR94" s="1936"/>
      <c r="BS94" s="1936"/>
      <c r="BT94" s="1936"/>
      <c r="BU94" s="1936"/>
      <c r="BV94" s="1936"/>
      <c r="BW94" s="1936"/>
      <c r="CD94" s="1936"/>
    </row>
    <row r="95" spans="1:82" ht="12.75" customHeight="1" x14ac:dyDescent="0.2">
      <c r="A95" s="2384"/>
      <c r="B95" s="2073"/>
      <c r="C95" s="1096" t="str">
        <f>VLOOKUP($D$3,LBX.C,8,FALSE)</f>
        <v>2260649/</v>
      </c>
      <c r="D95" s="43" t="str">
        <f t="shared" si="18"/>
        <v>LBX, Держат. задн. ст, 189 мм, сер, лев.</v>
      </c>
      <c r="E95" s="80">
        <v>1</v>
      </c>
      <c r="F95" s="1459">
        <f t="shared" si="19"/>
        <v>47.979531600000001</v>
      </c>
      <c r="G95" s="1518">
        <f t="shared" ref="G95:G102" si="20">F95</f>
        <v>47.979531600000001</v>
      </c>
      <c r="H95" s="723">
        <f t="shared" ref="H95:H102" si="21">G95*E95</f>
        <v>47.979531600000001</v>
      </c>
      <c r="I95" s="2386"/>
      <c r="L95" s="771"/>
      <c r="M95" s="771"/>
      <c r="N95" s="771"/>
      <c r="O95" s="771"/>
      <c r="P95" s="771"/>
      <c r="Q95" s="771"/>
      <c r="R95" s="771"/>
      <c r="S95" s="771"/>
      <c r="T95" s="771"/>
      <c r="U95" s="771"/>
      <c r="V95" s="771"/>
      <c r="W95" s="771"/>
      <c r="X95" s="771"/>
      <c r="Y95" s="771"/>
      <c r="Z95" s="771"/>
      <c r="AA95" s="771"/>
      <c r="AB95" s="771"/>
      <c r="AC95" s="771"/>
      <c r="AD95" s="771"/>
      <c r="AE95" s="771"/>
      <c r="AF95" s="771"/>
      <c r="BE95" s="1936"/>
      <c r="BF95" s="1936"/>
      <c r="BG95" s="1936"/>
      <c r="BH95" s="1936"/>
      <c r="BI95" s="1936"/>
      <c r="BJ95" s="1936"/>
      <c r="BK95" s="1936"/>
      <c r="BL95" s="1936"/>
      <c r="BM95" s="1936"/>
      <c r="BN95" s="1936"/>
      <c r="BO95" s="1936"/>
      <c r="BP95" s="1936"/>
      <c r="BQ95" s="1936"/>
      <c r="BR95" s="1936"/>
      <c r="BS95" s="1936"/>
      <c r="BT95" s="1936"/>
      <c r="BU95" s="1936"/>
      <c r="BV95" s="1936"/>
      <c r="BW95" s="1936"/>
      <c r="BX95" s="2423" t="s">
        <v>4420</v>
      </c>
      <c r="BY95" s="2423"/>
      <c r="CD95" s="1936"/>
    </row>
    <row r="96" spans="1:82" ht="12.75" customHeight="1" x14ac:dyDescent="0.2">
      <c r="A96" s="2384"/>
      <c r="B96" s="2073"/>
      <c r="C96" s="1096" t="str">
        <f>VLOOKUP($D$3,LBX.C,9,FALSE)</f>
        <v>8148550/</v>
      </c>
      <c r="D96" s="43" t="str">
        <f t="shared" si="18"/>
        <v>LBX, Держат. задн. ст, 189 мм, сер, прав</v>
      </c>
      <c r="E96" s="80">
        <v>1</v>
      </c>
      <c r="F96" s="1459">
        <f t="shared" si="19"/>
        <v>47.979531600000001</v>
      </c>
      <c r="G96" s="1518">
        <f t="shared" si="20"/>
        <v>47.979531600000001</v>
      </c>
      <c r="H96" s="723">
        <f t="shared" si="21"/>
        <v>47.979531600000001</v>
      </c>
      <c r="I96" s="2386"/>
      <c r="L96" s="106" t="s">
        <v>2355</v>
      </c>
      <c r="M96" s="884" t="s">
        <v>2396</v>
      </c>
      <c r="N96" s="884" t="s">
        <v>2396</v>
      </c>
      <c r="Q96" s="884" t="s">
        <v>2396</v>
      </c>
      <c r="R96" s="884" t="s">
        <v>2396</v>
      </c>
      <c r="S96" s="884" t="s">
        <v>2396</v>
      </c>
      <c r="T96" s="884" t="s">
        <v>2396</v>
      </c>
      <c r="U96" s="106" t="s">
        <v>2355</v>
      </c>
      <c r="V96" s="884" t="s">
        <v>2396</v>
      </c>
      <c r="W96" s="884" t="s">
        <v>2396</v>
      </c>
      <c r="Z96" s="884" t="s">
        <v>2396</v>
      </c>
      <c r="AA96" s="884" t="s">
        <v>2396</v>
      </c>
      <c r="AB96" s="884" t="s">
        <v>2396</v>
      </c>
      <c r="AC96" s="884" t="s">
        <v>2396</v>
      </c>
      <c r="AD96" s="106" t="s">
        <v>2355</v>
      </c>
      <c r="AE96" s="771" t="s">
        <v>2398</v>
      </c>
      <c r="AF96" s="771" t="s">
        <v>2398</v>
      </c>
      <c r="AG96" s="8"/>
      <c r="AH96" s="8"/>
      <c r="AI96" s="771" t="s">
        <v>2398</v>
      </c>
      <c r="AJ96" s="771" t="s">
        <v>2398</v>
      </c>
      <c r="AK96" s="771" t="s">
        <v>2398</v>
      </c>
      <c r="AL96" s="771" t="s">
        <v>2398</v>
      </c>
      <c r="AM96" s="106" t="s">
        <v>2355</v>
      </c>
      <c r="AN96" s="771" t="s">
        <v>2397</v>
      </c>
      <c r="AO96" s="771" t="s">
        <v>2397</v>
      </c>
      <c r="AP96" s="8"/>
      <c r="AQ96" s="8"/>
      <c r="AR96" s="771" t="s">
        <v>2397</v>
      </c>
      <c r="AS96" s="771" t="s">
        <v>2397</v>
      </c>
      <c r="AT96" s="771" t="s">
        <v>2397</v>
      </c>
      <c r="AU96" s="771" t="s">
        <v>2397</v>
      </c>
      <c r="AV96" s="106" t="s">
        <v>2355</v>
      </c>
      <c r="AW96" s="771" t="s">
        <v>2397</v>
      </c>
      <c r="AX96" s="771" t="s">
        <v>2397</v>
      </c>
      <c r="AY96" s="8"/>
      <c r="AZ96" s="8"/>
      <c r="BA96" s="771" t="s">
        <v>2397</v>
      </c>
      <c r="BB96" s="771" t="s">
        <v>2397</v>
      </c>
      <c r="BC96" s="771" t="s">
        <v>2397</v>
      </c>
      <c r="BD96" s="771" t="s">
        <v>2397</v>
      </c>
      <c r="BE96" s="1936"/>
      <c r="BF96" s="1936"/>
      <c r="BG96" s="771" t="s">
        <v>1344</v>
      </c>
      <c r="BP96" s="771" t="s">
        <v>3161</v>
      </c>
      <c r="BS96" s="1936"/>
      <c r="BT96" s="1936"/>
      <c r="BU96" s="1936"/>
      <c r="BV96" s="1936"/>
      <c r="BW96" s="1936"/>
      <c r="BX96" s="2424" t="s">
        <v>4489</v>
      </c>
      <c r="BY96" s="2424"/>
      <c r="CD96" s="1936"/>
    </row>
    <row r="97" spans="1:82" ht="12.75" customHeight="1" thickBot="1" x14ac:dyDescent="0.25">
      <c r="A97" s="2384"/>
      <c r="B97" s="2073"/>
      <c r="C97" s="1096" t="str">
        <f>IF(C102="","",IF(D4="торговая","",VLOOKUP($D$3,LBX.C,6,FALSE)))</f>
        <v>2550380/</v>
      </c>
      <c r="D97" s="43" t="str">
        <f>IF(C97="","",VLOOKUP(C97,всецены,2,FALSE))</f>
        <v xml:space="preserve">LBX, Загл, внутр, сер, симм (М,С,F)     </v>
      </c>
      <c r="E97" s="3">
        <f>IF(C97="",0,2)</f>
        <v>2</v>
      </c>
      <c r="F97" s="1457">
        <f>IF(C97="",0,VLOOKUP(C97,всецены,4,FALSE))</f>
        <v>8.9453364000000004</v>
      </c>
      <c r="G97" s="1518">
        <f t="shared" si="20"/>
        <v>8.9453364000000004</v>
      </c>
      <c r="H97" s="723">
        <f t="shared" si="21"/>
        <v>17.890672800000001</v>
      </c>
      <c r="I97" s="2386"/>
      <c r="M97" s="1938" t="s">
        <v>1645</v>
      </c>
      <c r="N97" s="1938" t="s">
        <v>1644</v>
      </c>
      <c r="O97" s="8" t="s">
        <v>1641</v>
      </c>
      <c r="P97" s="8" t="s">
        <v>1642</v>
      </c>
      <c r="Q97" s="1938" t="s">
        <v>2393</v>
      </c>
      <c r="R97" s="1938" t="s">
        <v>2394</v>
      </c>
      <c r="S97" s="8" t="s">
        <v>2391</v>
      </c>
      <c r="T97" s="8" t="s">
        <v>2392</v>
      </c>
      <c r="V97" s="1938" t="s">
        <v>1645</v>
      </c>
      <c r="W97" s="1938" t="s">
        <v>1644</v>
      </c>
      <c r="X97" s="8" t="s">
        <v>1641</v>
      </c>
      <c r="Y97" s="8" t="s">
        <v>1642</v>
      </c>
      <c r="Z97" s="1938" t="s">
        <v>2393</v>
      </c>
      <c r="AA97" s="1938" t="s">
        <v>2394</v>
      </c>
      <c r="AB97" s="8" t="s">
        <v>2391</v>
      </c>
      <c r="AC97" s="8" t="s">
        <v>2392</v>
      </c>
      <c r="AE97" s="1938" t="s">
        <v>1645</v>
      </c>
      <c r="AF97" s="1938" t="s">
        <v>1644</v>
      </c>
      <c r="AG97" s="8" t="s">
        <v>1641</v>
      </c>
      <c r="AH97" s="8" t="s">
        <v>1642</v>
      </c>
      <c r="AI97" s="1938" t="s">
        <v>2393</v>
      </c>
      <c r="AJ97" s="1938" t="s">
        <v>2394</v>
      </c>
      <c r="AK97" s="8" t="s">
        <v>2391</v>
      </c>
      <c r="AL97" s="8" t="s">
        <v>2392</v>
      </c>
      <c r="AM97" s="8"/>
      <c r="AN97" s="1938" t="s">
        <v>1645</v>
      </c>
      <c r="AO97" s="1938" t="s">
        <v>1644</v>
      </c>
      <c r="AP97" s="8" t="s">
        <v>1641</v>
      </c>
      <c r="AQ97" s="8" t="s">
        <v>1642</v>
      </c>
      <c r="AR97" s="1938" t="s">
        <v>2393</v>
      </c>
      <c r="AS97" s="1938" t="s">
        <v>2394</v>
      </c>
      <c r="AT97" s="8" t="s">
        <v>2391</v>
      </c>
      <c r="AU97" s="8" t="s">
        <v>2392</v>
      </c>
      <c r="AV97" s="8"/>
      <c r="AW97" s="1938" t="s">
        <v>1645</v>
      </c>
      <c r="AX97" s="1938" t="s">
        <v>1644</v>
      </c>
      <c r="AY97" s="8" t="s">
        <v>1641</v>
      </c>
      <c r="AZ97" s="8" t="s">
        <v>1642</v>
      </c>
      <c r="BA97" s="1938" t="s">
        <v>2393</v>
      </c>
      <c r="BB97" s="1938" t="s">
        <v>2394</v>
      </c>
      <c r="BC97" s="8" t="s">
        <v>2391</v>
      </c>
      <c r="BD97" s="8" t="s">
        <v>2392</v>
      </c>
      <c r="BE97" s="1936"/>
      <c r="BF97" s="1936"/>
      <c r="BG97" s="771">
        <f>C92</f>
        <v>500</v>
      </c>
      <c r="BH97" s="1938" t="s">
        <v>1645</v>
      </c>
      <c r="BI97" s="1938" t="s">
        <v>1644</v>
      </c>
      <c r="BJ97" s="8" t="s">
        <v>1641</v>
      </c>
      <c r="BK97" s="8" t="s">
        <v>1642</v>
      </c>
      <c r="BL97" s="1938" t="s">
        <v>2393</v>
      </c>
      <c r="BM97" s="1938" t="s">
        <v>2394</v>
      </c>
      <c r="BN97" s="8" t="s">
        <v>2391</v>
      </c>
      <c r="BO97" s="8" t="s">
        <v>2392</v>
      </c>
      <c r="BP97" s="885" t="s">
        <v>3163</v>
      </c>
      <c r="BQ97" s="885" t="s">
        <v>3164</v>
      </c>
      <c r="BR97" s="885" t="s">
        <v>3165</v>
      </c>
      <c r="BS97" s="885" t="s">
        <v>3166</v>
      </c>
      <c r="BT97" s="885" t="s">
        <v>3168</v>
      </c>
      <c r="BU97" s="885" t="s">
        <v>2839</v>
      </c>
      <c r="BV97" s="885"/>
      <c r="BW97" s="885"/>
      <c r="BX97" s="1943">
        <v>270</v>
      </c>
      <c r="BY97" s="1943">
        <v>300</v>
      </c>
      <c r="BZ97" s="1464">
        <v>350</v>
      </c>
      <c r="CA97" s="1464">
        <v>400</v>
      </c>
      <c r="CB97" s="1464">
        <v>450</v>
      </c>
      <c r="CC97" s="1464">
        <v>500</v>
      </c>
      <c r="CD97" s="1936"/>
    </row>
    <row r="98" spans="1:82" ht="12.75" customHeight="1" x14ac:dyDescent="0.2">
      <c r="A98" s="2384"/>
      <c r="B98" s="2073"/>
      <c r="C98" s="1914" t="str">
        <f>IF(C102="","",IF(D4="Торговая","",VLOOKUP($D$3,LBX.C,7,FALSE)))</f>
        <v>5820744/</v>
      </c>
      <c r="D98" s="43" t="str">
        <f>IF(C98="","",VLOOKUP(C98,всецены,2,FALSE))</f>
        <v xml:space="preserve">LBX, Загл, наружн, с лого, сер, симм    </v>
      </c>
      <c r="E98" s="3">
        <f>IF(C98="",0,2)</f>
        <v>2</v>
      </c>
      <c r="F98" s="1457">
        <f>IF(C98="",0,VLOOKUP(C98,всецены,4,FALSE))</f>
        <v>14.637823200000001</v>
      </c>
      <c r="G98" s="1518">
        <f t="shared" si="20"/>
        <v>14.637823200000001</v>
      </c>
      <c r="H98" s="723">
        <f t="shared" si="21"/>
        <v>29.275646400000003</v>
      </c>
      <c r="I98" s="2386"/>
      <c r="L98" s="8">
        <v>270</v>
      </c>
      <c r="M98" s="892" t="str">
        <f t="shared" ref="M98:T103" si="22">IF($M$93=$V$93,VLOOKUP($L98,$U$98:$AC$103,V$104,0),IF($M$93=$AE$93,VLOOKUP($L98,$AD$98:$AL$103,AE$104,0),IF($M$93=$AN$93,VLOOKUP($L98,$AM$98:$AU$103,AN$104,0),VLOOKUP($L98,$AV$31:$BD$36,AW$37,0))))</f>
        <v>8439930/</v>
      </c>
      <c r="N98" s="892" t="str">
        <f t="shared" si="22"/>
        <v>7986081/</v>
      </c>
      <c r="O98" s="892" t="str">
        <f t="shared" si="22"/>
        <v>4539613/</v>
      </c>
      <c r="P98" s="892" t="str">
        <f t="shared" si="22"/>
        <v>4459332/</v>
      </c>
      <c r="Q98" s="892" t="str">
        <f t="shared" si="22"/>
        <v>2550380/</v>
      </c>
      <c r="R98" s="892" t="str">
        <f t="shared" si="22"/>
        <v>5820744/</v>
      </c>
      <c r="S98" s="892" t="str">
        <f t="shared" si="22"/>
        <v>2260649/</v>
      </c>
      <c r="T98" s="892" t="str">
        <f t="shared" si="22"/>
        <v>8148550/</v>
      </c>
      <c r="U98" s="8">
        <v>270</v>
      </c>
      <c r="V98" s="696" t="s">
        <v>3619</v>
      </c>
      <c r="W98" s="696" t="s">
        <v>3620</v>
      </c>
      <c r="X98" s="696" t="s">
        <v>3316</v>
      </c>
      <c r="Y98" s="696" t="s">
        <v>3315</v>
      </c>
      <c r="Z98" s="164" t="s">
        <v>2282</v>
      </c>
      <c r="AA98" s="43" t="s">
        <v>2486</v>
      </c>
      <c r="AB98" s="701" t="s">
        <v>2274</v>
      </c>
      <c r="AC98" s="43" t="s">
        <v>2332</v>
      </c>
      <c r="AD98" s="8">
        <v>270</v>
      </c>
      <c r="AE98" s="696" t="s">
        <v>3676</v>
      </c>
      <c r="AF98" s="696" t="s">
        <v>3674</v>
      </c>
      <c r="AG98" s="696" t="s">
        <v>3316</v>
      </c>
      <c r="AH98" s="696" t="s">
        <v>3315</v>
      </c>
      <c r="AI98" s="891" t="s">
        <v>2336</v>
      </c>
      <c r="AJ98" s="891" t="s">
        <v>2377</v>
      </c>
      <c r="AK98" s="891" t="s">
        <v>2291</v>
      </c>
      <c r="AL98" s="891" t="s">
        <v>2305</v>
      </c>
      <c r="AM98" s="8">
        <v>270</v>
      </c>
      <c r="AN98" s="696" t="s">
        <v>3705</v>
      </c>
      <c r="AO98" s="696" t="s">
        <v>3703</v>
      </c>
      <c r="AP98" s="696" t="s">
        <v>3316</v>
      </c>
      <c r="AQ98" s="696" t="s">
        <v>3315</v>
      </c>
      <c r="AR98" s="891" t="s">
        <v>2319</v>
      </c>
      <c r="AS98" s="891" t="s">
        <v>2342</v>
      </c>
      <c r="AT98" s="891" t="s">
        <v>2343</v>
      </c>
      <c r="AU98" s="891" t="s">
        <v>2278</v>
      </c>
      <c r="AV98" s="8">
        <v>270</v>
      </c>
      <c r="AW98" s="1085" t="s">
        <v>3064</v>
      </c>
      <c r="AX98" s="1085" t="s">
        <v>3063</v>
      </c>
      <c r="AY98" s="1085" t="s">
        <v>3316</v>
      </c>
      <c r="AZ98" s="1085" t="s">
        <v>3315</v>
      </c>
      <c r="BA98" s="1088" t="s">
        <v>2850</v>
      </c>
      <c r="BB98" s="1088" t="s">
        <v>2852</v>
      </c>
      <c r="BC98" s="1088" t="s">
        <v>2865</v>
      </c>
      <c r="BD98" s="1088" t="s">
        <v>2846</v>
      </c>
      <c r="BG98" s="1098" t="s">
        <v>2396</v>
      </c>
      <c r="BH98" s="1099" t="str">
        <f>IF(D4="Торговая",VLOOKUP(BG98,BV98:BW101,2,FALSE),IF(D4="Индивидуальная",VLOOKUP(BG98,BV98:BW101,2,FALSE),VLOOKUP($BG$97,$U$98:$AC$103,BH102,FALSE)))</f>
        <v>8530390/</v>
      </c>
      <c r="BI98" s="1099" t="str">
        <f>IF(D4="торговая","",VLOOKUP($BG$97,$U$98:$AC$103,BI102,FALSE))</f>
        <v>2739732/</v>
      </c>
      <c r="BJ98" s="1099" t="str">
        <f t="shared" ref="BJ98:BO98" si="23">VLOOKUP($BG$97,$U$98:$AC$103,BJ102,FALSE)</f>
        <v>4922514/</v>
      </c>
      <c r="BK98" s="1099" t="str">
        <f t="shared" si="23"/>
        <v>4737284/</v>
      </c>
      <c r="BL98" s="1099" t="str">
        <f t="shared" si="23"/>
        <v>2550380/</v>
      </c>
      <c r="BM98" s="1099" t="str">
        <f t="shared" si="23"/>
        <v>5820744/</v>
      </c>
      <c r="BN98" s="1099" t="str">
        <f t="shared" si="23"/>
        <v>2260649/</v>
      </c>
      <c r="BO98" s="1107" t="str">
        <f t="shared" si="23"/>
        <v>8148550/</v>
      </c>
      <c r="BP98" s="1115" t="s">
        <v>2325</v>
      </c>
      <c r="BQ98" s="1099" t="s">
        <v>2345</v>
      </c>
      <c r="BR98" s="1099" t="s">
        <v>2308</v>
      </c>
      <c r="BS98" s="1099" t="s">
        <v>2334</v>
      </c>
      <c r="BT98" s="1099" t="s">
        <v>3162</v>
      </c>
      <c r="BU98" s="1100" t="s">
        <v>2293</v>
      </c>
      <c r="BV98" s="1533" t="s">
        <v>2396</v>
      </c>
      <c r="BW98" s="1533" t="str">
        <f>VLOOKUP($BG$97,$BX$106:$CA$111,2,FALSE)</f>
        <v>8962303/</v>
      </c>
      <c r="BX98" s="8" t="s">
        <v>4447</v>
      </c>
      <c r="BZ98" s="8" t="s">
        <v>4448</v>
      </c>
      <c r="CA98" s="8" t="s">
        <v>4449</v>
      </c>
      <c r="CB98" s="8" t="s">
        <v>3647</v>
      </c>
      <c r="CC98" s="8" t="s">
        <v>4450</v>
      </c>
    </row>
    <row r="99" spans="1:82" ht="12.75" customHeight="1" x14ac:dyDescent="0.2">
      <c r="A99" s="2384"/>
      <c r="B99" s="2073"/>
      <c r="C99" s="1973" t="str">
        <f>IF(C92&lt;350,$N$41,$N$42)</f>
        <v>1365128/</v>
      </c>
      <c r="D99" s="1955" t="str">
        <f>IF(C99=0,"",VLOOKUP(C99,всецены,2,FALSE))</f>
        <v>LBX, Tip-on BM, L3, 350-750 кмп T60L7540</v>
      </c>
      <c r="E99" s="1378">
        <v>1</v>
      </c>
      <c r="F99" s="1974">
        <f t="shared" si="19"/>
        <v>1107.5952887999999</v>
      </c>
      <c r="G99" s="1975">
        <f t="shared" si="20"/>
        <v>1107.5952887999999</v>
      </c>
      <c r="H99" s="1976">
        <f t="shared" si="21"/>
        <v>1107.5952887999999</v>
      </c>
      <c r="I99" s="2386"/>
      <c r="L99" s="8">
        <v>300</v>
      </c>
      <c r="M99" s="892" t="str">
        <f t="shared" si="22"/>
        <v>8769064/</v>
      </c>
      <c r="N99" s="892">
        <f t="shared" si="22"/>
        <v>0</v>
      </c>
      <c r="O99" s="892" t="str">
        <f t="shared" si="22"/>
        <v>4380902/</v>
      </c>
      <c r="P99" s="892" t="str">
        <f t="shared" si="22"/>
        <v>4283251/</v>
      </c>
      <c r="Q99" s="892" t="str">
        <f t="shared" si="22"/>
        <v>2550380/</v>
      </c>
      <c r="R99" s="892" t="str">
        <f t="shared" si="22"/>
        <v>5820744/</v>
      </c>
      <c r="S99" s="892" t="str">
        <f t="shared" si="22"/>
        <v>2260649/</v>
      </c>
      <c r="T99" s="892" t="str">
        <f t="shared" si="22"/>
        <v>8148550/</v>
      </c>
      <c r="U99" s="8">
        <v>300</v>
      </c>
      <c r="V99" s="1411" t="s">
        <v>4600</v>
      </c>
      <c r="W99" s="875"/>
      <c r="X99" s="1859" t="s">
        <v>4589</v>
      </c>
      <c r="Y99" s="1859" t="s">
        <v>4587</v>
      </c>
      <c r="Z99" s="164" t="s">
        <v>2282</v>
      </c>
      <c r="AA99" s="43" t="s">
        <v>2486</v>
      </c>
      <c r="AB99" s="701" t="s">
        <v>2274</v>
      </c>
      <c r="AC99" s="43" t="s">
        <v>2332</v>
      </c>
      <c r="AD99" s="8">
        <v>300</v>
      </c>
      <c r="AE99" s="1411" t="s">
        <v>4609</v>
      </c>
      <c r="AF99" s="1411" t="s">
        <v>4608</v>
      </c>
      <c r="AG99" s="1859" t="s">
        <v>4589</v>
      </c>
      <c r="AH99" s="1859" t="s">
        <v>4587</v>
      </c>
      <c r="AI99" s="891" t="s">
        <v>2336</v>
      </c>
      <c r="AJ99" s="891" t="s">
        <v>2377</v>
      </c>
      <c r="AK99" s="891" t="s">
        <v>2291</v>
      </c>
      <c r="AL99" s="891" t="s">
        <v>2305</v>
      </c>
      <c r="AM99" s="8">
        <v>300</v>
      </c>
      <c r="AN99" s="875" t="s">
        <v>4476</v>
      </c>
      <c r="AO99" s="875"/>
      <c r="AP99" s="1859" t="s">
        <v>4589</v>
      </c>
      <c r="AQ99" s="1859" t="s">
        <v>4587</v>
      </c>
      <c r="AR99" s="891" t="s">
        <v>2319</v>
      </c>
      <c r="AS99" s="891" t="s">
        <v>2342</v>
      </c>
      <c r="AT99" s="891" t="s">
        <v>2343</v>
      </c>
      <c r="AU99" s="891" t="s">
        <v>2278</v>
      </c>
      <c r="AV99" s="8">
        <v>300</v>
      </c>
      <c r="AW99" s="875"/>
      <c r="AX99" s="875"/>
      <c r="AY99" s="1859" t="s">
        <v>4589</v>
      </c>
      <c r="AZ99" s="1859" t="s">
        <v>4587</v>
      </c>
      <c r="BA99" s="1088" t="s">
        <v>2850</v>
      </c>
      <c r="BB99" s="1088" t="s">
        <v>2852</v>
      </c>
      <c r="BC99" s="1088" t="s">
        <v>2865</v>
      </c>
      <c r="BD99" s="1088" t="s">
        <v>2846</v>
      </c>
      <c r="BG99" s="1101" t="s">
        <v>2398</v>
      </c>
      <c r="BH99" s="1102" t="str">
        <f>IF(D4="Торговая",VLOOKUP(BG99,BV98:BW101,2,FALSE),IF(D4="Индивидуальная",VLOOKUP(BG99,BV98:BW101,2,FALSE),VLOOKUP($BG$97,$AD$98:$AL$103,BH102,FALSE)))</f>
        <v>3217302/</v>
      </c>
      <c r="BI99" s="1102" t="str">
        <f>IF(D4="торговая","",VLOOKUP($BG$97,$AD$98:$AL$103,BI102,FALSE))</f>
        <v>3047850/</v>
      </c>
      <c r="BJ99" s="1102" t="str">
        <f t="shared" ref="BJ99:BO99" si="24">VLOOKUP($BG$97,$AD$98:$AL$103,BJ102,FALSE)</f>
        <v>4922514/</v>
      </c>
      <c r="BK99" s="1102" t="str">
        <f t="shared" si="24"/>
        <v>4737284/</v>
      </c>
      <c r="BL99" s="1102" t="str">
        <f t="shared" si="24"/>
        <v>8322157/</v>
      </c>
      <c r="BM99" s="1102" t="str">
        <f t="shared" si="24"/>
        <v>7944577/</v>
      </c>
      <c r="BN99" s="1102" t="str">
        <f t="shared" si="24"/>
        <v>3326679/</v>
      </c>
      <c r="BO99" s="1108" t="str">
        <f t="shared" si="24"/>
        <v>4903108/</v>
      </c>
      <c r="BP99" s="1101" t="s">
        <v>2337</v>
      </c>
      <c r="BQ99" s="1097" t="s">
        <v>2331</v>
      </c>
      <c r="BR99" s="1102" t="s">
        <v>2318</v>
      </c>
      <c r="BS99" s="1102" t="s">
        <v>2321</v>
      </c>
      <c r="BT99" s="1102" t="s">
        <v>3041</v>
      </c>
      <c r="BU99" s="1114" t="s">
        <v>2328</v>
      </c>
      <c r="BV99" s="1533" t="s">
        <v>2398</v>
      </c>
      <c r="BW99" s="1533" t="str">
        <f>VLOOKUP($BG$97,$BX$106:$CA$111,3,FALSE)</f>
        <v>8965119/</v>
      </c>
      <c r="BX99" s="8" t="s">
        <v>4460</v>
      </c>
      <c r="BZ99" s="8" t="s">
        <v>4461</v>
      </c>
      <c r="CA99" s="8" t="s">
        <v>4462</v>
      </c>
      <c r="CB99" s="8" t="s">
        <v>4463</v>
      </c>
      <c r="CC99" s="8" t="s">
        <v>4464</v>
      </c>
    </row>
    <row r="100" spans="1:82" ht="12.75" customHeight="1" x14ac:dyDescent="0.2">
      <c r="A100" s="2384"/>
      <c r="B100" s="2073"/>
      <c r="C100" s="1973" t="str">
        <f>VLOOKUP(C92,$M$44:$N$49,2,0)</f>
        <v>9554467/</v>
      </c>
      <c r="D100" s="1955" t="str">
        <f>IF(C100=0,"",VLOOKUP(C100,всецены,2,FALSE))</f>
        <v>LBX, Напр.Tip-on BM,500 мм,кмп 750.5001M</v>
      </c>
      <c r="E100" s="1378">
        <v>1</v>
      </c>
      <c r="F100" s="1974">
        <f t="shared" si="19"/>
        <v>1669.5250572</v>
      </c>
      <c r="G100" s="1975">
        <f t="shared" si="20"/>
        <v>1669.5250572</v>
      </c>
      <c r="H100" s="1976">
        <f t="shared" si="21"/>
        <v>1669.5250572</v>
      </c>
      <c r="I100" s="2386"/>
      <c r="L100" s="8">
        <v>350</v>
      </c>
      <c r="M100" s="892" t="str">
        <f t="shared" si="22"/>
        <v>3494927/</v>
      </c>
      <c r="N100" s="892" t="str">
        <f t="shared" si="22"/>
        <v>3487848/</v>
      </c>
      <c r="O100" s="892" t="str">
        <f t="shared" si="22"/>
        <v>4682185/</v>
      </c>
      <c r="P100" s="892" t="str">
        <f t="shared" si="22"/>
        <v>4657978/</v>
      </c>
      <c r="Q100" s="892" t="str">
        <f t="shared" si="22"/>
        <v>2550380/</v>
      </c>
      <c r="R100" s="892" t="str">
        <f t="shared" si="22"/>
        <v>5820744/</v>
      </c>
      <c r="S100" s="892" t="str">
        <f t="shared" si="22"/>
        <v>2260649/</v>
      </c>
      <c r="T100" s="892" t="str">
        <f t="shared" si="22"/>
        <v>8148550/</v>
      </c>
      <c r="U100" s="8">
        <v>350</v>
      </c>
      <c r="V100" s="771" t="s">
        <v>6741</v>
      </c>
      <c r="W100" s="771" t="s">
        <v>6740</v>
      </c>
      <c r="X100" s="771" t="s">
        <v>2373</v>
      </c>
      <c r="Y100" s="771" t="s">
        <v>2372</v>
      </c>
      <c r="Z100" s="164" t="s">
        <v>2282</v>
      </c>
      <c r="AA100" s="43" t="s">
        <v>2486</v>
      </c>
      <c r="AB100" s="701" t="s">
        <v>2274</v>
      </c>
      <c r="AC100" s="43" t="s">
        <v>2332</v>
      </c>
      <c r="AD100" s="8">
        <v>350</v>
      </c>
      <c r="AE100" s="771" t="s">
        <v>2388</v>
      </c>
      <c r="AF100" s="771" t="s">
        <v>2387</v>
      </c>
      <c r="AG100" s="771" t="s">
        <v>2373</v>
      </c>
      <c r="AH100" s="771" t="s">
        <v>2372</v>
      </c>
      <c r="AI100" s="891" t="s">
        <v>2336</v>
      </c>
      <c r="AJ100" s="891" t="s">
        <v>2377</v>
      </c>
      <c r="AK100" s="891" t="s">
        <v>2291</v>
      </c>
      <c r="AL100" s="891" t="s">
        <v>2305</v>
      </c>
      <c r="AM100" s="8">
        <v>350</v>
      </c>
      <c r="AN100" s="771" t="s">
        <v>2382</v>
      </c>
      <c r="AO100" s="771" t="s">
        <v>2381</v>
      </c>
      <c r="AP100" s="771" t="s">
        <v>2373</v>
      </c>
      <c r="AQ100" s="771" t="s">
        <v>2372</v>
      </c>
      <c r="AR100" s="891" t="s">
        <v>2319</v>
      </c>
      <c r="AS100" s="891" t="s">
        <v>2342</v>
      </c>
      <c r="AT100" s="891" t="s">
        <v>2343</v>
      </c>
      <c r="AU100" s="891" t="s">
        <v>2278</v>
      </c>
      <c r="AV100" s="8">
        <v>350</v>
      </c>
      <c r="AW100" s="771" t="s">
        <v>2861</v>
      </c>
      <c r="AX100" s="771" t="s">
        <v>2860</v>
      </c>
      <c r="AY100" s="771" t="s">
        <v>2373</v>
      </c>
      <c r="AZ100" s="771" t="s">
        <v>2372</v>
      </c>
      <c r="BA100" s="1087" t="s">
        <v>2850</v>
      </c>
      <c r="BB100" s="1087" t="s">
        <v>2852</v>
      </c>
      <c r="BC100" s="1088" t="s">
        <v>2865</v>
      </c>
      <c r="BD100" s="1088" t="s">
        <v>2846</v>
      </c>
      <c r="BG100" s="1101" t="s">
        <v>2397</v>
      </c>
      <c r="BH100" s="1102" t="str">
        <f>IF(D4="Торговая",VLOOKUP(BG100,BV98:BW101,2,FALSE),IF(D4="Индивидуальная",VLOOKUP(BG100,BV98:BW101,2,FALSE),VLOOKUP($BG$97,$AM$98:$AU$103,BH102,FALSE)))</f>
        <v>6149155/</v>
      </c>
      <c r="BI100" s="1102" t="str">
        <f>IF(D4="торговая","",VLOOKUP($BG$97,$AM$98:$AU$103,BI102,FALSE))</f>
        <v>6100159/</v>
      </c>
      <c r="BJ100" s="1102" t="str">
        <f t="shared" ref="BJ100:BO100" si="25">VLOOKUP($BG$97,$AM$98:$AU$103,BJ102,FALSE)</f>
        <v>4922514/</v>
      </c>
      <c r="BK100" s="1102" t="str">
        <f t="shared" si="25"/>
        <v>4737284/</v>
      </c>
      <c r="BL100" s="1102" t="str">
        <f t="shared" si="25"/>
        <v>5806987/</v>
      </c>
      <c r="BM100" s="1102" t="str">
        <f t="shared" si="25"/>
        <v>9207744/</v>
      </c>
      <c r="BN100" s="1102" t="str">
        <f t="shared" si="25"/>
        <v>9497175/</v>
      </c>
      <c r="BO100" s="1108" t="str">
        <f t="shared" si="25"/>
        <v>2457961/</v>
      </c>
      <c r="BP100" s="1101" t="s">
        <v>3059</v>
      </c>
      <c r="BQ100" s="1102" t="s">
        <v>3050</v>
      </c>
      <c r="BR100" s="1102" t="s">
        <v>3053</v>
      </c>
      <c r="BS100" s="1102" t="s">
        <v>3052</v>
      </c>
      <c r="BT100" s="1102" t="s">
        <v>3167</v>
      </c>
      <c r="BU100" s="1114" t="s">
        <v>3060</v>
      </c>
      <c r="BV100" s="1533" t="s">
        <v>2397</v>
      </c>
      <c r="BW100" s="1533" t="str">
        <f>VLOOKUP($BG$97,$BX$106:$CA$111,4,FALSE)</f>
        <v>8979438/</v>
      </c>
      <c r="BX100" s="8" t="s">
        <v>4474</v>
      </c>
      <c r="BY100" s="8" t="s">
        <v>4476</v>
      </c>
      <c r="BZ100" s="8" t="s">
        <v>4478</v>
      </c>
      <c r="CA100" s="8" t="s">
        <v>4480</v>
      </c>
      <c r="CB100" s="8" t="s">
        <v>3710</v>
      </c>
      <c r="CC100" s="8" t="s">
        <v>4483</v>
      </c>
    </row>
    <row r="101" spans="1:82" ht="12.75" customHeight="1" thickBot="1" x14ac:dyDescent="0.25">
      <c r="A101" s="2384"/>
      <c r="B101" s="2073"/>
      <c r="C101" s="1096" t="str">
        <f>VLOOKUP($D$3,BG98:BI101,2,0)</f>
        <v>8530390/</v>
      </c>
      <c r="D101" s="1880" t="str">
        <f>IF(C101=0,"",VLOOKUP(C101,всецены,2,FALSE))</f>
        <v>LBX, Боковина C 176,8/500 мм, сер,пр V10</v>
      </c>
      <c r="E101" s="80">
        <v>1</v>
      </c>
      <c r="F101" s="1459">
        <f t="shared" si="19"/>
        <v>830.28986040000007</v>
      </c>
      <c r="G101" s="1518">
        <f t="shared" si="20"/>
        <v>830.28986040000007</v>
      </c>
      <c r="H101" s="723">
        <f t="shared" si="21"/>
        <v>830.28986040000007</v>
      </c>
      <c r="I101" s="2386"/>
      <c r="L101" s="8">
        <v>400</v>
      </c>
      <c r="M101" s="892" t="str">
        <f t="shared" si="22"/>
        <v>5332986/</v>
      </c>
      <c r="N101" s="892" t="str">
        <f t="shared" si="22"/>
        <v>5332306/</v>
      </c>
      <c r="O101" s="892" t="str">
        <f t="shared" si="22"/>
        <v>4636718/</v>
      </c>
      <c r="P101" s="892" t="str">
        <f t="shared" si="22"/>
        <v>4423390/</v>
      </c>
      <c r="Q101" s="892" t="str">
        <f t="shared" si="22"/>
        <v>2550380/</v>
      </c>
      <c r="R101" s="892" t="str">
        <f t="shared" si="22"/>
        <v>5820744/</v>
      </c>
      <c r="S101" s="892" t="str">
        <f t="shared" si="22"/>
        <v>2260649/</v>
      </c>
      <c r="T101" s="892" t="str">
        <f t="shared" si="22"/>
        <v>8148550/</v>
      </c>
      <c r="U101" s="8">
        <v>400</v>
      </c>
      <c r="V101" s="1392" t="s">
        <v>4076</v>
      </c>
      <c r="W101" s="1392" t="s">
        <v>4075</v>
      </c>
      <c r="X101" s="1088" t="s">
        <v>2988</v>
      </c>
      <c r="Y101" s="1088" t="s">
        <v>2987</v>
      </c>
      <c r="Z101" s="164" t="s">
        <v>2282</v>
      </c>
      <c r="AA101" s="43" t="s">
        <v>2486</v>
      </c>
      <c r="AB101" s="701" t="s">
        <v>2274</v>
      </c>
      <c r="AC101" s="43" t="s">
        <v>2332</v>
      </c>
      <c r="AD101" s="8">
        <v>400</v>
      </c>
      <c r="AE101" s="696" t="s">
        <v>3048</v>
      </c>
      <c r="AF101" s="696" t="s">
        <v>3047</v>
      </c>
      <c r="AG101" s="1088" t="s">
        <v>2988</v>
      </c>
      <c r="AH101" s="1088" t="s">
        <v>2987</v>
      </c>
      <c r="AI101" s="891" t="s">
        <v>2336</v>
      </c>
      <c r="AJ101" s="891" t="s">
        <v>2377</v>
      </c>
      <c r="AK101" s="891" t="s">
        <v>2291</v>
      </c>
      <c r="AL101" s="891" t="s">
        <v>2305</v>
      </c>
      <c r="AM101" s="8">
        <v>400</v>
      </c>
      <c r="AN101" s="1392" t="s">
        <v>4085</v>
      </c>
      <c r="AO101" s="1392" t="s">
        <v>4083</v>
      </c>
      <c r="AP101" s="1088" t="s">
        <v>2988</v>
      </c>
      <c r="AQ101" s="1088" t="s">
        <v>2987</v>
      </c>
      <c r="AR101" s="891" t="s">
        <v>2319</v>
      </c>
      <c r="AS101" s="891" t="s">
        <v>2342</v>
      </c>
      <c r="AT101" s="891" t="s">
        <v>2343</v>
      </c>
      <c r="AU101" s="891" t="s">
        <v>2278</v>
      </c>
      <c r="AV101" s="8">
        <v>400</v>
      </c>
      <c r="AW101" s="1085"/>
      <c r="AX101" s="1085"/>
      <c r="AY101" s="1085"/>
      <c r="AZ101" s="1085"/>
      <c r="BA101" s="1085" t="s">
        <v>2850</v>
      </c>
      <c r="BB101" s="1085" t="s">
        <v>2852</v>
      </c>
      <c r="BC101" s="1088" t="s">
        <v>2865</v>
      </c>
      <c r="BD101" s="1088" t="s">
        <v>2846</v>
      </c>
      <c r="BG101" s="1104" t="s">
        <v>3159</v>
      </c>
      <c r="BH101" s="1105" t="str">
        <f>IF(D4="Торговая",VLOOKUP(BG101,BV98:BW101,2,FALSE),VLOOKUP($BG$97,$AV$98:$BD$103,BH102,FALSE))</f>
        <v>4115619/</v>
      </c>
      <c r="BI101" s="1105" t="str">
        <f>IF(D4="Торговая","",VLOOKUP($BG$97,$AV$98:$BD$103,BI102,FALSE))</f>
        <v>4001227/</v>
      </c>
      <c r="BJ101" s="1105" t="str">
        <f t="shared" ref="BJ101:BO101" si="26">VLOOKUP($BG$97,$AV$98:$BD$103,BJ102,FALSE)</f>
        <v>4922514/</v>
      </c>
      <c r="BK101" s="1105" t="str">
        <f t="shared" si="26"/>
        <v>4737284/</v>
      </c>
      <c r="BL101" s="1105" t="str">
        <f t="shared" si="26"/>
        <v>2113518/</v>
      </c>
      <c r="BM101" s="1105" t="str">
        <f t="shared" si="26"/>
        <v>2215958/</v>
      </c>
      <c r="BN101" s="1105" t="str">
        <f t="shared" si="26"/>
        <v>7604824/</v>
      </c>
      <c r="BO101" s="1109" t="str">
        <f t="shared" si="26"/>
        <v>1058035/</v>
      </c>
      <c r="BP101" s="680" t="s">
        <v>3075</v>
      </c>
      <c r="BQ101" s="1116" t="s">
        <v>3067</v>
      </c>
      <c r="BR101" s="1105" t="s">
        <v>3066</v>
      </c>
      <c r="BS101" s="1105" t="s">
        <v>3069</v>
      </c>
      <c r="BT101" s="1105" t="s">
        <v>2851</v>
      </c>
      <c r="BU101" s="1106" t="s">
        <v>3065</v>
      </c>
      <c r="BV101" s="1533" t="s">
        <v>3159</v>
      </c>
      <c r="BW101" s="1533">
        <f>VLOOKUP($BG$97,$BX$106:$CB$111,5,FALSE)</f>
        <v>0</v>
      </c>
      <c r="BX101" s="1529"/>
      <c r="BY101" s="1529"/>
      <c r="BZ101" s="1527"/>
      <c r="CA101" s="1527"/>
      <c r="CB101" s="1527"/>
      <c r="CC101" s="1527"/>
    </row>
    <row r="102" spans="1:82" ht="12.75" customHeight="1" thickBot="1" x14ac:dyDescent="0.25">
      <c r="A102" s="2384"/>
      <c r="B102" s="2074"/>
      <c r="C102" s="998" t="str">
        <f>IF(MID($D$101,6,8)="Боковины","",VLOOKUP($D$3,BG98:BI101,3,FALSE))</f>
        <v>2739732/</v>
      </c>
      <c r="D102" s="1879" t="str">
        <f>IF(C102="","",VLOOKUP(C102,всецены,2,FALSE))</f>
        <v xml:space="preserve">LBX, Боковина С 176,8/500 мм, сер, лев  </v>
      </c>
      <c r="E102" s="1061">
        <f>IF(C102="",0,1)</f>
        <v>1</v>
      </c>
      <c r="F102" s="1531">
        <f>IF(C102="",0,VLOOKUP(C102,всецены,4,FALSE))</f>
        <v>804.26706360000003</v>
      </c>
      <c r="G102" s="1518">
        <f t="shared" si="20"/>
        <v>804.26706360000003</v>
      </c>
      <c r="H102" s="726">
        <f t="shared" si="21"/>
        <v>804.26706360000003</v>
      </c>
      <c r="I102" s="2387"/>
      <c r="L102" s="8">
        <v>450</v>
      </c>
      <c r="M102" s="892" t="str">
        <f t="shared" si="22"/>
        <v>8010346/</v>
      </c>
      <c r="N102" s="892" t="str">
        <f t="shared" si="22"/>
        <v>8002343/</v>
      </c>
      <c r="O102" s="892" t="str">
        <f t="shared" si="22"/>
        <v>9337924/</v>
      </c>
      <c r="P102" s="892" t="str">
        <f t="shared" si="22"/>
        <v>9287449/</v>
      </c>
      <c r="Q102" s="892" t="str">
        <f t="shared" si="22"/>
        <v>2550380/</v>
      </c>
      <c r="R102" s="892" t="str">
        <f t="shared" si="22"/>
        <v>5820744/</v>
      </c>
      <c r="S102" s="892" t="str">
        <f t="shared" si="22"/>
        <v>2260649/</v>
      </c>
      <c r="T102" s="892" t="str">
        <f t="shared" si="22"/>
        <v>8148550/</v>
      </c>
      <c r="U102" s="8">
        <v>450</v>
      </c>
      <c r="V102" s="696" t="s">
        <v>6746</v>
      </c>
      <c r="W102" s="696" t="s">
        <v>6745</v>
      </c>
      <c r="X102" s="696" t="s">
        <v>2993</v>
      </c>
      <c r="Y102" s="696" t="s">
        <v>2992</v>
      </c>
      <c r="Z102" s="164" t="s">
        <v>2282</v>
      </c>
      <c r="AA102" s="43" t="s">
        <v>2486</v>
      </c>
      <c r="AB102" s="701" t="s">
        <v>2274</v>
      </c>
      <c r="AC102" s="43" t="s">
        <v>2332</v>
      </c>
      <c r="AD102" s="8">
        <v>450</v>
      </c>
      <c r="AE102" s="696" t="s">
        <v>3034</v>
      </c>
      <c r="AF102" s="696" t="s">
        <v>3033</v>
      </c>
      <c r="AG102" s="696" t="s">
        <v>2993</v>
      </c>
      <c r="AH102" s="696" t="s">
        <v>2992</v>
      </c>
      <c r="AI102" s="891" t="s">
        <v>2336</v>
      </c>
      <c r="AJ102" s="891" t="s">
        <v>2377</v>
      </c>
      <c r="AK102" s="891" t="s">
        <v>2291</v>
      </c>
      <c r="AL102" s="891" t="s">
        <v>2305</v>
      </c>
      <c r="AM102" s="8">
        <v>450</v>
      </c>
      <c r="AN102" s="696" t="s">
        <v>3689</v>
      </c>
      <c r="AO102" s="696" t="s">
        <v>3687</v>
      </c>
      <c r="AP102" s="696" t="s">
        <v>2993</v>
      </c>
      <c r="AQ102" s="696" t="s">
        <v>2992</v>
      </c>
      <c r="AR102" s="891" t="s">
        <v>2319</v>
      </c>
      <c r="AS102" s="891" t="s">
        <v>2342</v>
      </c>
      <c r="AT102" s="891" t="s">
        <v>2343</v>
      </c>
      <c r="AU102" s="891" t="s">
        <v>2278</v>
      </c>
      <c r="AV102" s="8">
        <v>450</v>
      </c>
      <c r="AW102" s="1087" t="s">
        <v>4621</v>
      </c>
      <c r="AX102" s="1087" t="s">
        <v>4620</v>
      </c>
      <c r="AY102" s="1085" t="s">
        <v>2993</v>
      </c>
      <c r="AZ102" s="1085" t="s">
        <v>2992</v>
      </c>
      <c r="BA102" s="1085" t="s">
        <v>2850</v>
      </c>
      <c r="BB102" s="1085" t="s">
        <v>2852</v>
      </c>
      <c r="BC102" s="1088" t="s">
        <v>2865</v>
      </c>
      <c r="BD102" s="1088" t="s">
        <v>2846</v>
      </c>
      <c r="BH102" s="771">
        <v>2</v>
      </c>
      <c r="BI102" s="771">
        <v>3</v>
      </c>
      <c r="BJ102" s="771">
        <v>4</v>
      </c>
      <c r="BK102" s="771">
        <v>5</v>
      </c>
      <c r="BL102" s="771">
        <v>6</v>
      </c>
      <c r="BM102" s="771">
        <v>7</v>
      </c>
      <c r="BN102" s="771">
        <v>8</v>
      </c>
      <c r="BO102" s="771">
        <v>9</v>
      </c>
      <c r="BP102" s="771">
        <v>10</v>
      </c>
      <c r="BQ102" s="771">
        <v>11</v>
      </c>
      <c r="BR102" s="771">
        <v>12</v>
      </c>
      <c r="BS102" s="771">
        <v>13</v>
      </c>
      <c r="BT102" s="771">
        <v>14</v>
      </c>
      <c r="BU102" s="771">
        <v>15</v>
      </c>
    </row>
    <row r="103" spans="1:82" ht="15.75" customHeight="1" thickBot="1" x14ac:dyDescent="0.25">
      <c r="A103" s="843"/>
      <c r="B103" s="871"/>
      <c r="C103" s="862"/>
      <c r="D103" s="863"/>
      <c r="E103" s="864"/>
      <c r="F103" s="1449"/>
      <c r="G103" s="1449"/>
      <c r="H103" s="866"/>
      <c r="I103" s="688" t="str">
        <f>CONCATENATE("N",$C$11,$D$3)</f>
        <v>N500ORION матово-серый</v>
      </c>
      <c r="L103" s="8">
        <v>500</v>
      </c>
      <c r="M103" s="892" t="str">
        <f t="shared" si="22"/>
        <v>8530390/</v>
      </c>
      <c r="N103" s="892" t="str">
        <f t="shared" si="22"/>
        <v>2739732/</v>
      </c>
      <c r="O103" s="892" t="str">
        <f t="shared" si="22"/>
        <v>4922514/</v>
      </c>
      <c r="P103" s="892" t="str">
        <f t="shared" si="22"/>
        <v>4737284/</v>
      </c>
      <c r="Q103" s="892" t="str">
        <f t="shared" si="22"/>
        <v>2550380/</v>
      </c>
      <c r="R103" s="892" t="str">
        <f t="shared" si="22"/>
        <v>5820744/</v>
      </c>
      <c r="S103" s="892" t="str">
        <f t="shared" si="22"/>
        <v>2260649/</v>
      </c>
      <c r="T103" s="892" t="str">
        <f t="shared" si="22"/>
        <v>8148550/</v>
      </c>
      <c r="U103" s="8">
        <v>500</v>
      </c>
      <c r="V103" s="696" t="s">
        <v>6748</v>
      </c>
      <c r="W103" s="696" t="s">
        <v>2284</v>
      </c>
      <c r="X103" s="696" t="s">
        <v>2307</v>
      </c>
      <c r="Y103" s="696" t="s">
        <v>2302</v>
      </c>
      <c r="Z103" s="164" t="s">
        <v>2282</v>
      </c>
      <c r="AA103" s="43" t="s">
        <v>2486</v>
      </c>
      <c r="AB103" s="701" t="s">
        <v>2274</v>
      </c>
      <c r="AC103" s="43" t="s">
        <v>2332</v>
      </c>
      <c r="AD103" s="8">
        <v>500</v>
      </c>
      <c r="AE103" s="696" t="s">
        <v>2290</v>
      </c>
      <c r="AF103" s="696" t="s">
        <v>2287</v>
      </c>
      <c r="AG103" s="696" t="s">
        <v>2307</v>
      </c>
      <c r="AH103" s="696" t="s">
        <v>2302</v>
      </c>
      <c r="AI103" s="891" t="s">
        <v>2336</v>
      </c>
      <c r="AJ103" s="891" t="s">
        <v>2377</v>
      </c>
      <c r="AK103" s="891" t="s">
        <v>2291</v>
      </c>
      <c r="AL103" s="891" t="s">
        <v>2305</v>
      </c>
      <c r="AM103" s="8">
        <v>500</v>
      </c>
      <c r="AN103" s="696" t="s">
        <v>2324</v>
      </c>
      <c r="AO103" s="696" t="s">
        <v>2323</v>
      </c>
      <c r="AP103" s="696" t="s">
        <v>2307</v>
      </c>
      <c r="AQ103" s="696" t="s">
        <v>2302</v>
      </c>
      <c r="AR103" s="891" t="s">
        <v>2319</v>
      </c>
      <c r="AS103" s="891" t="s">
        <v>2342</v>
      </c>
      <c r="AT103" s="891" t="s">
        <v>2343</v>
      </c>
      <c r="AU103" s="891" t="s">
        <v>2278</v>
      </c>
      <c r="AV103" s="8">
        <v>500</v>
      </c>
      <c r="AW103" s="1087" t="s">
        <v>2863</v>
      </c>
      <c r="AX103" s="1087" t="s">
        <v>2862</v>
      </c>
      <c r="AY103" s="1085" t="s">
        <v>2307</v>
      </c>
      <c r="AZ103" s="1085" t="s">
        <v>2302</v>
      </c>
      <c r="BA103" s="1087" t="s">
        <v>2850</v>
      </c>
      <c r="BB103" s="1087" t="s">
        <v>2852</v>
      </c>
      <c r="BC103" s="1088" t="s">
        <v>2865</v>
      </c>
      <c r="BD103" s="1088" t="s">
        <v>2846</v>
      </c>
    </row>
    <row r="104" spans="1:82" ht="15" customHeight="1" x14ac:dyDescent="0.2">
      <c r="A104" s="843"/>
      <c r="B104" s="1524" t="str">
        <f>IF($D$3="БЕЛЫЙ ШЕЛК - матовый","270,300,350,400,450,500мм","270,350,400,450,500мм")</f>
        <v>270,350,400,450,500мм</v>
      </c>
      <c r="C104" s="719"/>
      <c r="D104" s="2144" t="s">
        <v>1183</v>
      </c>
      <c r="E104" s="2144"/>
      <c r="F104" s="2144"/>
      <c r="G104" s="2144"/>
      <c r="H104" s="2144"/>
      <c r="I104" s="2145"/>
      <c r="L104" s="771"/>
      <c r="M104" s="771">
        <v>2</v>
      </c>
      <c r="N104" s="771">
        <f>M104+1</f>
        <v>3</v>
      </c>
      <c r="O104" s="771">
        <f t="shared" ref="O104:BD104" si="27">N104+1</f>
        <v>4</v>
      </c>
      <c r="P104" s="771">
        <f t="shared" si="27"/>
        <v>5</v>
      </c>
      <c r="Q104" s="771">
        <f t="shared" si="27"/>
        <v>6</v>
      </c>
      <c r="R104" s="771">
        <f t="shared" si="27"/>
        <v>7</v>
      </c>
      <c r="S104" s="771">
        <f t="shared" si="27"/>
        <v>8</v>
      </c>
      <c r="T104" s="771">
        <f t="shared" si="27"/>
        <v>9</v>
      </c>
      <c r="U104" s="771"/>
      <c r="V104" s="771">
        <v>2</v>
      </c>
      <c r="W104" s="771">
        <f t="shared" si="27"/>
        <v>3</v>
      </c>
      <c r="X104" s="771">
        <f t="shared" si="27"/>
        <v>4</v>
      </c>
      <c r="Y104" s="771">
        <f t="shared" si="27"/>
        <v>5</v>
      </c>
      <c r="Z104" s="771">
        <f t="shared" si="27"/>
        <v>6</v>
      </c>
      <c r="AA104" s="771">
        <f t="shared" si="27"/>
        <v>7</v>
      </c>
      <c r="AB104" s="771">
        <f t="shared" si="27"/>
        <v>8</v>
      </c>
      <c r="AC104" s="771">
        <f t="shared" si="27"/>
        <v>9</v>
      </c>
      <c r="AD104" s="771"/>
      <c r="AE104" s="771">
        <v>2</v>
      </c>
      <c r="AF104" s="771">
        <f t="shared" si="27"/>
        <v>3</v>
      </c>
      <c r="AG104" s="771">
        <f t="shared" si="27"/>
        <v>4</v>
      </c>
      <c r="AH104" s="771">
        <f t="shared" si="27"/>
        <v>5</v>
      </c>
      <c r="AI104" s="771">
        <f t="shared" si="27"/>
        <v>6</v>
      </c>
      <c r="AJ104" s="771">
        <f t="shared" si="27"/>
        <v>7</v>
      </c>
      <c r="AK104" s="771">
        <f t="shared" si="27"/>
        <v>8</v>
      </c>
      <c r="AL104" s="771">
        <f t="shared" si="27"/>
        <v>9</v>
      </c>
      <c r="AN104" s="771">
        <v>2</v>
      </c>
      <c r="AO104" s="771">
        <f t="shared" si="27"/>
        <v>3</v>
      </c>
      <c r="AP104" s="771">
        <f t="shared" si="27"/>
        <v>4</v>
      </c>
      <c r="AQ104" s="771">
        <f t="shared" si="27"/>
        <v>5</v>
      </c>
      <c r="AR104" s="771">
        <f t="shared" si="27"/>
        <v>6</v>
      </c>
      <c r="AS104" s="771">
        <f t="shared" si="27"/>
        <v>7</v>
      </c>
      <c r="AT104" s="771">
        <f t="shared" si="27"/>
        <v>8</v>
      </c>
      <c r="AU104" s="771">
        <f t="shared" si="27"/>
        <v>9</v>
      </c>
      <c r="AW104" s="771">
        <v>2</v>
      </c>
      <c r="AX104" s="771">
        <f t="shared" si="27"/>
        <v>3</v>
      </c>
      <c r="AY104" s="771">
        <f t="shared" si="27"/>
        <v>4</v>
      </c>
      <c r="AZ104" s="771">
        <f t="shared" si="27"/>
        <v>5</v>
      </c>
      <c r="BA104" s="771">
        <f t="shared" si="27"/>
        <v>6</v>
      </c>
      <c r="BB104" s="771">
        <f t="shared" si="27"/>
        <v>7</v>
      </c>
      <c r="BC104" s="771">
        <f t="shared" si="27"/>
        <v>8</v>
      </c>
      <c r="BD104" s="771">
        <f t="shared" si="27"/>
        <v>9</v>
      </c>
    </row>
    <row r="105" spans="1:82" ht="12.75" customHeight="1" x14ac:dyDescent="0.2">
      <c r="A105" s="843"/>
      <c r="B105" s="844"/>
      <c r="C105" s="1881"/>
      <c r="D105" s="1882"/>
      <c r="E105" s="1883"/>
      <c r="F105" s="1522"/>
      <c r="G105" s="1522"/>
      <c r="H105" s="1884"/>
      <c r="I105" s="1940" t="str">
        <f>IF(СОДЕРЖАНИЕ!P2=1,"EUR","RUB")</f>
        <v>RUB</v>
      </c>
      <c r="L105" s="771"/>
      <c r="M105" s="771"/>
      <c r="N105" s="771"/>
      <c r="O105" s="771"/>
      <c r="P105" s="771"/>
      <c r="Q105" s="771"/>
      <c r="R105" s="771"/>
      <c r="S105" s="771"/>
      <c r="T105" s="771"/>
      <c r="U105" s="771"/>
      <c r="V105" s="771"/>
      <c r="W105" s="771"/>
      <c r="X105" s="771"/>
      <c r="Y105" s="771"/>
      <c r="Z105" s="771"/>
      <c r="AA105" s="771"/>
      <c r="AB105" s="771"/>
      <c r="AC105" s="771"/>
      <c r="AD105" s="771"/>
      <c r="AE105" s="771"/>
      <c r="AF105" s="771"/>
      <c r="BQ105" s="1936"/>
      <c r="BX105" s="1532"/>
      <c r="BY105" s="1533" t="s">
        <v>2396</v>
      </c>
      <c r="BZ105" s="1533" t="s">
        <v>2398</v>
      </c>
      <c r="CA105" s="1533" t="s">
        <v>2397</v>
      </c>
      <c r="CB105" s="1533" t="s">
        <v>3159</v>
      </c>
    </row>
    <row r="106" spans="1:82" ht="12.75" customHeight="1" x14ac:dyDescent="0.2">
      <c r="A106" s="2384"/>
      <c r="B106" s="2383"/>
      <c r="C106" s="1899" t="s">
        <v>2985</v>
      </c>
      <c r="D106" s="1905" t="str">
        <f t="shared" ref="D106:D115" si="28">VLOOKUP(C106,всецены,2,FALSE)</f>
        <v xml:space="preserve">LBX, Держ п/п п/рел, лев, ZI7.3C01.01   </v>
      </c>
      <c r="E106" s="1915">
        <v>1</v>
      </c>
      <c r="F106" s="1916">
        <f t="shared" ref="F106:F120" si="29">VLOOKUP(C106,всецены,4,FALSE)</f>
        <v>363.50594280000001</v>
      </c>
      <c r="G106" s="1916">
        <f>F106</f>
        <v>363.50594280000001</v>
      </c>
      <c r="H106" s="1917">
        <f>G106*E106</f>
        <v>363.50594280000001</v>
      </c>
      <c r="I106" s="2385">
        <f>SUM(H106:H121)</f>
        <v>7416.4970880000001</v>
      </c>
      <c r="L106" s="771"/>
      <c r="M106" s="771"/>
      <c r="N106" s="771"/>
      <c r="O106" s="771"/>
      <c r="P106" s="771"/>
      <c r="Q106" s="771"/>
      <c r="R106" s="771"/>
      <c r="S106" s="771"/>
      <c r="T106" s="771"/>
      <c r="U106" s="771"/>
      <c r="V106" s="771"/>
      <c r="W106" s="771"/>
      <c r="X106" s="771"/>
      <c r="Y106" s="771"/>
      <c r="Z106" s="771"/>
      <c r="AA106" s="771"/>
      <c r="AB106" s="771"/>
      <c r="AC106" s="771"/>
      <c r="AD106" s="771"/>
      <c r="AE106" s="771"/>
      <c r="AF106" s="771"/>
      <c r="BQ106" s="1936"/>
      <c r="BX106" s="1943">
        <v>270</v>
      </c>
      <c r="BY106" s="1534" t="s">
        <v>4447</v>
      </c>
      <c r="BZ106" s="1534" t="s">
        <v>4460</v>
      </c>
      <c r="CA106" s="1534" t="s">
        <v>4474</v>
      </c>
      <c r="CB106" s="1529">
        <v>0</v>
      </c>
    </row>
    <row r="107" spans="1:82" ht="12.75" customHeight="1" x14ac:dyDescent="0.2">
      <c r="A107" s="2384"/>
      <c r="B107" s="2073"/>
      <c r="C107" s="1899" t="s">
        <v>2994</v>
      </c>
      <c r="D107" s="1905" t="str">
        <f t="shared" si="28"/>
        <v xml:space="preserve">LBX, Держ п/п п/рел, прав, ZI7.3C01.01  </v>
      </c>
      <c r="E107" s="1915">
        <v>1</v>
      </c>
      <c r="F107" s="1916">
        <f t="shared" si="29"/>
        <v>363.50594280000001</v>
      </c>
      <c r="G107" s="1916">
        <f t="shared" ref="G107:G121" si="30">F107</f>
        <v>363.50594280000001</v>
      </c>
      <c r="H107" s="1917">
        <f t="shared" ref="H107:H117" si="31">G107*E107</f>
        <v>363.50594280000001</v>
      </c>
      <c r="I107" s="2386"/>
      <c r="L107" s="771"/>
      <c r="M107" s="771"/>
      <c r="N107" s="771"/>
      <c r="O107" s="771"/>
      <c r="P107" s="771"/>
      <c r="Q107" s="771"/>
      <c r="R107" s="771"/>
      <c r="S107" s="771"/>
      <c r="T107" s="771"/>
      <c r="U107" s="771"/>
      <c r="W107" s="771"/>
      <c r="X107" s="771"/>
      <c r="Y107" s="771"/>
      <c r="Z107" s="771"/>
      <c r="AA107" s="771"/>
      <c r="AB107" s="771"/>
      <c r="AC107" s="771"/>
      <c r="AD107" s="771"/>
      <c r="AE107" s="771"/>
      <c r="AF107" s="771"/>
      <c r="BQ107" s="1936"/>
      <c r="BX107" s="1943">
        <v>300</v>
      </c>
      <c r="BY107" s="1534" t="s">
        <v>4600</v>
      </c>
      <c r="BZ107" s="1534"/>
      <c r="CA107" s="1534" t="s">
        <v>4476</v>
      </c>
      <c r="CB107" s="1529">
        <v>0</v>
      </c>
    </row>
    <row r="108" spans="1:82" ht="12.75" customHeight="1" x14ac:dyDescent="0.2">
      <c r="A108" s="2384"/>
      <c r="B108" s="2073"/>
      <c r="C108" s="1899" t="str">
        <f>VLOOKUP($D$3,LBX.C,10,FALSE)</f>
        <v>6421490/</v>
      </c>
      <c r="D108" s="1905" t="str">
        <f t="shared" si="28"/>
        <v xml:space="preserve">LBX, Загл вн держ п/п сер лев ZI7.3C08  </v>
      </c>
      <c r="E108" s="1915">
        <v>1</v>
      </c>
      <c r="F108" s="1916">
        <f t="shared" si="29"/>
        <v>41.473832399999999</v>
      </c>
      <c r="G108" s="1916">
        <f t="shared" si="30"/>
        <v>41.473832399999999</v>
      </c>
      <c r="H108" s="1917">
        <f t="shared" si="31"/>
        <v>41.473832399999999</v>
      </c>
      <c r="I108" s="2386"/>
      <c r="L108" s="771"/>
      <c r="M108" s="771"/>
      <c r="N108" s="771"/>
      <c r="O108" s="771"/>
      <c r="P108" s="771"/>
      <c r="Q108" s="771"/>
      <c r="R108" s="771"/>
      <c r="S108" s="771"/>
      <c r="T108" s="771"/>
      <c r="U108" s="771"/>
      <c r="W108" s="771"/>
      <c r="X108" s="771"/>
      <c r="Y108" s="771"/>
      <c r="Z108" s="771"/>
      <c r="AA108" s="771"/>
      <c r="AB108" s="771"/>
      <c r="AC108" s="771"/>
      <c r="AD108" s="771"/>
      <c r="AE108" s="771"/>
      <c r="AF108" s="771"/>
      <c r="BX108" s="1943">
        <v>350</v>
      </c>
      <c r="BY108" s="1534" t="s">
        <v>4448</v>
      </c>
      <c r="BZ108" s="1534" t="s">
        <v>4461</v>
      </c>
      <c r="CA108" s="1534" t="s">
        <v>4478</v>
      </c>
      <c r="CB108" s="1529">
        <v>0</v>
      </c>
    </row>
    <row r="109" spans="1:82" ht="12.75" customHeight="1" x14ac:dyDescent="0.2">
      <c r="A109" s="2384"/>
      <c r="B109" s="2073"/>
      <c r="C109" s="1899" t="str">
        <f>VLOOKUP($D$3,LBX.C,11,FALSE)</f>
        <v>9747958/</v>
      </c>
      <c r="D109" s="1905" t="str">
        <f t="shared" si="28"/>
        <v xml:space="preserve">LBX, Загл вн держ п/п сер пр ZI7.3C08   </v>
      </c>
      <c r="E109" s="1915">
        <v>1</v>
      </c>
      <c r="F109" s="1916">
        <f t="shared" si="29"/>
        <v>41.473832399999999</v>
      </c>
      <c r="G109" s="1916">
        <f t="shared" si="30"/>
        <v>41.473832399999999</v>
      </c>
      <c r="H109" s="1917">
        <f t="shared" si="31"/>
        <v>41.473832399999999</v>
      </c>
      <c r="I109" s="2386"/>
      <c r="L109" s="771"/>
      <c r="M109" s="771"/>
      <c r="N109" s="771"/>
      <c r="O109" s="771"/>
      <c r="P109" s="771"/>
      <c r="Q109" s="771"/>
      <c r="R109" s="771"/>
      <c r="S109" s="771"/>
      <c r="T109" s="771"/>
      <c r="U109" s="771"/>
      <c r="W109" s="771"/>
      <c r="X109" s="771"/>
      <c r="Y109" s="771"/>
      <c r="Z109" s="771"/>
      <c r="AA109" s="771"/>
      <c r="AB109" s="771"/>
      <c r="AC109" s="771"/>
      <c r="AD109" s="771"/>
      <c r="AE109" s="771"/>
      <c r="AF109" s="771"/>
      <c r="BG109" s="894" t="s">
        <v>2396</v>
      </c>
      <c r="BP109" s="43" t="s">
        <v>2325</v>
      </c>
      <c r="BQ109" s="43" t="s">
        <v>2345</v>
      </c>
      <c r="BR109" s="43" t="s">
        <v>2308</v>
      </c>
      <c r="BS109" s="43" t="s">
        <v>2334</v>
      </c>
      <c r="BT109" s="43" t="s">
        <v>2272</v>
      </c>
      <c r="BX109" s="1943">
        <v>400</v>
      </c>
      <c r="BY109" s="1534" t="s">
        <v>4449</v>
      </c>
      <c r="BZ109" s="1534" t="s">
        <v>4462</v>
      </c>
      <c r="CA109" s="1534" t="s">
        <v>4480</v>
      </c>
      <c r="CB109" s="1529">
        <v>0</v>
      </c>
    </row>
    <row r="110" spans="1:82" ht="12.75" customHeight="1" x14ac:dyDescent="0.2">
      <c r="A110" s="2384"/>
      <c r="B110" s="2073"/>
      <c r="C110" s="1899" t="str">
        <f>VLOOKUP($D$3,LBX.C,12,FALSE)</f>
        <v>4939331/</v>
      </c>
      <c r="D110" s="1905" t="str">
        <f>VLOOKUP(C110,всецены,2,FALSE)</f>
        <v xml:space="preserve">LBX, Загл держ п/п С, сер, лев ZI7.2CS3 </v>
      </c>
      <c r="E110" s="1915">
        <v>1</v>
      </c>
      <c r="F110" s="1916">
        <f t="shared" si="29"/>
        <v>123.60828479999999</v>
      </c>
      <c r="G110" s="1916">
        <f t="shared" si="30"/>
        <v>123.60828479999999</v>
      </c>
      <c r="H110" s="1917">
        <f t="shared" si="31"/>
        <v>123.60828479999999</v>
      </c>
      <c r="I110" s="2386"/>
      <c r="L110" s="771"/>
      <c r="M110" s="771"/>
      <c r="N110" s="771"/>
      <c r="O110" s="771"/>
      <c r="P110" s="771"/>
      <c r="Q110" s="771"/>
      <c r="R110" s="771"/>
      <c r="S110" s="771"/>
      <c r="T110" s="771"/>
      <c r="U110" s="771"/>
      <c r="Z110" s="771"/>
      <c r="AA110" s="771"/>
      <c r="AB110" s="771"/>
      <c r="AC110" s="771"/>
      <c r="AD110" s="771"/>
      <c r="AE110" s="771"/>
      <c r="AF110" s="771"/>
      <c r="BG110" s="891" t="s">
        <v>2398</v>
      </c>
      <c r="BP110" s="893" t="s">
        <v>2337</v>
      </c>
      <c r="BQ110" s="893" t="s">
        <v>2331</v>
      </c>
      <c r="BR110" s="893" t="s">
        <v>2318</v>
      </c>
      <c r="BS110" s="893" t="s">
        <v>2321</v>
      </c>
      <c r="BT110" s="893" t="s">
        <v>2269</v>
      </c>
      <c r="BX110" s="1943">
        <v>450</v>
      </c>
      <c r="BY110" s="1534" t="s">
        <v>3647</v>
      </c>
      <c r="BZ110" s="1534" t="s">
        <v>4463</v>
      </c>
      <c r="CA110" s="1534" t="s">
        <v>3710</v>
      </c>
      <c r="CB110" s="1529">
        <v>0</v>
      </c>
    </row>
    <row r="111" spans="1:82" ht="12.75" customHeight="1" x14ac:dyDescent="0.2">
      <c r="A111" s="2384"/>
      <c r="B111" s="2073"/>
      <c r="C111" s="1899" t="str">
        <f>VLOOKUP($D$3,LBX.C,13,FALSE)</f>
        <v>8190871/</v>
      </c>
      <c r="D111" s="1905" t="str">
        <f>VLOOKUP(C111,всецены,2,FALSE)</f>
        <v>LBX, Загл держ п/п С, сер, прав ZI7.2CS3</v>
      </c>
      <c r="E111" s="1915">
        <v>1</v>
      </c>
      <c r="F111" s="1916">
        <f t="shared" si="29"/>
        <v>123.60828479999999</v>
      </c>
      <c r="G111" s="1916">
        <f t="shared" si="30"/>
        <v>123.60828479999999</v>
      </c>
      <c r="H111" s="1917">
        <f t="shared" si="31"/>
        <v>123.60828479999999</v>
      </c>
      <c r="I111" s="2386"/>
      <c r="L111" s="1936"/>
      <c r="M111" s="1936"/>
      <c r="N111" s="1936"/>
      <c r="O111" s="1936"/>
      <c r="P111" s="1936"/>
      <c r="Q111" s="1936"/>
      <c r="R111" s="1936"/>
      <c r="S111" s="771"/>
      <c r="T111" s="771"/>
      <c r="U111" s="771"/>
      <c r="Z111" s="771"/>
      <c r="AA111" s="771"/>
      <c r="AB111" s="771"/>
      <c r="AC111" s="771"/>
      <c r="AD111" s="771"/>
      <c r="AE111" s="771"/>
      <c r="AF111" s="771"/>
      <c r="BG111" s="891" t="s">
        <v>2397</v>
      </c>
      <c r="BH111" s="1936"/>
      <c r="BI111" s="1936"/>
      <c r="BJ111" s="1936"/>
      <c r="BK111" s="1936"/>
      <c r="BL111" s="1936"/>
      <c r="BM111" s="1936"/>
      <c r="BP111" s="891"/>
      <c r="BQ111" s="891"/>
      <c r="BR111" s="891"/>
      <c r="BS111" s="891"/>
      <c r="BT111" s="891"/>
      <c r="BU111" s="891"/>
      <c r="BV111" s="782"/>
      <c r="BW111" s="782"/>
      <c r="BX111" s="1943">
        <v>500</v>
      </c>
      <c r="BY111" s="1534" t="s">
        <v>4450</v>
      </c>
      <c r="BZ111" s="1534" t="s">
        <v>4464</v>
      </c>
      <c r="CA111" s="1534" t="s">
        <v>4483</v>
      </c>
      <c r="CB111" s="1529">
        <v>0</v>
      </c>
      <c r="CC111" s="782"/>
    </row>
    <row r="112" spans="1:82" ht="12.75" customHeight="1" x14ac:dyDescent="0.2">
      <c r="A112" s="2384"/>
      <c r="B112" s="2073"/>
      <c r="C112" s="1899" t="str">
        <f>VLOOKUP($D$3,LBX.C,14,FALSE)</f>
        <v>5897587/</v>
      </c>
      <c r="D112" s="1905" t="str">
        <f>VLOOKUP(C112,всецены,2,FALSE)</f>
        <v xml:space="preserve">LBX, Пп б/п п/раскр, сер, ZV7.1043C01   </v>
      </c>
      <c r="E112" s="1915">
        <v>1</v>
      </c>
      <c r="F112" s="1916">
        <f t="shared" si="29"/>
        <v>1253.9735208</v>
      </c>
      <c r="G112" s="1916">
        <f t="shared" si="30"/>
        <v>1253.9735208</v>
      </c>
      <c r="H112" s="1917">
        <f t="shared" si="31"/>
        <v>1253.9735208</v>
      </c>
      <c r="I112" s="2386"/>
      <c r="L112" s="1936"/>
      <c r="M112" s="1936"/>
      <c r="N112" s="1936"/>
      <c r="O112" s="1936"/>
      <c r="P112" s="1936"/>
      <c r="Q112" s="1936"/>
      <c r="R112" s="1936"/>
      <c r="S112" s="771"/>
      <c r="T112" s="771"/>
      <c r="U112" s="771"/>
      <c r="V112" s="1936"/>
      <c r="Z112" s="771"/>
      <c r="AA112" s="771"/>
      <c r="AB112" s="771"/>
      <c r="AC112" s="771"/>
      <c r="AD112" s="771"/>
      <c r="AE112" s="771"/>
      <c r="AF112" s="771"/>
      <c r="AN112" s="1936"/>
      <c r="AW112" s="1936"/>
      <c r="BL112" s="1936"/>
    </row>
    <row r="113" spans="1:130" ht="12.75" customHeight="1" x14ac:dyDescent="0.2">
      <c r="A113" s="2384"/>
      <c r="B113" s="2073"/>
      <c r="C113" s="1899" t="str">
        <f>VLOOKUP($D$3,LBX.C,15,FALSE)</f>
        <v>3359148/</v>
      </c>
      <c r="D113" s="1905" t="str">
        <f>VLOOKUP(C113,всецены,2,FALSE)</f>
        <v xml:space="preserve">LBX, Поп рел п/раскрой, 1080 мм., сер   </v>
      </c>
      <c r="E113" s="1915">
        <v>1</v>
      </c>
      <c r="F113" s="1916">
        <f t="shared" si="29"/>
        <v>550.54479479999998</v>
      </c>
      <c r="G113" s="1916">
        <f t="shared" si="30"/>
        <v>550.54479479999998</v>
      </c>
      <c r="H113" s="1917">
        <f t="shared" si="31"/>
        <v>550.54479479999998</v>
      </c>
      <c r="I113" s="2386"/>
      <c r="L113" s="1936"/>
      <c r="M113" s="1936"/>
      <c r="N113" s="1936"/>
      <c r="O113" s="1936"/>
      <c r="P113" s="1936"/>
      <c r="Q113" s="1936"/>
      <c r="R113" s="1936"/>
      <c r="S113" s="771"/>
      <c r="T113" s="771"/>
      <c r="U113" s="771"/>
      <c r="V113" s="1936"/>
      <c r="Z113" s="771"/>
      <c r="AA113" s="771"/>
      <c r="AB113" s="771"/>
      <c r="AC113" s="771"/>
      <c r="AD113" s="771"/>
      <c r="AE113" s="771"/>
      <c r="AF113" s="771"/>
      <c r="AN113" s="1936"/>
      <c r="AW113" s="1936"/>
      <c r="BL113" s="1936"/>
    </row>
    <row r="114" spans="1:130" ht="12.75" customHeight="1" x14ac:dyDescent="0.2">
      <c r="A114" s="2384"/>
      <c r="B114" s="2073"/>
      <c r="C114" s="1899" t="str">
        <f>VLOOKUP($D$3,LBX.C,8,FALSE)</f>
        <v>2260649/</v>
      </c>
      <c r="D114" s="1905" t="str">
        <f t="shared" si="28"/>
        <v>LBX, Держат. задн. ст, 189 мм, сер, лев.</v>
      </c>
      <c r="E114" s="1915">
        <v>1</v>
      </c>
      <c r="F114" s="1916">
        <f t="shared" si="29"/>
        <v>47.979531600000001</v>
      </c>
      <c r="G114" s="1916">
        <f t="shared" si="30"/>
        <v>47.979531600000001</v>
      </c>
      <c r="H114" s="1917">
        <f t="shared" si="31"/>
        <v>47.979531600000001</v>
      </c>
      <c r="I114" s="2386"/>
      <c r="L114" s="771"/>
      <c r="M114" s="771"/>
      <c r="N114" s="771"/>
      <c r="O114" s="771"/>
      <c r="P114" s="771"/>
      <c r="Q114" s="771"/>
      <c r="R114" s="771"/>
      <c r="S114" s="771"/>
      <c r="T114" s="771"/>
      <c r="U114" s="771"/>
      <c r="V114" s="1936"/>
      <c r="W114" s="1936"/>
      <c r="X114" s="1936"/>
      <c r="Y114" s="1936"/>
      <c r="Z114" s="1936"/>
      <c r="AA114" s="1936"/>
      <c r="AB114" s="1936"/>
      <c r="AC114" s="771"/>
      <c r="AD114" s="771"/>
      <c r="AY114" s="1936"/>
    </row>
    <row r="115" spans="1:130" ht="12.75" customHeight="1" x14ac:dyDescent="0.2">
      <c r="A115" s="2384"/>
      <c r="B115" s="2073"/>
      <c r="C115" s="1899" t="str">
        <f>VLOOKUP($D$3,LBX.C,9,FALSE)</f>
        <v>8148550/</v>
      </c>
      <c r="D115" s="1905" t="str">
        <f t="shared" si="28"/>
        <v>LBX, Держат. задн. ст, 189 мм, сер, прав</v>
      </c>
      <c r="E115" s="1915">
        <v>1</v>
      </c>
      <c r="F115" s="1916">
        <f t="shared" si="29"/>
        <v>47.979531600000001</v>
      </c>
      <c r="G115" s="1916">
        <f t="shared" si="30"/>
        <v>47.979531600000001</v>
      </c>
      <c r="H115" s="1917">
        <f t="shared" si="31"/>
        <v>47.979531600000001</v>
      </c>
      <c r="I115" s="2386"/>
      <c r="L115" s="771"/>
      <c r="M115" s="771"/>
      <c r="N115" s="771"/>
      <c r="O115" s="771"/>
      <c r="P115" s="771"/>
      <c r="Q115" s="771"/>
      <c r="R115" s="771"/>
      <c r="S115" s="771"/>
      <c r="T115" s="771"/>
      <c r="U115" s="771"/>
      <c r="V115" s="1936"/>
      <c r="W115" s="1936"/>
      <c r="X115" s="1936"/>
      <c r="Y115" s="1936"/>
      <c r="Z115" s="1936"/>
      <c r="AA115" s="1936"/>
      <c r="AB115" s="1936"/>
      <c r="AC115" s="771"/>
      <c r="AD115" s="771"/>
      <c r="AN115" s="1936"/>
      <c r="AO115" s="1936"/>
      <c r="AP115" s="1936"/>
      <c r="AQ115" s="1936"/>
      <c r="AY115" s="1936"/>
    </row>
    <row r="116" spans="1:130" ht="12.75" customHeight="1" x14ac:dyDescent="0.2">
      <c r="A116" s="2384"/>
      <c r="B116" s="2073"/>
      <c r="C116" s="1899" t="str">
        <f t="shared" ref="C116:C121" si="32">C97</f>
        <v>2550380/</v>
      </c>
      <c r="D116" s="1905" t="str">
        <f>IF(C116="","",VLOOKUP(C116,всецены,2,FALSE))</f>
        <v xml:space="preserve">LBX, Загл, внутр, сер, симм (М,С,F)     </v>
      </c>
      <c r="E116" s="1906">
        <f>IF(C116="",0,2)</f>
        <v>2</v>
      </c>
      <c r="F116" s="1907">
        <f>IF(C116="",0,VLOOKUP(C116,всецены,4,FALSE))</f>
        <v>8.9453364000000004</v>
      </c>
      <c r="G116" s="1916">
        <f t="shared" si="30"/>
        <v>8.9453364000000004</v>
      </c>
      <c r="H116" s="1917">
        <f t="shared" si="31"/>
        <v>17.890672800000001</v>
      </c>
      <c r="I116" s="2386"/>
      <c r="L116" s="771"/>
      <c r="M116" s="771"/>
      <c r="N116" s="771"/>
      <c r="O116" s="771"/>
      <c r="P116" s="771"/>
      <c r="Q116" s="771"/>
      <c r="R116" s="771"/>
      <c r="S116" s="771"/>
      <c r="T116" s="771"/>
      <c r="U116" s="771"/>
      <c r="AC116" s="771"/>
      <c r="AD116" s="771"/>
      <c r="AN116" s="1936"/>
      <c r="AO116" s="1936"/>
      <c r="AP116" s="1936"/>
      <c r="AQ116" s="1936"/>
    </row>
    <row r="117" spans="1:130" ht="12.75" customHeight="1" x14ac:dyDescent="0.2">
      <c r="A117" s="2384"/>
      <c r="B117" s="2073"/>
      <c r="C117" s="1899" t="str">
        <f t="shared" si="32"/>
        <v>5820744/</v>
      </c>
      <c r="D117" s="1905" t="str">
        <f>IF(C117="","",VLOOKUP(C117,всецены,2,FALSE))</f>
        <v xml:space="preserve">LBX, Загл, наружн, с лого, сер, симм    </v>
      </c>
      <c r="E117" s="1906">
        <f>IF(C117="",0,2)</f>
        <v>2</v>
      </c>
      <c r="F117" s="1907">
        <f>IF(C117="",0,VLOOKUP(C117,всецены,4,FALSE))</f>
        <v>14.637823200000001</v>
      </c>
      <c r="G117" s="1916">
        <f t="shared" si="30"/>
        <v>14.637823200000001</v>
      </c>
      <c r="H117" s="1917">
        <f t="shared" si="31"/>
        <v>29.275646400000003</v>
      </c>
      <c r="I117" s="2386"/>
      <c r="L117" s="771"/>
      <c r="M117" s="771"/>
      <c r="N117" s="771"/>
      <c r="O117" s="771"/>
      <c r="P117" s="771"/>
      <c r="Q117" s="771"/>
      <c r="R117" s="771"/>
      <c r="S117" s="771"/>
      <c r="T117" s="771"/>
      <c r="U117" s="771"/>
      <c r="AC117" s="771"/>
      <c r="AD117" s="771"/>
      <c r="AG117" s="1936"/>
      <c r="AH117" s="1936"/>
      <c r="AN117" s="1936"/>
      <c r="AO117" s="1936"/>
      <c r="AP117" s="1936"/>
      <c r="AQ117" s="1936"/>
    </row>
    <row r="118" spans="1:130" ht="12.75" customHeight="1" x14ac:dyDescent="0.2">
      <c r="A118" s="2384"/>
      <c r="B118" s="2073"/>
      <c r="C118" s="1965" t="str">
        <f t="shared" si="32"/>
        <v>1365128/</v>
      </c>
      <c r="D118" s="1965" t="str">
        <f>IF(C118=0,"",VLOOKUP(C118,всецены,2,FALSE))</f>
        <v>LBX, Tip-on BM, L3, 350-750 кмп T60L7540</v>
      </c>
      <c r="E118" s="1966">
        <v>1</v>
      </c>
      <c r="F118" s="1967">
        <f t="shared" si="29"/>
        <v>1107.5952887999999</v>
      </c>
      <c r="G118" s="1967">
        <f t="shared" si="30"/>
        <v>1107.5952887999999</v>
      </c>
      <c r="H118" s="1969">
        <f>IF(C118=0,0,G118*E118)</f>
        <v>1107.5952887999999</v>
      </c>
      <c r="I118" s="2386"/>
      <c r="L118" s="771"/>
      <c r="M118" s="771"/>
      <c r="N118" s="771"/>
      <c r="O118" s="771"/>
      <c r="P118" s="771"/>
      <c r="Q118" s="771"/>
      <c r="R118" s="771"/>
      <c r="S118" s="771"/>
      <c r="T118" s="771"/>
      <c r="U118" s="771"/>
      <c r="AC118" s="771"/>
      <c r="AD118" s="771"/>
      <c r="AG118" s="1936"/>
      <c r="AH118" s="1936"/>
      <c r="AN118" s="1936"/>
      <c r="AO118" s="1936"/>
      <c r="AP118" s="1936"/>
      <c r="AQ118" s="1936"/>
    </row>
    <row r="119" spans="1:130" ht="12.75" customHeight="1" x14ac:dyDescent="0.2">
      <c r="A119" s="843"/>
      <c r="B119" s="2073"/>
      <c r="C119" s="1965" t="str">
        <f t="shared" si="32"/>
        <v>9554467/</v>
      </c>
      <c r="D119" s="1965" t="str">
        <f>IF(C119=0,"",VLOOKUP(C119,всецены,2,FALSE))</f>
        <v>LBX, Напр.Tip-on BM,500 мм,кмп 750.5001M</v>
      </c>
      <c r="E119" s="1966">
        <v>1</v>
      </c>
      <c r="F119" s="1967">
        <f t="shared" si="29"/>
        <v>1669.5250572</v>
      </c>
      <c r="G119" s="1967">
        <f t="shared" si="30"/>
        <v>1669.5250572</v>
      </c>
      <c r="H119" s="1969">
        <f>IF(C119=0,0,G119*E119)</f>
        <v>1669.5250572</v>
      </c>
      <c r="I119" s="2386"/>
      <c r="L119" s="771"/>
      <c r="M119" s="771"/>
      <c r="N119" s="771"/>
      <c r="O119" s="771"/>
      <c r="P119" s="771"/>
      <c r="Q119" s="771"/>
      <c r="R119" s="771"/>
      <c r="S119" s="771"/>
      <c r="T119" s="771"/>
      <c r="U119" s="771"/>
      <c r="V119" s="771"/>
      <c r="W119" s="771"/>
      <c r="X119" s="771"/>
      <c r="Y119" s="771"/>
      <c r="Z119" s="771"/>
      <c r="AA119" s="771"/>
      <c r="AB119" s="771"/>
      <c r="AC119" s="771"/>
      <c r="AD119" s="771"/>
      <c r="AG119" s="1936"/>
      <c r="AH119" s="1936"/>
      <c r="AN119" s="1936"/>
      <c r="AO119" s="1936"/>
      <c r="AP119" s="1936"/>
      <c r="AQ119" s="1936"/>
    </row>
    <row r="120" spans="1:130" ht="12.75" customHeight="1" x14ac:dyDescent="0.2">
      <c r="A120" s="843"/>
      <c r="B120" s="2073"/>
      <c r="C120" s="1899" t="str">
        <f t="shared" si="32"/>
        <v>8530390/</v>
      </c>
      <c r="D120" s="1899" t="str">
        <f>IF(C120=0,"",VLOOKUP(C120,всецены,2,FALSE))</f>
        <v>LBX, Боковина C 176,8/500 мм, сер,пр V10</v>
      </c>
      <c r="E120" s="1915">
        <v>1</v>
      </c>
      <c r="F120" s="1916">
        <f t="shared" si="29"/>
        <v>830.28986040000007</v>
      </c>
      <c r="G120" s="1916">
        <f t="shared" si="30"/>
        <v>830.28986040000007</v>
      </c>
      <c r="H120" s="1917">
        <f>IF(C120=0,0,G120*E120)</f>
        <v>830.28986040000007</v>
      </c>
      <c r="I120" s="2386"/>
      <c r="L120" s="771"/>
      <c r="M120" s="771"/>
      <c r="N120" s="771"/>
      <c r="O120" s="771"/>
      <c r="P120" s="771"/>
      <c r="Q120" s="771"/>
      <c r="R120" s="771"/>
      <c r="S120" s="771"/>
      <c r="T120" s="771"/>
      <c r="U120" s="771"/>
      <c r="V120" s="771"/>
      <c r="W120" s="771"/>
      <c r="X120" s="771"/>
      <c r="Y120" s="771"/>
      <c r="Z120" s="771"/>
      <c r="AB120" s="771"/>
      <c r="AC120" s="771"/>
      <c r="AD120" s="771"/>
      <c r="AE120" s="771"/>
      <c r="AF120" s="771"/>
    </row>
    <row r="121" spans="1:130" ht="12.75" customHeight="1" thickBot="1" x14ac:dyDescent="0.25">
      <c r="B121" s="2074"/>
      <c r="C121" s="1885" t="str">
        <f t="shared" si="32"/>
        <v>2739732/</v>
      </c>
      <c r="D121" s="1879" t="str">
        <f>IF(C121="","",VLOOKUP(C121,всецены,2,FALSE))</f>
        <v xml:space="preserve">LBX, Боковина С 176,8/500 мм, сер, лев  </v>
      </c>
      <c r="E121" s="1886">
        <f>IF(C121="",0,1)</f>
        <v>1</v>
      </c>
      <c r="F121" s="1876">
        <f>IF(C121="",0,VLOOKUP(C121,всецены,4,FALSE))</f>
        <v>804.26706360000003</v>
      </c>
      <c r="G121" s="1887">
        <f t="shared" si="30"/>
        <v>804.26706360000003</v>
      </c>
      <c r="H121" s="1888">
        <f>IF(C121=0,0,G121*E121)</f>
        <v>804.26706360000003</v>
      </c>
      <c r="I121" s="2387"/>
      <c r="L121" s="771"/>
      <c r="M121" s="771"/>
      <c r="N121" s="771"/>
      <c r="O121" s="771"/>
      <c r="P121" s="771"/>
      <c r="Q121" s="771"/>
      <c r="R121" s="771"/>
      <c r="S121" s="771"/>
      <c r="T121" s="771"/>
      <c r="U121" s="771"/>
      <c r="V121" s="771"/>
      <c r="W121" s="771"/>
      <c r="X121" s="771"/>
      <c r="Y121" s="771"/>
      <c r="Z121" s="771"/>
      <c r="AB121" s="771"/>
      <c r="AC121" s="771"/>
      <c r="AD121" s="771"/>
      <c r="AE121" s="771"/>
      <c r="AF121" s="771"/>
    </row>
    <row r="122" spans="1:130" ht="12.75" customHeight="1" x14ac:dyDescent="0.2">
      <c r="B122" s="1381" t="s">
        <v>3551</v>
      </c>
      <c r="C122" s="875"/>
      <c r="D122" s="28"/>
      <c r="E122" s="781"/>
      <c r="F122" s="1539"/>
      <c r="G122" s="1539"/>
      <c r="H122" s="787"/>
      <c r="I122" s="771"/>
      <c r="K122" s="8"/>
      <c r="AF122" s="771"/>
      <c r="DT122" s="771"/>
      <c r="DU122" s="771"/>
      <c r="DV122" s="771"/>
      <c r="DW122" s="771"/>
      <c r="DX122" s="771"/>
      <c r="DY122" s="771"/>
      <c r="DZ122" s="771"/>
    </row>
    <row r="123" spans="1:130" ht="15" customHeight="1" x14ac:dyDescent="0.2">
      <c r="B123" s="8"/>
      <c r="C123" s="8"/>
      <c r="D123" s="8"/>
      <c r="E123" s="1938"/>
      <c r="F123" s="1441"/>
      <c r="G123" s="1441"/>
      <c r="H123" s="37"/>
      <c r="I123" s="35"/>
      <c r="L123" s="771"/>
      <c r="M123" s="771"/>
      <c r="N123" s="771"/>
      <c r="O123" s="771"/>
      <c r="P123" s="771"/>
      <c r="Q123" s="771"/>
      <c r="R123" s="771"/>
      <c r="S123" s="771"/>
      <c r="T123" s="771"/>
      <c r="U123" s="771"/>
      <c r="V123" s="771"/>
      <c r="W123" s="771"/>
      <c r="X123" s="771"/>
      <c r="Y123" s="771"/>
      <c r="Z123" s="771"/>
      <c r="AA123" s="771"/>
      <c r="AB123" s="771"/>
      <c r="AC123" s="771"/>
      <c r="AD123" s="771"/>
      <c r="AE123" s="771"/>
      <c r="AF123" s="771"/>
    </row>
    <row r="124" spans="1:130" ht="20.100000000000001" customHeight="1" x14ac:dyDescent="0.2">
      <c r="A124" s="843"/>
      <c r="B124" s="2393" t="s">
        <v>2356</v>
      </c>
      <c r="C124" s="2394"/>
      <c r="D124" s="2394"/>
      <c r="E124" s="2394"/>
      <c r="F124" s="2394"/>
      <c r="G124" s="2394"/>
      <c r="H124" s="2394"/>
      <c r="I124" s="873"/>
      <c r="L124" s="771"/>
      <c r="M124" s="771"/>
      <c r="N124" s="771"/>
      <c r="O124" s="771"/>
      <c r="P124" s="771"/>
      <c r="Q124" s="771"/>
      <c r="R124" s="771"/>
      <c r="S124" s="771"/>
      <c r="T124" s="771"/>
      <c r="U124" s="771"/>
      <c r="V124" s="771"/>
      <c r="W124" s="771"/>
      <c r="X124" s="771"/>
      <c r="Y124" s="771"/>
      <c r="Z124" s="771"/>
      <c r="AA124" s="771"/>
      <c r="AB124" s="771"/>
      <c r="AC124" s="771"/>
      <c r="AD124" s="771"/>
      <c r="AE124" s="771"/>
      <c r="AF124" s="771"/>
    </row>
    <row r="125" spans="1:130" ht="20.100000000000001" customHeight="1" thickBot="1" x14ac:dyDescent="0.25">
      <c r="A125" s="843"/>
      <c r="B125" s="2396"/>
      <c r="C125" s="2396"/>
      <c r="D125" s="2396"/>
      <c r="E125" s="2396"/>
      <c r="F125" s="2396"/>
      <c r="G125" s="2396"/>
      <c r="H125" s="2396"/>
      <c r="I125" s="688" t="str">
        <f>CONCATENATE("F",$C$127,$D$3)</f>
        <v>F500ORION матово-серый</v>
      </c>
      <c r="L125" s="771"/>
      <c r="M125" s="771"/>
      <c r="N125" s="771"/>
      <c r="O125" s="771"/>
      <c r="P125" s="771"/>
      <c r="Q125" s="771"/>
      <c r="R125" s="771"/>
      <c r="S125" s="771"/>
      <c r="T125" s="771"/>
      <c r="U125" s="771"/>
      <c r="V125" s="771"/>
      <c r="W125" s="771"/>
      <c r="X125" s="771"/>
      <c r="Y125" s="771"/>
      <c r="Z125" s="771"/>
      <c r="AA125" s="771"/>
      <c r="AB125" s="771"/>
      <c r="AC125" s="771"/>
      <c r="AD125" s="771"/>
      <c r="AE125" s="771"/>
      <c r="AF125" s="771"/>
    </row>
    <row r="126" spans="1:130" ht="15" customHeight="1" x14ac:dyDescent="0.2">
      <c r="A126" s="843"/>
      <c r="B126" s="1524" t="str">
        <f>IF($D$4="Индивидуальная","450,500мм","270,350,450,500мм")</f>
        <v>270,350,450,500мм</v>
      </c>
      <c r="C126" s="2392" t="str">
        <f>IF(OR(D4="Промышленная",D4="Торговая"),"",IFERROR(VLOOKUP(I125,Индивидуальная,2,FALSE),""))</f>
        <v/>
      </c>
      <c r="D126" s="2392"/>
      <c r="E126" s="719"/>
      <c r="F126" s="1922" t="str">
        <f>IF(C135=0,"Данный размер недоступен","")</f>
        <v/>
      </c>
      <c r="G126" s="1445"/>
      <c r="H126" s="720"/>
      <c r="I126" s="721"/>
      <c r="L126" s="771"/>
      <c r="M126" s="771"/>
      <c r="N126" s="771"/>
      <c r="O126" s="771"/>
      <c r="P126" s="771"/>
      <c r="Q126" s="771"/>
      <c r="R126" s="771"/>
      <c r="S126" s="771"/>
      <c r="T126" s="771"/>
      <c r="U126" s="771"/>
      <c r="V126" s="771"/>
      <c r="W126" s="771"/>
      <c r="X126" s="771"/>
      <c r="Y126" s="771"/>
      <c r="Z126" s="771"/>
      <c r="AA126" s="771"/>
      <c r="AB126" s="771"/>
      <c r="AC126" s="771"/>
      <c r="AD126" s="771"/>
      <c r="AE126" s="771"/>
      <c r="AF126" s="771"/>
    </row>
    <row r="127" spans="1:130" ht="15.75" customHeight="1" thickBot="1" x14ac:dyDescent="0.25">
      <c r="A127" s="843"/>
      <c r="B127" s="844" t="s">
        <v>1639</v>
      </c>
      <c r="C127" s="850">
        <v>500</v>
      </c>
      <c r="D127" s="1882" t="s">
        <v>1689</v>
      </c>
      <c r="E127" s="1882"/>
      <c r="F127" s="1519"/>
      <c r="G127" s="1519"/>
      <c r="H127" s="1925"/>
      <c r="I127" s="2388" t="str">
        <f>IF(СОДЕРЖАНИЕ!P2=1,"EUR","RUB")</f>
        <v>RUB</v>
      </c>
      <c r="L127" s="771"/>
      <c r="M127" s="771"/>
      <c r="N127" s="771"/>
      <c r="O127" s="771"/>
      <c r="P127" s="771"/>
      <c r="Q127" s="771"/>
      <c r="R127" s="771"/>
      <c r="S127" s="771"/>
      <c r="T127" s="771"/>
      <c r="U127" s="771"/>
      <c r="V127" s="771"/>
      <c r="W127" s="771"/>
      <c r="X127" s="771"/>
      <c r="Y127" s="771"/>
      <c r="Z127" s="771"/>
      <c r="AA127" s="771"/>
      <c r="AB127" s="771"/>
      <c r="AC127" s="771"/>
      <c r="AD127" s="771"/>
      <c r="AE127" s="771"/>
      <c r="AF127" s="771"/>
    </row>
    <row r="128" spans="1:130" ht="10.5" customHeight="1" x14ac:dyDescent="0.2">
      <c r="A128" s="843"/>
      <c r="B128" s="2383"/>
      <c r="C128" s="135" t="s">
        <v>1301</v>
      </c>
      <c r="D128" s="1861" t="s">
        <v>784</v>
      </c>
      <c r="E128" s="1862" t="s">
        <v>2117</v>
      </c>
      <c r="F128" s="1896"/>
      <c r="G128" s="1926" t="s">
        <v>4335</v>
      </c>
      <c r="H128" s="1927" t="s">
        <v>2116</v>
      </c>
      <c r="I128" s="2389"/>
      <c r="L128" s="771"/>
      <c r="M128" s="771"/>
      <c r="N128" s="771"/>
      <c r="O128" s="771"/>
      <c r="P128" s="771"/>
      <c r="Q128" s="771"/>
      <c r="R128" s="771"/>
      <c r="S128" s="771"/>
      <c r="T128" s="771"/>
      <c r="U128" s="771"/>
      <c r="V128" s="771"/>
      <c r="W128" s="771"/>
      <c r="X128" s="771"/>
      <c r="Y128" s="771"/>
      <c r="Z128" s="771"/>
      <c r="AA128" s="771"/>
      <c r="AB128" s="771"/>
      <c r="AC128" s="771"/>
      <c r="AD128" s="771"/>
      <c r="AE128" s="771"/>
      <c r="AF128" s="771"/>
    </row>
    <row r="129" spans="1:130" ht="12.75" customHeight="1" x14ac:dyDescent="0.2">
      <c r="A129" s="2384"/>
      <c r="B129" s="2073"/>
      <c r="C129" s="1899" t="s">
        <v>2327</v>
      </c>
      <c r="D129" s="1905" t="str">
        <f t="shared" ref="D129:D132" si="33">VLOOKUP(C129,всецены,2,FALSE)</f>
        <v xml:space="preserve">LBX, Крепление фасада С, EXPANDO, симм  </v>
      </c>
      <c r="E129" s="1915">
        <v>2</v>
      </c>
      <c r="F129" s="1916">
        <f t="shared" ref="F129:F138" si="34">VLOOKUP(C129,всецены,4,FALSE)</f>
        <v>51.232381200000006</v>
      </c>
      <c r="G129" s="1916">
        <f t="shared" ref="G129:G138" si="35">IF($D$4="Индивидуальная",0,F129)</f>
        <v>51.232381200000006</v>
      </c>
      <c r="H129" s="1917">
        <f>G129*E129</f>
        <v>102.46476240000001</v>
      </c>
      <c r="I129" s="2385">
        <f>IF(C126="",SUM(H129:H138),VLOOKUP(C126,всецены,4,FALSE))</f>
        <v>6280.4393651999999</v>
      </c>
      <c r="L129" s="771"/>
      <c r="M129" s="2398" t="str">
        <f>$D$3</f>
        <v>ORION матово-серый</v>
      </c>
      <c r="N129" s="2399"/>
      <c r="O129" s="2399"/>
      <c r="P129" s="2399"/>
      <c r="Q129" s="2399"/>
      <c r="R129" s="2399"/>
      <c r="S129" s="2399"/>
      <c r="T129" s="2400"/>
      <c r="U129" s="771"/>
      <c r="V129" s="2430" t="str">
        <f>V93</f>
        <v>ORION матово-серый</v>
      </c>
      <c r="W129" s="2431"/>
      <c r="X129" s="2431"/>
      <c r="Y129" s="2431"/>
      <c r="Z129" s="2431"/>
      <c r="AA129" s="2431"/>
      <c r="AB129" s="2431"/>
      <c r="AC129" s="2431"/>
      <c r="AE129" s="2407" t="str">
        <f>AE93</f>
        <v>БЕЛЫЙ ШЕЛК - матовый</v>
      </c>
      <c r="AF129" s="2407"/>
      <c r="AG129" s="2407"/>
      <c r="AH129" s="2407"/>
      <c r="AI129" s="2407"/>
      <c r="AJ129" s="2407"/>
      <c r="AK129" s="2407"/>
      <c r="AL129" s="2407"/>
      <c r="AM129" s="8"/>
      <c r="AN129" s="2427" t="str">
        <f>AN93</f>
        <v>ТЕРРА ЧЕРНЫЙ - матовый</v>
      </c>
      <c r="AO129" s="2428"/>
      <c r="AP129" s="2428"/>
      <c r="AQ129" s="2428"/>
      <c r="AR129" s="2428"/>
      <c r="AS129" s="2428"/>
      <c r="AT129" s="2428"/>
      <c r="AU129" s="2428"/>
      <c r="AV129" s="8"/>
      <c r="AW129" s="2425" t="str">
        <f>AW93</f>
        <v>Гавана Коричневый</v>
      </c>
      <c r="AX129" s="2426"/>
      <c r="AY129" s="2426"/>
      <c r="AZ129" s="2426"/>
      <c r="BA129" s="2426"/>
      <c r="BB129" s="2426"/>
      <c r="BC129" s="2426"/>
      <c r="BD129" s="2426"/>
      <c r="BG129" s="771" t="str">
        <f>D3</f>
        <v>ORION матово-серый</v>
      </c>
    </row>
    <row r="130" spans="1:130" ht="12.75" customHeight="1" thickBot="1" x14ac:dyDescent="0.25">
      <c r="A130" s="2384"/>
      <c r="B130" s="2073"/>
      <c r="C130" s="1899" t="s">
        <v>2329</v>
      </c>
      <c r="D130" s="1905" t="str">
        <f t="shared" si="33"/>
        <v xml:space="preserve">LBX, Крепление фасада M, EXPANDO, симм  </v>
      </c>
      <c r="E130" s="1915">
        <v>2</v>
      </c>
      <c r="F130" s="1916">
        <f t="shared" si="34"/>
        <v>24.396372</v>
      </c>
      <c r="G130" s="1916">
        <f t="shared" si="35"/>
        <v>24.396372</v>
      </c>
      <c r="H130" s="1917">
        <f t="shared" ref="H130:H134" si="36">G130*E130</f>
        <v>48.792743999999999</v>
      </c>
      <c r="I130" s="2386"/>
      <c r="L130" s="771"/>
      <c r="M130" s="771"/>
      <c r="N130" s="771"/>
      <c r="O130" s="771"/>
      <c r="P130" s="771"/>
      <c r="Q130" s="771"/>
      <c r="R130" s="771"/>
      <c r="S130" s="771"/>
      <c r="T130" s="771"/>
      <c r="U130" s="771"/>
      <c r="V130" s="771"/>
      <c r="W130" s="771"/>
      <c r="X130" s="771"/>
      <c r="Y130" s="771"/>
      <c r="Z130" s="771"/>
      <c r="AA130" s="771"/>
      <c r="AB130" s="771"/>
      <c r="AC130" s="771"/>
      <c r="AD130" s="771"/>
      <c r="AE130" s="771"/>
      <c r="AF130" s="771"/>
      <c r="BE130" s="1936"/>
      <c r="BF130" s="1936"/>
      <c r="BH130" s="1938"/>
      <c r="BI130" s="1938"/>
      <c r="BJ130" s="8"/>
      <c r="BK130" s="8"/>
      <c r="BL130" s="1938"/>
      <c r="BM130" s="1938"/>
      <c r="BN130" s="8"/>
      <c r="BO130" s="8"/>
      <c r="BT130" s="1936"/>
      <c r="BU130" s="1936"/>
      <c r="BV130" s="1936"/>
      <c r="BW130" s="1936"/>
      <c r="BX130" s="1936"/>
      <c r="BY130" s="1936"/>
      <c r="BZ130" s="1936"/>
      <c r="CA130" s="1936"/>
      <c r="CB130" s="1936"/>
      <c r="CC130" s="1936"/>
      <c r="CD130" s="1936"/>
    </row>
    <row r="131" spans="1:130" ht="12.75" customHeight="1" x14ac:dyDescent="0.2">
      <c r="A131" s="2384"/>
      <c r="B131" s="2073"/>
      <c r="C131" s="1905" t="str">
        <f>S138</f>
        <v>2747154/</v>
      </c>
      <c r="D131" s="1905" t="str">
        <f t="shared" si="33"/>
        <v>LBX, Держат. задн. ст, 253 мм, сер, лев.</v>
      </c>
      <c r="E131" s="1915">
        <v>1</v>
      </c>
      <c r="F131" s="1916">
        <f t="shared" si="34"/>
        <v>111.41009880000001</v>
      </c>
      <c r="G131" s="1916">
        <f t="shared" si="35"/>
        <v>111.41009880000001</v>
      </c>
      <c r="H131" s="1917">
        <f t="shared" si="36"/>
        <v>111.41009880000001</v>
      </c>
      <c r="I131" s="2386"/>
      <c r="L131" s="885" t="s">
        <v>1346</v>
      </c>
      <c r="M131" s="884" t="s">
        <v>2396</v>
      </c>
      <c r="N131" s="884" t="s">
        <v>2396</v>
      </c>
      <c r="Q131" s="884" t="s">
        <v>2396</v>
      </c>
      <c r="R131" s="884" t="s">
        <v>2396</v>
      </c>
      <c r="S131" s="884" t="s">
        <v>2396</v>
      </c>
      <c r="T131" s="884" t="s">
        <v>2396</v>
      </c>
      <c r="U131" s="885" t="s">
        <v>1346</v>
      </c>
      <c r="V131" s="884" t="s">
        <v>2396</v>
      </c>
      <c r="W131" s="884" t="s">
        <v>2396</v>
      </c>
      <c r="Z131" s="884" t="s">
        <v>2396</v>
      </c>
      <c r="AA131" s="884" t="s">
        <v>2396</v>
      </c>
      <c r="AB131" s="884" t="s">
        <v>2396</v>
      </c>
      <c r="AC131" s="884" t="s">
        <v>2396</v>
      </c>
      <c r="AD131" s="885" t="s">
        <v>1346</v>
      </c>
      <c r="AE131" s="771" t="s">
        <v>2398</v>
      </c>
      <c r="AF131" s="771" t="s">
        <v>2398</v>
      </c>
      <c r="AG131" s="8"/>
      <c r="AH131" s="8"/>
      <c r="AI131" s="771" t="s">
        <v>2398</v>
      </c>
      <c r="AJ131" s="771" t="s">
        <v>2398</v>
      </c>
      <c r="AK131" s="771" t="s">
        <v>2398</v>
      </c>
      <c r="AL131" s="771" t="s">
        <v>2398</v>
      </c>
      <c r="AM131" s="885" t="s">
        <v>1346</v>
      </c>
      <c r="AN131" s="771" t="s">
        <v>2397</v>
      </c>
      <c r="AO131" s="771" t="s">
        <v>2397</v>
      </c>
      <c r="AP131" s="8"/>
      <c r="AQ131" s="8"/>
      <c r="AR131" s="771" t="s">
        <v>2397</v>
      </c>
      <c r="AS131" s="771" t="s">
        <v>2397</v>
      </c>
      <c r="AT131" s="771" t="s">
        <v>2397</v>
      </c>
      <c r="AU131" s="771" t="s">
        <v>2397</v>
      </c>
      <c r="AV131" s="885" t="s">
        <v>1346</v>
      </c>
      <c r="AW131" s="771" t="s">
        <v>2397</v>
      </c>
      <c r="AX131" s="771" t="s">
        <v>2397</v>
      </c>
      <c r="AY131" s="8"/>
      <c r="AZ131" s="8"/>
      <c r="BA131" s="771" t="s">
        <v>2397</v>
      </c>
      <c r="BB131" s="771" t="s">
        <v>2397</v>
      </c>
      <c r="BC131" s="771" t="s">
        <v>2397</v>
      </c>
      <c r="BD131" s="771" t="s">
        <v>2397</v>
      </c>
      <c r="BE131" s="1936"/>
      <c r="BF131" s="1936"/>
      <c r="BG131" s="1098">
        <v>270</v>
      </c>
      <c r="BH131" s="1099"/>
      <c r="BI131" s="1909"/>
      <c r="BJ131" s="1909"/>
      <c r="BK131" s="1909"/>
      <c r="BL131" s="1909"/>
      <c r="BM131" s="1909"/>
      <c r="BN131" s="1908"/>
      <c r="BO131" s="1909"/>
      <c r="BT131" s="1936"/>
      <c r="BU131" s="1936"/>
      <c r="BV131" s="1936"/>
      <c r="BW131" s="1936"/>
      <c r="BX131" s="1936"/>
      <c r="BY131" s="1936"/>
      <c r="BZ131" s="1936"/>
      <c r="CA131" s="1936"/>
      <c r="CB131" s="1936"/>
      <c r="CC131" s="1936"/>
      <c r="CD131" s="1936"/>
    </row>
    <row r="132" spans="1:130" ht="12.75" customHeight="1" x14ac:dyDescent="0.2">
      <c r="A132" s="2384"/>
      <c r="B132" s="2073"/>
      <c r="C132" s="1905" t="str">
        <f>T138</f>
        <v>1480248/</v>
      </c>
      <c r="D132" s="1905" t="str">
        <f t="shared" si="33"/>
        <v>LBX, Держат. задн. ст, 253 мм, сер, прав</v>
      </c>
      <c r="E132" s="1915">
        <v>1</v>
      </c>
      <c r="F132" s="1916">
        <f t="shared" si="34"/>
        <v>111.41009880000001</v>
      </c>
      <c r="G132" s="1916">
        <f t="shared" si="35"/>
        <v>111.41009880000001</v>
      </c>
      <c r="H132" s="1917">
        <f t="shared" si="36"/>
        <v>111.41009880000001</v>
      </c>
      <c r="I132" s="2386"/>
      <c r="L132" s="771"/>
      <c r="M132" s="774" t="s">
        <v>1645</v>
      </c>
      <c r="N132" s="774" t="s">
        <v>1644</v>
      </c>
      <c r="O132" s="771" t="s">
        <v>1641</v>
      </c>
      <c r="P132" s="771" t="s">
        <v>1642</v>
      </c>
      <c r="Q132" s="1938" t="s">
        <v>2393</v>
      </c>
      <c r="R132" s="1938" t="s">
        <v>2394</v>
      </c>
      <c r="S132" s="8" t="s">
        <v>2391</v>
      </c>
      <c r="T132" s="8" t="s">
        <v>2392</v>
      </c>
      <c r="U132" s="771"/>
      <c r="V132" s="774" t="s">
        <v>1645</v>
      </c>
      <c r="W132" s="774" t="s">
        <v>1644</v>
      </c>
      <c r="X132" s="771" t="s">
        <v>1641</v>
      </c>
      <c r="Y132" s="771" t="s">
        <v>1642</v>
      </c>
      <c r="Z132" s="1938" t="s">
        <v>2393</v>
      </c>
      <c r="AA132" s="1938" t="s">
        <v>2394</v>
      </c>
      <c r="AB132" s="8" t="s">
        <v>2391</v>
      </c>
      <c r="AC132" s="8" t="s">
        <v>2392</v>
      </c>
      <c r="AD132" s="771"/>
      <c r="AE132" s="774" t="s">
        <v>1645</v>
      </c>
      <c r="AF132" s="774" t="s">
        <v>1644</v>
      </c>
      <c r="AG132" s="771" t="s">
        <v>1641</v>
      </c>
      <c r="AH132" s="771" t="s">
        <v>1642</v>
      </c>
      <c r="AI132" s="1938" t="s">
        <v>2393</v>
      </c>
      <c r="AJ132" s="1938" t="s">
        <v>2394</v>
      </c>
      <c r="AK132" s="8" t="s">
        <v>2391</v>
      </c>
      <c r="AL132" s="8" t="s">
        <v>2392</v>
      </c>
      <c r="AN132" s="774" t="s">
        <v>1645</v>
      </c>
      <c r="AO132" s="774" t="s">
        <v>1644</v>
      </c>
      <c r="AP132" s="771" t="s">
        <v>1641</v>
      </c>
      <c r="AQ132" s="771" t="s">
        <v>1642</v>
      </c>
      <c r="AR132" s="1938" t="s">
        <v>2393</v>
      </c>
      <c r="AS132" s="1938" t="s">
        <v>2394</v>
      </c>
      <c r="AT132" s="8" t="s">
        <v>2391</v>
      </c>
      <c r="AU132" s="8" t="s">
        <v>2392</v>
      </c>
      <c r="AW132" s="774" t="s">
        <v>1645</v>
      </c>
      <c r="AX132" s="774" t="s">
        <v>1644</v>
      </c>
      <c r="AY132" s="771" t="s">
        <v>1641</v>
      </c>
      <c r="AZ132" s="771" t="s">
        <v>1642</v>
      </c>
      <c r="BA132" s="1938" t="s">
        <v>2393</v>
      </c>
      <c r="BB132" s="1938" t="s">
        <v>2394</v>
      </c>
      <c r="BC132" s="8" t="s">
        <v>2391</v>
      </c>
      <c r="BD132" s="8" t="s">
        <v>2392</v>
      </c>
      <c r="BE132" s="1936"/>
      <c r="BF132" s="1936"/>
      <c r="BG132" s="1101">
        <v>350</v>
      </c>
      <c r="BH132" s="1909"/>
      <c r="BI132" s="1909"/>
      <c r="BJ132" s="1909"/>
      <c r="BK132" s="1909"/>
      <c r="BL132" s="1909"/>
      <c r="BM132" s="1909"/>
      <c r="BN132" s="1908"/>
      <c r="BO132" s="1909"/>
      <c r="BT132" s="1936"/>
      <c r="BU132" s="1936"/>
      <c r="BV132" s="1936"/>
      <c r="BW132" s="1936"/>
      <c r="BX132" s="1936"/>
      <c r="BY132" s="1936"/>
      <c r="BZ132" s="1936"/>
      <c r="CA132" s="1936"/>
      <c r="CB132" s="1936"/>
      <c r="CC132" s="1936"/>
      <c r="CD132" s="1936"/>
    </row>
    <row r="133" spans="1:130" ht="12.75" customHeight="1" x14ac:dyDescent="0.2">
      <c r="A133" s="2384"/>
      <c r="B133" s="2073"/>
      <c r="C133" s="1899" t="str">
        <f>IF(C136="","",VLOOKUP($D$3,LBX.C,6,FALSE))</f>
        <v>2550380/</v>
      </c>
      <c r="D133" s="1905" t="str">
        <f>IF(C133="","",VLOOKUP(C133,всецены,2,FALSE))</f>
        <v xml:space="preserve">LBX, Загл, внутр, сер, симм (М,С,F)     </v>
      </c>
      <c r="E133" s="1906">
        <f>IF(C133="",0,2)</f>
        <v>2</v>
      </c>
      <c r="F133" s="1907">
        <f>IF(C133="",0,VLOOKUP(C133,всецены,4,FALSE))</f>
        <v>8.9453364000000004</v>
      </c>
      <c r="G133" s="1916">
        <f t="shared" si="35"/>
        <v>8.9453364000000004</v>
      </c>
      <c r="H133" s="1917">
        <f t="shared" si="36"/>
        <v>17.890672800000001</v>
      </c>
      <c r="I133" s="2386"/>
      <c r="L133" s="771">
        <v>270</v>
      </c>
      <c r="M133" s="892" t="str">
        <f t="shared" ref="M133:T133" si="37">IF($M$27=$V$129,VLOOKUP($L133,$U$133:$AC$138,V$139,0),IF($M$27=$AE$129,VLOOKUP($L133,$AD$133:$AL$138,AE$139,0),IF($M$27=$AN$129,VLOOKUP($L133,$AM$133:$AU$138,AN$139,0),VLOOKUP($L133,$AV$133:$BD$138,AW$139,0))))</f>
        <v>4468421/</v>
      </c>
      <c r="N133" s="892" t="str">
        <f t="shared" si="37"/>
        <v>3860376/</v>
      </c>
      <c r="O133" s="892" t="str">
        <f t="shared" si="37"/>
        <v>4539613/</v>
      </c>
      <c r="P133" s="892" t="str">
        <f t="shared" si="37"/>
        <v>4459332/</v>
      </c>
      <c r="Q133" s="892" t="str">
        <f t="shared" si="37"/>
        <v>2550380/</v>
      </c>
      <c r="R133" s="892" t="str">
        <f t="shared" si="37"/>
        <v>5820744/</v>
      </c>
      <c r="S133" s="892" t="str">
        <f t="shared" si="37"/>
        <v>2747154/</v>
      </c>
      <c r="T133" s="892" t="str">
        <f t="shared" si="37"/>
        <v>1480248/</v>
      </c>
      <c r="U133" s="771">
        <v>270</v>
      </c>
      <c r="V133" s="1392" t="s">
        <v>3623</v>
      </c>
      <c r="W133" s="1392" t="s">
        <v>3624</v>
      </c>
      <c r="X133" s="696" t="s">
        <v>3316</v>
      </c>
      <c r="Y133" s="696" t="s">
        <v>3315</v>
      </c>
      <c r="Z133" s="164" t="s">
        <v>2282</v>
      </c>
      <c r="AA133" s="43" t="s">
        <v>2486</v>
      </c>
      <c r="AB133" s="43" t="s">
        <v>2285</v>
      </c>
      <c r="AC133" s="43" t="s">
        <v>2270</v>
      </c>
      <c r="AD133" s="771">
        <v>270</v>
      </c>
      <c r="AE133" s="886" t="s">
        <v>3667</v>
      </c>
      <c r="AF133" s="886" t="s">
        <v>3668</v>
      </c>
      <c r="AG133" s="886" t="s">
        <v>3316</v>
      </c>
      <c r="AH133" s="886" t="s">
        <v>3315</v>
      </c>
      <c r="AI133" s="888" t="s">
        <v>2336</v>
      </c>
      <c r="AJ133" s="888" t="s">
        <v>2377</v>
      </c>
      <c r="AK133" s="888" t="s">
        <v>2309</v>
      </c>
      <c r="AL133" s="888" t="s">
        <v>2312</v>
      </c>
      <c r="AM133" s="771">
        <v>270</v>
      </c>
      <c r="AN133" s="886" t="s">
        <v>3706</v>
      </c>
      <c r="AO133" s="886" t="s">
        <v>3707</v>
      </c>
      <c r="AP133" s="886" t="s">
        <v>3316</v>
      </c>
      <c r="AQ133" s="886" t="s">
        <v>3315</v>
      </c>
      <c r="AR133" s="888" t="s">
        <v>2319</v>
      </c>
      <c r="AS133" s="888" t="s">
        <v>2342</v>
      </c>
      <c r="AT133" s="888" t="s">
        <v>2818</v>
      </c>
      <c r="AU133" s="888" t="s">
        <v>2815</v>
      </c>
      <c r="AV133" s="771">
        <v>270</v>
      </c>
      <c r="AW133" s="886"/>
      <c r="AX133" s="886"/>
      <c r="AY133" s="886" t="s">
        <v>3316</v>
      </c>
      <c r="AZ133" s="886" t="s">
        <v>3315</v>
      </c>
      <c r="BA133" s="888" t="s">
        <v>2850</v>
      </c>
      <c r="BB133" s="888" t="s">
        <v>2852</v>
      </c>
      <c r="BC133" s="888" t="s">
        <v>2865</v>
      </c>
      <c r="BD133" s="888" t="s">
        <v>2846</v>
      </c>
      <c r="BE133" s="1936"/>
      <c r="BF133" s="1936"/>
      <c r="BG133" s="1101">
        <v>400</v>
      </c>
      <c r="BH133" s="1909"/>
      <c r="BI133" s="1909"/>
      <c r="BJ133" s="1909"/>
      <c r="BK133" s="1909"/>
      <c r="BL133" s="1909"/>
      <c r="BM133" s="1909"/>
      <c r="BN133" s="1908"/>
      <c r="BO133" s="1909"/>
      <c r="BT133" s="1936"/>
      <c r="BU133" s="1936"/>
      <c r="BV133" s="1936"/>
      <c r="BW133" s="1936"/>
      <c r="BX133" s="1936"/>
      <c r="BY133" s="1936"/>
      <c r="BZ133" s="1936"/>
      <c r="CA133" s="1936"/>
      <c r="CB133" s="1936"/>
      <c r="CC133" s="1936"/>
      <c r="CD133" s="1936"/>
    </row>
    <row r="134" spans="1:130" ht="12.75" customHeight="1" thickBot="1" x14ac:dyDescent="0.25">
      <c r="A134" s="2384"/>
      <c r="B134" s="2073"/>
      <c r="C134" s="1899" t="str">
        <f>IF(C136="","",VLOOKUP($D$3,LBX.C,7,FALSE))</f>
        <v>5820744/</v>
      </c>
      <c r="D134" s="1905" t="str">
        <f>IF(C134="","",VLOOKUP(C134,всецены,2,FALSE))</f>
        <v xml:space="preserve">LBX, Загл, наружн, с лого, сер, симм    </v>
      </c>
      <c r="E134" s="1906">
        <f>IF(C134="",0,2)</f>
        <v>2</v>
      </c>
      <c r="F134" s="1907">
        <f>IF(C134="",0,VLOOKUP(C134,всецены,4,FALSE))</f>
        <v>14.637823200000001</v>
      </c>
      <c r="G134" s="1916">
        <f t="shared" si="35"/>
        <v>14.637823200000001</v>
      </c>
      <c r="H134" s="1917">
        <f t="shared" si="36"/>
        <v>29.275646400000003</v>
      </c>
      <c r="I134" s="2386"/>
      <c r="L134" s="771">
        <v>300</v>
      </c>
      <c r="M134" s="1946"/>
      <c r="N134" s="1946"/>
      <c r="O134" s="1946"/>
      <c r="P134" s="1946"/>
      <c r="Q134" s="1946"/>
      <c r="R134" s="1946"/>
      <c r="S134" s="1946"/>
      <c r="T134" s="1946"/>
      <c r="U134" s="771"/>
      <c r="V134" s="1947"/>
      <c r="W134" s="1947"/>
      <c r="X134" s="875"/>
      <c r="Y134" s="875"/>
      <c r="Z134" s="1948"/>
      <c r="AA134" s="1949"/>
      <c r="AB134" s="1949"/>
      <c r="AC134" s="1949"/>
      <c r="AD134" s="771"/>
      <c r="AE134" s="1950"/>
      <c r="AF134" s="1950"/>
      <c r="AG134" s="1160"/>
      <c r="AH134" s="1160"/>
      <c r="AI134" s="1951"/>
      <c r="AJ134" s="1951"/>
      <c r="AK134" s="1951"/>
      <c r="AL134" s="1951"/>
      <c r="AN134" s="1950"/>
      <c r="AO134" s="1950"/>
      <c r="AP134" s="1160"/>
      <c r="AQ134" s="1160"/>
      <c r="AR134" s="1951"/>
      <c r="AS134" s="1951"/>
      <c r="AT134" s="1951"/>
      <c r="AU134" s="1951"/>
      <c r="AW134" s="1950"/>
      <c r="AX134" s="1950"/>
      <c r="AY134" s="1160"/>
      <c r="AZ134" s="1160"/>
      <c r="BA134" s="1951"/>
      <c r="BB134" s="1951"/>
      <c r="BC134" s="1951"/>
      <c r="BD134" s="1951"/>
      <c r="BE134" s="1936"/>
      <c r="BF134" s="1936"/>
      <c r="BG134" s="1104">
        <v>450</v>
      </c>
      <c r="BH134" s="1909"/>
      <c r="BI134" s="1909"/>
      <c r="BJ134" s="1909"/>
      <c r="BK134" s="1909"/>
      <c r="BL134" s="1909"/>
      <c r="BM134" s="1909"/>
      <c r="BN134" s="1908"/>
      <c r="BO134" s="1909"/>
      <c r="BT134" s="1936"/>
      <c r="BU134" s="1936"/>
      <c r="BV134" s="1936"/>
      <c r="BW134" s="1936"/>
      <c r="BX134" s="1936"/>
      <c r="BY134" s="1936"/>
      <c r="BZ134" s="1936"/>
      <c r="CA134" s="1936"/>
      <c r="CB134" s="1936"/>
      <c r="CC134" s="1936"/>
      <c r="CD134" s="1936"/>
    </row>
    <row r="135" spans="1:130" ht="12.75" customHeight="1" x14ac:dyDescent="0.2">
      <c r="A135" s="2384"/>
      <c r="B135" s="2073"/>
      <c r="C135" s="1905" t="str">
        <f>IF(OR(D4="Торговая",D4="Индивидуальная"),VLOOKUP(D3,BG168:BH171,2,0),VLOOKUP($C$127,$L$133:$T$138,2,FALSE))</f>
        <v>5419750/</v>
      </c>
      <c r="D135" s="1905" t="str">
        <f>IF(C135=0,"",VLOOKUP(C135,всецены,2,FALSE))</f>
        <v>LBX, Боковина F 241/500 мм, сер, лев V10</v>
      </c>
      <c r="E135" s="1915">
        <v>1</v>
      </c>
      <c r="F135" s="1916">
        <f t="shared" si="34"/>
        <v>1541.0374979999999</v>
      </c>
      <c r="G135" s="1916">
        <f t="shared" si="35"/>
        <v>1541.0374979999999</v>
      </c>
      <c r="H135" s="1917">
        <f>IF(C135=0,"",G135*E135)</f>
        <v>1541.0374979999999</v>
      </c>
      <c r="I135" s="2386"/>
      <c r="L135" s="771">
        <v>350</v>
      </c>
      <c r="M135" s="892" t="str">
        <f t="shared" ref="M135:T138" si="38">IF($M$27=$V$129,VLOOKUP($L135,$U$133:$AC$138,V$139,0),IF($M$27=$AE$129,VLOOKUP($L135,$AD$133:$AL$138,AE$139,0),IF($M$27=$AN$129,VLOOKUP($L135,$AM$133:$AU$138,AN$139,0),VLOOKUP($L135,$AV$133:$BD$138,AW$139,0))))</f>
        <v>7043119/</v>
      </c>
      <c r="N135" s="892" t="str">
        <f t="shared" si="38"/>
        <v>6971178/</v>
      </c>
      <c r="O135" s="892" t="str">
        <f t="shared" si="38"/>
        <v>4682185/</v>
      </c>
      <c r="P135" s="892" t="str">
        <f t="shared" si="38"/>
        <v>4657978/</v>
      </c>
      <c r="Q135" s="892" t="str">
        <f t="shared" si="38"/>
        <v>2550380/</v>
      </c>
      <c r="R135" s="892" t="str">
        <f t="shared" si="38"/>
        <v>5820744/</v>
      </c>
      <c r="S135" s="892" t="str">
        <f t="shared" si="38"/>
        <v>2747154/</v>
      </c>
      <c r="T135" s="892" t="str">
        <f t="shared" si="38"/>
        <v>1480248/</v>
      </c>
      <c r="U135" s="771">
        <v>350</v>
      </c>
      <c r="V135" s="886" t="s">
        <v>3625</v>
      </c>
      <c r="W135" s="886" t="s">
        <v>3626</v>
      </c>
      <c r="X135" s="771" t="s">
        <v>2373</v>
      </c>
      <c r="Y135" s="771" t="s">
        <v>2372</v>
      </c>
      <c r="Z135" s="164" t="s">
        <v>2282</v>
      </c>
      <c r="AA135" s="43" t="s">
        <v>2486</v>
      </c>
      <c r="AB135" s="43" t="s">
        <v>2285</v>
      </c>
      <c r="AC135" s="43" t="s">
        <v>2270</v>
      </c>
      <c r="AD135" s="771">
        <v>350</v>
      </c>
      <c r="AE135" s="886" t="s">
        <v>3650</v>
      </c>
      <c r="AF135" s="886" t="s">
        <v>3651</v>
      </c>
      <c r="AG135" s="771" t="s">
        <v>2373</v>
      </c>
      <c r="AH135" s="771" t="s">
        <v>2372</v>
      </c>
      <c r="AI135" s="888" t="s">
        <v>2336</v>
      </c>
      <c r="AJ135" s="888" t="s">
        <v>2377</v>
      </c>
      <c r="AK135" s="888" t="s">
        <v>2309</v>
      </c>
      <c r="AL135" s="888" t="s">
        <v>2312</v>
      </c>
      <c r="AM135" s="771">
        <v>350</v>
      </c>
      <c r="AN135" s="886" t="s">
        <v>3701</v>
      </c>
      <c r="AO135" s="886" t="s">
        <v>3702</v>
      </c>
      <c r="AP135" s="771" t="s">
        <v>2373</v>
      </c>
      <c r="AQ135" s="771" t="s">
        <v>2372</v>
      </c>
      <c r="AR135" s="888" t="s">
        <v>2319</v>
      </c>
      <c r="AS135" s="888" t="s">
        <v>2342</v>
      </c>
      <c r="AT135" s="888" t="s">
        <v>2818</v>
      </c>
      <c r="AU135" s="888" t="s">
        <v>2815</v>
      </c>
      <c r="AV135" s="771">
        <v>350</v>
      </c>
      <c r="AW135" s="886"/>
      <c r="AX135" s="886"/>
      <c r="AY135" s="771" t="s">
        <v>2373</v>
      </c>
      <c r="AZ135" s="771" t="s">
        <v>2372</v>
      </c>
      <c r="BA135" s="888" t="s">
        <v>2850</v>
      </c>
      <c r="BB135" s="888" t="s">
        <v>2852</v>
      </c>
      <c r="BC135" s="888" t="s">
        <v>2865</v>
      </c>
      <c r="BD135" s="888" t="s">
        <v>2846</v>
      </c>
      <c r="BE135" s="1936"/>
      <c r="BF135" s="1936"/>
      <c r="BG135" s="771">
        <v>500</v>
      </c>
      <c r="BN135" s="1936"/>
      <c r="BT135" s="1936"/>
      <c r="BU135" s="1936"/>
      <c r="BV135" s="1936"/>
      <c r="BW135" s="1936"/>
      <c r="BX135" s="1936"/>
      <c r="BY135" s="1936"/>
      <c r="BZ135" s="1936"/>
      <c r="CA135" s="1936"/>
      <c r="CB135" s="1936"/>
      <c r="CC135" s="1936"/>
      <c r="CD135" s="1936"/>
    </row>
    <row r="136" spans="1:130" ht="12.75" customHeight="1" x14ac:dyDescent="0.2">
      <c r="A136" s="2384"/>
      <c r="B136" s="2073"/>
      <c r="C136" s="1905" t="str">
        <f>IF(OR(MID($D$135,34,3)="кмп",MID($D$135,34,3)=" км"),"",VLOOKUP($C$127,$L$133:$T$138,3,FALSE))</f>
        <v>5425200/</v>
      </c>
      <c r="D136" s="1905" t="str">
        <f>IF(C136="","",VLOOKUP(C136,всецены,2,FALSE))</f>
        <v xml:space="preserve">LBX, Боковина F 241/500 мм, сер, пр V10 </v>
      </c>
      <c r="E136" s="1906">
        <f>IF(C136="",0,1)</f>
        <v>1</v>
      </c>
      <c r="F136" s="1907">
        <f>IF(C136="",0,VLOOKUP(C136,всецены,4,FALSE))</f>
        <v>1541.0374979999999</v>
      </c>
      <c r="G136" s="1916">
        <f t="shared" si="35"/>
        <v>1541.0374979999999</v>
      </c>
      <c r="H136" s="1917">
        <f t="shared" ref="H136:H138" si="39">IF(C136=0,"",G136*E136)</f>
        <v>1541.0374979999999</v>
      </c>
      <c r="I136" s="2386"/>
      <c r="L136" s="771">
        <v>400</v>
      </c>
      <c r="M136" s="892">
        <f t="shared" si="38"/>
        <v>0</v>
      </c>
      <c r="N136" s="892">
        <f t="shared" si="38"/>
        <v>0</v>
      </c>
      <c r="O136" s="892" t="str">
        <f t="shared" si="38"/>
        <v>4636718/</v>
      </c>
      <c r="P136" s="892" t="str">
        <f t="shared" si="38"/>
        <v>4423390/</v>
      </c>
      <c r="Q136" s="892" t="str">
        <f t="shared" si="38"/>
        <v>2550380/</v>
      </c>
      <c r="R136" s="892" t="str">
        <f t="shared" si="38"/>
        <v>5820744/</v>
      </c>
      <c r="S136" s="892" t="str">
        <f t="shared" si="38"/>
        <v>2747154/</v>
      </c>
      <c r="T136" s="892" t="str">
        <f t="shared" si="38"/>
        <v>1480248/</v>
      </c>
      <c r="U136" s="771">
        <v>400</v>
      </c>
      <c r="V136" s="886"/>
      <c r="W136" s="886"/>
      <c r="X136" s="1088" t="s">
        <v>2988</v>
      </c>
      <c r="Y136" s="1088" t="s">
        <v>2987</v>
      </c>
      <c r="Z136" s="164" t="s">
        <v>2282</v>
      </c>
      <c r="AA136" s="43" t="s">
        <v>2486</v>
      </c>
      <c r="AB136" s="43" t="s">
        <v>2285</v>
      </c>
      <c r="AC136" s="43" t="s">
        <v>2270</v>
      </c>
      <c r="AD136" s="771">
        <v>400</v>
      </c>
      <c r="AE136" s="1117" t="s">
        <v>4077</v>
      </c>
      <c r="AF136" s="1117" t="s">
        <v>4078</v>
      </c>
      <c r="AG136" s="1088" t="s">
        <v>2988</v>
      </c>
      <c r="AH136" s="1088" t="s">
        <v>2987</v>
      </c>
      <c r="AI136" s="888" t="s">
        <v>2336</v>
      </c>
      <c r="AJ136" s="888" t="s">
        <v>2377</v>
      </c>
      <c r="AK136" s="888" t="s">
        <v>2309</v>
      </c>
      <c r="AL136" s="888" t="s">
        <v>2312</v>
      </c>
      <c r="AM136" s="771">
        <v>400</v>
      </c>
      <c r="AN136" s="886"/>
      <c r="AO136" s="886"/>
      <c r="AP136" s="1088" t="s">
        <v>2988</v>
      </c>
      <c r="AQ136" s="1088" t="s">
        <v>2987</v>
      </c>
      <c r="AR136" s="888" t="s">
        <v>2319</v>
      </c>
      <c r="AS136" s="888" t="s">
        <v>2342</v>
      </c>
      <c r="AT136" s="888" t="s">
        <v>2818</v>
      </c>
      <c r="AU136" s="888" t="s">
        <v>2815</v>
      </c>
      <c r="AV136" s="771">
        <v>400</v>
      </c>
      <c r="AW136" s="886"/>
      <c r="AX136" s="886"/>
      <c r="AY136" s="1088" t="s">
        <v>2988</v>
      </c>
      <c r="AZ136" s="1088" t="s">
        <v>2987</v>
      </c>
      <c r="BA136" s="888" t="s">
        <v>2850</v>
      </c>
      <c r="BB136" s="888" t="s">
        <v>2852</v>
      </c>
      <c r="BC136" s="888" t="s">
        <v>2865</v>
      </c>
      <c r="BD136" s="888" t="s">
        <v>2846</v>
      </c>
      <c r="BE136" s="1936"/>
      <c r="BF136" s="1936"/>
      <c r="BN136" s="1936"/>
      <c r="BT136" s="1936"/>
      <c r="BU136" s="1936"/>
      <c r="BV136" s="1936"/>
      <c r="BW136" s="1936"/>
      <c r="BX136" s="1936"/>
      <c r="BY136" s="1936"/>
      <c r="BZ136" s="1936"/>
      <c r="CA136" s="1936"/>
      <c r="CB136" s="1936"/>
      <c r="CC136" s="1936"/>
      <c r="CD136" s="1936"/>
    </row>
    <row r="137" spans="1:130" ht="12.75" customHeight="1" x14ac:dyDescent="0.2">
      <c r="A137" s="2384"/>
      <c r="B137" s="2073"/>
      <c r="C137" s="1965" t="str">
        <f>IF(C127&lt;350,$N$41,$N$42)</f>
        <v>1365128/</v>
      </c>
      <c r="D137" s="1965" t="str">
        <f>IF(C137=0,"",VLOOKUP(C137,всецены,2,FALSE))</f>
        <v>LBX, Tip-on BM, L3, 350-750 кмп T60L7540</v>
      </c>
      <c r="E137" s="1966">
        <v>1</v>
      </c>
      <c r="F137" s="1967">
        <f t="shared" si="34"/>
        <v>1107.5952887999999</v>
      </c>
      <c r="G137" s="1967">
        <f t="shared" si="35"/>
        <v>1107.5952887999999</v>
      </c>
      <c r="H137" s="1969">
        <f t="shared" si="39"/>
        <v>1107.5952887999999</v>
      </c>
      <c r="I137" s="2386"/>
      <c r="L137" s="771">
        <v>450</v>
      </c>
      <c r="M137" s="892" t="str">
        <f t="shared" si="38"/>
        <v>4542652/</v>
      </c>
      <c r="N137" s="892" t="str">
        <f t="shared" si="38"/>
        <v>4055779/</v>
      </c>
      <c r="O137" s="892" t="str">
        <f t="shared" si="38"/>
        <v>9337924/</v>
      </c>
      <c r="P137" s="892" t="str">
        <f t="shared" si="38"/>
        <v>9287449/</v>
      </c>
      <c r="Q137" s="892" t="str">
        <f t="shared" si="38"/>
        <v>2550380/</v>
      </c>
      <c r="R137" s="892" t="str">
        <f t="shared" si="38"/>
        <v>5820744/</v>
      </c>
      <c r="S137" s="892" t="str">
        <f t="shared" si="38"/>
        <v>2747154/</v>
      </c>
      <c r="T137" s="892" t="str">
        <f t="shared" si="38"/>
        <v>1480248/</v>
      </c>
      <c r="U137" s="771">
        <v>450</v>
      </c>
      <c r="V137" s="1036" t="s">
        <v>3621</v>
      </c>
      <c r="W137" s="1392" t="s">
        <v>3622</v>
      </c>
      <c r="X137" s="696" t="s">
        <v>2993</v>
      </c>
      <c r="Y137" s="696" t="s">
        <v>2992</v>
      </c>
      <c r="Z137" s="164" t="s">
        <v>2282</v>
      </c>
      <c r="AA137" s="43" t="s">
        <v>2486</v>
      </c>
      <c r="AB137" s="43" t="s">
        <v>2285</v>
      </c>
      <c r="AC137" s="43" t="s">
        <v>2270</v>
      </c>
      <c r="AD137" s="771">
        <v>450</v>
      </c>
      <c r="AE137" s="886" t="s">
        <v>3677</v>
      </c>
      <c r="AF137" s="886" t="s">
        <v>3678</v>
      </c>
      <c r="AG137" s="886" t="s">
        <v>2993</v>
      </c>
      <c r="AH137" s="886" t="s">
        <v>2992</v>
      </c>
      <c r="AI137" s="888" t="s">
        <v>2336</v>
      </c>
      <c r="AJ137" s="888" t="s">
        <v>2377</v>
      </c>
      <c r="AK137" s="888" t="s">
        <v>2309</v>
      </c>
      <c r="AL137" s="888" t="s">
        <v>2312</v>
      </c>
      <c r="AM137" s="771">
        <v>450</v>
      </c>
      <c r="AN137" s="886" t="s">
        <v>3690</v>
      </c>
      <c r="AO137" s="886" t="s">
        <v>3691</v>
      </c>
      <c r="AP137" s="886" t="s">
        <v>2993</v>
      </c>
      <c r="AQ137" s="886" t="s">
        <v>2992</v>
      </c>
      <c r="AR137" s="888" t="s">
        <v>2319</v>
      </c>
      <c r="AS137" s="888" t="s">
        <v>2342</v>
      </c>
      <c r="AT137" s="888" t="s">
        <v>2818</v>
      </c>
      <c r="AU137" s="888" t="s">
        <v>2815</v>
      </c>
      <c r="AV137" s="771">
        <v>450</v>
      </c>
      <c r="AW137" s="886"/>
      <c r="AX137" s="886"/>
      <c r="AY137" s="886" t="s">
        <v>2993</v>
      </c>
      <c r="AZ137" s="886" t="s">
        <v>2992</v>
      </c>
      <c r="BA137" s="888" t="s">
        <v>2850</v>
      </c>
      <c r="BB137" s="888" t="s">
        <v>2852</v>
      </c>
      <c r="BC137" s="888" t="s">
        <v>2865</v>
      </c>
      <c r="BD137" s="888" t="s">
        <v>2846</v>
      </c>
      <c r="BE137" s="1936"/>
      <c r="BF137" s="1936"/>
      <c r="BG137" s="1936"/>
      <c r="BH137" s="1936"/>
      <c r="BI137" s="1936"/>
      <c r="BJ137" s="1936"/>
      <c r="BK137" s="1936"/>
      <c r="BL137" s="1936"/>
      <c r="BM137" s="1936"/>
      <c r="BN137" s="1936"/>
      <c r="BO137" s="1936"/>
      <c r="BP137" s="1936"/>
      <c r="BQ137" s="1936"/>
      <c r="BR137" s="1936"/>
      <c r="BS137" s="1936"/>
      <c r="BT137" s="1936"/>
      <c r="BU137" s="1936"/>
      <c r="BV137" s="1936"/>
      <c r="BW137" s="1936"/>
      <c r="BX137" s="1936"/>
      <c r="BY137" s="1936"/>
      <c r="BZ137" s="1936"/>
      <c r="CA137" s="1936"/>
      <c r="CB137" s="1936"/>
      <c r="CC137" s="1936"/>
      <c r="CD137" s="1936"/>
    </row>
    <row r="138" spans="1:130" ht="13.5" customHeight="1" thickBot="1" x14ac:dyDescent="0.25">
      <c r="A138" s="2384"/>
      <c r="B138" s="2074"/>
      <c r="C138" s="1953" t="str">
        <f>VLOOKUP(C127,$M$44:$N$49,2,0)</f>
        <v>9554467/</v>
      </c>
      <c r="D138" s="1953" t="str">
        <f>IF(C138=0,"",VLOOKUP(C138,всецены,2,FALSE))</f>
        <v>LBX, Напр.Tip-on BM,500 мм,кмп 750.5001M</v>
      </c>
      <c r="E138" s="1970">
        <v>1</v>
      </c>
      <c r="F138" s="1977">
        <f t="shared" si="34"/>
        <v>1669.5250572</v>
      </c>
      <c r="G138" s="1977">
        <f t="shared" si="35"/>
        <v>1669.5250572</v>
      </c>
      <c r="H138" s="1971">
        <f t="shared" si="39"/>
        <v>1669.5250572</v>
      </c>
      <c r="I138" s="2387"/>
      <c r="L138" s="771">
        <v>500</v>
      </c>
      <c r="M138" s="892" t="str">
        <f t="shared" si="38"/>
        <v>5419750/</v>
      </c>
      <c r="N138" s="892" t="str">
        <f t="shared" si="38"/>
        <v>5425200/</v>
      </c>
      <c r="O138" s="892" t="str">
        <f t="shared" si="38"/>
        <v>4922514/</v>
      </c>
      <c r="P138" s="892" t="str">
        <f t="shared" si="38"/>
        <v>4737284/</v>
      </c>
      <c r="Q138" s="892" t="str">
        <f t="shared" si="38"/>
        <v>2550380/</v>
      </c>
      <c r="R138" s="892" t="str">
        <f t="shared" si="38"/>
        <v>5820744/</v>
      </c>
      <c r="S138" s="892" t="str">
        <f t="shared" si="38"/>
        <v>2747154/</v>
      </c>
      <c r="T138" s="892" t="str">
        <f t="shared" si="38"/>
        <v>1480248/</v>
      </c>
      <c r="U138" s="771">
        <v>500</v>
      </c>
      <c r="V138" s="886" t="s">
        <v>6743</v>
      </c>
      <c r="W138" s="886" t="s">
        <v>6744</v>
      </c>
      <c r="X138" s="886" t="s">
        <v>2307</v>
      </c>
      <c r="Y138" s="886" t="s">
        <v>2302</v>
      </c>
      <c r="Z138" s="164" t="s">
        <v>2282</v>
      </c>
      <c r="AA138" s="43" t="s">
        <v>2486</v>
      </c>
      <c r="AB138" s="43" t="s">
        <v>2285</v>
      </c>
      <c r="AC138" s="43" t="s">
        <v>2270</v>
      </c>
      <c r="AD138" s="771">
        <v>500</v>
      </c>
      <c r="AE138" s="886" t="s">
        <v>2296</v>
      </c>
      <c r="AF138" s="886" t="s">
        <v>2294</v>
      </c>
      <c r="AG138" s="886" t="s">
        <v>2307</v>
      </c>
      <c r="AH138" s="886" t="s">
        <v>2302</v>
      </c>
      <c r="AI138" s="888" t="s">
        <v>2336</v>
      </c>
      <c r="AJ138" s="888" t="s">
        <v>2377</v>
      </c>
      <c r="AK138" s="888" t="s">
        <v>2309</v>
      </c>
      <c r="AL138" s="888" t="s">
        <v>2312</v>
      </c>
      <c r="AM138" s="771">
        <v>500</v>
      </c>
      <c r="AN138" s="1117" t="s">
        <v>2868</v>
      </c>
      <c r="AO138" s="1117" t="s">
        <v>2867</v>
      </c>
      <c r="AP138" s="886" t="s">
        <v>2307</v>
      </c>
      <c r="AQ138" s="886" t="s">
        <v>2302</v>
      </c>
      <c r="AR138" s="888" t="s">
        <v>2319</v>
      </c>
      <c r="AS138" s="888" t="s">
        <v>2342</v>
      </c>
      <c r="AT138" s="888" t="s">
        <v>2818</v>
      </c>
      <c r="AU138" s="888" t="s">
        <v>2815</v>
      </c>
      <c r="AV138" s="771">
        <v>500</v>
      </c>
      <c r="AW138" s="886" t="s">
        <v>3326</v>
      </c>
      <c r="AX138" s="886" t="s">
        <v>3325</v>
      </c>
      <c r="AY138" s="886" t="s">
        <v>2307</v>
      </c>
      <c r="AZ138" s="886" t="s">
        <v>2302</v>
      </c>
      <c r="BA138" s="888" t="s">
        <v>2850</v>
      </c>
      <c r="BB138" s="888" t="s">
        <v>2852</v>
      </c>
      <c r="BC138" s="888" t="s">
        <v>2865</v>
      </c>
      <c r="BD138" s="888" t="s">
        <v>2846</v>
      </c>
      <c r="BE138" s="1936"/>
      <c r="BF138" s="1936"/>
      <c r="BG138" s="1936"/>
      <c r="BH138" s="1936"/>
      <c r="BI138" s="1936"/>
      <c r="BJ138" s="1936"/>
      <c r="BK138" s="1936"/>
      <c r="BL138" s="1936"/>
      <c r="BM138" s="1936"/>
      <c r="BN138" s="1936"/>
      <c r="BO138" s="1936"/>
      <c r="BP138" s="1936"/>
      <c r="BQ138" s="1936"/>
      <c r="BR138" s="1936"/>
      <c r="BS138" s="1936"/>
      <c r="BT138" s="1936"/>
      <c r="BU138" s="1936"/>
      <c r="BV138" s="1936"/>
      <c r="BW138" s="1936"/>
      <c r="BX138" s="1936"/>
      <c r="BY138" s="1936"/>
      <c r="BZ138" s="1936"/>
      <c r="CA138" s="1936"/>
      <c r="CB138" s="1936"/>
      <c r="CC138" s="1936"/>
      <c r="CD138" s="1936"/>
    </row>
    <row r="139" spans="1:130" ht="12.75" customHeight="1" x14ac:dyDescent="0.2">
      <c r="B139" s="1381" t="s">
        <v>3551</v>
      </c>
      <c r="C139" s="875"/>
      <c r="D139" s="28"/>
      <c r="E139" s="781"/>
      <c r="F139" s="1539"/>
      <c r="G139" s="1539"/>
      <c r="H139" s="787"/>
      <c r="I139" s="771"/>
      <c r="K139" s="8"/>
      <c r="V139" s="771">
        <v>2</v>
      </c>
      <c r="W139" s="771">
        <f>V139+1</f>
        <v>3</v>
      </c>
      <c r="X139" s="771">
        <f t="shared" ref="X139:AC139" si="40">W139+1</f>
        <v>4</v>
      </c>
      <c r="Y139" s="771">
        <f t="shared" si="40"/>
        <v>5</v>
      </c>
      <c r="Z139" s="771">
        <f t="shared" si="40"/>
        <v>6</v>
      </c>
      <c r="AA139" s="771">
        <f t="shared" si="40"/>
        <v>7</v>
      </c>
      <c r="AB139" s="771">
        <f t="shared" si="40"/>
        <v>8</v>
      </c>
      <c r="AC139" s="771">
        <f t="shared" si="40"/>
        <v>9</v>
      </c>
      <c r="AD139" s="771"/>
      <c r="AE139" s="771">
        <v>2</v>
      </c>
      <c r="AF139" s="771">
        <f>AE139+1</f>
        <v>3</v>
      </c>
      <c r="AG139" s="771">
        <f t="shared" ref="AG139:AL139" si="41">AF139+1</f>
        <v>4</v>
      </c>
      <c r="AH139" s="771">
        <f t="shared" si="41"/>
        <v>5</v>
      </c>
      <c r="AI139" s="771">
        <f t="shared" si="41"/>
        <v>6</v>
      </c>
      <c r="AJ139" s="771">
        <f t="shared" si="41"/>
        <v>7</v>
      </c>
      <c r="AK139" s="771">
        <f t="shared" si="41"/>
        <v>8</v>
      </c>
      <c r="AL139" s="771">
        <f t="shared" si="41"/>
        <v>9</v>
      </c>
      <c r="AN139" s="771">
        <v>2</v>
      </c>
      <c r="AO139" s="771">
        <f>AN139+1</f>
        <v>3</v>
      </c>
      <c r="AP139" s="771">
        <f t="shared" ref="AP139:AU139" si="42">AO139+1</f>
        <v>4</v>
      </c>
      <c r="AQ139" s="771">
        <f t="shared" si="42"/>
        <v>5</v>
      </c>
      <c r="AR139" s="771">
        <f t="shared" si="42"/>
        <v>6</v>
      </c>
      <c r="AS139" s="771">
        <f t="shared" si="42"/>
        <v>7</v>
      </c>
      <c r="AT139" s="771">
        <f t="shared" si="42"/>
        <v>8</v>
      </c>
      <c r="AU139" s="771">
        <f t="shared" si="42"/>
        <v>9</v>
      </c>
      <c r="AW139" s="771">
        <v>2</v>
      </c>
      <c r="AX139" s="771">
        <f>AW139+1</f>
        <v>3</v>
      </c>
      <c r="AY139" s="771">
        <f t="shared" ref="AY139:BD139" si="43">AX139+1</f>
        <v>4</v>
      </c>
      <c r="AZ139" s="771">
        <f t="shared" si="43"/>
        <v>5</v>
      </c>
      <c r="BA139" s="771">
        <f t="shared" si="43"/>
        <v>6</v>
      </c>
      <c r="BB139" s="771">
        <f t="shared" si="43"/>
        <v>7</v>
      </c>
      <c r="BC139" s="771">
        <f t="shared" si="43"/>
        <v>8</v>
      </c>
      <c r="BD139" s="771">
        <f t="shared" si="43"/>
        <v>9</v>
      </c>
      <c r="DT139" s="771"/>
      <c r="DU139" s="771"/>
      <c r="DV139" s="771"/>
      <c r="DW139" s="771"/>
      <c r="DX139" s="771"/>
      <c r="DY139" s="771"/>
      <c r="DZ139" s="771"/>
    </row>
    <row r="140" spans="1:130" ht="15" hidden="1" customHeight="1" x14ac:dyDescent="0.2">
      <c r="A140" s="843"/>
      <c r="B140" s="904" t="s">
        <v>2399</v>
      </c>
      <c r="C140" s="719"/>
      <c r="D140" s="2144" t="s">
        <v>1183</v>
      </c>
      <c r="E140" s="2144"/>
      <c r="F140" s="2144"/>
      <c r="G140" s="2144"/>
      <c r="H140" s="2144"/>
      <c r="I140" s="2250"/>
      <c r="L140" s="771"/>
      <c r="M140" s="771"/>
      <c r="N140" s="771"/>
      <c r="O140" s="771"/>
      <c r="P140" s="771"/>
      <c r="Q140" s="771"/>
      <c r="R140" s="771"/>
      <c r="S140" s="771"/>
      <c r="T140" s="771"/>
      <c r="U140" s="771"/>
      <c r="V140" s="771"/>
      <c r="W140" s="771"/>
      <c r="X140" s="771"/>
      <c r="Y140" s="771"/>
      <c r="Z140" s="771"/>
      <c r="AA140" s="771"/>
      <c r="AB140" s="771"/>
      <c r="AC140" s="771"/>
      <c r="AD140" s="771"/>
      <c r="AE140" s="771"/>
      <c r="AF140" s="771"/>
      <c r="BE140" s="1936"/>
      <c r="BF140" s="1936"/>
      <c r="BG140" s="1936"/>
      <c r="BH140" s="1936"/>
      <c r="BI140" s="1936"/>
      <c r="BJ140" s="1936"/>
      <c r="BK140" s="1936"/>
      <c r="BL140" s="1936"/>
      <c r="BM140" s="1936"/>
      <c r="BN140" s="1936"/>
      <c r="BO140" s="1936"/>
      <c r="BP140" s="1936"/>
      <c r="BQ140" s="1936"/>
      <c r="BR140" s="1936"/>
      <c r="BS140" s="1936"/>
      <c r="BT140" s="1936"/>
      <c r="BU140" s="1936"/>
      <c r="BV140" s="1936"/>
      <c r="BW140" s="1936"/>
      <c r="BX140" s="1936"/>
      <c r="BY140" s="1936"/>
      <c r="BZ140" s="1936"/>
      <c r="CA140" s="1936"/>
      <c r="CB140" s="1936"/>
      <c r="CC140" s="1936"/>
      <c r="CD140" s="1936"/>
    </row>
    <row r="141" spans="1:130" ht="15.75" hidden="1" customHeight="1" thickBot="1" x14ac:dyDescent="0.25">
      <c r="A141" s="843"/>
      <c r="B141" s="844" t="s">
        <v>1639</v>
      </c>
      <c r="C141" s="850">
        <v>500</v>
      </c>
      <c r="D141" s="867" t="s">
        <v>1689</v>
      </c>
      <c r="E141" s="869"/>
      <c r="F141" s="1450"/>
      <c r="G141" s="1522"/>
      <c r="H141" s="870"/>
      <c r="I141" s="2388" t="s">
        <v>1850</v>
      </c>
      <c r="L141" s="771"/>
      <c r="M141" s="771"/>
      <c r="N141" s="771"/>
      <c r="O141" s="771"/>
      <c r="P141" s="771"/>
      <c r="Q141" s="771"/>
      <c r="R141" s="771"/>
      <c r="S141" s="771"/>
      <c r="T141" s="771"/>
      <c r="U141" s="771"/>
      <c r="V141" s="771"/>
      <c r="W141" s="771"/>
      <c r="X141" s="771"/>
      <c r="Y141" s="771"/>
      <c r="Z141" s="771"/>
      <c r="AA141" s="771"/>
      <c r="AB141" s="771"/>
      <c r="AC141" s="771"/>
      <c r="AD141" s="771"/>
      <c r="AE141" s="771"/>
      <c r="AF141" s="771"/>
      <c r="BE141" s="1936"/>
      <c r="BF141" s="1936"/>
      <c r="BG141" s="1936"/>
      <c r="BH141" s="1936"/>
      <c r="BI141" s="1936"/>
      <c r="BJ141" s="1936"/>
      <c r="BK141" s="1936"/>
      <c r="BL141" s="1936"/>
      <c r="BM141" s="1936"/>
      <c r="BN141" s="1936"/>
      <c r="BO141" s="1936"/>
      <c r="BP141" s="1936"/>
      <c r="BQ141" s="1936"/>
      <c r="BR141" s="1936"/>
      <c r="BS141" s="1936"/>
      <c r="BT141" s="1936"/>
      <c r="BU141" s="1936"/>
      <c r="BV141" s="1936"/>
      <c r="BW141" s="1936"/>
      <c r="BX141" s="1936"/>
      <c r="BY141" s="1936"/>
      <c r="BZ141" s="1936"/>
      <c r="CA141" s="1936"/>
      <c r="CB141" s="1936"/>
      <c r="CC141" s="1936"/>
      <c r="CD141" s="1936"/>
    </row>
    <row r="142" spans="1:130" ht="9.75" hidden="1" customHeight="1" x14ac:dyDescent="0.2">
      <c r="A142" s="843"/>
      <c r="B142" s="2072"/>
      <c r="C142" s="135" t="s">
        <v>1301</v>
      </c>
      <c r="D142" s="139" t="s">
        <v>784</v>
      </c>
      <c r="E142" s="140" t="s">
        <v>2117</v>
      </c>
      <c r="F142" s="1440"/>
      <c r="G142" s="1453"/>
      <c r="H142" s="178" t="s">
        <v>2116</v>
      </c>
      <c r="I142" s="2389"/>
      <c r="L142" s="771"/>
      <c r="M142" s="771"/>
      <c r="N142" s="771"/>
      <c r="O142" s="771"/>
      <c r="P142" s="771"/>
      <c r="Q142" s="771"/>
      <c r="R142" s="771"/>
      <c r="S142" s="771"/>
      <c r="T142" s="771"/>
      <c r="U142" s="771"/>
      <c r="V142" s="771"/>
      <c r="W142" s="771"/>
      <c r="X142" s="771"/>
      <c r="Y142" s="771"/>
      <c r="Z142" s="771"/>
      <c r="AA142" s="771"/>
      <c r="AB142" s="771"/>
      <c r="AC142" s="771"/>
      <c r="AD142" s="771"/>
      <c r="AE142" s="771"/>
      <c r="AF142" s="771"/>
      <c r="BE142" s="1936"/>
      <c r="BF142" s="1936"/>
      <c r="BG142" s="1936"/>
      <c r="BH142" s="1936"/>
      <c r="BI142" s="1936"/>
      <c r="BJ142" s="1936"/>
      <c r="BK142" s="1936"/>
      <c r="BL142" s="1936"/>
      <c r="BM142" s="1936"/>
      <c r="BN142" s="1936"/>
      <c r="BO142" s="1936"/>
      <c r="BP142" s="1936"/>
      <c r="BQ142" s="1936"/>
      <c r="BR142" s="1936"/>
      <c r="BS142" s="1936"/>
      <c r="BT142" s="1936"/>
      <c r="BU142" s="1936"/>
      <c r="BV142" s="1936"/>
      <c r="BW142" s="1936"/>
      <c r="BX142" s="1936"/>
      <c r="BY142" s="1936"/>
      <c r="BZ142" s="1936"/>
      <c r="CA142" s="1936"/>
      <c r="CB142" s="1936"/>
      <c r="CC142" s="1936"/>
      <c r="CD142" s="1936"/>
    </row>
    <row r="143" spans="1:130" ht="12.75" hidden="1" customHeight="1" x14ac:dyDescent="0.2">
      <c r="A143" s="2384"/>
      <c r="B143" s="2073"/>
      <c r="C143" s="701"/>
      <c r="D143" s="43" t="e">
        <f t="shared" ref="D143:D155" si="44">VLOOKUP(C143,всецены,2,FALSE)</f>
        <v>#N/A</v>
      </c>
      <c r="E143" s="80">
        <v>1</v>
      </c>
      <c r="F143" s="1447" t="e">
        <f t="shared" ref="F143:F155" si="45">VLOOKUP(C143,всецены,4,FALSE)</f>
        <v>#N/A</v>
      </c>
      <c r="G143" s="1520"/>
      <c r="H143" s="723" t="e">
        <f t="shared" ref="H143:H155" si="46">F143*E143</f>
        <v>#N/A</v>
      </c>
      <c r="I143" s="2415" t="e">
        <f>SUM(H143:H155)</f>
        <v>#N/A</v>
      </c>
      <c r="L143" s="771"/>
      <c r="M143" s="771"/>
      <c r="N143" s="771"/>
      <c r="O143" s="771"/>
      <c r="P143" s="771"/>
      <c r="Q143" s="771"/>
      <c r="R143" s="771"/>
      <c r="S143" s="771"/>
      <c r="T143" s="771"/>
      <c r="U143" s="771"/>
      <c r="V143" s="771"/>
      <c r="W143" s="771"/>
      <c r="X143" s="771"/>
      <c r="Y143" s="771"/>
      <c r="Z143" s="771"/>
      <c r="AA143" s="771"/>
      <c r="AB143" s="771"/>
      <c r="AC143" s="771"/>
      <c r="AD143" s="771"/>
      <c r="AE143" s="771"/>
      <c r="AF143" s="771"/>
      <c r="BE143" s="1936"/>
      <c r="BF143" s="1936"/>
      <c r="BG143" s="1936"/>
      <c r="BH143" s="1936"/>
      <c r="BI143" s="1936"/>
      <c r="BJ143" s="1936"/>
      <c r="BK143" s="1936"/>
      <c r="BL143" s="1936"/>
      <c r="BM143" s="1936"/>
      <c r="BN143" s="1936"/>
      <c r="BO143" s="1936"/>
      <c r="BP143" s="1936"/>
      <c r="BQ143" s="1936"/>
      <c r="BR143" s="1936"/>
      <c r="BS143" s="1936"/>
      <c r="BT143" s="1936"/>
      <c r="BU143" s="1936"/>
      <c r="BV143" s="1936"/>
      <c r="BW143" s="1936"/>
      <c r="BX143" s="1936"/>
      <c r="BY143" s="1936"/>
      <c r="BZ143" s="1936"/>
      <c r="CA143" s="1936"/>
      <c r="CB143" s="1936"/>
      <c r="CC143" s="1936"/>
      <c r="CD143" s="1936"/>
    </row>
    <row r="144" spans="1:130" ht="12.75" hidden="1" customHeight="1" x14ac:dyDescent="0.2">
      <c r="A144" s="2384"/>
      <c r="B144" s="2073"/>
      <c r="C144" s="701"/>
      <c r="D144" s="43" t="e">
        <f t="shared" si="44"/>
        <v>#N/A</v>
      </c>
      <c r="E144" s="80">
        <v>0.98901098901098905</v>
      </c>
      <c r="F144" s="1447" t="e">
        <f t="shared" si="45"/>
        <v>#N/A</v>
      </c>
      <c r="G144" s="1520"/>
      <c r="H144" s="723" t="e">
        <f t="shared" si="46"/>
        <v>#N/A</v>
      </c>
      <c r="I144" s="2416"/>
      <c r="L144" s="771"/>
      <c r="M144" s="771"/>
      <c r="N144" s="771"/>
      <c r="O144" s="771"/>
      <c r="P144" s="771"/>
      <c r="Q144" s="771"/>
      <c r="R144" s="771"/>
      <c r="S144" s="771"/>
      <c r="T144" s="771"/>
      <c r="U144" s="771"/>
      <c r="V144" s="771"/>
      <c r="W144" s="771"/>
      <c r="X144" s="771"/>
      <c r="Y144" s="771"/>
      <c r="Z144" s="771"/>
      <c r="AA144" s="771"/>
      <c r="AB144" s="771"/>
      <c r="AC144" s="771"/>
      <c r="AD144" s="771"/>
      <c r="AE144" s="771"/>
      <c r="AF144" s="771"/>
      <c r="BE144" s="1936"/>
      <c r="BF144" s="1936"/>
      <c r="BG144" s="1936"/>
      <c r="BH144" s="1936"/>
      <c r="BI144" s="1936"/>
      <c r="BJ144" s="1936"/>
      <c r="BK144" s="1936"/>
      <c r="BL144" s="1936"/>
      <c r="BM144" s="1936"/>
      <c r="BN144" s="1936"/>
      <c r="BO144" s="1936"/>
      <c r="BP144" s="1936"/>
      <c r="BQ144" s="1936"/>
      <c r="BR144" s="1936"/>
      <c r="BS144" s="1936"/>
      <c r="BT144" s="1936"/>
      <c r="BU144" s="1936"/>
      <c r="BV144" s="1936"/>
      <c r="BW144" s="1936"/>
      <c r="BX144" s="1936"/>
      <c r="BY144" s="1936"/>
      <c r="BZ144" s="1936"/>
      <c r="CA144" s="1936"/>
      <c r="CB144" s="1936"/>
      <c r="CC144" s="1936"/>
      <c r="CD144" s="1936"/>
    </row>
    <row r="145" spans="1:130" ht="12.75" hidden="1" customHeight="1" x14ac:dyDescent="0.2">
      <c r="A145" s="2384"/>
      <c r="B145" s="2073"/>
      <c r="C145" s="43"/>
      <c r="D145" s="43" t="e">
        <f t="shared" si="44"/>
        <v>#N/A</v>
      </c>
      <c r="E145" s="80">
        <v>0.97802197802197799</v>
      </c>
      <c r="F145" s="1447" t="e">
        <f t="shared" si="45"/>
        <v>#N/A</v>
      </c>
      <c r="G145" s="1520"/>
      <c r="H145" s="723" t="e">
        <f t="shared" si="46"/>
        <v>#N/A</v>
      </c>
      <c r="I145" s="2416"/>
      <c r="L145" s="771"/>
      <c r="M145" s="771"/>
      <c r="N145" s="771"/>
      <c r="O145" s="771"/>
      <c r="P145" s="771"/>
      <c r="Q145" s="771"/>
      <c r="R145" s="771"/>
      <c r="S145" s="771"/>
      <c r="T145" s="771"/>
      <c r="U145" s="771"/>
      <c r="V145" s="771"/>
      <c r="W145" s="771"/>
      <c r="X145" s="771"/>
      <c r="Y145" s="771"/>
      <c r="Z145" s="771"/>
      <c r="AA145" s="771"/>
      <c r="AB145" s="771"/>
      <c r="AC145" s="771"/>
      <c r="AD145" s="771"/>
      <c r="AE145" s="771"/>
      <c r="AF145" s="771"/>
      <c r="BE145" s="1936"/>
      <c r="BF145" s="1936"/>
      <c r="BG145" s="1936"/>
      <c r="BH145" s="1936"/>
      <c r="BI145" s="1936"/>
      <c r="BJ145" s="1936"/>
      <c r="BK145" s="1936"/>
      <c r="BL145" s="1936"/>
      <c r="BM145" s="1936"/>
      <c r="BN145" s="1936"/>
      <c r="BO145" s="1936"/>
      <c r="BP145" s="1936"/>
      <c r="BQ145" s="1936"/>
      <c r="BR145" s="1936"/>
      <c r="BS145" s="1936"/>
      <c r="BT145" s="1936"/>
      <c r="BU145" s="1936"/>
      <c r="BV145" s="1936"/>
      <c r="BW145" s="1936"/>
      <c r="BX145" s="1936"/>
      <c r="BY145" s="1936"/>
      <c r="BZ145" s="1936"/>
      <c r="CA145" s="1936"/>
      <c r="CB145" s="1936"/>
      <c r="CC145" s="1936"/>
      <c r="CD145" s="1936"/>
    </row>
    <row r="146" spans="1:130" ht="12.75" hidden="1" customHeight="1" x14ac:dyDescent="0.2">
      <c r="A146" s="2384"/>
      <c r="B146" s="2073"/>
      <c r="C146" s="43"/>
      <c r="D146" s="43" t="e">
        <f t="shared" si="44"/>
        <v>#N/A</v>
      </c>
      <c r="E146" s="80">
        <v>0.96703296703296704</v>
      </c>
      <c r="F146" s="1447" t="e">
        <f t="shared" si="45"/>
        <v>#N/A</v>
      </c>
      <c r="G146" s="1520"/>
      <c r="H146" s="723" t="e">
        <f t="shared" si="46"/>
        <v>#N/A</v>
      </c>
      <c r="I146" s="2416"/>
      <c r="L146" s="771"/>
      <c r="M146" s="771"/>
      <c r="N146" s="771"/>
      <c r="O146" s="771"/>
      <c r="P146" s="771"/>
      <c r="Q146" s="771"/>
      <c r="R146" s="771"/>
      <c r="S146" s="771"/>
      <c r="T146" s="771"/>
      <c r="U146" s="771"/>
      <c r="V146" s="771"/>
      <c r="W146" s="771"/>
      <c r="X146" s="771"/>
      <c r="Y146" s="771"/>
      <c r="Z146" s="771"/>
      <c r="AA146" s="771"/>
      <c r="AB146" s="771"/>
      <c r="AC146" s="771"/>
      <c r="AD146" s="771"/>
      <c r="AE146" s="771"/>
      <c r="AF146" s="771"/>
      <c r="BE146" s="1936"/>
      <c r="BF146" s="1936"/>
      <c r="BG146" s="1936"/>
      <c r="BH146" s="1936"/>
      <c r="BI146" s="1936"/>
      <c r="BJ146" s="1936"/>
      <c r="BK146" s="1936"/>
      <c r="BL146" s="1936"/>
      <c r="BM146" s="1936"/>
      <c r="BN146" s="1936"/>
      <c r="BO146" s="1936"/>
      <c r="BP146" s="1936"/>
      <c r="BQ146" s="1936"/>
      <c r="BR146" s="1936"/>
      <c r="BS146" s="1936"/>
      <c r="BT146" s="1936"/>
      <c r="BU146" s="1936"/>
      <c r="BV146" s="1936"/>
      <c r="BW146" s="1936"/>
      <c r="BX146" s="1936"/>
      <c r="BY146" s="1936"/>
      <c r="BZ146" s="1936"/>
      <c r="CA146" s="1936"/>
      <c r="CB146" s="1936"/>
      <c r="CC146" s="1936"/>
      <c r="CD146" s="1936"/>
    </row>
    <row r="147" spans="1:130" ht="12.75" hidden="1" customHeight="1" x14ac:dyDescent="0.2">
      <c r="A147" s="2384"/>
      <c r="B147" s="2073"/>
      <c r="C147" s="43"/>
      <c r="D147" s="43" t="e">
        <f t="shared" si="44"/>
        <v>#N/A</v>
      </c>
      <c r="E147" s="80">
        <v>0.95604395604395598</v>
      </c>
      <c r="F147" s="1447" t="e">
        <f t="shared" si="45"/>
        <v>#N/A</v>
      </c>
      <c r="G147" s="1520"/>
      <c r="H147" s="723" t="e">
        <f t="shared" si="46"/>
        <v>#N/A</v>
      </c>
      <c r="I147" s="2416"/>
      <c r="L147" s="771"/>
      <c r="M147" s="771"/>
      <c r="N147" s="771"/>
      <c r="O147" s="771"/>
      <c r="P147" s="771"/>
      <c r="Q147" s="771"/>
      <c r="R147" s="771"/>
      <c r="S147" s="771"/>
      <c r="T147" s="771"/>
      <c r="U147" s="771"/>
      <c r="V147" s="771"/>
      <c r="W147" s="771"/>
      <c r="X147" s="771"/>
      <c r="Y147" s="771"/>
      <c r="Z147" s="771"/>
      <c r="AA147" s="771"/>
      <c r="AB147" s="771"/>
      <c r="AC147" s="771"/>
      <c r="AD147" s="771"/>
      <c r="AE147" s="771"/>
      <c r="AF147" s="771"/>
      <c r="BE147" s="1936"/>
      <c r="BF147" s="1936"/>
      <c r="BG147" s="1936"/>
      <c r="BH147" s="1936"/>
      <c r="BI147" s="1936"/>
      <c r="BJ147" s="1936"/>
      <c r="BK147" s="1936"/>
      <c r="BL147" s="1936"/>
      <c r="BM147" s="1936"/>
      <c r="BN147" s="1936"/>
      <c r="BO147" s="1936"/>
      <c r="BP147" s="1936"/>
      <c r="BQ147" s="1936"/>
      <c r="BR147" s="1936"/>
      <c r="BS147" s="1936"/>
      <c r="BT147" s="1936"/>
      <c r="BU147" s="1936"/>
      <c r="BV147" s="1936"/>
      <c r="BW147" s="1936"/>
      <c r="BX147" s="1936"/>
      <c r="BY147" s="1936"/>
      <c r="BZ147" s="1936"/>
      <c r="CA147" s="1936"/>
      <c r="CB147" s="1936"/>
      <c r="CC147" s="1936"/>
      <c r="CD147" s="1936"/>
    </row>
    <row r="148" spans="1:130" ht="12.75" hidden="1" customHeight="1" x14ac:dyDescent="0.2">
      <c r="A148" s="2384"/>
      <c r="B148" s="2073"/>
      <c r="C148" s="724"/>
      <c r="D148" s="43" t="e">
        <f t="shared" si="44"/>
        <v>#N/A</v>
      </c>
      <c r="E148" s="80">
        <v>0.94505494505494503</v>
      </c>
      <c r="F148" s="1447" t="e">
        <f t="shared" si="45"/>
        <v>#N/A</v>
      </c>
      <c r="G148" s="1520"/>
      <c r="H148" s="723" t="e">
        <f t="shared" si="46"/>
        <v>#N/A</v>
      </c>
      <c r="I148" s="2416"/>
      <c r="L148" s="771"/>
      <c r="M148" s="771"/>
      <c r="N148" s="771"/>
      <c r="O148" s="771"/>
      <c r="P148" s="771"/>
      <c r="Q148" s="771"/>
      <c r="R148" s="771"/>
      <c r="S148" s="771"/>
      <c r="T148" s="771"/>
      <c r="U148" s="771"/>
      <c r="V148" s="771"/>
      <c r="W148" s="771"/>
      <c r="X148" s="771"/>
      <c r="Y148" s="771"/>
      <c r="Z148" s="771"/>
      <c r="AA148" s="771"/>
      <c r="AB148" s="771"/>
      <c r="AC148" s="771"/>
      <c r="AD148" s="771"/>
      <c r="AE148" s="771"/>
      <c r="AF148" s="771"/>
      <c r="AG148" s="1936"/>
      <c r="AH148" s="1936"/>
      <c r="AI148" s="1936"/>
      <c r="AJ148" s="1936"/>
      <c r="AK148" s="1936"/>
      <c r="AL148" s="1936"/>
      <c r="AM148" s="1936"/>
      <c r="AN148" s="1936"/>
      <c r="AO148" s="1936"/>
      <c r="AP148" s="1936"/>
      <c r="AQ148" s="1936"/>
      <c r="AR148" s="1936"/>
      <c r="AS148" s="1936"/>
      <c r="AT148" s="1936"/>
      <c r="AU148" s="1936"/>
      <c r="AV148" s="1936"/>
      <c r="AW148" s="1936"/>
      <c r="AX148" s="1936"/>
      <c r="AY148" s="1936"/>
      <c r="AZ148" s="1936"/>
      <c r="BA148" s="1936"/>
      <c r="BB148" s="1936"/>
      <c r="BC148" s="1936"/>
      <c r="BD148" s="1936"/>
      <c r="BE148" s="1936"/>
      <c r="BF148" s="1936"/>
      <c r="BG148" s="1936"/>
      <c r="BH148" s="1936"/>
      <c r="BI148" s="1936"/>
      <c r="BJ148" s="1936"/>
      <c r="BK148" s="1936"/>
      <c r="BL148" s="1936"/>
      <c r="BM148" s="1936"/>
      <c r="BN148" s="1936"/>
      <c r="BO148" s="1936"/>
      <c r="BP148" s="1936"/>
      <c r="BQ148" s="1936"/>
      <c r="BR148" s="1936"/>
      <c r="BS148" s="1936"/>
      <c r="BT148" s="1936"/>
      <c r="BU148" s="1936"/>
      <c r="BV148" s="1936"/>
      <c r="BW148" s="1936"/>
      <c r="BX148" s="1936"/>
      <c r="BY148" s="1936"/>
      <c r="BZ148" s="1936"/>
      <c r="CA148" s="1936"/>
      <c r="CB148" s="1936"/>
      <c r="CC148" s="1936"/>
      <c r="CD148" s="1936"/>
    </row>
    <row r="149" spans="1:130" ht="12.75" hidden="1" customHeight="1" x14ac:dyDescent="0.2">
      <c r="A149" s="2384"/>
      <c r="B149" s="2073"/>
      <c r="C149" s="734"/>
      <c r="D149" s="43" t="e">
        <f t="shared" si="44"/>
        <v>#N/A</v>
      </c>
      <c r="E149" s="80">
        <v>0.93406593406593397</v>
      </c>
      <c r="F149" s="1447" t="e">
        <f t="shared" si="45"/>
        <v>#N/A</v>
      </c>
      <c r="G149" s="1520"/>
      <c r="H149" s="723" t="e">
        <f t="shared" si="46"/>
        <v>#N/A</v>
      </c>
      <c r="I149" s="2416"/>
      <c r="L149" s="771"/>
      <c r="M149" s="771"/>
      <c r="N149" s="771"/>
      <c r="O149" s="771"/>
      <c r="P149" s="771"/>
      <c r="Q149" s="771"/>
      <c r="R149" s="771"/>
      <c r="S149" s="771"/>
      <c r="T149" s="771"/>
      <c r="U149" s="771"/>
      <c r="V149" s="771"/>
      <c r="W149" s="771"/>
      <c r="X149" s="771"/>
      <c r="Y149" s="771"/>
      <c r="Z149" s="771"/>
      <c r="AA149" s="771"/>
      <c r="AB149" s="771"/>
      <c r="AC149" s="771"/>
      <c r="AD149" s="771"/>
      <c r="AE149" s="771"/>
      <c r="AF149" s="771"/>
      <c r="AG149" s="1936"/>
      <c r="AH149" s="1936"/>
      <c r="AI149" s="1936"/>
      <c r="AJ149" s="1936"/>
      <c r="AK149" s="1936"/>
      <c r="AL149" s="1936"/>
      <c r="AM149" s="1936"/>
      <c r="AN149" s="1936"/>
      <c r="AO149" s="1936"/>
      <c r="AP149" s="1936"/>
      <c r="AQ149" s="1936"/>
      <c r="AR149" s="1936"/>
      <c r="AS149" s="1936"/>
      <c r="AT149" s="1936"/>
      <c r="AU149" s="1936"/>
      <c r="AV149" s="1936"/>
      <c r="AW149" s="1936"/>
      <c r="AX149" s="1936"/>
      <c r="AY149" s="1936"/>
      <c r="AZ149" s="1936"/>
      <c r="BA149" s="1936"/>
      <c r="BB149" s="1936"/>
      <c r="BC149" s="1936"/>
      <c r="BD149" s="1936"/>
      <c r="BE149" s="1936"/>
      <c r="BF149" s="1936"/>
      <c r="BG149" s="1936"/>
      <c r="BH149" s="1936"/>
      <c r="BI149" s="1936"/>
      <c r="BJ149" s="1936"/>
      <c r="BK149" s="1936"/>
      <c r="BL149" s="1936"/>
      <c r="BM149" s="1936"/>
      <c r="BN149" s="1936"/>
      <c r="BO149" s="1936"/>
      <c r="BP149" s="1936"/>
      <c r="BQ149" s="1936"/>
      <c r="BR149" s="1936"/>
      <c r="BS149" s="1936"/>
      <c r="BT149" s="1936"/>
      <c r="BU149" s="1936"/>
      <c r="BV149" s="1936"/>
      <c r="BW149" s="1936"/>
      <c r="BX149" s="1936"/>
      <c r="BY149" s="1936"/>
      <c r="BZ149" s="1936"/>
      <c r="CA149" s="1936"/>
      <c r="CB149" s="1936"/>
      <c r="CC149" s="1936"/>
      <c r="CD149" s="1936"/>
    </row>
    <row r="150" spans="1:130" ht="12.75" hidden="1" customHeight="1" x14ac:dyDescent="0.2">
      <c r="A150" s="2384"/>
      <c r="B150" s="2073"/>
      <c r="C150" s="43"/>
      <c r="D150" s="43" t="e">
        <f t="shared" si="44"/>
        <v>#N/A</v>
      </c>
      <c r="E150" s="80">
        <v>0.92307692307692302</v>
      </c>
      <c r="F150" s="1447" t="e">
        <f t="shared" si="45"/>
        <v>#N/A</v>
      </c>
      <c r="G150" s="1520"/>
      <c r="H150" s="723" t="e">
        <f t="shared" si="46"/>
        <v>#N/A</v>
      </c>
      <c r="I150" s="2416"/>
      <c r="L150" s="771"/>
      <c r="M150" s="771"/>
      <c r="N150" s="771"/>
      <c r="O150" s="771"/>
      <c r="P150" s="771"/>
      <c r="Q150" s="771"/>
      <c r="R150" s="771"/>
      <c r="S150" s="771"/>
      <c r="T150" s="771"/>
      <c r="U150" s="771"/>
      <c r="V150" s="771"/>
      <c r="W150" s="771"/>
      <c r="X150" s="771"/>
      <c r="Y150" s="771"/>
      <c r="Z150" s="771"/>
      <c r="AA150" s="771"/>
      <c r="AB150" s="771"/>
      <c r="AC150" s="771"/>
      <c r="AD150" s="771"/>
      <c r="AE150" s="771"/>
      <c r="AF150" s="771"/>
      <c r="AG150" s="1936"/>
      <c r="AH150" s="1936"/>
      <c r="AI150" s="1936"/>
      <c r="AJ150" s="1936"/>
      <c r="AK150" s="1936"/>
      <c r="AL150" s="1936"/>
      <c r="AM150" s="1936"/>
      <c r="AN150" s="1936"/>
      <c r="AO150" s="1936"/>
      <c r="AP150" s="1936"/>
      <c r="AQ150" s="1936"/>
      <c r="AR150" s="1936"/>
      <c r="AS150" s="1936"/>
      <c r="AT150" s="1936"/>
      <c r="AU150" s="1936"/>
      <c r="AV150" s="1936"/>
      <c r="AW150" s="1936"/>
      <c r="AX150" s="1936"/>
      <c r="AY150" s="1936"/>
      <c r="AZ150" s="1936"/>
      <c r="BA150" s="1936"/>
      <c r="BB150" s="1936"/>
      <c r="BC150" s="1936"/>
      <c r="BD150" s="1936"/>
      <c r="BE150" s="1936"/>
      <c r="BF150" s="1936"/>
      <c r="BG150" s="1936"/>
      <c r="BH150" s="1936"/>
      <c r="BI150" s="1936"/>
      <c r="BJ150" s="1936"/>
      <c r="BK150" s="1936"/>
      <c r="BL150" s="1936"/>
      <c r="BM150" s="1936"/>
      <c r="BN150" s="1936"/>
      <c r="BO150" s="1936"/>
      <c r="BP150" s="1936"/>
      <c r="BQ150" s="1936"/>
      <c r="BR150" s="1936"/>
      <c r="BS150" s="1936"/>
      <c r="BT150" s="1936"/>
      <c r="BU150" s="1936"/>
      <c r="BV150" s="1936"/>
      <c r="BW150" s="1936"/>
      <c r="BX150" s="1936"/>
      <c r="BY150" s="1936"/>
      <c r="BZ150" s="1936"/>
      <c r="CA150" s="1936"/>
      <c r="CB150" s="1936"/>
      <c r="CC150" s="1936"/>
      <c r="CD150" s="1936"/>
    </row>
    <row r="151" spans="1:130" ht="12.75" hidden="1" customHeight="1" x14ac:dyDescent="0.2">
      <c r="A151" s="2384"/>
      <c r="B151" s="2073"/>
      <c r="C151" s="43"/>
      <c r="D151" s="43" t="e">
        <f t="shared" si="44"/>
        <v>#N/A</v>
      </c>
      <c r="E151" s="80">
        <v>0.91208791208791196</v>
      </c>
      <c r="F151" s="1447" t="e">
        <f t="shared" si="45"/>
        <v>#N/A</v>
      </c>
      <c r="G151" s="1520"/>
      <c r="H151" s="723" t="e">
        <f t="shared" si="46"/>
        <v>#N/A</v>
      </c>
      <c r="I151" s="2416"/>
      <c r="L151" s="771"/>
      <c r="M151" s="771"/>
      <c r="N151" s="771"/>
      <c r="O151" s="771"/>
      <c r="P151" s="771"/>
      <c r="Q151" s="771"/>
      <c r="R151" s="771"/>
      <c r="S151" s="771"/>
      <c r="T151" s="771"/>
      <c r="U151" s="771"/>
      <c r="V151" s="771"/>
      <c r="W151" s="771"/>
      <c r="X151" s="771"/>
      <c r="Y151" s="771"/>
      <c r="Z151" s="771"/>
      <c r="AA151" s="771"/>
      <c r="AB151" s="771"/>
      <c r="AC151" s="771"/>
      <c r="AD151" s="771"/>
      <c r="AE151" s="771"/>
      <c r="AF151" s="771"/>
      <c r="AG151" s="1936"/>
      <c r="AH151" s="1936"/>
      <c r="AI151" s="1936"/>
      <c r="AJ151" s="1936"/>
      <c r="AK151" s="1936"/>
      <c r="AL151" s="1936"/>
      <c r="AM151" s="1936"/>
      <c r="AN151" s="1936"/>
      <c r="AO151" s="1936"/>
      <c r="AP151" s="1936"/>
      <c r="AQ151" s="1936"/>
      <c r="AR151" s="1936"/>
      <c r="AS151" s="1936"/>
      <c r="AT151" s="1936"/>
      <c r="AU151" s="1936"/>
      <c r="AV151" s="1936"/>
      <c r="AW151" s="1936"/>
      <c r="AX151" s="1936"/>
      <c r="AY151" s="1936"/>
      <c r="AZ151" s="1936"/>
      <c r="BA151" s="1936"/>
      <c r="BB151" s="1936"/>
      <c r="BC151" s="1936"/>
      <c r="BD151" s="1936"/>
      <c r="BE151" s="1936"/>
      <c r="BF151" s="1936"/>
      <c r="BG151" s="1936"/>
      <c r="BH151" s="1936"/>
      <c r="BI151" s="1936"/>
      <c r="BJ151" s="1936"/>
      <c r="BK151" s="1936"/>
      <c r="BL151" s="1936"/>
      <c r="BM151" s="1936"/>
      <c r="BN151" s="1936"/>
      <c r="BO151" s="1936"/>
      <c r="BP151" s="1936"/>
      <c r="BQ151" s="1936"/>
      <c r="BR151" s="1936"/>
      <c r="BS151" s="1936"/>
      <c r="BT151" s="1936"/>
      <c r="BU151" s="1936"/>
      <c r="BV151" s="1936"/>
      <c r="BW151" s="1936"/>
      <c r="BX151" s="1936"/>
      <c r="BY151" s="1936"/>
      <c r="BZ151" s="1936"/>
      <c r="CA151" s="1936"/>
      <c r="CB151" s="1936"/>
      <c r="CC151" s="1936"/>
      <c r="CD151" s="1936"/>
    </row>
    <row r="152" spans="1:130" ht="12.75" hidden="1" customHeight="1" x14ac:dyDescent="0.2">
      <c r="A152" s="2384"/>
      <c r="B152" s="2073"/>
      <c r="C152" s="161"/>
      <c r="D152" s="43" t="e">
        <f t="shared" si="44"/>
        <v>#N/A</v>
      </c>
      <c r="E152" s="80">
        <v>0.90109890109890101</v>
      </c>
      <c r="F152" s="1447" t="e">
        <f t="shared" si="45"/>
        <v>#N/A</v>
      </c>
      <c r="G152" s="1520"/>
      <c r="H152" s="723" t="e">
        <f t="shared" si="46"/>
        <v>#N/A</v>
      </c>
      <c r="I152" s="2416"/>
      <c r="L152" s="771"/>
      <c r="M152" s="771"/>
      <c r="N152" s="771"/>
      <c r="O152" s="771"/>
      <c r="P152" s="771"/>
      <c r="Q152" s="771"/>
      <c r="R152" s="771"/>
      <c r="S152" s="771"/>
      <c r="T152" s="771"/>
      <c r="U152" s="771"/>
      <c r="V152" s="771"/>
      <c r="W152" s="771"/>
      <c r="X152" s="771"/>
      <c r="Y152" s="771"/>
      <c r="Z152" s="771"/>
      <c r="AA152" s="771"/>
      <c r="AB152" s="771"/>
      <c r="AC152" s="771"/>
      <c r="AD152" s="771"/>
      <c r="AE152" s="771"/>
      <c r="AF152" s="771"/>
      <c r="AG152" s="1936"/>
      <c r="AH152" s="1936"/>
      <c r="AI152" s="1936"/>
      <c r="AJ152" s="1936"/>
      <c r="AK152" s="1936"/>
      <c r="AL152" s="1936"/>
      <c r="AM152" s="1936"/>
      <c r="AN152" s="1936"/>
      <c r="AO152" s="1936"/>
      <c r="AP152" s="1936"/>
      <c r="AQ152" s="1936"/>
      <c r="AR152" s="1936"/>
      <c r="AS152" s="1936"/>
      <c r="AT152" s="1936"/>
      <c r="AU152" s="1936"/>
      <c r="AV152" s="1936"/>
      <c r="AW152" s="1936"/>
      <c r="AX152" s="1936"/>
      <c r="AY152" s="1936"/>
      <c r="AZ152" s="1936"/>
      <c r="BA152" s="1936"/>
      <c r="BB152" s="1936"/>
      <c r="BC152" s="1936"/>
      <c r="BD152" s="1936"/>
      <c r="BE152" s="1936"/>
      <c r="BF152" s="1936"/>
      <c r="BG152" s="1936"/>
      <c r="BH152" s="1936"/>
      <c r="BI152" s="1936"/>
      <c r="BJ152" s="1936"/>
      <c r="BK152" s="1936"/>
      <c r="BL152" s="1936"/>
      <c r="BM152" s="1936"/>
      <c r="BN152" s="1936"/>
      <c r="BO152" s="1936"/>
      <c r="BP152" s="1936"/>
      <c r="BQ152" s="1936"/>
      <c r="BR152" s="1936"/>
      <c r="BS152" s="1936"/>
      <c r="BT152" s="1936"/>
      <c r="BU152" s="1936"/>
      <c r="BV152" s="1936"/>
      <c r="BW152" s="1936"/>
      <c r="BX152" s="1936"/>
      <c r="BY152" s="1936"/>
      <c r="BZ152" s="1936"/>
      <c r="CA152" s="1936"/>
      <c r="CB152" s="1936"/>
      <c r="CC152" s="1936"/>
      <c r="CD152" s="1936"/>
    </row>
    <row r="153" spans="1:130" ht="15" hidden="1" customHeight="1" x14ac:dyDescent="0.2">
      <c r="A153" s="843"/>
      <c r="B153" s="2073"/>
      <c r="C153" s="161"/>
      <c r="D153" s="43" t="e">
        <f t="shared" si="44"/>
        <v>#N/A</v>
      </c>
      <c r="E153" s="80">
        <v>0.89010989010988995</v>
      </c>
      <c r="F153" s="1447" t="e">
        <f t="shared" si="45"/>
        <v>#N/A</v>
      </c>
      <c r="G153" s="1520"/>
      <c r="H153" s="723" t="e">
        <f t="shared" si="46"/>
        <v>#N/A</v>
      </c>
      <c r="I153" s="2416"/>
      <c r="L153" s="771"/>
      <c r="M153" s="771"/>
      <c r="N153" s="771"/>
      <c r="O153" s="771"/>
      <c r="P153" s="771"/>
      <c r="Q153" s="771"/>
      <c r="R153" s="771"/>
      <c r="S153" s="771"/>
      <c r="T153" s="771"/>
      <c r="U153" s="771"/>
      <c r="V153" s="771"/>
      <c r="W153" s="771"/>
      <c r="X153" s="771"/>
      <c r="Y153" s="771"/>
      <c r="Z153" s="771"/>
      <c r="AA153" s="771"/>
      <c r="AB153" s="771"/>
      <c r="AC153" s="771"/>
      <c r="AD153" s="771"/>
      <c r="AE153" s="771"/>
      <c r="AF153" s="771"/>
      <c r="AG153" s="1936"/>
      <c r="AH153" s="1936"/>
      <c r="AI153" s="1936"/>
      <c r="AJ153" s="1936"/>
      <c r="AK153" s="1936"/>
      <c r="AL153" s="1936"/>
      <c r="AM153" s="1936"/>
      <c r="AN153" s="1936"/>
      <c r="AO153" s="1936"/>
      <c r="AP153" s="1936"/>
      <c r="AQ153" s="1936"/>
      <c r="AR153" s="1936"/>
      <c r="AS153" s="1936"/>
      <c r="AT153" s="1936"/>
      <c r="AU153" s="1936"/>
      <c r="AV153" s="1936"/>
      <c r="AW153" s="1936"/>
      <c r="AX153" s="1936"/>
      <c r="AY153" s="1936"/>
      <c r="AZ153" s="1936"/>
      <c r="BA153" s="1936"/>
      <c r="BB153" s="1936"/>
      <c r="BC153" s="1936"/>
      <c r="BD153" s="1936"/>
      <c r="BE153" s="1936"/>
      <c r="BF153" s="1936"/>
      <c r="BG153" s="1936"/>
      <c r="BH153" s="1936"/>
      <c r="BI153" s="1936"/>
      <c r="BJ153" s="1936"/>
      <c r="BK153" s="1936"/>
      <c r="BL153" s="1936"/>
      <c r="BM153" s="1936"/>
      <c r="BN153" s="1936"/>
      <c r="BO153" s="1936"/>
      <c r="BP153" s="1936"/>
      <c r="BQ153" s="1936"/>
      <c r="BR153" s="1936"/>
      <c r="BS153" s="1936"/>
      <c r="BT153" s="1936"/>
      <c r="BU153" s="1936"/>
      <c r="BV153" s="1936"/>
      <c r="BW153" s="1936"/>
      <c r="BX153" s="1936"/>
      <c r="BY153" s="1936"/>
      <c r="BZ153" s="1936"/>
      <c r="CA153" s="1936"/>
      <c r="CB153" s="1936"/>
      <c r="CC153" s="1936"/>
      <c r="CD153" s="1936"/>
    </row>
    <row r="154" spans="1:130" ht="15" hidden="1" customHeight="1" x14ac:dyDescent="0.2">
      <c r="A154" s="843"/>
      <c r="B154" s="2073"/>
      <c r="C154" s="71"/>
      <c r="D154" s="43" t="e">
        <f t="shared" si="44"/>
        <v>#N/A</v>
      </c>
      <c r="E154" s="80">
        <v>0.879120879120879</v>
      </c>
      <c r="F154" s="1447" t="e">
        <f t="shared" si="45"/>
        <v>#N/A</v>
      </c>
      <c r="G154" s="1520"/>
      <c r="H154" s="723" t="e">
        <f t="shared" si="46"/>
        <v>#N/A</v>
      </c>
      <c r="I154" s="2416"/>
      <c r="L154" s="771"/>
      <c r="M154" s="771"/>
      <c r="N154" s="771"/>
      <c r="O154" s="771"/>
      <c r="P154" s="771"/>
      <c r="Q154" s="771"/>
      <c r="R154" s="771"/>
      <c r="S154" s="771"/>
      <c r="T154" s="771"/>
      <c r="U154" s="771"/>
      <c r="V154" s="771"/>
      <c r="W154" s="771"/>
      <c r="X154" s="771"/>
      <c r="Y154" s="771"/>
      <c r="Z154" s="771"/>
      <c r="AA154" s="771"/>
      <c r="AB154" s="771"/>
      <c r="AC154" s="771"/>
      <c r="AD154" s="771"/>
      <c r="AE154" s="771"/>
      <c r="AF154" s="771"/>
      <c r="AG154" s="1936"/>
      <c r="AH154" s="1936"/>
      <c r="AI154" s="1936"/>
      <c r="AJ154" s="1936"/>
      <c r="AK154" s="1936"/>
      <c r="AL154" s="1936"/>
      <c r="AM154" s="1936"/>
      <c r="AN154" s="1936"/>
      <c r="AO154" s="1936"/>
      <c r="AP154" s="1936"/>
      <c r="AQ154" s="1936"/>
      <c r="AR154" s="1936"/>
      <c r="AS154" s="1936"/>
      <c r="AT154" s="1936"/>
      <c r="AU154" s="1936"/>
      <c r="AV154" s="1936"/>
      <c r="AW154" s="1936"/>
      <c r="AX154" s="1936"/>
      <c r="AY154" s="1936"/>
      <c r="AZ154" s="1936"/>
      <c r="BA154" s="1936"/>
      <c r="BB154" s="1936"/>
      <c r="BC154" s="1936"/>
      <c r="BD154" s="1936"/>
      <c r="BE154" s="1936"/>
      <c r="BF154" s="1936"/>
      <c r="BG154" s="1936"/>
      <c r="BH154" s="1936"/>
      <c r="BI154" s="1936"/>
      <c r="BJ154" s="1936"/>
      <c r="BK154" s="1936"/>
      <c r="BL154" s="1936"/>
      <c r="BM154" s="1936"/>
      <c r="BN154" s="1936"/>
      <c r="BO154" s="1936"/>
      <c r="BP154" s="1936"/>
      <c r="BQ154" s="1936"/>
      <c r="BR154" s="1936"/>
      <c r="BS154" s="1936"/>
      <c r="BT154" s="1936"/>
      <c r="BU154" s="1936"/>
      <c r="BV154" s="1936"/>
      <c r="BW154" s="1936"/>
      <c r="BX154" s="1936"/>
      <c r="BY154" s="1936"/>
      <c r="BZ154" s="1936"/>
      <c r="CA154" s="1936"/>
      <c r="CB154" s="1936"/>
      <c r="CC154" s="1936"/>
      <c r="CD154" s="1936"/>
    </row>
    <row r="155" spans="1:130" ht="15" hidden="1" customHeight="1" x14ac:dyDescent="0.2">
      <c r="B155" s="2073"/>
      <c r="C155" s="900"/>
      <c r="D155" s="901" t="e">
        <f t="shared" si="44"/>
        <v>#N/A</v>
      </c>
      <c r="E155" s="902">
        <v>0.86813186813186805</v>
      </c>
      <c r="F155" s="1451" t="e">
        <f t="shared" si="45"/>
        <v>#N/A</v>
      </c>
      <c r="G155" s="1523"/>
      <c r="H155" s="903" t="e">
        <f t="shared" si="46"/>
        <v>#N/A</v>
      </c>
      <c r="I155" s="2416"/>
      <c r="L155" s="771"/>
      <c r="M155" s="771"/>
      <c r="N155" s="771"/>
      <c r="O155" s="771"/>
      <c r="P155" s="771"/>
      <c r="Q155" s="771"/>
      <c r="R155" s="771"/>
      <c r="S155" s="771"/>
      <c r="T155" s="771"/>
      <c r="U155" s="771"/>
      <c r="V155" s="771"/>
      <c r="W155" s="771"/>
      <c r="X155" s="771"/>
      <c r="Y155" s="771"/>
      <c r="Z155" s="771"/>
      <c r="AA155" s="771"/>
      <c r="AB155" s="771"/>
      <c r="AC155" s="771"/>
      <c r="AD155" s="771"/>
      <c r="AE155" s="771"/>
      <c r="AF155" s="771"/>
      <c r="AG155" s="1936"/>
      <c r="AH155" s="1936"/>
      <c r="AI155" s="1936"/>
      <c r="AJ155" s="1936"/>
      <c r="AK155" s="1936"/>
      <c r="AL155" s="1936"/>
      <c r="AM155" s="1936"/>
      <c r="AN155" s="1936"/>
      <c r="AO155" s="1936"/>
      <c r="AP155" s="1936"/>
      <c r="AQ155" s="1936"/>
      <c r="AR155" s="1936"/>
      <c r="AS155" s="1936"/>
      <c r="AT155" s="1936"/>
      <c r="AU155" s="1936"/>
      <c r="AV155" s="1936"/>
      <c r="AW155" s="1936"/>
      <c r="AX155" s="1936"/>
      <c r="AY155" s="1936"/>
      <c r="AZ155" s="1936"/>
      <c r="BA155" s="1936"/>
      <c r="BB155" s="1936"/>
      <c r="BC155" s="1936"/>
      <c r="BD155" s="1936"/>
      <c r="BE155" s="1936"/>
      <c r="BF155" s="1936"/>
      <c r="BG155" s="1936"/>
      <c r="BH155" s="1936"/>
      <c r="BI155" s="1936"/>
      <c r="BJ155" s="1936"/>
      <c r="BK155" s="1936"/>
      <c r="BL155" s="1936"/>
      <c r="BM155" s="1936"/>
      <c r="BN155" s="1936"/>
      <c r="BO155" s="1936"/>
      <c r="BP155" s="1936"/>
      <c r="BQ155" s="1936"/>
      <c r="BR155" s="1936"/>
      <c r="BS155" s="1936"/>
      <c r="BT155" s="1936"/>
      <c r="BU155" s="1936"/>
      <c r="BV155" s="1936"/>
      <c r="BW155" s="1936"/>
      <c r="BX155" s="1936"/>
      <c r="BY155" s="1936"/>
      <c r="BZ155" s="1936"/>
      <c r="CA155" s="1936"/>
      <c r="CB155" s="1936"/>
      <c r="CC155" s="1936"/>
      <c r="CD155" s="1936"/>
    </row>
    <row r="156" spans="1:130" ht="20.100000000000001" customHeight="1" x14ac:dyDescent="0.2">
      <c r="A156" s="843"/>
      <c r="B156" s="2393" t="s">
        <v>3552</v>
      </c>
      <c r="C156" s="2394"/>
      <c r="D156" s="2394"/>
      <c r="E156" s="2394"/>
      <c r="F156" s="2394"/>
      <c r="G156" s="2394"/>
      <c r="H156" s="873"/>
      <c r="I156" s="771"/>
      <c r="L156" s="771"/>
      <c r="M156" s="771"/>
      <c r="N156" s="771"/>
      <c r="O156" s="771"/>
      <c r="P156" s="771"/>
      <c r="Q156" s="771"/>
      <c r="R156" s="771"/>
      <c r="S156" s="771"/>
      <c r="T156" s="771"/>
      <c r="U156" s="771"/>
      <c r="V156" s="771"/>
      <c r="W156" s="771"/>
      <c r="X156" s="771"/>
      <c r="Y156" s="771"/>
      <c r="Z156" s="771"/>
      <c r="AA156" s="771"/>
      <c r="AB156" s="771"/>
      <c r="AC156" s="771"/>
      <c r="AD156" s="771"/>
      <c r="AE156" s="771"/>
      <c r="AF156" s="771"/>
      <c r="DT156" s="771"/>
      <c r="DU156" s="771"/>
      <c r="DV156" s="771"/>
      <c r="DW156" s="771"/>
      <c r="DX156" s="771"/>
      <c r="DY156" s="771"/>
      <c r="DZ156" s="771"/>
    </row>
    <row r="157" spans="1:130" ht="20.100000000000001" customHeight="1" thickBot="1" x14ac:dyDescent="0.25">
      <c r="A157" s="843"/>
      <c r="B157" s="2396"/>
      <c r="C157" s="2396"/>
      <c r="D157" s="2396"/>
      <c r="E157" s="2396"/>
      <c r="F157" s="2396"/>
      <c r="G157" s="2396"/>
      <c r="H157" s="874"/>
      <c r="I157" s="771"/>
      <c r="L157" s="771"/>
      <c r="M157" s="771"/>
      <c r="N157" s="771"/>
      <c r="O157" s="771"/>
      <c r="P157" s="771"/>
      <c r="Q157" s="771"/>
      <c r="R157" s="771"/>
      <c r="S157" s="771"/>
      <c r="T157" s="771"/>
      <c r="U157" s="771"/>
      <c r="V157" s="771"/>
      <c r="W157" s="771"/>
      <c r="X157" s="771"/>
      <c r="Y157" s="771"/>
      <c r="Z157" s="771"/>
      <c r="AA157" s="771"/>
      <c r="AB157" s="771"/>
      <c r="AC157" s="771"/>
      <c r="AD157" s="771"/>
      <c r="AE157" s="771"/>
      <c r="AF157" s="771"/>
      <c r="DT157" s="771"/>
      <c r="DU157" s="771"/>
      <c r="DV157" s="771"/>
      <c r="DW157" s="771"/>
      <c r="DX157" s="771"/>
      <c r="DY157" s="771"/>
      <c r="DZ157" s="771"/>
    </row>
    <row r="158" spans="1:130" x14ac:dyDescent="0.2">
      <c r="A158" s="843"/>
      <c r="B158" s="851"/>
      <c r="C158" s="718"/>
      <c r="D158" s="719"/>
      <c r="E158" s="719"/>
      <c r="F158" s="1541"/>
      <c r="G158" s="1541"/>
      <c r="H158" s="721"/>
      <c r="I158" s="771"/>
      <c r="K158" s="782"/>
      <c r="L158" s="782"/>
      <c r="M158" s="782"/>
      <c r="N158" s="782"/>
      <c r="O158" s="782"/>
      <c r="P158" s="782"/>
      <c r="Q158" s="782"/>
      <c r="R158" s="782"/>
      <c r="S158" s="782"/>
      <c r="T158" s="782"/>
      <c r="U158" s="782"/>
      <c r="V158" s="782"/>
      <c r="W158" s="782"/>
      <c r="X158" s="782"/>
      <c r="Y158" s="782"/>
      <c r="Z158" s="782"/>
      <c r="AA158" s="782"/>
      <c r="AB158" s="782"/>
      <c r="AC158" s="782"/>
      <c r="AD158" s="782"/>
      <c r="AE158" s="782"/>
      <c r="AF158" s="782"/>
      <c r="AG158" s="782"/>
      <c r="AH158" s="782"/>
      <c r="AI158" s="782"/>
      <c r="AJ158" s="782"/>
      <c r="AK158" s="782"/>
      <c r="AL158" s="782"/>
      <c r="AM158" s="782"/>
      <c r="AN158" s="782"/>
      <c r="AO158" s="782"/>
      <c r="AP158" s="782"/>
      <c r="AQ158" s="782"/>
      <c r="AR158" s="782"/>
      <c r="AS158" s="782"/>
      <c r="AT158" s="782"/>
      <c r="AU158" s="782"/>
      <c r="AV158" s="782"/>
      <c r="AW158" s="782"/>
      <c r="AX158" s="782"/>
      <c r="AY158" s="782"/>
      <c r="AZ158" s="782"/>
      <c r="BA158" s="782"/>
      <c r="BB158" s="782"/>
      <c r="BC158" s="782"/>
      <c r="BD158" s="782"/>
      <c r="BE158" s="782"/>
      <c r="BF158" s="782"/>
      <c r="DT158" s="771"/>
      <c r="DU158" s="771"/>
      <c r="DV158" s="771"/>
      <c r="DW158" s="771"/>
      <c r="DX158" s="771"/>
      <c r="DY158" s="771"/>
      <c r="DZ158" s="771"/>
    </row>
    <row r="159" spans="1:130" x14ac:dyDescent="0.2">
      <c r="A159" s="843"/>
      <c r="B159" s="844"/>
      <c r="C159" s="1881"/>
      <c r="D159" s="1882"/>
      <c r="E159" s="1882"/>
      <c r="F159" s="1982"/>
      <c r="G159" s="1982"/>
      <c r="H159" s="2388" t="s">
        <v>1850</v>
      </c>
      <c r="I159" s="771"/>
      <c r="K159" s="782"/>
      <c r="L159" s="2475"/>
      <c r="M159" s="2475"/>
      <c r="N159" s="2475"/>
      <c r="O159" s="2475"/>
      <c r="P159" s="2475"/>
      <c r="Q159" s="2475"/>
      <c r="R159" s="2475"/>
      <c r="S159" s="2475"/>
      <c r="T159" s="782"/>
      <c r="U159" s="2475"/>
      <c r="V159" s="2475"/>
      <c r="W159" s="2475"/>
      <c r="X159" s="2475"/>
      <c r="Y159" s="2475"/>
      <c r="Z159" s="2475"/>
      <c r="AA159" s="2475"/>
      <c r="AB159" s="2475"/>
      <c r="AC159" s="782"/>
      <c r="AD159" s="2475"/>
      <c r="AE159" s="2475"/>
      <c r="AF159" s="2475"/>
      <c r="AG159" s="2475"/>
      <c r="AH159" s="2475"/>
      <c r="AI159" s="2475"/>
      <c r="AJ159" s="2475"/>
      <c r="AK159" s="2475"/>
      <c r="AL159" s="782"/>
      <c r="AM159" s="2476"/>
      <c r="AN159" s="2476"/>
      <c r="AO159" s="2476"/>
      <c r="AP159" s="2476"/>
      <c r="AQ159" s="2476"/>
      <c r="AR159" s="2476"/>
      <c r="AS159" s="2476"/>
      <c r="AT159" s="2476"/>
      <c r="AU159" s="782"/>
      <c r="AV159" s="2476"/>
      <c r="AW159" s="2476"/>
      <c r="AX159" s="2476"/>
      <c r="AY159" s="2476"/>
      <c r="AZ159" s="2476"/>
      <c r="BA159" s="2476"/>
      <c r="BB159" s="2476"/>
      <c r="BC159" s="2476"/>
      <c r="BD159" s="782"/>
      <c r="BE159" s="782"/>
      <c r="BF159" s="782"/>
      <c r="DT159" s="771"/>
      <c r="DU159" s="771"/>
      <c r="DV159" s="771"/>
      <c r="DW159" s="771"/>
      <c r="DX159" s="771"/>
      <c r="DY159" s="771"/>
      <c r="DZ159" s="771"/>
    </row>
    <row r="160" spans="1:130" ht="10.5" customHeight="1" x14ac:dyDescent="0.2">
      <c r="A160" s="843"/>
      <c r="B160" s="2383"/>
      <c r="C160" s="135" t="s">
        <v>1301</v>
      </c>
      <c r="D160" s="1861" t="s">
        <v>784</v>
      </c>
      <c r="E160" s="1862" t="s">
        <v>2117</v>
      </c>
      <c r="F160" s="1983"/>
      <c r="G160" s="1983" t="s">
        <v>2116</v>
      </c>
      <c r="H160" s="2389"/>
      <c r="I160" s="771"/>
      <c r="K160" s="782"/>
      <c r="L160" s="782"/>
      <c r="M160" s="782"/>
      <c r="N160" s="782"/>
      <c r="O160" s="782"/>
      <c r="P160" s="782"/>
      <c r="Q160" s="782"/>
      <c r="R160" s="782"/>
      <c r="S160" s="782"/>
      <c r="T160" s="782"/>
      <c r="U160" s="782"/>
      <c r="V160" s="782"/>
      <c r="W160" s="782"/>
      <c r="X160" s="782"/>
      <c r="Y160" s="782"/>
      <c r="Z160" s="782"/>
      <c r="AA160" s="782"/>
      <c r="AB160" s="782"/>
      <c r="AC160" s="782"/>
      <c r="AD160" s="782"/>
      <c r="AE160" s="782"/>
      <c r="AF160" s="782"/>
      <c r="AG160" s="782"/>
      <c r="AH160" s="782"/>
      <c r="AI160" s="782"/>
      <c r="AJ160" s="782"/>
      <c r="AK160" s="782"/>
      <c r="AL160" s="782"/>
      <c r="AM160" s="782"/>
      <c r="AN160" s="782"/>
      <c r="AO160" s="782"/>
      <c r="AP160" s="782"/>
      <c r="AQ160" s="782"/>
      <c r="AR160" s="782"/>
      <c r="AS160" s="782"/>
      <c r="AT160" s="782"/>
      <c r="AU160" s="782"/>
      <c r="AV160" s="782"/>
      <c r="AW160" s="782"/>
      <c r="AX160" s="782"/>
      <c r="AY160" s="782"/>
      <c r="AZ160" s="782"/>
      <c r="BA160" s="782"/>
      <c r="BB160" s="782"/>
      <c r="BC160" s="782"/>
      <c r="BD160" s="782"/>
      <c r="BE160" s="782"/>
      <c r="BF160" s="782"/>
      <c r="DT160" s="771"/>
      <c r="DU160" s="771"/>
      <c r="DV160" s="771"/>
      <c r="DW160" s="771"/>
      <c r="DX160" s="771"/>
      <c r="DY160" s="771"/>
      <c r="DZ160" s="771"/>
    </row>
    <row r="161" spans="1:130" ht="12.75" customHeight="1" x14ac:dyDescent="0.2">
      <c r="A161" s="1055"/>
      <c r="B161" s="2073"/>
      <c r="C161" s="1952" t="s">
        <v>3546</v>
      </c>
      <c r="D161" s="1952" t="str">
        <f>VLOOKUP(C161,всецены,2,FALSE)</f>
        <v xml:space="preserve">LBX, Вал синхрониз. Tip-on BM T60L1118W </v>
      </c>
      <c r="E161" s="1984">
        <v>1</v>
      </c>
      <c r="F161" s="1985">
        <f>VLOOKUP(C161,всецены,4,FALSE)</f>
        <v>289.50361440000006</v>
      </c>
      <c r="G161" s="1986">
        <f>F161*E161</f>
        <v>289.50361440000006</v>
      </c>
      <c r="H161" s="2386">
        <f>SUM(G161:G162)</f>
        <v>322.03211040000008</v>
      </c>
      <c r="I161" s="771"/>
      <c r="K161" s="782"/>
      <c r="L161" s="782"/>
      <c r="M161" s="782"/>
      <c r="N161" s="782"/>
      <c r="O161" s="782"/>
      <c r="P161" s="782"/>
      <c r="Q161" s="782"/>
      <c r="R161" s="782"/>
      <c r="S161" s="782"/>
      <c r="T161" s="782"/>
      <c r="U161" s="782"/>
      <c r="V161" s="782"/>
      <c r="W161" s="782"/>
      <c r="X161" s="782"/>
      <c r="Y161" s="782"/>
      <c r="Z161" s="782"/>
      <c r="AA161" s="782"/>
      <c r="AB161" s="782"/>
      <c r="AC161" s="782"/>
      <c r="AD161" s="782"/>
      <c r="AE161" s="782"/>
      <c r="AF161" s="782"/>
      <c r="AG161" s="782"/>
      <c r="AH161" s="782"/>
      <c r="AI161" s="782"/>
      <c r="AJ161" s="782"/>
      <c r="AK161" s="782"/>
      <c r="AL161" s="782"/>
      <c r="AM161" s="782"/>
      <c r="AN161" s="782"/>
      <c r="AO161" s="782"/>
      <c r="AP161" s="782"/>
      <c r="AQ161" s="782"/>
      <c r="AR161" s="782"/>
      <c r="AS161" s="782"/>
      <c r="AT161" s="782"/>
      <c r="AU161" s="782"/>
      <c r="AV161" s="782"/>
      <c r="AW161" s="782"/>
      <c r="AX161" s="782"/>
      <c r="AY161" s="782"/>
      <c r="AZ161" s="782"/>
      <c r="BA161" s="782"/>
      <c r="BB161" s="782"/>
      <c r="BC161" s="782"/>
      <c r="BD161" s="782"/>
      <c r="BE161" s="782"/>
      <c r="BF161" s="782"/>
      <c r="DT161" s="771"/>
      <c r="DU161" s="771"/>
      <c r="DV161" s="771"/>
      <c r="DW161" s="771"/>
      <c r="DX161" s="771"/>
      <c r="DY161" s="771"/>
      <c r="DZ161" s="771"/>
    </row>
    <row r="162" spans="1:130" ht="13.5" customHeight="1" thickBot="1" x14ac:dyDescent="0.25">
      <c r="A162" s="1056"/>
      <c r="B162" s="2074"/>
      <c r="C162" s="1953" t="s">
        <v>3543</v>
      </c>
      <c r="D162" s="1953" t="str">
        <f>VLOOKUP(C162,всецены,2,FALSE)</f>
        <v xml:space="preserve">LBX, Шестерня синхр. Tip-on BM T60.000D </v>
      </c>
      <c r="E162" s="1970">
        <v>2</v>
      </c>
      <c r="F162" s="1987">
        <f>VLOOKUP(C162,всецены,4,FALSE)</f>
        <v>16.264248000000002</v>
      </c>
      <c r="G162" s="1988">
        <f>F162*E162</f>
        <v>32.528496000000004</v>
      </c>
      <c r="H162" s="2387"/>
      <c r="I162" s="771"/>
      <c r="K162" s="782"/>
      <c r="L162" s="782"/>
      <c r="M162" s="782"/>
      <c r="N162" s="782"/>
      <c r="O162" s="782"/>
      <c r="P162" s="782"/>
      <c r="Q162" s="782"/>
      <c r="R162" s="782"/>
      <c r="S162" s="782"/>
      <c r="T162" s="782"/>
      <c r="U162" s="782"/>
      <c r="V162" s="782"/>
      <c r="W162" s="782"/>
      <c r="X162" s="782"/>
      <c r="Y162" s="782"/>
      <c r="Z162" s="782"/>
      <c r="AA162" s="782"/>
      <c r="AB162" s="782"/>
      <c r="AC162" s="782"/>
      <c r="AD162" s="782"/>
      <c r="AE162" s="782"/>
      <c r="AF162" s="782"/>
      <c r="AG162" s="782"/>
      <c r="AH162" s="782"/>
      <c r="AI162" s="782"/>
      <c r="AJ162" s="782"/>
      <c r="AK162" s="782"/>
      <c r="AL162" s="782"/>
      <c r="AM162" s="782"/>
      <c r="AN162" s="782"/>
      <c r="AO162" s="782"/>
      <c r="AP162" s="782"/>
      <c r="AQ162" s="782"/>
      <c r="AR162" s="782"/>
      <c r="AS162" s="782"/>
      <c r="AT162" s="782"/>
      <c r="AU162" s="782"/>
      <c r="AV162" s="782"/>
      <c r="AW162" s="782"/>
      <c r="AX162" s="782"/>
      <c r="AY162" s="782"/>
      <c r="AZ162" s="782"/>
      <c r="BA162" s="782"/>
      <c r="BB162" s="782"/>
      <c r="BC162" s="782"/>
      <c r="BD162" s="782"/>
      <c r="BE162" s="782"/>
      <c r="BF162" s="782"/>
      <c r="DT162" s="771"/>
      <c r="DU162" s="771"/>
      <c r="DV162" s="771"/>
      <c r="DW162" s="771"/>
      <c r="DX162" s="771"/>
      <c r="DY162" s="771"/>
      <c r="DZ162" s="771"/>
    </row>
    <row r="163" spans="1:130" ht="12.75" x14ac:dyDescent="0.2">
      <c r="A163" s="782"/>
      <c r="B163" s="28"/>
      <c r="C163" s="28"/>
      <c r="D163" s="28"/>
      <c r="E163" s="1937"/>
      <c r="F163" s="1452"/>
      <c r="G163" s="1452"/>
      <c r="H163" s="38"/>
      <c r="I163" s="611"/>
      <c r="L163" s="771"/>
      <c r="M163" s="771"/>
      <c r="N163" s="771"/>
      <c r="O163" s="771"/>
      <c r="P163" s="771"/>
      <c r="Q163" s="771"/>
      <c r="R163" s="771"/>
      <c r="S163" s="771"/>
      <c r="T163" s="771"/>
      <c r="U163" s="771"/>
      <c r="V163" s="771"/>
      <c r="W163" s="771"/>
      <c r="X163" s="771"/>
      <c r="Y163" s="771"/>
      <c r="Z163" s="771"/>
      <c r="AA163" s="771"/>
      <c r="AB163" s="771"/>
      <c r="AC163" s="771"/>
      <c r="AD163" s="771"/>
      <c r="AE163" s="771"/>
      <c r="AF163" s="771"/>
      <c r="AG163" s="1936"/>
      <c r="AH163" s="1936"/>
      <c r="AI163" s="1936"/>
      <c r="AJ163" s="1936"/>
      <c r="AK163" s="1936"/>
      <c r="AL163" s="1936"/>
      <c r="AM163" s="1936"/>
      <c r="AN163" s="1936"/>
      <c r="AO163" s="1936"/>
      <c r="AP163" s="1936"/>
      <c r="AQ163" s="1936"/>
      <c r="AR163" s="1936"/>
      <c r="AS163" s="1936"/>
      <c r="AT163" s="1936"/>
      <c r="AU163" s="1936"/>
      <c r="AV163" s="1936"/>
      <c r="AW163" s="1936"/>
      <c r="AX163" s="1936"/>
      <c r="AY163" s="1936"/>
      <c r="AZ163" s="1936"/>
      <c r="BA163" s="1936"/>
      <c r="BB163" s="1936"/>
      <c r="BC163" s="1936"/>
      <c r="BD163" s="1936"/>
      <c r="BE163" s="1936"/>
      <c r="BF163" s="1936"/>
      <c r="BG163" s="1936"/>
      <c r="BH163" s="1936"/>
      <c r="BI163" s="1936"/>
      <c r="BJ163" s="1936"/>
      <c r="BK163" s="1936"/>
      <c r="BL163" s="1936"/>
      <c r="BM163" s="1936"/>
      <c r="BN163" s="1936"/>
      <c r="BO163" s="1936"/>
      <c r="BP163" s="1936"/>
      <c r="BQ163" s="1936"/>
      <c r="BR163" s="1936"/>
      <c r="BS163" s="1936"/>
      <c r="BT163" s="1936"/>
      <c r="BU163" s="1936"/>
      <c r="BV163" s="1936"/>
      <c r="BW163" s="1936"/>
      <c r="BX163" s="1936"/>
      <c r="BY163" s="1936"/>
      <c r="BZ163" s="1936"/>
      <c r="CA163" s="1936"/>
      <c r="CB163" s="1936"/>
      <c r="CC163" s="1936"/>
      <c r="CD163" s="1936"/>
    </row>
    <row r="164" spans="1:130" ht="20.25" customHeight="1" x14ac:dyDescent="0.3">
      <c r="A164" s="1389"/>
      <c r="B164" s="1127" t="s">
        <v>3580</v>
      </c>
      <c r="C164" s="8"/>
      <c r="D164" s="8"/>
      <c r="E164" s="1938"/>
      <c r="F164" s="1441"/>
      <c r="G164" s="1441"/>
      <c r="H164" s="37"/>
      <c r="I164" s="35"/>
      <c r="L164" s="771"/>
      <c r="M164" s="771"/>
      <c r="N164" s="771"/>
      <c r="O164" s="771"/>
      <c r="P164" s="771"/>
      <c r="Q164" s="771"/>
      <c r="R164" s="771"/>
      <c r="S164" s="771"/>
      <c r="T164" s="771"/>
      <c r="U164" s="771"/>
      <c r="V164" s="771"/>
      <c r="W164" s="771"/>
      <c r="X164" s="771"/>
      <c r="Y164" s="771"/>
      <c r="Z164" s="771"/>
      <c r="AA164" s="771"/>
      <c r="AB164" s="771"/>
      <c r="AC164" s="771"/>
      <c r="AD164" s="771"/>
      <c r="AE164" s="771"/>
      <c r="AF164" s="771"/>
      <c r="AG164" s="1936"/>
      <c r="AH164" s="1936"/>
      <c r="AI164" s="1936"/>
      <c r="AJ164" s="1936"/>
      <c r="AK164" s="1936"/>
      <c r="AL164" s="1936"/>
      <c r="AM164" s="1936"/>
      <c r="AN164" s="1936"/>
      <c r="AO164" s="1936"/>
      <c r="AP164" s="1936"/>
      <c r="AQ164" s="1936"/>
      <c r="AR164" s="1936"/>
      <c r="AS164" s="1936"/>
      <c r="AT164" s="1936"/>
      <c r="AU164" s="1936"/>
      <c r="AV164" s="1936"/>
      <c r="AW164" s="1936"/>
      <c r="AX164" s="1936"/>
      <c r="AY164" s="1936"/>
      <c r="AZ164" s="1936"/>
      <c r="BA164" s="1936"/>
      <c r="BB164" s="1936"/>
      <c r="BC164" s="1936"/>
      <c r="BD164" s="1936"/>
      <c r="BE164" s="1936"/>
      <c r="BF164" s="1936"/>
      <c r="BI164" s="2422" t="s">
        <v>4420</v>
      </c>
      <c r="BJ164" s="2422"/>
      <c r="BK164" s="2422"/>
      <c r="BL164" s="2422"/>
      <c r="BM164" s="2422"/>
      <c r="BN164" s="1936"/>
      <c r="BO164" s="1936"/>
      <c r="BP164" s="1936"/>
      <c r="BQ164" s="1936"/>
      <c r="BR164" s="1936"/>
      <c r="BS164" s="1936"/>
      <c r="BT164" s="1936"/>
      <c r="BU164" s="1936"/>
      <c r="BV164" s="1936"/>
      <c r="BW164" s="1936"/>
      <c r="BX164" s="1936"/>
      <c r="BY164" s="1936"/>
      <c r="BZ164" s="1936"/>
      <c r="CA164" s="1936"/>
      <c r="CB164" s="1936"/>
      <c r="CC164" s="1936"/>
      <c r="CD164" s="1936"/>
    </row>
    <row r="165" spans="1:130" ht="12.75" customHeight="1" x14ac:dyDescent="0.2">
      <c r="A165" s="771"/>
      <c r="B165" s="8"/>
      <c r="C165" s="8"/>
      <c r="D165" s="8"/>
      <c r="E165" s="1938"/>
      <c r="F165" s="1441"/>
      <c r="G165" s="1441"/>
      <c r="H165" s="37"/>
      <c r="I165" s="35"/>
      <c r="L165" s="771"/>
      <c r="M165" s="771"/>
      <c r="N165" s="771"/>
      <c r="O165" s="771"/>
      <c r="P165" s="771"/>
      <c r="Q165" s="771"/>
      <c r="R165" s="771"/>
      <c r="S165" s="771"/>
      <c r="T165" s="771"/>
      <c r="U165" s="771"/>
      <c r="V165" s="771"/>
      <c r="W165" s="771"/>
      <c r="X165" s="771"/>
      <c r="Y165" s="771"/>
      <c r="Z165" s="771"/>
      <c r="AA165" s="771"/>
      <c r="AB165" s="771"/>
      <c r="AC165" s="771"/>
      <c r="AD165" s="771"/>
      <c r="AE165" s="771"/>
      <c r="AF165" s="771"/>
      <c r="AG165" s="1936"/>
      <c r="AH165" s="1936"/>
      <c r="AI165" s="1936"/>
      <c r="AJ165" s="1936"/>
      <c r="AK165" s="1936"/>
      <c r="AL165" s="1936"/>
      <c r="AM165" s="1936"/>
      <c r="AN165" s="1936"/>
      <c r="AO165" s="1936"/>
      <c r="AP165" s="1936"/>
      <c r="AQ165" s="1936"/>
      <c r="AR165" s="1936"/>
      <c r="AS165" s="1936"/>
      <c r="AT165" s="1936"/>
      <c r="AU165" s="1936"/>
      <c r="AV165" s="1936"/>
      <c r="AW165" s="1936"/>
      <c r="AX165" s="1936"/>
      <c r="AY165" s="1936"/>
      <c r="AZ165" s="1936"/>
      <c r="BA165" s="1936"/>
      <c r="BB165" s="1936"/>
      <c r="BC165" s="1936"/>
      <c r="BD165" s="1936"/>
      <c r="BE165" s="1936"/>
      <c r="BF165" s="1936"/>
      <c r="BN165" s="1936"/>
      <c r="BO165" s="1936"/>
      <c r="BP165" s="1936"/>
      <c r="BQ165" s="1936"/>
      <c r="BR165" s="1936"/>
      <c r="BS165" s="1936"/>
      <c r="BT165" s="1936"/>
      <c r="BU165" s="1936"/>
      <c r="BV165" s="1936"/>
      <c r="BW165" s="1936"/>
      <c r="BX165" s="1936"/>
      <c r="BY165" s="1936"/>
      <c r="BZ165" s="1936"/>
      <c r="CA165" s="1936"/>
      <c r="CB165" s="1936"/>
      <c r="CC165" s="1936"/>
      <c r="CD165" s="1936"/>
    </row>
    <row r="166" spans="1:130" ht="20.100000000000001" customHeight="1" x14ac:dyDescent="0.2">
      <c r="A166" s="843"/>
      <c r="B166" s="2393" t="s">
        <v>3597</v>
      </c>
      <c r="C166" s="2394"/>
      <c r="D166" s="2394"/>
      <c r="E166" s="2394"/>
      <c r="F166" s="2394"/>
      <c r="G166" s="2394"/>
      <c r="H166" s="2394"/>
      <c r="I166" s="873"/>
      <c r="L166" s="771"/>
      <c r="M166" s="771"/>
      <c r="N166" s="771"/>
      <c r="O166" s="771"/>
      <c r="P166" s="771"/>
      <c r="Q166" s="771"/>
      <c r="R166" s="771"/>
      <c r="S166" s="771"/>
      <c r="T166" s="771"/>
      <c r="U166" s="771"/>
      <c r="V166" s="771"/>
      <c r="W166" s="771"/>
      <c r="X166" s="771"/>
      <c r="Y166" s="771"/>
      <c r="Z166" s="771"/>
      <c r="AA166" s="771"/>
      <c r="AB166" s="771"/>
      <c r="AC166" s="771"/>
      <c r="AD166" s="771"/>
      <c r="AE166" s="771"/>
      <c r="AF166" s="771"/>
      <c r="AG166" s="1936"/>
      <c r="AH166" s="1936"/>
      <c r="AI166" s="1936"/>
      <c r="AJ166" s="1936"/>
      <c r="AK166" s="1936"/>
      <c r="AL166" s="1936"/>
      <c r="AM166" s="1936"/>
      <c r="AN166" s="1936"/>
      <c r="AO166" s="1936"/>
      <c r="AP166" s="1936"/>
      <c r="AQ166" s="1936"/>
      <c r="AR166" s="1936"/>
      <c r="AS166" s="1936"/>
      <c r="AT166" s="1936"/>
      <c r="AU166" s="1936"/>
      <c r="AV166" s="1936"/>
      <c r="AW166" s="1936"/>
      <c r="AX166" s="1936"/>
      <c r="AY166" s="1936"/>
      <c r="AZ166" s="1936"/>
      <c r="BA166" s="1936"/>
      <c r="BB166" s="1936"/>
      <c r="BC166" s="1936"/>
      <c r="BD166" s="1936"/>
      <c r="BE166" s="1936"/>
      <c r="BF166" s="1936"/>
      <c r="BG166" s="1936"/>
      <c r="BI166" s="1532"/>
      <c r="BJ166" s="1533" t="s">
        <v>2396</v>
      </c>
      <c r="BK166" s="1533" t="s">
        <v>2398</v>
      </c>
      <c r="BL166" s="1533" t="s">
        <v>2397</v>
      </c>
      <c r="BM166" s="1533" t="s">
        <v>3159</v>
      </c>
      <c r="BN166" s="1936"/>
      <c r="BO166" s="1936"/>
      <c r="BP166" s="1936"/>
      <c r="BQ166" s="1936"/>
      <c r="BR166" s="1936"/>
      <c r="BS166" s="1936"/>
      <c r="BT166" s="1936"/>
      <c r="BU166" s="1936"/>
      <c r="BV166" s="1936"/>
      <c r="BW166" s="1936"/>
      <c r="BX166" s="1936"/>
      <c r="BY166" s="1936"/>
      <c r="BZ166" s="1936"/>
      <c r="CA166" s="1936"/>
      <c r="CB166" s="1936"/>
      <c r="CC166" s="1936"/>
      <c r="CD166" s="1936"/>
    </row>
    <row r="167" spans="1:130" ht="20.100000000000001" customHeight="1" thickBot="1" x14ac:dyDescent="0.25">
      <c r="A167" s="843"/>
      <c r="B167" s="2396"/>
      <c r="C167" s="2396"/>
      <c r="D167" s="2396"/>
      <c r="E167" s="2396"/>
      <c r="F167" s="2396"/>
      <c r="G167" s="2396"/>
      <c r="H167" s="2396"/>
      <c r="I167" s="874"/>
      <c r="L167" s="771"/>
      <c r="M167" s="771"/>
      <c r="N167" s="771"/>
      <c r="O167" s="771"/>
      <c r="P167" s="771"/>
      <c r="Q167" s="771"/>
      <c r="R167" s="771"/>
      <c r="S167" s="771"/>
      <c r="T167" s="771"/>
      <c r="U167" s="771"/>
      <c r="V167" s="771"/>
      <c r="W167" s="771"/>
      <c r="X167" s="771"/>
      <c r="Y167" s="771"/>
      <c r="Z167" s="771"/>
      <c r="AA167" s="771"/>
      <c r="AB167" s="771"/>
      <c r="AC167" s="771"/>
      <c r="AD167" s="771"/>
      <c r="AE167" s="771"/>
      <c r="AF167" s="771"/>
      <c r="AG167" s="1936"/>
      <c r="AH167" s="1936"/>
      <c r="AI167" s="1936"/>
      <c r="AJ167" s="1936"/>
      <c r="AK167" s="1936"/>
      <c r="AL167" s="1936"/>
      <c r="AM167" s="1936"/>
      <c r="AN167" s="1936"/>
      <c r="AO167" s="1936"/>
      <c r="AP167" s="1936"/>
      <c r="AQ167" s="1936"/>
      <c r="AR167" s="1936"/>
      <c r="AS167" s="1936"/>
      <c r="AT167" s="1936"/>
      <c r="AU167" s="1936"/>
      <c r="AV167" s="1936"/>
      <c r="AW167" s="1936"/>
      <c r="AX167" s="1936"/>
      <c r="AY167" s="1936"/>
      <c r="AZ167" s="1936"/>
      <c r="BA167" s="1936"/>
      <c r="BB167" s="1936"/>
      <c r="BC167" s="1936"/>
      <c r="BD167" s="1936"/>
      <c r="BE167" s="1936"/>
      <c r="BF167" s="1936"/>
      <c r="BI167" s="1943">
        <v>270</v>
      </c>
      <c r="BJ167" s="1534"/>
      <c r="BK167" s="1534"/>
      <c r="BL167" s="1534"/>
      <c r="BM167" s="1529">
        <v>0</v>
      </c>
      <c r="BN167" s="1936"/>
      <c r="BO167" s="1936"/>
      <c r="BP167" s="1936"/>
      <c r="BQ167" s="1936"/>
      <c r="BR167" s="1936"/>
      <c r="BS167" s="1936"/>
      <c r="BT167" s="1936"/>
      <c r="BU167" s="1936"/>
      <c r="BV167" s="1936"/>
      <c r="BW167" s="1936"/>
      <c r="BX167" s="1936"/>
      <c r="BY167" s="1936"/>
      <c r="BZ167" s="1936"/>
      <c r="CA167" s="1936"/>
      <c r="CB167" s="1936"/>
      <c r="CC167" s="1936"/>
      <c r="CD167" s="1936"/>
    </row>
    <row r="168" spans="1:130" ht="15" customHeight="1" x14ac:dyDescent="0.2">
      <c r="A168" s="843"/>
      <c r="B168" s="851">
        <v>500</v>
      </c>
      <c r="C168" s="718"/>
      <c r="D168" s="719"/>
      <c r="E168" s="719"/>
      <c r="F168" s="1445"/>
      <c r="G168" s="1445"/>
      <c r="H168" s="720"/>
      <c r="I168" s="721"/>
      <c r="L168" s="771"/>
      <c r="M168" s="771"/>
      <c r="N168" s="771"/>
      <c r="O168" s="771"/>
      <c r="P168" s="771"/>
      <c r="Q168" s="771"/>
      <c r="R168" s="771"/>
      <c r="S168" s="771"/>
      <c r="T168" s="771"/>
      <c r="U168" s="771"/>
      <c r="V168" s="771"/>
      <c r="W168" s="771"/>
      <c r="X168" s="771"/>
      <c r="Y168" s="771"/>
      <c r="Z168" s="771"/>
      <c r="AA168" s="771"/>
      <c r="AB168" s="771"/>
      <c r="AC168" s="771"/>
      <c r="AD168" s="771"/>
      <c r="AE168" s="771"/>
      <c r="AF168" s="771"/>
      <c r="AG168" s="1936"/>
      <c r="AH168" s="1936"/>
      <c r="AI168" s="1936"/>
      <c r="AJ168" s="1936"/>
      <c r="AK168" s="1936"/>
      <c r="AL168" s="1936"/>
      <c r="AM168" s="1936"/>
      <c r="AN168" s="1936"/>
      <c r="AO168" s="1936"/>
      <c r="AP168" s="1936"/>
      <c r="AQ168" s="1936"/>
      <c r="AR168" s="1936"/>
      <c r="AS168" s="1936"/>
      <c r="AT168" s="1936"/>
      <c r="AU168" s="1936"/>
      <c r="AV168" s="1936"/>
      <c r="AW168" s="1936"/>
      <c r="AX168" s="1936"/>
      <c r="AY168" s="1936"/>
      <c r="AZ168" s="1936"/>
      <c r="BA168" s="1936"/>
      <c r="BB168" s="1936"/>
      <c r="BC168" s="1936"/>
      <c r="BD168" s="1936"/>
      <c r="BE168" s="1936"/>
      <c r="BF168" s="1936"/>
      <c r="BG168" s="1533" t="s">
        <v>2396</v>
      </c>
      <c r="BH168" s="1534" t="str">
        <f>VLOOKUP($C$127,$BI$167:$BM$172,2,FALSE)</f>
        <v>9153879/</v>
      </c>
      <c r="BI168" s="1943">
        <v>300</v>
      </c>
      <c r="BJ168" s="1534"/>
      <c r="BK168" s="1534"/>
      <c r="BL168" s="1534"/>
      <c r="BM168" s="1529">
        <v>0</v>
      </c>
      <c r="BN168" s="1936"/>
      <c r="BO168" s="1936"/>
      <c r="BP168" s="1936"/>
      <c r="BQ168" s="1936"/>
      <c r="BR168" s="1936"/>
      <c r="BS168" s="1936"/>
      <c r="BT168" s="1936"/>
      <c r="BU168" s="1936"/>
      <c r="BV168" s="1936"/>
      <c r="BW168" s="1936"/>
      <c r="BX168" s="1936"/>
      <c r="BY168" s="1936"/>
      <c r="BZ168" s="1936"/>
      <c r="CA168" s="1936"/>
      <c r="CB168" s="1936"/>
      <c r="CC168" s="1936"/>
      <c r="CD168" s="1936"/>
    </row>
    <row r="169" spans="1:130" ht="15.75" customHeight="1" thickBot="1" x14ac:dyDescent="0.25">
      <c r="A169" s="843"/>
      <c r="B169" s="844" t="s">
        <v>1639</v>
      </c>
      <c r="C169" s="850">
        <v>500</v>
      </c>
      <c r="D169" s="867" t="s">
        <v>1689</v>
      </c>
      <c r="E169" s="867"/>
      <c r="F169" s="1446"/>
      <c r="G169" s="1446"/>
      <c r="H169" s="868"/>
      <c r="I169" s="2388" t="str">
        <f>IF(СОДЕРЖАНИЕ!P2=1,"EUR","RUB")</f>
        <v>RUB</v>
      </c>
      <c r="L169" s="771"/>
      <c r="M169" s="771"/>
      <c r="N169" s="771"/>
      <c r="O169" s="771"/>
      <c r="P169" s="771"/>
      <c r="Q169" s="771"/>
      <c r="R169" s="771"/>
      <c r="S169" s="771"/>
      <c r="T169" s="771"/>
      <c r="U169" s="771"/>
      <c r="V169" s="771"/>
      <c r="W169" s="771"/>
      <c r="X169" s="771"/>
      <c r="Y169" s="771"/>
      <c r="Z169" s="771"/>
      <c r="AA169" s="771"/>
      <c r="AB169" s="771"/>
      <c r="AC169" s="771"/>
      <c r="AD169" s="771"/>
      <c r="AE169" s="771"/>
      <c r="AF169" s="771"/>
      <c r="BE169" s="1936"/>
      <c r="BF169" s="1936"/>
      <c r="BG169" s="1533" t="s">
        <v>2398</v>
      </c>
      <c r="BH169" s="1534" t="str">
        <f>VLOOKUP($C$127,$BI$167:$BM$172,3,FALSE)</f>
        <v>9160529/</v>
      </c>
      <c r="BI169" s="1943">
        <v>350</v>
      </c>
      <c r="BJ169" s="1534"/>
      <c r="BK169" s="1534"/>
      <c r="BL169" s="1534"/>
      <c r="BM169" s="1529">
        <v>0</v>
      </c>
      <c r="BN169" s="1936"/>
      <c r="BO169" s="1936"/>
      <c r="BP169" s="1936"/>
      <c r="BQ169" s="1936"/>
      <c r="BR169" s="1936"/>
      <c r="BS169" s="1936"/>
      <c r="BT169" s="1936"/>
      <c r="BU169" s="1936"/>
      <c r="BV169" s="1936"/>
      <c r="BW169" s="1936"/>
      <c r="BX169" s="1936"/>
      <c r="BY169" s="1936"/>
      <c r="BZ169" s="1936"/>
      <c r="CA169" s="1936"/>
      <c r="CB169" s="1936"/>
      <c r="CC169" s="1936"/>
      <c r="CD169" s="1936"/>
    </row>
    <row r="170" spans="1:130" ht="9" customHeight="1" x14ac:dyDescent="0.2">
      <c r="A170" s="843"/>
      <c r="B170" s="2419"/>
      <c r="C170" s="135" t="s">
        <v>1301</v>
      </c>
      <c r="D170" s="1561" t="s">
        <v>784</v>
      </c>
      <c r="E170" s="1562" t="s">
        <v>2117</v>
      </c>
      <c r="F170" s="1563"/>
      <c r="G170" s="1564" t="s">
        <v>4335</v>
      </c>
      <c r="H170" s="1565" t="s">
        <v>2116</v>
      </c>
      <c r="I170" s="2389"/>
      <c r="L170" s="771"/>
      <c r="M170" s="771"/>
      <c r="N170" s="771"/>
      <c r="O170" s="771"/>
      <c r="P170" s="771"/>
      <c r="Q170" s="771"/>
      <c r="R170" s="771"/>
      <c r="S170" s="771"/>
      <c r="T170" s="771"/>
      <c r="U170" s="771"/>
      <c r="V170" s="771"/>
      <c r="W170" s="771"/>
      <c r="X170" s="771"/>
      <c r="Y170" s="771"/>
      <c r="Z170" s="771"/>
      <c r="AA170" s="771"/>
      <c r="AB170" s="771"/>
      <c r="AC170" s="771"/>
      <c r="AD170" s="771"/>
      <c r="AE170" s="771"/>
      <c r="AF170" s="771"/>
      <c r="BE170" s="1936"/>
      <c r="BF170" s="1936"/>
      <c r="BG170" s="1533" t="s">
        <v>2397</v>
      </c>
      <c r="BH170" s="1534" t="str">
        <f>VLOOKUP($C$127,$BI$167:$BM$172,4,FALSE)</f>
        <v>9177721/</v>
      </c>
      <c r="BI170" s="1943">
        <v>400</v>
      </c>
      <c r="BJ170" s="1534"/>
      <c r="BK170" s="1534"/>
      <c r="BL170" s="1534"/>
      <c r="BM170" s="1529">
        <v>0</v>
      </c>
      <c r="BN170" s="1936"/>
      <c r="BO170" s="1936"/>
      <c r="BP170" s="1936"/>
      <c r="BQ170" s="1936"/>
      <c r="BR170" s="1936"/>
      <c r="BS170" s="1936"/>
      <c r="BT170" s="1936"/>
      <c r="BU170" s="1936"/>
      <c r="BV170" s="1936"/>
      <c r="BW170" s="1936"/>
      <c r="BX170" s="1936"/>
      <c r="BY170" s="1936"/>
      <c r="BZ170" s="1936"/>
      <c r="CA170" s="1936"/>
      <c r="CB170" s="1936"/>
      <c r="CC170" s="1936"/>
      <c r="CD170" s="1936"/>
    </row>
    <row r="171" spans="1:130" ht="12.75" customHeight="1" x14ac:dyDescent="0.2">
      <c r="A171" s="2384"/>
      <c r="B171" s="2073"/>
      <c r="C171" s="1566" t="s">
        <v>2327</v>
      </c>
      <c r="D171" s="1567" t="str">
        <f t="shared" ref="D171:D177" si="47">VLOOKUP(C171,всецены,2,FALSE)</f>
        <v xml:space="preserve">LBX, Крепление фасада С, EXPANDO, симм  </v>
      </c>
      <c r="E171" s="1568">
        <v>2</v>
      </c>
      <c r="F171" s="1569">
        <f t="shared" ref="F171:F181" si="48">VLOOKUP(C171,всецены,4,FALSE)</f>
        <v>51.232381200000006</v>
      </c>
      <c r="G171" s="1569">
        <f t="shared" ref="G171:G181" si="49">IF($D$4="Индивидуальная",0,F171)</f>
        <v>51.232381200000006</v>
      </c>
      <c r="H171" s="1570">
        <f>G171*E171</f>
        <v>102.46476240000001</v>
      </c>
      <c r="I171" s="2418">
        <f>SUM(H171:H181)</f>
        <v>4977.6731004000003</v>
      </c>
      <c r="L171" s="771"/>
      <c r="M171" s="771" t="s">
        <v>3582</v>
      </c>
      <c r="N171" s="771"/>
      <c r="O171" s="771"/>
      <c r="P171" s="771"/>
      <c r="Q171" s="771"/>
      <c r="R171" s="771"/>
      <c r="S171" s="771"/>
      <c r="T171" s="771"/>
      <c r="U171" s="771"/>
      <c r="V171" s="771" t="s">
        <v>3582</v>
      </c>
      <c r="W171" s="771"/>
      <c r="X171" s="771"/>
      <c r="Y171" s="771"/>
      <c r="Z171" s="771"/>
      <c r="AA171" s="771"/>
      <c r="AB171" s="771"/>
      <c r="AC171" s="771"/>
      <c r="AD171" s="771"/>
      <c r="AE171" s="771" t="s">
        <v>3582</v>
      </c>
      <c r="AF171" s="771"/>
      <c r="AN171" s="771" t="s">
        <v>3582</v>
      </c>
      <c r="AW171" s="771" t="s">
        <v>3582</v>
      </c>
      <c r="BE171" s="1936"/>
      <c r="BF171" s="1936"/>
      <c r="BG171" s="1533" t="s">
        <v>3159</v>
      </c>
      <c r="BH171" s="1534">
        <f>VLOOKUP($C$127,$BI$167:$BM$172,5,FALSE)</f>
        <v>0</v>
      </c>
      <c r="BI171" s="1943">
        <v>450</v>
      </c>
      <c r="BJ171" s="8" t="s">
        <v>4451</v>
      </c>
      <c r="BK171" s="8" t="s">
        <v>4465</v>
      </c>
      <c r="BL171" s="8" t="s">
        <v>3711</v>
      </c>
      <c r="BM171" s="1529">
        <v>0</v>
      </c>
      <c r="BN171" s="1936"/>
      <c r="BO171" s="1936"/>
      <c r="BP171" s="1936"/>
      <c r="BQ171" s="1936"/>
      <c r="BR171" s="1936"/>
      <c r="BS171" s="1936"/>
      <c r="BT171" s="1936"/>
      <c r="BU171" s="1936"/>
      <c r="BV171" s="1936"/>
      <c r="BW171" s="1936"/>
      <c r="BX171" s="1936"/>
      <c r="BY171" s="1936"/>
      <c r="BZ171" s="1936"/>
      <c r="CA171" s="1936"/>
      <c r="CB171" s="1936"/>
      <c r="CC171" s="1936"/>
      <c r="CD171" s="1936"/>
    </row>
    <row r="172" spans="1:130" ht="12.75" customHeight="1" x14ac:dyDescent="0.2">
      <c r="A172" s="2384"/>
      <c r="B172" s="2073"/>
      <c r="C172" s="1566" t="str">
        <f>VLOOKUP($D$3,LBX.C,8,FALSE)</f>
        <v>2260649/</v>
      </c>
      <c r="D172" s="1567" t="str">
        <f t="shared" si="47"/>
        <v>LBX, Держат. задн. ст, 189 мм, сер, лев.</v>
      </c>
      <c r="E172" s="1568">
        <v>1</v>
      </c>
      <c r="F172" s="1569">
        <f t="shared" si="48"/>
        <v>47.979531600000001</v>
      </c>
      <c r="G172" s="1569">
        <f t="shared" si="49"/>
        <v>47.979531600000001</v>
      </c>
      <c r="H172" s="1570">
        <f t="shared" ref="H172:H181" si="50">G172*E172</f>
        <v>47.979531600000001</v>
      </c>
      <c r="I172" s="2386"/>
      <c r="L172" s="1936"/>
      <c r="M172" s="2398" t="str">
        <f>$D$3</f>
        <v>ORION матово-серый</v>
      </c>
      <c r="N172" s="2399"/>
      <c r="O172" s="2399"/>
      <c r="P172" s="2399"/>
      <c r="Q172" s="2399"/>
      <c r="R172" s="2399"/>
      <c r="S172" s="2399"/>
      <c r="T172" s="2400"/>
      <c r="U172" s="1936"/>
      <c r="V172" s="2409" t="s">
        <v>2357</v>
      </c>
      <c r="W172" s="2410"/>
      <c r="X172" s="2410"/>
      <c r="Y172" s="2410"/>
      <c r="Z172" s="2410"/>
      <c r="AA172" s="2410"/>
      <c r="AB172" s="2410"/>
      <c r="AC172" s="2411"/>
      <c r="AE172" s="2408" t="s">
        <v>2389</v>
      </c>
      <c r="AF172" s="2408"/>
      <c r="AG172" s="2408"/>
      <c r="AH172" s="2408"/>
      <c r="AI172" s="2408"/>
      <c r="AJ172" s="2408"/>
      <c r="AK172" s="2408"/>
      <c r="AL172" s="2408"/>
      <c r="AM172" s="8"/>
      <c r="AN172" s="2427" t="s">
        <v>2390</v>
      </c>
      <c r="AO172" s="2428"/>
      <c r="AP172" s="2428"/>
      <c r="AQ172" s="2428"/>
      <c r="AR172" s="2428"/>
      <c r="AS172" s="2428"/>
      <c r="AT172" s="2428"/>
      <c r="AU172" s="2428"/>
      <c r="AV172" s="8"/>
      <c r="AW172" s="2425" t="s">
        <v>3159</v>
      </c>
      <c r="AX172" s="2426"/>
      <c r="AY172" s="2426"/>
      <c r="AZ172" s="2426"/>
      <c r="BA172" s="2426"/>
      <c r="BB172" s="2426"/>
      <c r="BC172" s="2426"/>
      <c r="BD172" s="2426"/>
      <c r="BE172" s="1936"/>
      <c r="BF172" s="1936"/>
      <c r="BG172" s="1936"/>
      <c r="BI172" s="1943">
        <v>500</v>
      </c>
      <c r="BJ172" s="8" t="s">
        <v>4452</v>
      </c>
      <c r="BK172" s="8" t="s">
        <v>3672</v>
      </c>
      <c r="BL172" s="8" t="s">
        <v>4485</v>
      </c>
      <c r="BM172" s="1529">
        <v>0</v>
      </c>
      <c r="BN172" s="1936"/>
      <c r="BO172" s="1936"/>
      <c r="BP172" s="1936"/>
      <c r="BQ172" s="1936"/>
      <c r="BR172" s="1936"/>
      <c r="BS172" s="1936"/>
      <c r="BT172" s="1936"/>
      <c r="BU172" s="1936"/>
      <c r="BV172" s="1936"/>
      <c r="BW172" s="1936"/>
      <c r="BX172" s="1936"/>
      <c r="BY172" s="1936"/>
      <c r="BZ172" s="1936"/>
      <c r="CA172" s="1936"/>
      <c r="CB172" s="1936"/>
      <c r="CC172" s="1936"/>
      <c r="CD172" s="1936"/>
    </row>
    <row r="173" spans="1:130" ht="12.75" customHeight="1" thickBot="1" x14ac:dyDescent="0.25">
      <c r="A173" s="2384"/>
      <c r="B173" s="2073"/>
      <c r="C173" s="1566" t="str">
        <f>VLOOKUP($D$3,LBX.C,9,FALSE)</f>
        <v>8148550/</v>
      </c>
      <c r="D173" s="1567" t="str">
        <f t="shared" si="47"/>
        <v>LBX, Держат. задн. ст, 189 мм, сер, прав</v>
      </c>
      <c r="E173" s="1568">
        <v>1</v>
      </c>
      <c r="F173" s="1569">
        <f t="shared" si="48"/>
        <v>47.979531600000001</v>
      </c>
      <c r="G173" s="1569">
        <f t="shared" si="49"/>
        <v>47.979531600000001</v>
      </c>
      <c r="H173" s="1570">
        <f t="shared" si="50"/>
        <v>47.979531600000001</v>
      </c>
      <c r="I173" s="2386"/>
      <c r="L173" s="771"/>
      <c r="M173" s="771"/>
      <c r="N173" s="771"/>
      <c r="O173" s="771"/>
      <c r="P173" s="771"/>
      <c r="Q173" s="771"/>
      <c r="R173" s="771"/>
      <c r="S173" s="771"/>
      <c r="T173" s="771"/>
      <c r="U173" s="771"/>
      <c r="V173" s="771"/>
      <c r="W173" s="771"/>
      <c r="X173" s="771"/>
      <c r="Y173" s="771"/>
      <c r="Z173" s="771"/>
      <c r="AA173" s="771"/>
      <c r="AB173" s="771"/>
      <c r="AC173" s="771"/>
      <c r="AD173" s="771"/>
      <c r="AE173" s="771"/>
      <c r="AF173" s="771"/>
      <c r="BE173" s="1936"/>
      <c r="BF173" s="1936"/>
      <c r="BG173" s="771" t="s">
        <v>3581</v>
      </c>
      <c r="BP173" s="771" t="s">
        <v>3161</v>
      </c>
      <c r="BS173" s="1936"/>
      <c r="BT173" s="1936"/>
      <c r="BU173" s="1936"/>
      <c r="BV173" s="771" t="s">
        <v>3582</v>
      </c>
      <c r="BX173" s="1936"/>
      <c r="BY173" s="1936"/>
      <c r="BZ173" s="1936"/>
      <c r="CA173" s="1936"/>
      <c r="CB173" s="1936"/>
      <c r="CC173" s="1936"/>
      <c r="CD173" s="1936"/>
    </row>
    <row r="174" spans="1:130" ht="12.75" customHeight="1" thickBot="1" x14ac:dyDescent="0.25">
      <c r="A174" s="2384"/>
      <c r="B174" s="2073"/>
      <c r="C174" s="1096" t="str">
        <f>IF(C178="","",IF($D$4="Торговая","",VLOOKUP($D$3,LBX.C,7,FALSE)))</f>
        <v>5820744/</v>
      </c>
      <c r="D174" s="43" t="str">
        <f>IF(C174="","",VLOOKUP(C174,всецены,2,FALSE))</f>
        <v xml:space="preserve">LBX, Загл, наружн, с лого, сер, симм    </v>
      </c>
      <c r="E174" s="3">
        <f>IF(C174="",0,2)</f>
        <v>2</v>
      </c>
      <c r="F174" s="1457">
        <f>IF(C174="",0,VLOOKUP(C174,всецены,4,FALSE))</f>
        <v>14.637823200000001</v>
      </c>
      <c r="G174" s="1569">
        <f t="shared" si="49"/>
        <v>14.637823200000001</v>
      </c>
      <c r="H174" s="1570">
        <f t="shared" si="50"/>
        <v>29.275646400000003</v>
      </c>
      <c r="I174" s="2386"/>
      <c r="L174" s="771"/>
      <c r="M174" s="771"/>
      <c r="N174" s="771"/>
      <c r="O174" s="771"/>
      <c r="P174" s="771"/>
      <c r="Q174" s="771"/>
      <c r="R174" s="771"/>
      <c r="S174" s="771"/>
      <c r="T174" s="771"/>
      <c r="U174" s="771"/>
      <c r="V174" s="771"/>
      <c r="W174" s="771"/>
      <c r="X174" s="771"/>
      <c r="Y174" s="771"/>
      <c r="Z174" s="771"/>
      <c r="AA174" s="771"/>
      <c r="AB174" s="771"/>
      <c r="AC174" s="771"/>
      <c r="AD174" s="771"/>
      <c r="AE174" s="771"/>
      <c r="AF174" s="771"/>
      <c r="BE174" s="1936"/>
      <c r="BF174" s="1936"/>
      <c r="BG174" s="771">
        <f>C169</f>
        <v>500</v>
      </c>
      <c r="BH174" s="1938" t="s">
        <v>1645</v>
      </c>
      <c r="BI174" s="1938" t="s">
        <v>1644</v>
      </c>
      <c r="BJ174" s="8" t="s">
        <v>1641</v>
      </c>
      <c r="BK174" s="8" t="s">
        <v>1642</v>
      </c>
      <c r="BL174" s="1938" t="s">
        <v>2393</v>
      </c>
      <c r="BM174" s="1938" t="s">
        <v>2394</v>
      </c>
      <c r="BN174" s="8" t="s">
        <v>2391</v>
      </c>
      <c r="BO174" s="8" t="s">
        <v>2392</v>
      </c>
      <c r="BP174" s="885" t="s">
        <v>3163</v>
      </c>
      <c r="BQ174" s="885" t="s">
        <v>3164</v>
      </c>
      <c r="BR174" s="885" t="s">
        <v>3165</v>
      </c>
      <c r="BS174" s="885" t="s">
        <v>3166</v>
      </c>
      <c r="BT174" s="885" t="s">
        <v>3168</v>
      </c>
      <c r="BU174" s="885" t="s">
        <v>2839</v>
      </c>
      <c r="BV174" s="1405" t="s">
        <v>3583</v>
      </c>
      <c r="BW174" s="1406" t="s">
        <v>3584</v>
      </c>
      <c r="BX174" s="1413" t="s">
        <v>3585</v>
      </c>
      <c r="BY174" s="1406" t="s">
        <v>3598</v>
      </c>
      <c r="BZ174" s="1407" t="s">
        <v>3599</v>
      </c>
      <c r="CA174" s="1936"/>
      <c r="CB174" s="782"/>
      <c r="CC174" s="782"/>
      <c r="CD174" s="1936"/>
    </row>
    <row r="175" spans="1:130" ht="12.75" customHeight="1" x14ac:dyDescent="0.2">
      <c r="A175" s="2384"/>
      <c r="B175" s="2073"/>
      <c r="C175" s="1978" t="str">
        <f>IF(C169&lt;350,$N$41,$N$42)</f>
        <v>1365128/</v>
      </c>
      <c r="D175" s="1978" t="str">
        <f t="shared" si="47"/>
        <v>LBX, Tip-on BM, L3, 350-750 кмп T60L7540</v>
      </c>
      <c r="E175" s="1979">
        <v>1</v>
      </c>
      <c r="F175" s="1980">
        <f t="shared" si="48"/>
        <v>1107.5952887999999</v>
      </c>
      <c r="G175" s="1980">
        <f t="shared" si="49"/>
        <v>1107.5952887999999</v>
      </c>
      <c r="H175" s="1981">
        <f t="shared" si="50"/>
        <v>1107.5952887999999</v>
      </c>
      <c r="I175" s="2386"/>
      <c r="L175" s="106" t="s">
        <v>2355</v>
      </c>
      <c r="M175" s="884" t="s">
        <v>2396</v>
      </c>
      <c r="N175" s="884" t="s">
        <v>2396</v>
      </c>
      <c r="Q175" s="884" t="s">
        <v>2396</v>
      </c>
      <c r="R175" s="884" t="s">
        <v>2396</v>
      </c>
      <c r="S175" s="884" t="s">
        <v>2396</v>
      </c>
      <c r="T175" s="884" t="s">
        <v>2396</v>
      </c>
      <c r="U175" s="106" t="s">
        <v>2355</v>
      </c>
      <c r="V175" s="884" t="s">
        <v>2396</v>
      </c>
      <c r="W175" s="884" t="s">
        <v>2396</v>
      </c>
      <c r="Z175" s="884" t="s">
        <v>2396</v>
      </c>
      <c r="AA175" s="884" t="s">
        <v>2396</v>
      </c>
      <c r="AB175" s="884" t="s">
        <v>2396</v>
      </c>
      <c r="AC175" s="884" t="s">
        <v>2396</v>
      </c>
      <c r="AD175" s="106" t="s">
        <v>2355</v>
      </c>
      <c r="AE175" s="771" t="s">
        <v>2398</v>
      </c>
      <c r="AF175" s="771" t="s">
        <v>2398</v>
      </c>
      <c r="AG175" s="8"/>
      <c r="AH175" s="8"/>
      <c r="AI175" s="771" t="s">
        <v>2398</v>
      </c>
      <c r="AJ175" s="771" t="s">
        <v>2398</v>
      </c>
      <c r="AK175" s="771" t="s">
        <v>2398</v>
      </c>
      <c r="AL175" s="771" t="s">
        <v>2398</v>
      </c>
      <c r="AM175" s="106" t="s">
        <v>2355</v>
      </c>
      <c r="AN175" s="771" t="s">
        <v>2397</v>
      </c>
      <c r="AO175" s="771" t="s">
        <v>2397</v>
      </c>
      <c r="AP175" s="8"/>
      <c r="AQ175" s="8"/>
      <c r="AR175" s="771" t="s">
        <v>2397</v>
      </c>
      <c r="AS175" s="771" t="s">
        <v>2397</v>
      </c>
      <c r="AT175" s="771" t="s">
        <v>2397</v>
      </c>
      <c r="AU175" s="771" t="s">
        <v>2397</v>
      </c>
      <c r="AV175" s="106" t="s">
        <v>2355</v>
      </c>
      <c r="AW175" s="771" t="s">
        <v>2397</v>
      </c>
      <c r="AX175" s="771" t="s">
        <v>2397</v>
      </c>
      <c r="AY175" s="8"/>
      <c r="AZ175" s="8"/>
      <c r="BA175" s="771" t="s">
        <v>2397</v>
      </c>
      <c r="BB175" s="771" t="s">
        <v>2397</v>
      </c>
      <c r="BC175" s="771" t="s">
        <v>2397</v>
      </c>
      <c r="BD175" s="771" t="s">
        <v>2397</v>
      </c>
      <c r="BG175" s="1098" t="s">
        <v>2396</v>
      </c>
      <c r="BH175" s="1408" t="str">
        <f>VLOOKUP($BG$174,$U$177:$AC$181,BH179,FALSE)</f>
        <v>9826054/</v>
      </c>
      <c r="BI175" s="1408" t="str">
        <f>VLOOKUP($BG$174,$U$177:$AC$181,BI179,FALSE)</f>
        <v>8864974/</v>
      </c>
      <c r="BJ175" s="1099" t="str">
        <f t="shared" ref="BJ175:BO175" si="51">VLOOKUP($BG$97,$U$98:$AC$103,BJ179,FALSE)</f>
        <v>4922514/</v>
      </c>
      <c r="BK175" s="1099" t="str">
        <f t="shared" si="51"/>
        <v>4737284/</v>
      </c>
      <c r="BL175" s="1099" t="str">
        <f t="shared" si="51"/>
        <v>2550380/</v>
      </c>
      <c r="BM175" s="1099" t="str">
        <f t="shared" si="51"/>
        <v>5820744/</v>
      </c>
      <c r="BN175" s="1099" t="str">
        <f t="shared" si="51"/>
        <v>2260649/</v>
      </c>
      <c r="BO175" s="1107" t="str">
        <f t="shared" si="51"/>
        <v>8148550/</v>
      </c>
      <c r="BP175" s="1115" t="s">
        <v>2325</v>
      </c>
      <c r="BQ175" s="1099" t="s">
        <v>2345</v>
      </c>
      <c r="BR175" s="1099" t="s">
        <v>2308</v>
      </c>
      <c r="BS175" s="1099" t="s">
        <v>2334</v>
      </c>
      <c r="BT175" s="1408" t="s">
        <v>2995</v>
      </c>
      <c r="BU175" s="1107" t="s">
        <v>2293</v>
      </c>
      <c r="BV175" s="1403" t="s">
        <v>3004</v>
      </c>
      <c r="BW175" s="1031" t="s">
        <v>3006</v>
      </c>
      <c r="BX175" s="1414" t="s">
        <v>2996</v>
      </c>
      <c r="BY175" s="1031" t="s">
        <v>3002</v>
      </c>
      <c r="BZ175" s="1404" t="s">
        <v>2998</v>
      </c>
      <c r="CA175" s="1936"/>
      <c r="CB175" s="1936"/>
      <c r="CC175" s="782"/>
    </row>
    <row r="176" spans="1:130" ht="12.75" customHeight="1" x14ac:dyDescent="0.2">
      <c r="A176" s="2384"/>
      <c r="B176" s="2073"/>
      <c r="C176" s="1978" t="str">
        <f>VLOOKUP(C169,$M$44:$N$49,2,0)</f>
        <v>9554467/</v>
      </c>
      <c r="D176" s="1978" t="str">
        <f t="shared" si="47"/>
        <v>LBX, Напр.Tip-on BM,500 мм,кмп 750.5001M</v>
      </c>
      <c r="E176" s="1979">
        <v>1</v>
      </c>
      <c r="F176" s="1980">
        <f t="shared" si="48"/>
        <v>1669.5250572</v>
      </c>
      <c r="G176" s="1980">
        <f t="shared" si="49"/>
        <v>1669.5250572</v>
      </c>
      <c r="H176" s="1981">
        <f t="shared" si="50"/>
        <v>1669.5250572</v>
      </c>
      <c r="I176" s="2386"/>
      <c r="M176" s="1938" t="s">
        <v>1645</v>
      </c>
      <c r="N176" s="1938" t="s">
        <v>1644</v>
      </c>
      <c r="O176" s="8" t="s">
        <v>1641</v>
      </c>
      <c r="P176" s="8" t="s">
        <v>1642</v>
      </c>
      <c r="Q176" s="1938" t="s">
        <v>2393</v>
      </c>
      <c r="R176" s="1938" t="s">
        <v>2394</v>
      </c>
      <c r="S176" s="8" t="s">
        <v>2391</v>
      </c>
      <c r="T176" s="8" t="s">
        <v>2392</v>
      </c>
      <c r="V176" s="1938" t="s">
        <v>1645</v>
      </c>
      <c r="W176" s="1938" t="s">
        <v>1644</v>
      </c>
      <c r="X176" s="8" t="s">
        <v>1641</v>
      </c>
      <c r="Y176" s="8" t="s">
        <v>1642</v>
      </c>
      <c r="Z176" s="1938" t="s">
        <v>2393</v>
      </c>
      <c r="AA176" s="1938" t="s">
        <v>2394</v>
      </c>
      <c r="AB176" s="8" t="s">
        <v>2391</v>
      </c>
      <c r="AC176" s="8" t="s">
        <v>2392</v>
      </c>
      <c r="AE176" s="1938" t="s">
        <v>1645</v>
      </c>
      <c r="AF176" s="1938" t="s">
        <v>1644</v>
      </c>
      <c r="AG176" s="8" t="s">
        <v>1641</v>
      </c>
      <c r="AH176" s="8" t="s">
        <v>1642</v>
      </c>
      <c r="AI176" s="1938" t="s">
        <v>2393</v>
      </c>
      <c r="AJ176" s="1938" t="s">
        <v>2394</v>
      </c>
      <c r="AK176" s="8" t="s">
        <v>2391</v>
      </c>
      <c r="AL176" s="8" t="s">
        <v>2392</v>
      </c>
      <c r="AM176" s="8"/>
      <c r="AN176" s="1938" t="s">
        <v>1645</v>
      </c>
      <c r="AO176" s="1938" t="s">
        <v>1644</v>
      </c>
      <c r="AP176" s="8" t="s">
        <v>1641</v>
      </c>
      <c r="AQ176" s="8" t="s">
        <v>1642</v>
      </c>
      <c r="AR176" s="1938" t="s">
        <v>2393</v>
      </c>
      <c r="AS176" s="1938" t="s">
        <v>2394</v>
      </c>
      <c r="AT176" s="8" t="s">
        <v>2391</v>
      </c>
      <c r="AU176" s="8" t="s">
        <v>2392</v>
      </c>
      <c r="AV176" s="8"/>
      <c r="AW176" s="1938" t="s">
        <v>1645</v>
      </c>
      <c r="AX176" s="1938" t="s">
        <v>1644</v>
      </c>
      <c r="AY176" s="8" t="s">
        <v>1641</v>
      </c>
      <c r="AZ176" s="8" t="s">
        <v>1642</v>
      </c>
      <c r="BA176" s="1938" t="s">
        <v>2393</v>
      </c>
      <c r="BB176" s="1938" t="s">
        <v>2394</v>
      </c>
      <c r="BC176" s="8" t="s">
        <v>2391</v>
      </c>
      <c r="BD176" s="8" t="s">
        <v>2392</v>
      </c>
      <c r="BG176" s="1101" t="s">
        <v>2398</v>
      </c>
      <c r="BH176" s="1409" t="str">
        <f>VLOOKUP($BG$174,$AD$177:$AL$181,BH179,FALSE)</f>
        <v>9064917/</v>
      </c>
      <c r="BI176" s="1409" t="str">
        <f>VLOOKUP($BG$174,$AD$177:$AL$181,BI179,FALSE)</f>
        <v>9090985/</v>
      </c>
      <c r="BJ176" s="1102" t="str">
        <f t="shared" ref="BJ176:BO176" si="52">VLOOKUP($BG$97,$AD$98:$AL$103,BJ179,FALSE)</f>
        <v>4922514/</v>
      </c>
      <c r="BK176" s="1102" t="str">
        <f t="shared" si="52"/>
        <v>4737284/</v>
      </c>
      <c r="BL176" s="1102" t="str">
        <f t="shared" si="52"/>
        <v>8322157/</v>
      </c>
      <c r="BM176" s="1102" t="str">
        <f t="shared" si="52"/>
        <v>7944577/</v>
      </c>
      <c r="BN176" s="1102" t="str">
        <f t="shared" si="52"/>
        <v>3326679/</v>
      </c>
      <c r="BO176" s="1108" t="str">
        <f t="shared" si="52"/>
        <v>4903108/</v>
      </c>
      <c r="BP176" s="1101" t="s">
        <v>2337</v>
      </c>
      <c r="BQ176" s="1097" t="s">
        <v>2331</v>
      </c>
      <c r="BR176" s="1102" t="s">
        <v>2318</v>
      </c>
      <c r="BS176" s="1102" t="s">
        <v>2321</v>
      </c>
      <c r="BT176" s="1409" t="s">
        <v>3043</v>
      </c>
      <c r="BU176" s="1398" t="s">
        <v>2328</v>
      </c>
      <c r="BV176" s="1400" t="s">
        <v>3586</v>
      </c>
      <c r="BW176" s="1401" t="s">
        <v>3587</v>
      </c>
      <c r="BX176" s="1398" t="s">
        <v>3588</v>
      </c>
      <c r="BY176" s="1401" t="s">
        <v>3040</v>
      </c>
      <c r="BZ176" s="1402" t="s">
        <v>3036</v>
      </c>
      <c r="CA176" s="1936"/>
      <c r="CB176" s="1936"/>
      <c r="CC176" s="88"/>
    </row>
    <row r="177" spans="1:81" ht="12.75" customHeight="1" x14ac:dyDescent="0.2">
      <c r="A177" s="2384"/>
      <c r="B177" s="2073"/>
      <c r="C177" s="1566" t="str">
        <f>VLOOKUP($D$3,LBX.C_Free,2,FALSE)</f>
        <v>9826054/</v>
      </c>
      <c r="D177" s="1567" t="str">
        <f t="shared" si="47"/>
        <v xml:space="preserve">LBX-F, Боковина 176,8/500 мм, сер, лев  </v>
      </c>
      <c r="E177" s="1568">
        <v>1</v>
      </c>
      <c r="F177" s="1569">
        <f t="shared" si="48"/>
        <v>815.6520372</v>
      </c>
      <c r="G177" s="1569">
        <f t="shared" si="49"/>
        <v>815.6520372</v>
      </c>
      <c r="H177" s="1570">
        <f t="shared" si="50"/>
        <v>815.6520372</v>
      </c>
      <c r="I177" s="2386"/>
      <c r="L177" s="8">
        <v>270</v>
      </c>
      <c r="M177" s="696"/>
      <c r="N177" s="696"/>
      <c r="O177" s="696"/>
      <c r="P177" s="696"/>
      <c r="Q177" s="892" t="str">
        <f t="shared" ref="Q177:T181" si="53">IF($M$93=$X$3,Z177,IF($M$93=$X$4,AI177,AR177))</f>
        <v>2550380/</v>
      </c>
      <c r="R177" s="892" t="str">
        <f t="shared" si="53"/>
        <v>5820744/</v>
      </c>
      <c r="S177" s="892" t="str">
        <f t="shared" si="53"/>
        <v>2260649/</v>
      </c>
      <c r="T177" s="892" t="str">
        <f t="shared" si="53"/>
        <v>8148550/</v>
      </c>
      <c r="U177" s="8">
        <v>270</v>
      </c>
      <c r="V177" s="1392"/>
      <c r="W177" s="1392"/>
      <c r="X177" s="696" t="s">
        <v>3316</v>
      </c>
      <c r="Y177" s="696" t="s">
        <v>3315</v>
      </c>
      <c r="Z177" s="164" t="s">
        <v>2282</v>
      </c>
      <c r="AA177" s="43" t="s">
        <v>2486</v>
      </c>
      <c r="AB177" s="701" t="s">
        <v>2274</v>
      </c>
      <c r="AC177" s="43" t="s">
        <v>2332</v>
      </c>
      <c r="AD177" s="8">
        <v>270</v>
      </c>
      <c r="AE177" s="1371"/>
      <c r="AF177" s="1371"/>
      <c r="AG177" s="696"/>
      <c r="AH177" s="696"/>
      <c r="AI177" s="891" t="s">
        <v>2336</v>
      </c>
      <c r="AJ177" s="891" t="s">
        <v>2377</v>
      </c>
      <c r="AK177" s="891" t="s">
        <v>2291</v>
      </c>
      <c r="AL177" s="891" t="s">
        <v>2305</v>
      </c>
      <c r="AM177" s="8">
        <v>270</v>
      </c>
      <c r="AN177" s="1371"/>
      <c r="AO177" s="1371"/>
      <c r="AP177" s="696"/>
      <c r="AQ177" s="696"/>
      <c r="AR177" s="891" t="s">
        <v>2319</v>
      </c>
      <c r="AS177" s="891" t="s">
        <v>2342</v>
      </c>
      <c r="AT177" s="891" t="s">
        <v>2343</v>
      </c>
      <c r="AU177" s="891" t="s">
        <v>2278</v>
      </c>
      <c r="AV177" s="8">
        <v>270</v>
      </c>
      <c r="AW177" s="1391"/>
      <c r="AX177" s="1391"/>
      <c r="AY177" s="1085"/>
      <c r="AZ177" s="1085"/>
      <c r="BA177" s="1088"/>
      <c r="BB177" s="1088"/>
      <c r="BC177" s="1088"/>
      <c r="BD177" s="1088"/>
      <c r="BG177" s="1101" t="s">
        <v>2397</v>
      </c>
      <c r="BH177" s="1409" t="str">
        <f>VLOOKUP($BG$174,$AM$177:$AU$181,BH179,FALSE)</f>
        <v>9224405/</v>
      </c>
      <c r="BI177" s="1409" t="str">
        <f>VLOOKUP($BG$174,$AM$177:$AU$181,BI179,FALSE)</f>
        <v>9354446/</v>
      </c>
      <c r="BJ177" s="1102" t="str">
        <f t="shared" ref="BJ177:BO177" si="54">VLOOKUP($BG$97,$AM$98:$AU$103,BJ179,FALSE)</f>
        <v>4922514/</v>
      </c>
      <c r="BK177" s="1102" t="str">
        <f t="shared" si="54"/>
        <v>4737284/</v>
      </c>
      <c r="BL177" s="1102" t="str">
        <f t="shared" si="54"/>
        <v>5806987/</v>
      </c>
      <c r="BM177" s="1102" t="str">
        <f t="shared" si="54"/>
        <v>9207744/</v>
      </c>
      <c r="BN177" s="1102" t="str">
        <f t="shared" si="54"/>
        <v>9497175/</v>
      </c>
      <c r="BO177" s="1108" t="str">
        <f t="shared" si="54"/>
        <v>2457961/</v>
      </c>
      <c r="BP177" s="1101" t="s">
        <v>3059</v>
      </c>
      <c r="BQ177" s="1102" t="s">
        <v>3050</v>
      </c>
      <c r="BR177" s="1102" t="s">
        <v>3053</v>
      </c>
      <c r="BS177" s="1102" t="s">
        <v>3052</v>
      </c>
      <c r="BT177" s="1409" t="s">
        <v>3612</v>
      </c>
      <c r="BU177" s="1398" t="s">
        <v>3060</v>
      </c>
      <c r="BV177" s="1400" t="s">
        <v>3589</v>
      </c>
      <c r="BW177" s="1401" t="s">
        <v>3590</v>
      </c>
      <c r="BX177" s="1398" t="s">
        <v>3591</v>
      </c>
      <c r="BY177" s="771" t="s">
        <v>3613</v>
      </c>
      <c r="BZ177" s="771" t="s">
        <v>3614</v>
      </c>
      <c r="CA177" s="1936"/>
      <c r="CB177" s="88"/>
      <c r="CC177" s="88"/>
    </row>
    <row r="178" spans="1:81" ht="12.75" customHeight="1" thickBot="1" x14ac:dyDescent="0.25">
      <c r="A178" s="2384"/>
      <c r="B178" s="2073"/>
      <c r="C178" s="1566" t="str">
        <f>IF(RIGHT(D177,3)="кмп","",VLOOKUP($D$3,LBX.C_Free,3,FALSE))</f>
        <v>8864974/</v>
      </c>
      <c r="D178" s="1567" t="str">
        <f>IF(C178="","",VLOOKUP(C178,всецены,2,FALSE))</f>
        <v xml:space="preserve">LBX-F, Боковина 176,8/500 мм, сер, прав </v>
      </c>
      <c r="E178" s="1571">
        <f>IF(C178="",0,1)</f>
        <v>1</v>
      </c>
      <c r="F178" s="1572">
        <f>IF(C178="",0,VLOOKUP(C178,всецены,4,FALSE))</f>
        <v>815.6520372</v>
      </c>
      <c r="G178" s="1569">
        <f t="shared" si="49"/>
        <v>815.6520372</v>
      </c>
      <c r="H178" s="1570">
        <f t="shared" si="50"/>
        <v>815.6520372</v>
      </c>
      <c r="I178" s="2386"/>
      <c r="L178" s="8">
        <v>350</v>
      </c>
      <c r="M178" s="892" t="str">
        <f>IF($M$93=$X$3,V178,IF($M$93=$X$4,AE178,AN178))</f>
        <v xml:space="preserve">3099055/   </v>
      </c>
      <c r="N178" s="892">
        <f>IF($M$93=$X$3,W178,IF($M$93=$X$4,AF178,AO178))</f>
        <v>0</v>
      </c>
      <c r="O178" s="892" t="s">
        <v>2373</v>
      </c>
      <c r="P178" s="892" t="s">
        <v>2372</v>
      </c>
      <c r="Q178" s="892" t="str">
        <f t="shared" si="53"/>
        <v>2550380/</v>
      </c>
      <c r="R178" s="892" t="str">
        <f t="shared" si="53"/>
        <v>5820744/</v>
      </c>
      <c r="S178" s="892" t="str">
        <f t="shared" si="53"/>
        <v>2260649/</v>
      </c>
      <c r="T178" s="892" t="str">
        <f t="shared" si="53"/>
        <v>8148550/</v>
      </c>
      <c r="U178" s="8">
        <v>350</v>
      </c>
      <c r="V178" s="1419" t="s">
        <v>7042</v>
      </c>
      <c r="W178" s="1419"/>
      <c r="X178" s="771" t="s">
        <v>2373</v>
      </c>
      <c r="Y178" s="771" t="s">
        <v>2372</v>
      </c>
      <c r="Z178" s="164" t="s">
        <v>2282</v>
      </c>
      <c r="AA178" s="43" t="s">
        <v>2486</v>
      </c>
      <c r="AB178" s="701" t="s">
        <v>2274</v>
      </c>
      <c r="AC178" s="43" t="s">
        <v>2332</v>
      </c>
      <c r="AD178" s="8">
        <v>350</v>
      </c>
      <c r="AE178" s="1854" t="s">
        <v>3655</v>
      </c>
      <c r="AF178" s="1390"/>
      <c r="AG178" s="771" t="s">
        <v>2373</v>
      </c>
      <c r="AH178" s="771" t="s">
        <v>2372</v>
      </c>
      <c r="AI178" s="891" t="s">
        <v>2336</v>
      </c>
      <c r="AJ178" s="891" t="s">
        <v>2377</v>
      </c>
      <c r="AK178" s="891" t="s">
        <v>2291</v>
      </c>
      <c r="AL178" s="891" t="s">
        <v>2305</v>
      </c>
      <c r="AM178" s="8">
        <v>350</v>
      </c>
      <c r="AN178" s="1390"/>
      <c r="AO178" s="1390"/>
      <c r="AP178" s="771" t="s">
        <v>2373</v>
      </c>
      <c r="AQ178" s="771" t="s">
        <v>2372</v>
      </c>
      <c r="AR178" s="891" t="s">
        <v>2319</v>
      </c>
      <c r="AS178" s="891" t="s">
        <v>2342</v>
      </c>
      <c r="AT178" s="891" t="s">
        <v>2343</v>
      </c>
      <c r="AU178" s="891" t="s">
        <v>2278</v>
      </c>
      <c r="AV178" s="8">
        <v>350</v>
      </c>
      <c r="AW178" s="1390"/>
      <c r="AX178" s="1390"/>
      <c r="AY178" s="771" t="s">
        <v>2373</v>
      </c>
      <c r="AZ178" s="771" t="s">
        <v>2372</v>
      </c>
      <c r="BA178" s="1087" t="s">
        <v>2850</v>
      </c>
      <c r="BB178" s="1087" t="s">
        <v>2852</v>
      </c>
      <c r="BC178" s="1088" t="s">
        <v>2865</v>
      </c>
      <c r="BD178" s="1088" t="s">
        <v>2846</v>
      </c>
      <c r="BG178" s="1104" t="s">
        <v>3159</v>
      </c>
      <c r="BH178" s="1410" t="str">
        <f>VLOOKUP($BG$174,$AV$177:$BD$181,BH179,FALSE)</f>
        <v>6385735/</v>
      </c>
      <c r="BI178" s="1410" t="str">
        <f>VLOOKUP($BG$174,$AV$177:$BD$181,BI179,FALSE)</f>
        <v>6360821/</v>
      </c>
      <c r="BJ178" s="1105" t="str">
        <f>VLOOKUP($BG$174,$AV$98:$BD$103,BJ179,FALSE)</f>
        <v>4922514/</v>
      </c>
      <c r="BK178" s="1105" t="str">
        <f>VLOOKUP($BG$174,$AV$98:$BD$103,BK179,FALSE)</f>
        <v>4737284/</v>
      </c>
      <c r="BL178" s="1105" t="str">
        <f t="shared" ref="BL178:BO178" si="55">VLOOKUP($BG$97,$AV$98:$BD$103,BL179,FALSE)</f>
        <v>2113518/</v>
      </c>
      <c r="BM178" s="1105" t="str">
        <f t="shared" si="55"/>
        <v>2215958/</v>
      </c>
      <c r="BN178" s="1105" t="str">
        <f t="shared" si="55"/>
        <v>7604824/</v>
      </c>
      <c r="BO178" s="1109" t="str">
        <f t="shared" si="55"/>
        <v>1058035/</v>
      </c>
      <c r="BP178" s="1393" t="s">
        <v>3075</v>
      </c>
      <c r="BQ178" s="1352" t="s">
        <v>3067</v>
      </c>
      <c r="BR178" s="1394" t="s">
        <v>3066</v>
      </c>
      <c r="BS178" s="1394" t="s">
        <v>3069</v>
      </c>
      <c r="BT178" s="88" t="s">
        <v>3080</v>
      </c>
      <c r="BU178" s="1399" t="s">
        <v>3065</v>
      </c>
      <c r="BV178" s="1104" t="s">
        <v>3090</v>
      </c>
      <c r="BW178" s="1204" t="s">
        <v>3088</v>
      </c>
      <c r="BX178" s="1415" t="s">
        <v>3094</v>
      </c>
      <c r="BY178" s="1204" t="s">
        <v>3070</v>
      </c>
      <c r="BZ178" s="1416" t="s">
        <v>3091</v>
      </c>
      <c r="CA178" s="1936"/>
      <c r="CB178" s="782"/>
      <c r="CC178" s="782"/>
    </row>
    <row r="179" spans="1:81" ht="12.75" customHeight="1" x14ac:dyDescent="0.2">
      <c r="A179" s="2384"/>
      <c r="B179" s="2073"/>
      <c r="C179" s="1573" t="str">
        <f>VLOOKUP($D$3,LBX.C_Free,16,FALSE)</f>
        <v>5440845/</v>
      </c>
      <c r="D179" s="1567" t="str">
        <f>VLOOKUP(C179,всецены,2,FALSE)</f>
        <v xml:space="preserve">LBX-F, Задн держ стекл вст C сер, лев   </v>
      </c>
      <c r="E179" s="1568">
        <v>1</v>
      </c>
      <c r="F179" s="1569">
        <f t="shared" si="48"/>
        <v>89.453364000000008</v>
      </c>
      <c r="G179" s="1569">
        <f t="shared" si="49"/>
        <v>89.453364000000008</v>
      </c>
      <c r="H179" s="1570">
        <f t="shared" si="50"/>
        <v>89.453364000000008</v>
      </c>
      <c r="I179" s="2386"/>
      <c r="L179" s="8">
        <v>400</v>
      </c>
      <c r="M179" s="892"/>
      <c r="N179" s="892"/>
      <c r="O179" s="696"/>
      <c r="P179" s="696"/>
      <c r="Q179" s="892" t="str">
        <f t="shared" si="53"/>
        <v>2550380/</v>
      </c>
      <c r="R179" s="892" t="str">
        <f t="shared" si="53"/>
        <v>5820744/</v>
      </c>
      <c r="S179" s="892" t="str">
        <f t="shared" si="53"/>
        <v>2260649/</v>
      </c>
      <c r="T179" s="892" t="str">
        <f t="shared" si="53"/>
        <v>8148550/</v>
      </c>
      <c r="U179" s="8">
        <v>400</v>
      </c>
      <c r="V179" s="1392"/>
      <c r="W179" s="1392"/>
      <c r="X179" s="696"/>
      <c r="Y179" s="696"/>
      <c r="Z179" s="164" t="s">
        <v>2282</v>
      </c>
      <c r="AA179" s="43" t="s">
        <v>2486</v>
      </c>
      <c r="AB179" s="701" t="s">
        <v>2274</v>
      </c>
      <c r="AC179" s="43" t="s">
        <v>2332</v>
      </c>
      <c r="AD179" s="8">
        <v>400</v>
      </c>
      <c r="AE179" s="1371"/>
      <c r="AF179" s="1371"/>
      <c r="AG179" s="696"/>
      <c r="AH179" s="696"/>
      <c r="AI179" s="891" t="s">
        <v>2336</v>
      </c>
      <c r="AJ179" s="891" t="s">
        <v>2377</v>
      </c>
      <c r="AK179" s="891" t="s">
        <v>2291</v>
      </c>
      <c r="AL179" s="891" t="s">
        <v>2305</v>
      </c>
      <c r="AM179" s="8">
        <v>400</v>
      </c>
      <c r="AN179" s="1371"/>
      <c r="AO179" s="1371"/>
      <c r="AP179" s="696"/>
      <c r="AQ179" s="696"/>
      <c r="AR179" s="891" t="s">
        <v>2319</v>
      </c>
      <c r="AS179" s="891" t="s">
        <v>2342</v>
      </c>
      <c r="AT179" s="891" t="s">
        <v>2343</v>
      </c>
      <c r="AU179" s="891" t="s">
        <v>2278</v>
      </c>
      <c r="AV179" s="8">
        <v>400</v>
      </c>
      <c r="AW179" s="1391"/>
      <c r="AX179" s="1391"/>
      <c r="AY179" s="1085"/>
      <c r="AZ179" s="1085"/>
      <c r="BA179" s="1085"/>
      <c r="BB179" s="1085"/>
      <c r="BC179" s="1088"/>
      <c r="BD179" s="1088"/>
      <c r="BH179" s="771">
        <v>2</v>
      </c>
      <c r="BI179" s="771">
        <v>3</v>
      </c>
      <c r="BJ179" s="771">
        <v>4</v>
      </c>
      <c r="BK179" s="771">
        <v>5</v>
      </c>
      <c r="BL179" s="771">
        <v>6</v>
      </c>
      <c r="BM179" s="771">
        <v>7</v>
      </c>
      <c r="BN179" s="771">
        <v>8</v>
      </c>
      <c r="BO179" s="771">
        <v>9</v>
      </c>
      <c r="BP179" s="1394">
        <v>10</v>
      </c>
      <c r="BQ179" s="1394">
        <v>11</v>
      </c>
      <c r="BR179" s="1394">
        <v>12</v>
      </c>
      <c r="BS179" s="1394">
        <v>13</v>
      </c>
      <c r="BT179" s="1394">
        <v>14</v>
      </c>
      <c r="BU179" s="1397">
        <v>15</v>
      </c>
      <c r="BV179" s="782">
        <v>16</v>
      </c>
      <c r="BW179" s="782">
        <v>17</v>
      </c>
      <c r="BX179" s="782">
        <v>18</v>
      </c>
      <c r="BY179" s="782">
        <v>19</v>
      </c>
      <c r="BZ179" s="782">
        <v>20</v>
      </c>
      <c r="CA179" s="1936"/>
      <c r="CB179" s="782"/>
      <c r="CC179" s="782"/>
    </row>
    <row r="180" spans="1:81" ht="12.75" customHeight="1" x14ac:dyDescent="0.2">
      <c r="A180" s="2384"/>
      <c r="B180" s="2073"/>
      <c r="C180" s="1573" t="str">
        <f>VLOOKUP($D$3,LBX.C_Free,17,FALSE)</f>
        <v>7911471/</v>
      </c>
      <c r="D180" s="1567" t="str">
        <f>VLOOKUP(C180,всецены,2,FALSE)</f>
        <v xml:space="preserve">LBX-F, Задн держ стекл вст C сер, прав  </v>
      </c>
      <c r="E180" s="1568">
        <v>1</v>
      </c>
      <c r="F180" s="1569">
        <f t="shared" si="48"/>
        <v>89.453364000000008</v>
      </c>
      <c r="G180" s="1569">
        <f t="shared" si="49"/>
        <v>89.453364000000008</v>
      </c>
      <c r="H180" s="1570">
        <f t="shared" si="50"/>
        <v>89.453364000000008</v>
      </c>
      <c r="I180" s="2386"/>
      <c r="L180" s="8">
        <v>450</v>
      </c>
      <c r="M180" s="892"/>
      <c r="N180" s="892"/>
      <c r="O180" s="696"/>
      <c r="P180" s="696"/>
      <c r="Q180" s="892" t="str">
        <f t="shared" si="53"/>
        <v>2550380/</v>
      </c>
      <c r="R180" s="892" t="str">
        <f t="shared" si="53"/>
        <v>5820744/</v>
      </c>
      <c r="S180" s="892" t="str">
        <f t="shared" si="53"/>
        <v>2260649/</v>
      </c>
      <c r="T180" s="892" t="str">
        <f t="shared" si="53"/>
        <v>8148550/</v>
      </c>
      <c r="U180" s="8">
        <v>450</v>
      </c>
      <c r="V180" s="1036"/>
      <c r="W180" s="1392"/>
      <c r="X180" s="696" t="s">
        <v>2993</v>
      </c>
      <c r="Y180" s="696" t="s">
        <v>2992</v>
      </c>
      <c r="Z180" s="164" t="s">
        <v>2282</v>
      </c>
      <c r="AA180" s="43" t="s">
        <v>2486</v>
      </c>
      <c r="AB180" s="701" t="s">
        <v>2274</v>
      </c>
      <c r="AC180" s="43" t="s">
        <v>2332</v>
      </c>
      <c r="AD180" s="8">
        <v>450</v>
      </c>
      <c r="AE180" s="1371" t="s">
        <v>4604</v>
      </c>
      <c r="AF180" s="1371"/>
      <c r="AG180" s="696" t="s">
        <v>2993</v>
      </c>
      <c r="AH180" s="696" t="s">
        <v>2992</v>
      </c>
      <c r="AI180" s="891" t="s">
        <v>2336</v>
      </c>
      <c r="AJ180" s="891" t="s">
        <v>2377</v>
      </c>
      <c r="AK180" s="891" t="s">
        <v>2291</v>
      </c>
      <c r="AL180" s="891" t="s">
        <v>2305</v>
      </c>
      <c r="AM180" s="8">
        <v>450</v>
      </c>
      <c r="AN180" s="1371"/>
      <c r="AO180" s="1371"/>
      <c r="AP180" s="696" t="s">
        <v>2993</v>
      </c>
      <c r="AQ180" s="696" t="s">
        <v>2992</v>
      </c>
      <c r="AR180" s="891" t="s">
        <v>2319</v>
      </c>
      <c r="AS180" s="891" t="s">
        <v>2342</v>
      </c>
      <c r="AT180" s="891" t="s">
        <v>2343</v>
      </c>
      <c r="AU180" s="891" t="s">
        <v>2278</v>
      </c>
      <c r="AV180" s="8">
        <v>450</v>
      </c>
      <c r="AW180" s="1391"/>
      <c r="AX180" s="1391"/>
      <c r="AY180" s="1085"/>
      <c r="AZ180" s="1085"/>
      <c r="BA180" s="1085"/>
      <c r="BB180" s="1085"/>
      <c r="BC180" s="1088"/>
      <c r="BD180" s="1088"/>
      <c r="BP180" s="1417"/>
      <c r="BQ180" s="1417"/>
      <c r="BR180" s="1417"/>
      <c r="BS180" s="1417"/>
      <c r="BT180" s="1417"/>
      <c r="BU180" s="782"/>
      <c r="BV180" s="782"/>
      <c r="BW180" s="782"/>
      <c r="BX180" s="782"/>
      <c r="BY180" s="782"/>
      <c r="BZ180" s="782"/>
      <c r="CA180" s="782"/>
      <c r="CB180" s="782"/>
      <c r="CC180" s="782"/>
    </row>
    <row r="181" spans="1:81" ht="12.75" customHeight="1" thickBot="1" x14ac:dyDescent="0.25">
      <c r="A181" s="2384"/>
      <c r="B181" s="2074"/>
      <c r="C181" s="1536" t="str">
        <f>VLOOKUP($D$3,LBX.C_Free,18,FALSE)</f>
        <v>1356389/</v>
      </c>
      <c r="D181" s="1537" t="str">
        <f>VLOOKUP(C181,всецены,2,FALSE)</f>
        <v>LBX-F, Передн держ стекл вст С сер симм.</v>
      </c>
      <c r="E181" s="1538">
        <v>2</v>
      </c>
      <c r="F181" s="1574">
        <f t="shared" si="48"/>
        <v>81.321240000000003</v>
      </c>
      <c r="G181" s="1574">
        <f t="shared" si="49"/>
        <v>81.321240000000003</v>
      </c>
      <c r="H181" s="1575">
        <f t="shared" si="50"/>
        <v>162.64248000000001</v>
      </c>
      <c r="I181" s="2387"/>
      <c r="L181" s="8">
        <v>500</v>
      </c>
      <c r="M181" s="892" t="str">
        <f>IF($M$93=$X$3,V181,IF($M$93=$X$4,AE181,AN181))</f>
        <v>9826054/</v>
      </c>
      <c r="N181" s="892" t="str">
        <f>IF($M$93=$X$3,W181,IF($M$93=$X$4,AF181,AO181))</f>
        <v>8864974/</v>
      </c>
      <c r="O181" s="696" t="s">
        <v>2307</v>
      </c>
      <c r="P181" s="696" t="s">
        <v>2302</v>
      </c>
      <c r="Q181" s="892" t="str">
        <f t="shared" si="53"/>
        <v>2550380/</v>
      </c>
      <c r="R181" s="892" t="str">
        <f t="shared" si="53"/>
        <v>5820744/</v>
      </c>
      <c r="S181" s="892" t="str">
        <f t="shared" si="53"/>
        <v>2260649/</v>
      </c>
      <c r="T181" s="892" t="str">
        <f t="shared" si="53"/>
        <v>8148550/</v>
      </c>
      <c r="U181" s="8">
        <v>500</v>
      </c>
      <c r="V181" s="1392" t="str">
        <f>IF($D$4="промышленная",V184,V186)</f>
        <v>9826054/</v>
      </c>
      <c r="W181" s="1392" t="str">
        <f>IF($D$4="промышленная",W184,"")</f>
        <v>8864974/</v>
      </c>
      <c r="X181" s="696" t="s">
        <v>2307</v>
      </c>
      <c r="Y181" s="696" t="s">
        <v>2302</v>
      </c>
      <c r="Z181" s="164" t="s">
        <v>2282</v>
      </c>
      <c r="AA181" s="43" t="s">
        <v>2486</v>
      </c>
      <c r="AB181" s="701" t="s">
        <v>2274</v>
      </c>
      <c r="AC181" s="43" t="s">
        <v>2332</v>
      </c>
      <c r="AD181" s="8">
        <v>500</v>
      </c>
      <c r="AE181" s="1392" t="str">
        <f>IF($D$4="промышленная",AE184,AE186)</f>
        <v>9064917/</v>
      </c>
      <c r="AF181" s="1392" t="str">
        <f>IF($D$4="промышленная",AF184,"")</f>
        <v>9090985/</v>
      </c>
      <c r="AG181" s="1392" t="s">
        <v>2307</v>
      </c>
      <c r="AH181" s="696" t="s">
        <v>2302</v>
      </c>
      <c r="AI181" s="891" t="s">
        <v>2336</v>
      </c>
      <c r="AJ181" s="891" t="s">
        <v>2377</v>
      </c>
      <c r="AK181" s="891" t="s">
        <v>2291</v>
      </c>
      <c r="AL181" s="891" t="s">
        <v>2305</v>
      </c>
      <c r="AM181" s="8">
        <v>500</v>
      </c>
      <c r="AN181" s="1392" t="str">
        <f>IF($D$4="промышленная",AN184,AN186)</f>
        <v>9224405/</v>
      </c>
      <c r="AO181" s="1392" t="str">
        <f>IF($D$4="промышленная",AO184,"")</f>
        <v>9354446/</v>
      </c>
      <c r="AP181" s="696" t="s">
        <v>2307</v>
      </c>
      <c r="AQ181" s="696" t="s">
        <v>2302</v>
      </c>
      <c r="AR181" s="891" t="s">
        <v>2319</v>
      </c>
      <c r="AS181" s="891" t="s">
        <v>2342</v>
      </c>
      <c r="AT181" s="891" t="s">
        <v>2343</v>
      </c>
      <c r="AU181" s="891" t="s">
        <v>2278</v>
      </c>
      <c r="AV181" s="8">
        <v>500</v>
      </c>
      <c r="AW181" s="1392" t="str">
        <f>IF($D$4="промышленная",AW184,AW186)</f>
        <v>6385735/</v>
      </c>
      <c r="AX181" s="1392" t="str">
        <f>IF($D$4="промышленная",AX184,AX186)</f>
        <v>6360821/</v>
      </c>
      <c r="AY181" s="1085" t="s">
        <v>2307</v>
      </c>
      <c r="AZ181" s="1085" t="s">
        <v>2302</v>
      </c>
      <c r="BA181" s="1087" t="s">
        <v>2850</v>
      </c>
      <c r="BB181" s="1087" t="s">
        <v>2852</v>
      </c>
      <c r="BC181" s="1088" t="s">
        <v>2865</v>
      </c>
      <c r="BD181" s="1088" t="s">
        <v>2846</v>
      </c>
      <c r="BP181" s="1396"/>
      <c r="BQ181" s="1396"/>
      <c r="BR181" s="1396"/>
      <c r="BS181" s="1396"/>
      <c r="BT181" s="1396"/>
      <c r="BU181" s="782"/>
      <c r="BV181" s="782"/>
      <c r="BW181" s="782"/>
      <c r="BX181" s="782"/>
      <c r="BY181" s="782"/>
      <c r="BZ181" s="782"/>
      <c r="CA181" s="782"/>
      <c r="CB181" s="782"/>
      <c r="CC181" s="782"/>
    </row>
    <row r="182" spans="1:81" ht="15.75" customHeight="1" thickBot="1" x14ac:dyDescent="0.25">
      <c r="A182" s="843"/>
      <c r="B182" s="871"/>
      <c r="C182" s="862"/>
      <c r="D182" s="863"/>
      <c r="E182" s="864"/>
      <c r="F182" s="1449"/>
      <c r="G182" s="1449"/>
      <c r="H182" s="866"/>
      <c r="I182" s="877"/>
      <c r="M182" s="875"/>
      <c r="N182" s="875"/>
      <c r="O182" s="875"/>
      <c r="P182" s="875"/>
      <c r="Q182" s="875"/>
      <c r="R182" s="875"/>
      <c r="S182" s="875"/>
      <c r="T182" s="875"/>
      <c r="V182" s="1411"/>
      <c r="W182" s="1411"/>
      <c r="X182" s="875"/>
      <c r="Y182" s="875"/>
      <c r="Z182" s="712"/>
      <c r="AA182" s="28"/>
      <c r="AB182" s="713"/>
      <c r="AC182" s="28"/>
      <c r="AE182" s="1411"/>
      <c r="AF182" s="1411"/>
      <c r="AG182" s="1411"/>
      <c r="AH182" s="875"/>
      <c r="AI182" s="782"/>
      <c r="AJ182" s="782"/>
      <c r="AK182" s="782"/>
      <c r="AL182" s="782"/>
      <c r="AM182" s="8"/>
      <c r="AN182" s="1411"/>
      <c r="AO182" s="1411"/>
      <c r="AP182" s="875"/>
      <c r="AQ182" s="875"/>
      <c r="AR182" s="782"/>
      <c r="AS182" s="782"/>
      <c r="AT182" s="782"/>
      <c r="AU182" s="782"/>
      <c r="AV182" s="8"/>
      <c r="AW182" s="1411"/>
      <c r="AX182" s="1411"/>
      <c r="AY182" s="875"/>
      <c r="AZ182" s="875"/>
      <c r="BA182" s="1411"/>
      <c r="BB182" s="1411"/>
      <c r="BC182" s="782"/>
      <c r="BD182" s="782"/>
      <c r="BP182" s="1396"/>
      <c r="BQ182" s="1396"/>
      <c r="BR182" s="1396"/>
      <c r="BS182" s="1396"/>
      <c r="BT182" s="1396"/>
      <c r="BU182" s="782"/>
      <c r="BV182" s="782"/>
      <c r="BW182" s="782"/>
      <c r="BX182" s="782"/>
      <c r="BY182" s="782"/>
      <c r="BZ182" s="782"/>
      <c r="CA182" s="782"/>
      <c r="CB182" s="782"/>
      <c r="CC182" s="782"/>
    </row>
    <row r="183" spans="1:81" ht="15" customHeight="1" x14ac:dyDescent="0.2">
      <c r="A183" s="843"/>
      <c r="B183" s="851">
        <v>500</v>
      </c>
      <c r="C183" s="719"/>
      <c r="D183" s="2144" t="s">
        <v>3604</v>
      </c>
      <c r="E183" s="2144"/>
      <c r="F183" s="2144"/>
      <c r="G183" s="2144"/>
      <c r="H183" s="2144"/>
      <c r="I183" s="2145"/>
      <c r="M183" s="875"/>
      <c r="N183" s="875"/>
      <c r="O183" s="875"/>
      <c r="P183" s="875"/>
      <c r="Q183" s="875"/>
      <c r="R183" s="875"/>
      <c r="S183" s="875"/>
      <c r="T183" s="875"/>
      <c r="V183" s="1411" t="s">
        <v>5005</v>
      </c>
      <c r="W183" s="1411"/>
      <c r="X183" s="875"/>
      <c r="Y183" s="875"/>
      <c r="Z183" s="712"/>
      <c r="AA183" s="28"/>
      <c r="AB183" s="713"/>
      <c r="AC183" s="28"/>
      <c r="AE183" s="1411" t="s">
        <v>5005</v>
      </c>
      <c r="AF183" s="1411"/>
      <c r="AG183" s="1411"/>
      <c r="AH183" s="875"/>
      <c r="AI183" s="782"/>
      <c r="AJ183" s="782"/>
      <c r="AK183" s="782"/>
      <c r="AL183" s="782"/>
      <c r="AM183" s="8"/>
      <c r="AN183" s="1411" t="s">
        <v>5005</v>
      </c>
      <c r="AO183" s="1411"/>
      <c r="AP183" s="875"/>
      <c r="AQ183" s="875"/>
      <c r="AR183" s="782"/>
      <c r="AS183" s="782"/>
      <c r="AT183" s="782"/>
      <c r="AU183" s="782"/>
      <c r="AV183" s="8"/>
      <c r="AW183" s="1411" t="s">
        <v>5005</v>
      </c>
      <c r="AX183" s="1411"/>
      <c r="AY183" s="875"/>
      <c r="AZ183" s="875"/>
      <c r="BA183" s="1411"/>
      <c r="BB183" s="1411"/>
      <c r="BC183" s="782"/>
      <c r="BD183" s="782"/>
      <c r="BP183" s="1396"/>
      <c r="BQ183" s="1396"/>
      <c r="BR183" s="1396"/>
      <c r="BS183" s="1396"/>
      <c r="BT183" s="1396"/>
    </row>
    <row r="184" spans="1:81" ht="12.75" customHeight="1" x14ac:dyDescent="0.2">
      <c r="A184" s="843"/>
      <c r="B184" s="844"/>
      <c r="C184" s="1039"/>
      <c r="D184" s="867"/>
      <c r="E184" s="869"/>
      <c r="F184" s="1450"/>
      <c r="G184" s="1450"/>
      <c r="H184" s="870"/>
      <c r="I184" s="1940" t="str">
        <f>IF(СОДЕРЖАНИЕ!P2=1,"EUR","RUB")</f>
        <v>RUB</v>
      </c>
      <c r="M184" s="875"/>
      <c r="N184" s="875"/>
      <c r="O184" s="875"/>
      <c r="P184" s="875"/>
      <c r="Q184" s="875"/>
      <c r="R184" s="875"/>
      <c r="S184" s="875"/>
      <c r="T184" s="875"/>
      <c r="U184" s="8">
        <v>500</v>
      </c>
      <c r="V184" s="1411" t="s">
        <v>3017</v>
      </c>
      <c r="W184" s="1411" t="s">
        <v>3012</v>
      </c>
      <c r="X184" s="875"/>
      <c r="Y184" s="875"/>
      <c r="Z184" s="712"/>
      <c r="AA184" s="28"/>
      <c r="AB184" s="713"/>
      <c r="AC184" s="28"/>
      <c r="AE184" s="1411" t="s">
        <v>3600</v>
      </c>
      <c r="AF184" s="1411" t="s">
        <v>3601</v>
      </c>
      <c r="AG184" s="1411"/>
      <c r="AH184" s="875"/>
      <c r="AI184" s="782"/>
      <c r="AJ184" s="782"/>
      <c r="AK184" s="782"/>
      <c r="AL184" s="782"/>
      <c r="AM184" s="8"/>
      <c r="AN184" s="1411" t="s">
        <v>3602</v>
      </c>
      <c r="AO184" s="1411" t="s">
        <v>3603</v>
      </c>
      <c r="AP184" s="875"/>
      <c r="AQ184" s="875"/>
      <c r="AR184" s="782"/>
      <c r="AS184" s="782"/>
      <c r="AT184" s="782"/>
      <c r="AU184" s="782"/>
      <c r="AV184" s="8"/>
      <c r="AW184" s="1411" t="s">
        <v>3082</v>
      </c>
      <c r="AX184" s="1411" t="s">
        <v>3081</v>
      </c>
      <c r="AY184" s="875"/>
      <c r="AZ184" s="875"/>
      <c r="BA184" s="1411"/>
      <c r="BB184" s="1411"/>
      <c r="BC184" s="782"/>
      <c r="BD184" s="782"/>
      <c r="BP184" s="1396"/>
      <c r="BQ184" s="1396"/>
      <c r="BR184" s="1396"/>
      <c r="BS184" s="1396"/>
      <c r="BT184" s="1396"/>
    </row>
    <row r="185" spans="1:81" ht="12.75" customHeight="1" x14ac:dyDescent="0.2">
      <c r="A185" s="2384"/>
      <c r="B185" s="2419"/>
      <c r="C185" s="1566" t="s">
        <v>2985</v>
      </c>
      <c r="D185" s="1567" t="str">
        <f t="shared" ref="D185:D202" si="56">VLOOKUP(C185,всецены,2,FALSE)</f>
        <v xml:space="preserve">LBX, Держ п/п п/рел, лев, ZI7.3C01.01   </v>
      </c>
      <c r="E185" s="1568">
        <v>1</v>
      </c>
      <c r="F185" s="1569">
        <f t="shared" ref="F185:F202" si="57">VLOOKUP(C185,всецены,4,FALSE)</f>
        <v>363.50594280000001</v>
      </c>
      <c r="G185" s="1569">
        <f t="shared" ref="G185:G202" si="58">IF($D$4="Индивидуальная",0,F185)</f>
        <v>363.50594280000001</v>
      </c>
      <c r="H185" s="1570">
        <f>G185*E185</f>
        <v>363.50594280000001</v>
      </c>
      <c r="I185" s="2418">
        <f>SUM(H185:H202)</f>
        <v>7736.9027735999989</v>
      </c>
      <c r="L185" s="771"/>
      <c r="M185" s="771"/>
      <c r="N185" s="771"/>
      <c r="O185" s="771"/>
      <c r="P185" s="771"/>
      <c r="Q185" s="771"/>
      <c r="R185" s="771"/>
      <c r="S185" s="771"/>
      <c r="T185" s="771"/>
      <c r="U185" s="771"/>
      <c r="V185" s="771" t="s">
        <v>5006</v>
      </c>
      <c r="W185" s="771"/>
      <c r="X185" s="771"/>
      <c r="Y185" s="771"/>
      <c r="Z185" s="771"/>
      <c r="AA185" s="771"/>
      <c r="AB185" s="771"/>
      <c r="AC185" s="771"/>
      <c r="AD185" s="771"/>
      <c r="AE185" s="771" t="s">
        <v>5006</v>
      </c>
      <c r="AF185" s="771"/>
      <c r="AN185" s="771" t="s">
        <v>5006</v>
      </c>
      <c r="AW185" s="771" t="s">
        <v>5006</v>
      </c>
      <c r="BP185" s="1396"/>
      <c r="BQ185" s="363"/>
      <c r="BR185" s="1396"/>
      <c r="BS185" s="1396"/>
      <c r="BT185" s="1396"/>
    </row>
    <row r="186" spans="1:81" ht="12.75" customHeight="1" x14ac:dyDescent="0.2">
      <c r="A186" s="2384"/>
      <c r="B186" s="2073"/>
      <c r="C186" s="1576" t="s">
        <v>2994</v>
      </c>
      <c r="D186" s="1567" t="str">
        <f t="shared" si="56"/>
        <v xml:space="preserve">LBX, Держ п/п п/рел, прав, ZI7.3C01.01  </v>
      </c>
      <c r="E186" s="1568">
        <v>1</v>
      </c>
      <c r="F186" s="1569">
        <f t="shared" si="57"/>
        <v>363.50594280000001</v>
      </c>
      <c r="G186" s="1569">
        <f t="shared" si="58"/>
        <v>363.50594280000001</v>
      </c>
      <c r="H186" s="1570">
        <f t="shared" ref="H186:H202" si="59">G186*E186</f>
        <v>363.50594280000001</v>
      </c>
      <c r="I186" s="2386"/>
      <c r="L186" s="771"/>
      <c r="M186" s="771"/>
      <c r="N186" s="771"/>
      <c r="O186" s="771"/>
      <c r="P186" s="771"/>
      <c r="Q186" s="771"/>
      <c r="R186" s="771"/>
      <c r="S186" s="771"/>
      <c r="T186" s="771"/>
      <c r="U186" s="771">
        <v>500</v>
      </c>
      <c r="V186" s="1936" t="s">
        <v>3592</v>
      </c>
      <c r="W186" s="771"/>
      <c r="X186" s="771"/>
      <c r="Y186" s="771"/>
      <c r="Z186" s="771"/>
      <c r="AA186" s="771"/>
      <c r="AB186" s="771"/>
      <c r="AC186" s="771"/>
      <c r="AD186" s="771"/>
      <c r="AE186" s="771" t="s">
        <v>3593</v>
      </c>
      <c r="AF186" s="771"/>
      <c r="AN186" s="771" t="s">
        <v>3594</v>
      </c>
      <c r="BP186" s="1396"/>
      <c r="BQ186" s="363"/>
      <c r="BR186" s="1396"/>
      <c r="BS186" s="1396"/>
      <c r="BT186" s="1396"/>
    </row>
    <row r="187" spans="1:81" ht="12.75" customHeight="1" x14ac:dyDescent="0.2">
      <c r="A187" s="2384"/>
      <c r="B187" s="2073"/>
      <c r="C187" s="1566" t="str">
        <f>VLOOKUP($D$3,LBX.C,10,FALSE)</f>
        <v>6421490/</v>
      </c>
      <c r="D187" s="1567" t="str">
        <f t="shared" si="56"/>
        <v xml:space="preserve">LBX, Загл вн держ п/п сер лев ZI7.3C08  </v>
      </c>
      <c r="E187" s="1568">
        <v>1</v>
      </c>
      <c r="F187" s="1569">
        <f t="shared" si="57"/>
        <v>41.473832399999999</v>
      </c>
      <c r="G187" s="1569">
        <f t="shared" si="58"/>
        <v>41.473832399999999</v>
      </c>
      <c r="H187" s="1570">
        <f t="shared" si="59"/>
        <v>41.473832399999999</v>
      </c>
      <c r="I187" s="2386"/>
      <c r="L187" s="771"/>
      <c r="M187" s="771"/>
      <c r="N187" s="771"/>
      <c r="O187" s="771"/>
      <c r="P187" s="771"/>
      <c r="Q187" s="771"/>
      <c r="R187" s="771"/>
      <c r="S187" s="771"/>
      <c r="T187" s="771"/>
      <c r="U187" s="771"/>
      <c r="V187" s="771"/>
      <c r="W187" s="771"/>
      <c r="X187" s="771"/>
      <c r="Y187" s="771"/>
      <c r="Z187" s="771"/>
      <c r="AA187" s="771"/>
      <c r="AB187" s="771"/>
      <c r="AC187" s="771"/>
      <c r="AD187" s="771"/>
      <c r="AE187" s="771"/>
      <c r="AF187" s="771"/>
      <c r="BM187" s="1936"/>
      <c r="BP187" s="1396"/>
      <c r="BQ187" s="363"/>
      <c r="BR187" s="1396"/>
      <c r="BS187" s="1396"/>
      <c r="BT187" s="1396"/>
    </row>
    <row r="188" spans="1:81" ht="12.75" customHeight="1" x14ac:dyDescent="0.2">
      <c r="A188" s="2384"/>
      <c r="B188" s="2073"/>
      <c r="C188" s="1566" t="str">
        <f>VLOOKUP($D$3,LBX.C,11,FALSE)</f>
        <v>9747958/</v>
      </c>
      <c r="D188" s="1567" t="str">
        <f t="shared" si="56"/>
        <v xml:space="preserve">LBX, Загл вн держ п/п сер пр ZI7.3C08   </v>
      </c>
      <c r="E188" s="1568">
        <v>1</v>
      </c>
      <c r="F188" s="1569">
        <f t="shared" si="57"/>
        <v>41.473832399999999</v>
      </c>
      <c r="G188" s="1569">
        <f t="shared" si="58"/>
        <v>41.473832399999999</v>
      </c>
      <c r="H188" s="1570">
        <f t="shared" si="59"/>
        <v>41.473832399999999</v>
      </c>
      <c r="I188" s="2386"/>
      <c r="L188" s="771"/>
      <c r="M188" s="771"/>
      <c r="N188" s="771"/>
      <c r="O188" s="771"/>
      <c r="P188" s="771"/>
      <c r="Q188" s="771"/>
      <c r="R188" s="771"/>
      <c r="S188" s="771"/>
      <c r="T188" s="771"/>
      <c r="U188" s="771"/>
      <c r="Z188" s="771"/>
      <c r="AA188" s="771"/>
      <c r="AB188" s="771"/>
      <c r="AC188" s="771"/>
      <c r="AD188" s="771"/>
      <c r="AE188" s="771"/>
      <c r="AF188" s="771"/>
      <c r="BM188" s="1936"/>
      <c r="BN188" s="1936"/>
      <c r="BO188" s="1936"/>
      <c r="BP188" s="1031"/>
      <c r="BQ188" s="1031"/>
      <c r="BR188" s="1031"/>
      <c r="BS188" s="1031"/>
      <c r="BT188" s="1031"/>
    </row>
    <row r="189" spans="1:81" ht="12.75" customHeight="1" x14ac:dyDescent="0.2">
      <c r="A189" s="2384"/>
      <c r="B189" s="2073"/>
      <c r="C189" s="1566" t="str">
        <f>VLOOKUP($D$3,LBX.C,12,FALSE)</f>
        <v>4939331/</v>
      </c>
      <c r="D189" s="1567" t="str">
        <f t="shared" si="56"/>
        <v xml:space="preserve">LBX, Загл держ п/п С, сер, лев ZI7.2CS3 </v>
      </c>
      <c r="E189" s="1568">
        <v>1</v>
      </c>
      <c r="F189" s="1569">
        <f t="shared" si="57"/>
        <v>123.60828479999999</v>
      </c>
      <c r="G189" s="1569">
        <f t="shared" si="58"/>
        <v>123.60828479999999</v>
      </c>
      <c r="H189" s="1570">
        <f t="shared" si="59"/>
        <v>123.60828479999999</v>
      </c>
      <c r="I189" s="2386"/>
      <c r="L189" s="771"/>
      <c r="M189" s="771"/>
      <c r="N189" s="771"/>
      <c r="O189" s="771"/>
      <c r="P189" s="771"/>
      <c r="Q189" s="771"/>
      <c r="R189" s="771"/>
      <c r="S189" s="771"/>
      <c r="T189" s="771"/>
      <c r="U189" s="771"/>
      <c r="Z189" s="771"/>
      <c r="AA189" s="771"/>
      <c r="AB189" s="771"/>
      <c r="AC189" s="771"/>
      <c r="AD189" s="771"/>
      <c r="AE189" s="771"/>
      <c r="AF189" s="771"/>
      <c r="BG189" s="894" t="s">
        <v>2396</v>
      </c>
      <c r="BM189" s="1397"/>
      <c r="BN189" s="1397"/>
      <c r="BO189" s="1397"/>
      <c r="BP189" s="1395" t="s">
        <v>2325</v>
      </c>
      <c r="BQ189" s="1395" t="s">
        <v>2345</v>
      </c>
      <c r="BR189" s="1395" t="s">
        <v>2308</v>
      </c>
      <c r="BS189" s="1395" t="s">
        <v>2334</v>
      </c>
      <c r="BT189" s="1395" t="s">
        <v>2272</v>
      </c>
    </row>
    <row r="190" spans="1:81" ht="12.75" customHeight="1" x14ac:dyDescent="0.2">
      <c r="A190" s="2384"/>
      <c r="B190" s="2073"/>
      <c r="C190" s="1566" t="str">
        <f>VLOOKUP($D$3,LBX.C,13,FALSE)</f>
        <v>8190871/</v>
      </c>
      <c r="D190" s="1567" t="str">
        <f t="shared" si="56"/>
        <v>LBX, Загл держ п/п С, сер, прав ZI7.2CS3</v>
      </c>
      <c r="E190" s="1568">
        <v>1</v>
      </c>
      <c r="F190" s="1569">
        <f t="shared" si="57"/>
        <v>123.60828479999999</v>
      </c>
      <c r="G190" s="1569">
        <f t="shared" si="58"/>
        <v>123.60828479999999</v>
      </c>
      <c r="H190" s="1570">
        <f t="shared" si="59"/>
        <v>123.60828479999999</v>
      </c>
      <c r="I190" s="2386"/>
      <c r="L190" s="771"/>
      <c r="M190" s="771"/>
      <c r="N190" s="771"/>
      <c r="O190" s="771"/>
      <c r="P190" s="771"/>
      <c r="Q190" s="771"/>
      <c r="R190" s="771"/>
      <c r="S190" s="771"/>
      <c r="T190" s="771"/>
      <c r="U190" s="771"/>
      <c r="Z190" s="771"/>
      <c r="AA190" s="771"/>
      <c r="AB190" s="771"/>
      <c r="AC190" s="771"/>
      <c r="AD190" s="771"/>
      <c r="AE190" s="771"/>
      <c r="AF190" s="771"/>
      <c r="BG190" s="891" t="s">
        <v>2398</v>
      </c>
      <c r="BM190" s="1397"/>
      <c r="BN190" s="1397"/>
      <c r="BO190" s="1397"/>
      <c r="BP190" s="893" t="s">
        <v>2337</v>
      </c>
      <c r="BQ190" s="893" t="s">
        <v>2331</v>
      </c>
      <c r="BR190" s="893" t="s">
        <v>2318</v>
      </c>
      <c r="BS190" s="893" t="s">
        <v>2321</v>
      </c>
      <c r="BT190" s="893" t="s">
        <v>2269</v>
      </c>
    </row>
    <row r="191" spans="1:81" ht="12.75" customHeight="1" x14ac:dyDescent="0.2">
      <c r="A191" s="2384"/>
      <c r="B191" s="2073"/>
      <c r="C191" s="1566" t="str">
        <f>VLOOKUP($D$3,LBX.C,14,FALSE)</f>
        <v>5897587/</v>
      </c>
      <c r="D191" s="1567" t="str">
        <f t="shared" si="56"/>
        <v xml:space="preserve">LBX, Пп б/п п/раскр, сер, ZV7.1043C01   </v>
      </c>
      <c r="E191" s="1568">
        <v>1</v>
      </c>
      <c r="F191" s="1569">
        <f t="shared" si="57"/>
        <v>1253.9735208</v>
      </c>
      <c r="G191" s="1569">
        <f t="shared" si="58"/>
        <v>1253.9735208</v>
      </c>
      <c r="H191" s="1570">
        <f t="shared" si="59"/>
        <v>1253.9735208</v>
      </c>
      <c r="I191" s="2386"/>
      <c r="L191" s="771"/>
      <c r="M191" s="771"/>
      <c r="N191" s="771"/>
      <c r="O191" s="771"/>
      <c r="P191" s="771"/>
      <c r="Q191" s="771"/>
      <c r="R191" s="771"/>
      <c r="S191" s="771"/>
      <c r="T191" s="771"/>
      <c r="U191" s="771"/>
      <c r="Z191" s="771"/>
      <c r="AA191" s="771"/>
      <c r="AB191" s="771"/>
      <c r="AC191" s="771"/>
      <c r="AD191" s="771"/>
      <c r="AE191" s="771"/>
      <c r="AF191" s="771"/>
      <c r="BG191" s="891" t="s">
        <v>2397</v>
      </c>
      <c r="BH191" s="1936"/>
      <c r="BI191" s="1936"/>
      <c r="BJ191" s="1936"/>
      <c r="BK191" s="1936"/>
      <c r="BL191" s="1936"/>
      <c r="BM191" s="1335"/>
      <c r="BN191" s="1397"/>
      <c r="BO191" s="1397"/>
      <c r="BP191" s="891"/>
      <c r="BQ191" s="891"/>
      <c r="BR191" s="891"/>
      <c r="BS191" s="891"/>
      <c r="BT191" s="891"/>
      <c r="BU191" s="891"/>
      <c r="BV191" s="782"/>
      <c r="BW191" s="782"/>
      <c r="BX191" s="782"/>
      <c r="BY191" s="782"/>
      <c r="BZ191" s="782"/>
      <c r="CA191" s="782"/>
      <c r="CB191" s="782"/>
      <c r="CC191" s="782"/>
    </row>
    <row r="192" spans="1:81" ht="12.75" customHeight="1" x14ac:dyDescent="0.2">
      <c r="A192" s="2384"/>
      <c r="B192" s="2073"/>
      <c r="C192" s="1566" t="str">
        <f>VLOOKUP($D$3,LBX.C,15,FALSE)</f>
        <v>3359148/</v>
      </c>
      <c r="D192" s="1567" t="str">
        <f t="shared" si="56"/>
        <v xml:space="preserve">LBX, Поп рел п/раскрой, 1080 мм., сер   </v>
      </c>
      <c r="E192" s="1568">
        <v>1</v>
      </c>
      <c r="F192" s="1569">
        <f t="shared" si="57"/>
        <v>550.54479479999998</v>
      </c>
      <c r="G192" s="1569">
        <f t="shared" si="58"/>
        <v>550.54479479999998</v>
      </c>
      <c r="H192" s="1570">
        <f t="shared" si="59"/>
        <v>550.54479479999998</v>
      </c>
      <c r="I192" s="2386"/>
      <c r="L192" s="1936"/>
      <c r="M192" s="1936"/>
      <c r="N192" s="1936"/>
      <c r="O192" s="1936"/>
      <c r="P192" s="1936"/>
      <c r="Q192" s="1936"/>
      <c r="R192" s="1936"/>
      <c r="S192" s="771"/>
      <c r="T192" s="771"/>
      <c r="U192" s="771"/>
      <c r="Z192" s="771"/>
      <c r="AA192" s="771"/>
      <c r="AB192" s="771"/>
      <c r="AC192" s="771"/>
      <c r="AD192" s="771"/>
      <c r="AE192" s="771"/>
      <c r="AF192" s="771"/>
      <c r="BL192" s="1936"/>
    </row>
    <row r="193" spans="1:82" ht="12.75" customHeight="1" x14ac:dyDescent="0.2">
      <c r="A193" s="2384"/>
      <c r="B193" s="2073"/>
      <c r="C193" s="1566" t="str">
        <f>VLOOKUP($D$3,LBX.C,8,FALSE)</f>
        <v>2260649/</v>
      </c>
      <c r="D193" s="1567" t="str">
        <f t="shared" si="56"/>
        <v>LBX, Держат. задн. ст, 189 мм, сер, лев.</v>
      </c>
      <c r="E193" s="1568">
        <v>1</v>
      </c>
      <c r="F193" s="1569">
        <f t="shared" si="57"/>
        <v>47.979531600000001</v>
      </c>
      <c r="G193" s="1569">
        <f t="shared" si="58"/>
        <v>47.979531600000001</v>
      </c>
      <c r="H193" s="1570">
        <f t="shared" si="59"/>
        <v>47.979531600000001</v>
      </c>
      <c r="I193" s="2386"/>
      <c r="L193" s="1936"/>
      <c r="M193" s="1936"/>
      <c r="N193" s="1936"/>
      <c r="O193" s="1936"/>
      <c r="P193" s="1936"/>
      <c r="Q193" s="1936"/>
      <c r="R193" s="1936"/>
      <c r="S193" s="771"/>
      <c r="T193" s="771"/>
      <c r="U193" s="771"/>
      <c r="V193" s="1936"/>
      <c r="Z193" s="771"/>
      <c r="AA193" s="771"/>
      <c r="AB193" s="771"/>
      <c r="AC193" s="771"/>
      <c r="AD193" s="771"/>
      <c r="AE193" s="771"/>
      <c r="AF193" s="771"/>
      <c r="AN193" s="1936"/>
      <c r="AW193" s="1936"/>
      <c r="BL193" s="1936"/>
    </row>
    <row r="194" spans="1:82" ht="12.75" customHeight="1" x14ac:dyDescent="0.2">
      <c r="A194" s="2384"/>
      <c r="B194" s="2073"/>
      <c r="C194" s="1566" t="str">
        <f>VLOOKUP($D$3,LBX.C,9,FALSE)</f>
        <v>8148550/</v>
      </c>
      <c r="D194" s="1567" t="str">
        <f t="shared" si="56"/>
        <v>LBX, Держат. задн. ст, 189 мм, сер, прав</v>
      </c>
      <c r="E194" s="1568">
        <v>1</v>
      </c>
      <c r="F194" s="1569">
        <f t="shared" si="57"/>
        <v>47.979531600000001</v>
      </c>
      <c r="G194" s="1569">
        <f t="shared" si="58"/>
        <v>47.979531600000001</v>
      </c>
      <c r="H194" s="1570">
        <f t="shared" si="59"/>
        <v>47.979531600000001</v>
      </c>
      <c r="I194" s="2386"/>
      <c r="L194" s="1936"/>
      <c r="M194" s="1936"/>
      <c r="N194" s="1936"/>
      <c r="O194" s="1936"/>
      <c r="P194" s="1936"/>
      <c r="Q194" s="1936"/>
      <c r="R194" s="1936"/>
      <c r="S194" s="771"/>
      <c r="T194" s="771"/>
      <c r="U194" s="771"/>
      <c r="V194" s="1936"/>
      <c r="Z194" s="771"/>
      <c r="AA194" s="771"/>
      <c r="AB194" s="771"/>
      <c r="AC194" s="771"/>
      <c r="AD194" s="771"/>
      <c r="AE194" s="771"/>
      <c r="AF194" s="771"/>
      <c r="AN194" s="1936"/>
      <c r="AW194" s="1936"/>
    </row>
    <row r="195" spans="1:82" ht="12.75" customHeight="1" x14ac:dyDescent="0.2">
      <c r="A195" s="2384"/>
      <c r="B195" s="2073"/>
      <c r="C195" s="1096" t="str">
        <f>IF(C199="","",IF($D$4="Торговая","",VLOOKUP($D$3,LBX.C,7,FALSE)))</f>
        <v>5820744/</v>
      </c>
      <c r="D195" s="43" t="str">
        <f>IF(C195="","",VLOOKUP(C195,всецены,2,FALSE))</f>
        <v xml:space="preserve">LBX, Загл, наружн, с лого, сер, симм    </v>
      </c>
      <c r="E195" s="3">
        <f>IF(C195="",0,2)</f>
        <v>2</v>
      </c>
      <c r="F195" s="1457">
        <f>IF(C195="",0,VLOOKUP(C195,всецены,4,FALSE))</f>
        <v>14.637823200000001</v>
      </c>
      <c r="G195" s="1569">
        <f t="shared" si="58"/>
        <v>14.637823200000001</v>
      </c>
      <c r="H195" s="1570">
        <f t="shared" si="59"/>
        <v>29.275646400000003</v>
      </c>
      <c r="I195" s="2386"/>
      <c r="L195" s="771"/>
      <c r="M195" s="771"/>
      <c r="N195" s="771"/>
      <c r="O195" s="771"/>
      <c r="P195" s="771"/>
      <c r="Q195" s="771"/>
      <c r="R195" s="771"/>
      <c r="S195" s="771"/>
      <c r="T195" s="771"/>
      <c r="U195" s="771"/>
      <c r="V195" s="1936"/>
      <c r="W195" s="1936"/>
      <c r="X195" s="1936"/>
      <c r="Y195" s="1936"/>
      <c r="Z195" s="1936"/>
      <c r="AA195" s="1936"/>
      <c r="AB195" s="1936"/>
      <c r="AC195" s="771"/>
      <c r="AD195" s="771"/>
      <c r="AE195" s="771"/>
      <c r="AF195" s="771"/>
      <c r="AP195" s="1936"/>
      <c r="AY195" s="1936"/>
    </row>
    <row r="196" spans="1:82" ht="12.75" customHeight="1" x14ac:dyDescent="0.2">
      <c r="A196" s="2384"/>
      <c r="B196" s="2073"/>
      <c r="C196" s="1978" t="str">
        <f>C175</f>
        <v>1365128/</v>
      </c>
      <c r="D196" s="1978" t="str">
        <f t="shared" si="56"/>
        <v>LBX, Tip-on BM, L3, 350-750 кмп T60L7540</v>
      </c>
      <c r="E196" s="1979">
        <v>1</v>
      </c>
      <c r="F196" s="1980">
        <f t="shared" si="57"/>
        <v>1107.5952887999999</v>
      </c>
      <c r="G196" s="1980">
        <f t="shared" si="58"/>
        <v>1107.5952887999999</v>
      </c>
      <c r="H196" s="1981">
        <f t="shared" si="59"/>
        <v>1107.5952887999999</v>
      </c>
      <c r="I196" s="2386"/>
      <c r="L196" s="771"/>
      <c r="M196" s="771"/>
      <c r="N196" s="771"/>
      <c r="O196" s="771"/>
      <c r="P196" s="771"/>
      <c r="Q196" s="771"/>
      <c r="R196" s="771"/>
      <c r="S196" s="771"/>
      <c r="T196" s="771"/>
      <c r="U196" s="771"/>
      <c r="V196" s="1936"/>
      <c r="W196" s="1936"/>
      <c r="X196" s="1936"/>
      <c r="Y196" s="1936"/>
      <c r="Z196" s="1936"/>
      <c r="AA196" s="1936"/>
      <c r="AB196" s="1936"/>
      <c r="AC196" s="771"/>
      <c r="AD196" s="771"/>
      <c r="AE196" s="771"/>
      <c r="AF196" s="771"/>
      <c r="AP196" s="1936"/>
      <c r="AY196" s="1936"/>
    </row>
    <row r="197" spans="1:82" ht="12.75" customHeight="1" x14ac:dyDescent="0.2">
      <c r="A197" s="843"/>
      <c r="B197" s="2073"/>
      <c r="C197" s="1978" t="str">
        <f>C176</f>
        <v>9554467/</v>
      </c>
      <c r="D197" s="1978" t="str">
        <f t="shared" si="56"/>
        <v>LBX, Напр.Tip-on BM,500 мм,кмп 750.5001M</v>
      </c>
      <c r="E197" s="1979">
        <v>1</v>
      </c>
      <c r="F197" s="1980">
        <f t="shared" si="57"/>
        <v>1669.5250572</v>
      </c>
      <c r="G197" s="1980">
        <f t="shared" si="58"/>
        <v>1669.5250572</v>
      </c>
      <c r="H197" s="1981">
        <f t="shared" si="59"/>
        <v>1669.5250572</v>
      </c>
      <c r="I197" s="2386"/>
      <c r="L197" s="771"/>
      <c r="M197" s="771"/>
      <c r="N197" s="771"/>
      <c r="O197" s="771"/>
      <c r="P197" s="771"/>
      <c r="Q197" s="771"/>
      <c r="R197" s="771"/>
      <c r="S197" s="771"/>
      <c r="T197" s="771"/>
      <c r="U197" s="771"/>
      <c r="AC197" s="771"/>
      <c r="AD197" s="771"/>
      <c r="AE197" s="771"/>
      <c r="AF197" s="771"/>
    </row>
    <row r="198" spans="1:82" ht="12.75" customHeight="1" x14ac:dyDescent="0.2">
      <c r="A198" s="843"/>
      <c r="B198" s="2073"/>
      <c r="C198" s="1566" t="str">
        <f>VLOOKUP($D$3,LBX.C_Free,2,FALSE)</f>
        <v>9826054/</v>
      </c>
      <c r="D198" s="1567" t="str">
        <f>VLOOKUP(C198,всецены,2,FALSE)</f>
        <v xml:space="preserve">LBX-F, Боковина 176,8/500 мм, сер, лев  </v>
      </c>
      <c r="E198" s="1568">
        <v>1</v>
      </c>
      <c r="F198" s="1569">
        <f t="shared" si="57"/>
        <v>815.6520372</v>
      </c>
      <c r="G198" s="1569">
        <f t="shared" si="58"/>
        <v>815.6520372</v>
      </c>
      <c r="H198" s="1570">
        <f t="shared" si="59"/>
        <v>815.6520372</v>
      </c>
      <c r="I198" s="2386"/>
      <c r="L198" s="771"/>
      <c r="M198" s="771"/>
      <c r="N198" s="771"/>
      <c r="O198" s="771"/>
      <c r="P198" s="771"/>
      <c r="Q198" s="771"/>
      <c r="R198" s="771"/>
      <c r="S198" s="771"/>
      <c r="T198" s="771"/>
      <c r="U198" s="771"/>
      <c r="AC198" s="771"/>
      <c r="AD198" s="771"/>
      <c r="AE198" s="771"/>
      <c r="AF198" s="771"/>
    </row>
    <row r="199" spans="1:82" ht="12.75" customHeight="1" x14ac:dyDescent="0.2">
      <c r="A199" s="843"/>
      <c r="B199" s="2073"/>
      <c r="C199" s="1566" t="str">
        <f>C178</f>
        <v>8864974/</v>
      </c>
      <c r="D199" s="1567" t="str">
        <f>IF(C199="","",VLOOKUP(C199,всецены,2,FALSE))</f>
        <v xml:space="preserve">LBX-F, Боковина 176,8/500 мм, сер, прав </v>
      </c>
      <c r="E199" s="1571">
        <f>IF(C199="",0,1)</f>
        <v>1</v>
      </c>
      <c r="F199" s="1572">
        <f>IF(C199="",0,VLOOKUP(C199,всецены,4,FALSE))</f>
        <v>815.6520372</v>
      </c>
      <c r="G199" s="1569">
        <f t="shared" si="58"/>
        <v>815.6520372</v>
      </c>
      <c r="H199" s="1570">
        <f t="shared" si="59"/>
        <v>815.6520372</v>
      </c>
      <c r="I199" s="2386"/>
      <c r="L199" s="771"/>
      <c r="M199" s="771"/>
      <c r="N199" s="771"/>
      <c r="O199" s="771"/>
      <c r="P199" s="771"/>
      <c r="Q199" s="771"/>
      <c r="R199" s="771"/>
      <c r="S199" s="771"/>
      <c r="T199" s="771"/>
      <c r="U199" s="771"/>
      <c r="V199" s="771"/>
      <c r="W199" s="771"/>
      <c r="X199" s="771"/>
      <c r="Y199" s="771"/>
      <c r="Z199" s="771"/>
      <c r="AA199" s="771"/>
      <c r="AB199" s="771"/>
      <c r="AC199" s="771"/>
      <c r="AD199" s="771"/>
      <c r="AE199" s="771"/>
      <c r="AF199" s="771"/>
    </row>
    <row r="200" spans="1:82" ht="12.75" customHeight="1" x14ac:dyDescent="0.2">
      <c r="A200" s="843"/>
      <c r="B200" s="2073"/>
      <c r="C200" s="1566" t="str">
        <f>VLOOKUP($D$3,LBX.C_Free,16,FALSE)</f>
        <v>5440845/</v>
      </c>
      <c r="D200" s="1567" t="str">
        <f>VLOOKUP(C200,всецены,2,FALSE)</f>
        <v xml:space="preserve">LBX-F, Задн держ стекл вст C сер, лев   </v>
      </c>
      <c r="E200" s="1568">
        <v>1</v>
      </c>
      <c r="F200" s="1569">
        <f t="shared" si="57"/>
        <v>89.453364000000008</v>
      </c>
      <c r="G200" s="1569">
        <f t="shared" si="58"/>
        <v>89.453364000000008</v>
      </c>
      <c r="H200" s="1570">
        <f t="shared" si="59"/>
        <v>89.453364000000008</v>
      </c>
      <c r="I200" s="2386"/>
      <c r="L200" s="771"/>
      <c r="M200" s="771"/>
      <c r="N200" s="771"/>
      <c r="O200" s="771"/>
      <c r="P200" s="771"/>
      <c r="Q200" s="771"/>
      <c r="R200" s="771"/>
      <c r="S200" s="771"/>
      <c r="T200" s="771"/>
      <c r="U200" s="771"/>
      <c r="V200" s="771"/>
      <c r="W200" s="771"/>
      <c r="X200" s="771"/>
      <c r="Y200" s="771"/>
      <c r="Z200" s="771"/>
      <c r="AB200" s="771"/>
      <c r="AC200" s="771"/>
      <c r="AD200" s="771"/>
      <c r="AE200" s="771"/>
      <c r="AF200" s="771"/>
    </row>
    <row r="201" spans="1:82" ht="12.75" customHeight="1" x14ac:dyDescent="0.2">
      <c r="A201" s="843"/>
      <c r="B201" s="2073"/>
      <c r="C201" s="1566" t="str">
        <f>VLOOKUP($D$3,LBX.C_Free,17,FALSE)</f>
        <v>7911471/</v>
      </c>
      <c r="D201" s="1567" t="str">
        <f>VLOOKUP(C201,всецены,2,FALSE)</f>
        <v xml:space="preserve">LBX-F, Задн держ стекл вст C сер, прав  </v>
      </c>
      <c r="E201" s="1568">
        <v>1</v>
      </c>
      <c r="F201" s="1569">
        <f t="shared" si="57"/>
        <v>89.453364000000008</v>
      </c>
      <c r="G201" s="1569">
        <f t="shared" si="58"/>
        <v>89.453364000000008</v>
      </c>
      <c r="H201" s="1570">
        <f t="shared" si="59"/>
        <v>89.453364000000008</v>
      </c>
      <c r="I201" s="2386"/>
      <c r="L201" s="771"/>
      <c r="M201" s="771"/>
      <c r="N201" s="771"/>
      <c r="O201" s="771"/>
      <c r="P201" s="771"/>
      <c r="Q201" s="771"/>
      <c r="R201" s="771"/>
      <c r="S201" s="771"/>
      <c r="T201" s="771"/>
      <c r="U201" s="771"/>
      <c r="V201" s="771"/>
      <c r="W201" s="771"/>
      <c r="X201" s="771"/>
      <c r="Y201" s="771"/>
      <c r="Z201" s="771"/>
      <c r="AB201" s="771"/>
      <c r="AC201" s="771"/>
      <c r="AD201" s="771"/>
      <c r="AE201" s="771"/>
      <c r="AF201" s="771"/>
    </row>
    <row r="202" spans="1:82" ht="12.75" customHeight="1" thickBot="1" x14ac:dyDescent="0.25">
      <c r="B202" s="2074"/>
      <c r="C202" s="1536" t="str">
        <f>VLOOKUP($D$3,LBX.C_Free,18,FALSE)</f>
        <v>1356389/</v>
      </c>
      <c r="D202" s="1537" t="str">
        <f t="shared" si="56"/>
        <v>LBX-F, Передн держ стекл вст С сер симм.</v>
      </c>
      <c r="E202" s="1538">
        <v>2</v>
      </c>
      <c r="F202" s="1574">
        <f t="shared" si="57"/>
        <v>81.321240000000003</v>
      </c>
      <c r="G202" s="1574">
        <f t="shared" si="58"/>
        <v>81.321240000000003</v>
      </c>
      <c r="H202" s="1575">
        <f t="shared" si="59"/>
        <v>162.64248000000001</v>
      </c>
      <c r="I202" s="2387"/>
      <c r="L202" s="771"/>
      <c r="M202" s="771"/>
      <c r="N202" s="771"/>
      <c r="O202" s="771"/>
      <c r="P202" s="771"/>
      <c r="Q202" s="771"/>
      <c r="R202" s="771"/>
      <c r="S202" s="771"/>
      <c r="T202" s="771"/>
      <c r="U202" s="771"/>
      <c r="V202" s="771"/>
      <c r="W202" s="771"/>
      <c r="X202" s="771"/>
      <c r="Y202" s="771"/>
      <c r="Z202" s="771"/>
      <c r="AA202" s="771"/>
      <c r="AB202" s="771"/>
      <c r="AC202" s="771"/>
      <c r="AD202" s="771"/>
      <c r="AE202" s="771"/>
      <c r="AF202" s="771"/>
    </row>
    <row r="203" spans="1:82" ht="15.75" customHeight="1" thickBot="1" x14ac:dyDescent="0.25">
      <c r="A203" s="843"/>
      <c r="B203" s="871"/>
      <c r="C203" s="862"/>
      <c r="D203" s="863"/>
      <c r="E203" s="864"/>
      <c r="F203" s="1449"/>
      <c r="G203" s="1449"/>
      <c r="H203" s="866"/>
      <c r="I203" s="877"/>
      <c r="L203" s="771"/>
      <c r="M203" s="771"/>
      <c r="N203" s="771"/>
      <c r="O203" s="771"/>
      <c r="P203" s="771"/>
      <c r="Q203" s="771"/>
      <c r="R203" s="771"/>
      <c r="S203" s="771"/>
      <c r="T203" s="771"/>
      <c r="U203" s="771"/>
      <c r="V203" s="771"/>
      <c r="W203" s="771"/>
      <c r="X203" s="771"/>
      <c r="Y203" s="771"/>
      <c r="Z203" s="771"/>
      <c r="AA203" s="771"/>
      <c r="AB203" s="771"/>
      <c r="AC203" s="771"/>
      <c r="AD203" s="771"/>
      <c r="AE203" s="771"/>
      <c r="AF203" s="771"/>
    </row>
    <row r="204" spans="1:82" ht="15" customHeight="1" x14ac:dyDescent="0.2">
      <c r="A204" s="843"/>
      <c r="B204" s="851">
        <v>500</v>
      </c>
      <c r="C204" s="719"/>
      <c r="D204" s="2144" t="s">
        <v>3605</v>
      </c>
      <c r="E204" s="2144"/>
      <c r="F204" s="2144"/>
      <c r="G204" s="2144"/>
      <c r="H204" s="2144"/>
      <c r="I204" s="2145"/>
      <c r="K204" s="1936"/>
      <c r="L204" s="771"/>
      <c r="M204" s="771"/>
      <c r="N204" s="771"/>
      <c r="O204" s="771"/>
      <c r="P204" s="771"/>
      <c r="Q204" s="771"/>
      <c r="R204" s="771"/>
      <c r="S204" s="771"/>
      <c r="T204" s="771"/>
      <c r="U204" s="771"/>
      <c r="V204" s="771"/>
      <c r="W204" s="771"/>
      <c r="X204" s="771"/>
      <c r="Y204" s="771"/>
      <c r="Z204" s="771"/>
      <c r="AA204" s="771"/>
      <c r="AB204" s="771"/>
      <c r="AC204" s="771"/>
      <c r="AD204" s="771"/>
      <c r="AE204" s="771"/>
      <c r="AF204" s="771"/>
    </row>
    <row r="205" spans="1:82" ht="15" customHeight="1" x14ac:dyDescent="0.2">
      <c r="A205" s="843"/>
      <c r="B205" s="844"/>
      <c r="C205" s="1039"/>
      <c r="D205" s="867"/>
      <c r="E205" s="869"/>
      <c r="F205" s="1450"/>
      <c r="G205" s="1450"/>
      <c r="H205" s="870"/>
      <c r="I205" s="1940" t="str">
        <f>IF(СОДЕРЖАНИЕ!P2=1,"EUR","RUB")</f>
        <v>RUB</v>
      </c>
      <c r="K205" s="1936"/>
      <c r="L205" s="771"/>
      <c r="M205" s="771"/>
      <c r="N205" s="771"/>
      <c r="O205" s="771"/>
      <c r="P205" s="771"/>
      <c r="Q205" s="771"/>
      <c r="R205" s="771"/>
      <c r="S205" s="771"/>
      <c r="T205" s="771"/>
      <c r="U205" s="771"/>
      <c r="V205" s="771"/>
      <c r="W205" s="771"/>
      <c r="X205" s="771"/>
      <c r="Y205" s="771"/>
      <c r="Z205" s="771"/>
      <c r="AA205" s="771"/>
      <c r="AB205" s="771"/>
      <c r="AC205" s="771"/>
      <c r="AD205" s="771"/>
      <c r="AE205" s="771"/>
      <c r="AF205" s="771"/>
      <c r="BE205" s="1936"/>
      <c r="BF205" s="1936"/>
      <c r="BG205" s="1936"/>
      <c r="BH205" s="1936"/>
      <c r="BI205" s="1936"/>
      <c r="BJ205" s="1936"/>
      <c r="BK205" s="1936"/>
      <c r="BL205" s="1936"/>
      <c r="BM205" s="1936"/>
      <c r="BN205" s="1936"/>
      <c r="BO205" s="1936"/>
      <c r="BP205" s="1936"/>
      <c r="BQ205" s="1936"/>
      <c r="BR205" s="1936"/>
      <c r="BS205" s="1936"/>
      <c r="BT205" s="1936"/>
      <c r="BU205" s="1936"/>
      <c r="BV205" s="1936"/>
      <c r="BW205" s="1936"/>
      <c r="BX205" s="1936"/>
      <c r="BY205" s="1936"/>
      <c r="BZ205" s="1936"/>
      <c r="CA205" s="1936"/>
      <c r="CB205" s="1936"/>
      <c r="CC205" s="1936"/>
      <c r="CD205" s="1936"/>
    </row>
    <row r="206" spans="1:82" ht="12.75" customHeight="1" x14ac:dyDescent="0.2">
      <c r="A206" s="2384"/>
      <c r="B206" s="2419"/>
      <c r="C206" s="1576" t="s">
        <v>2991</v>
      </c>
      <c r="D206" s="1567" t="str">
        <f t="shared" ref="D206:D222" si="60">VLOOKUP(C206,всецены,2,FALSE)</f>
        <v xml:space="preserve">LBX, Держ п/п п/вст, лев, ZI7.2C01.01   </v>
      </c>
      <c r="E206" s="1568">
        <v>1</v>
      </c>
      <c r="F206" s="1569">
        <f t="shared" ref="F206:F222" si="61">VLOOKUP(C206,всецены,4,FALSE)</f>
        <v>363.50594280000001</v>
      </c>
      <c r="G206" s="1569">
        <f t="shared" ref="G206:G222" si="62">IF($D$4="Индивидуальная",0,F206)</f>
        <v>363.50594280000001</v>
      </c>
      <c r="H206" s="1570">
        <f>G206*E206</f>
        <v>363.50594280000001</v>
      </c>
      <c r="I206" s="2418">
        <f>SUM(H206:H222)</f>
        <v>7131.0595355999994</v>
      </c>
      <c r="K206" s="1936"/>
      <c r="L206" s="771"/>
      <c r="M206" s="771"/>
      <c r="N206" s="771"/>
      <c r="O206" s="771"/>
      <c r="P206" s="771"/>
      <c r="Q206" s="771"/>
      <c r="R206" s="771"/>
      <c r="S206" s="771"/>
      <c r="T206" s="771"/>
      <c r="U206" s="771"/>
      <c r="V206" s="771"/>
      <c r="W206" s="771"/>
      <c r="X206" s="771"/>
      <c r="Y206" s="771"/>
      <c r="Z206" s="771"/>
      <c r="AA206" s="771"/>
      <c r="AB206" s="771"/>
      <c r="AC206" s="771"/>
      <c r="AD206" s="771"/>
      <c r="AE206" s="771"/>
      <c r="AF206" s="771"/>
      <c r="BE206" s="1936"/>
      <c r="BF206" s="1936"/>
      <c r="BG206" s="1936"/>
      <c r="BH206" s="1936"/>
      <c r="BI206" s="1936"/>
      <c r="BJ206" s="1936"/>
      <c r="BK206" s="1936"/>
      <c r="BL206" s="1936"/>
      <c r="BM206" s="1936"/>
      <c r="BN206" s="1936"/>
      <c r="BO206" s="1936"/>
      <c r="BP206" s="1936"/>
      <c r="BQ206" s="1936"/>
      <c r="BR206" s="1936"/>
      <c r="BS206" s="1936"/>
      <c r="BT206" s="1936"/>
      <c r="BU206" s="1936"/>
      <c r="BV206" s="1936"/>
      <c r="BW206" s="1936"/>
      <c r="BX206" s="1936"/>
      <c r="BY206" s="1936"/>
      <c r="BZ206" s="1936"/>
      <c r="CA206" s="1936"/>
      <c r="CB206" s="1936"/>
      <c r="CC206" s="1936"/>
      <c r="CD206" s="1936"/>
    </row>
    <row r="207" spans="1:82" ht="12.75" customHeight="1" x14ac:dyDescent="0.2">
      <c r="A207" s="2384"/>
      <c r="B207" s="2073"/>
      <c r="C207" s="1576" t="s">
        <v>2986</v>
      </c>
      <c r="D207" s="1567" t="str">
        <f t="shared" si="60"/>
        <v xml:space="preserve">LBX, Держ п/п п/вст, прав, ZI7.2C01.01  </v>
      </c>
      <c r="E207" s="1568">
        <v>1</v>
      </c>
      <c r="F207" s="1569">
        <f t="shared" si="61"/>
        <v>363.50594280000001</v>
      </c>
      <c r="G207" s="1569">
        <f t="shared" si="62"/>
        <v>363.50594280000001</v>
      </c>
      <c r="H207" s="1570">
        <f t="shared" ref="H207:H222" si="63">G207*E207</f>
        <v>363.50594280000001</v>
      </c>
      <c r="I207" s="2386"/>
      <c r="K207" s="1936"/>
      <c r="L207" s="1936"/>
      <c r="M207" s="1936"/>
      <c r="Q207" s="1936"/>
      <c r="R207" s="1936"/>
      <c r="S207" s="1936"/>
      <c r="T207" s="1936"/>
      <c r="U207" s="1936"/>
      <c r="V207" s="1936"/>
      <c r="W207" s="1936"/>
      <c r="X207" s="1936"/>
      <c r="Y207" s="1936"/>
      <c r="Z207" s="1936"/>
      <c r="AA207" s="1936"/>
      <c r="AB207" s="1936"/>
      <c r="AC207" s="1936"/>
      <c r="AD207" s="1936"/>
      <c r="AE207" s="1936"/>
      <c r="AF207" s="1936"/>
      <c r="AG207" s="1936"/>
      <c r="AH207" s="1936"/>
      <c r="AI207" s="1936"/>
      <c r="AJ207" s="1936"/>
      <c r="AK207" s="1936"/>
      <c r="AL207" s="1936"/>
      <c r="AM207" s="1936"/>
      <c r="AN207" s="1936"/>
      <c r="AO207" s="1936"/>
      <c r="AP207" s="1936"/>
      <c r="AQ207" s="1936"/>
      <c r="AR207" s="1936"/>
      <c r="AS207" s="1936"/>
      <c r="AT207" s="1936"/>
      <c r="AU207" s="1936"/>
      <c r="AV207" s="1936"/>
      <c r="AW207" s="1936"/>
      <c r="AX207" s="1936"/>
      <c r="AY207" s="1936"/>
      <c r="AZ207" s="1936"/>
      <c r="BA207" s="1936"/>
      <c r="BB207" s="1936"/>
      <c r="BC207" s="1936"/>
      <c r="BD207" s="1936"/>
      <c r="BE207" s="1936"/>
      <c r="BF207" s="1936"/>
      <c r="BG207" s="1936"/>
      <c r="BH207" s="1936"/>
      <c r="BI207" s="1936"/>
      <c r="BJ207" s="1936"/>
      <c r="BK207" s="1936"/>
      <c r="BL207" s="1936"/>
      <c r="BM207" s="1936"/>
      <c r="BN207" s="1936"/>
      <c r="BO207" s="1936"/>
      <c r="BP207" s="1936"/>
      <c r="BQ207" s="1936"/>
      <c r="BR207" s="1936"/>
      <c r="BS207" s="1936"/>
      <c r="BT207" s="1936"/>
      <c r="BU207" s="1936"/>
      <c r="BV207" s="1936"/>
      <c r="BW207" s="1936"/>
      <c r="BX207" s="1936"/>
      <c r="BY207" s="1936"/>
      <c r="BZ207" s="1936"/>
      <c r="CA207" s="1936"/>
      <c r="CB207" s="1936"/>
      <c r="CC207" s="1936"/>
      <c r="CD207" s="1936"/>
    </row>
    <row r="208" spans="1:82" ht="12.75" customHeight="1" x14ac:dyDescent="0.2">
      <c r="A208" s="2384"/>
      <c r="B208" s="2073"/>
      <c r="C208" s="1576" t="str">
        <f>VLOOKUP($D$3,LBX.C_Free,19,FALSE)</f>
        <v>4050748/</v>
      </c>
      <c r="D208" s="1567" t="str">
        <f t="shared" si="60"/>
        <v>LBX, Загл вн держ п/п, сер прав ZI7.2C08</v>
      </c>
      <c r="E208" s="1568">
        <v>1</v>
      </c>
      <c r="F208" s="1569">
        <f t="shared" si="61"/>
        <v>41.473832399999999</v>
      </c>
      <c r="G208" s="1569">
        <f t="shared" si="62"/>
        <v>41.473832399999999</v>
      </c>
      <c r="H208" s="1570">
        <f t="shared" si="63"/>
        <v>41.473832399999999</v>
      </c>
      <c r="I208" s="2386"/>
      <c r="K208" s="1936"/>
      <c r="L208" s="1936"/>
      <c r="M208" s="1936"/>
      <c r="S208" s="2180" t="s">
        <v>4441</v>
      </c>
      <c r="T208" s="2180"/>
      <c r="U208" s="2180"/>
      <c r="V208" s="1936"/>
      <c r="X208" s="1936"/>
      <c r="Y208" s="1936"/>
      <c r="Z208" s="1936"/>
      <c r="AA208" s="1936"/>
      <c r="AB208" s="1936"/>
      <c r="AC208" s="1936"/>
      <c r="AD208" s="1936"/>
      <c r="AE208" s="1936"/>
      <c r="AF208" s="1936"/>
      <c r="AG208" s="1936"/>
      <c r="AH208" s="1936"/>
      <c r="AI208" s="1936"/>
      <c r="AJ208" s="1936"/>
      <c r="AK208" s="1936"/>
      <c r="AL208" s="1936"/>
      <c r="AM208" s="1936"/>
      <c r="AN208" s="1936"/>
      <c r="AO208" s="1936"/>
      <c r="AP208" s="1936"/>
      <c r="AQ208" s="1936"/>
      <c r="AR208" s="1936"/>
      <c r="AS208" s="1936"/>
      <c r="AT208" s="1936"/>
      <c r="AU208" s="1936"/>
      <c r="AV208" s="1936"/>
      <c r="AW208" s="1936"/>
      <c r="AX208" s="1936"/>
      <c r="AY208" s="1936"/>
      <c r="AZ208" s="1936"/>
      <c r="BA208" s="1936"/>
      <c r="BB208" s="1936"/>
      <c r="BC208" s="1936"/>
      <c r="BD208" s="1936"/>
      <c r="BE208" s="1936"/>
      <c r="BF208" s="1936"/>
      <c r="BG208" s="1936"/>
      <c r="BH208" s="1936"/>
      <c r="BI208" s="1936"/>
      <c r="BJ208" s="1936"/>
      <c r="BK208" s="1936"/>
      <c r="BL208" s="1936"/>
      <c r="BM208" s="1936"/>
      <c r="BN208" s="1936"/>
      <c r="BO208" s="1936"/>
      <c r="BP208" s="1936"/>
      <c r="BQ208" s="1936"/>
      <c r="BR208" s="1936"/>
      <c r="BS208" s="1936"/>
      <c r="BT208" s="1936"/>
      <c r="BU208" s="1936"/>
      <c r="BV208" s="1936"/>
      <c r="BW208" s="1936"/>
      <c r="BX208" s="1936"/>
      <c r="BY208" s="1936"/>
      <c r="BZ208" s="1936"/>
      <c r="CA208" s="1936"/>
      <c r="CB208" s="1936"/>
      <c r="CC208" s="1936"/>
      <c r="CD208" s="1936"/>
    </row>
    <row r="209" spans="1:82" ht="12.75" customHeight="1" x14ac:dyDescent="0.2">
      <c r="A209" s="2384"/>
      <c r="B209" s="2073"/>
      <c r="C209" s="1576" t="str">
        <f>VLOOKUP($D$3,LBX.C_Free,20,FALSE)</f>
        <v>3048718/</v>
      </c>
      <c r="D209" s="1567" t="str">
        <f t="shared" si="60"/>
        <v>LBX, Загл вн держ п/п, сер, лев ZI7.2C08</v>
      </c>
      <c r="E209" s="1568">
        <v>1</v>
      </c>
      <c r="F209" s="1569">
        <f t="shared" si="61"/>
        <v>41.473832399999999</v>
      </c>
      <c r="G209" s="1569">
        <f t="shared" si="62"/>
        <v>41.473832399999999</v>
      </c>
      <c r="H209" s="1570">
        <f t="shared" si="63"/>
        <v>41.473832399999999</v>
      </c>
      <c r="I209" s="2386"/>
      <c r="K209" s="1936"/>
      <c r="L209" s="1936"/>
      <c r="M209" s="1936"/>
      <c r="N209" s="884" t="s">
        <v>2396</v>
      </c>
      <c r="R209" s="8" t="s">
        <v>4425</v>
      </c>
      <c r="S209" s="8" t="s">
        <v>4395</v>
      </c>
      <c r="T209" s="8" t="s">
        <v>4396</v>
      </c>
      <c r="U209" s="37"/>
      <c r="V209" s="1936"/>
      <c r="X209" s="1936"/>
      <c r="Y209" s="1936"/>
      <c r="Z209" s="1936"/>
      <c r="AA209" s="1936"/>
      <c r="AB209" s="1936"/>
      <c r="AC209" s="1936"/>
      <c r="AD209" s="1936"/>
      <c r="AE209" s="1936"/>
      <c r="AF209" s="1936"/>
      <c r="AG209" s="1936"/>
      <c r="AH209" s="1936"/>
      <c r="AI209" s="1936"/>
      <c r="AJ209" s="1936"/>
      <c r="AK209" s="1936"/>
      <c r="AL209" s="1936"/>
      <c r="AM209" s="1936"/>
      <c r="AN209" s="1936"/>
      <c r="AO209" s="1936"/>
      <c r="AP209" s="1936"/>
      <c r="AQ209" s="1936"/>
      <c r="AR209" s="1936"/>
      <c r="AS209" s="1936"/>
      <c r="AT209" s="1936"/>
      <c r="AU209" s="1936"/>
      <c r="AV209" s="1936"/>
      <c r="AW209" s="1936"/>
      <c r="AX209" s="1936"/>
      <c r="AY209" s="1936"/>
      <c r="AZ209" s="1936"/>
      <c r="BA209" s="1936"/>
      <c r="BB209" s="1936"/>
      <c r="BC209" s="1936"/>
      <c r="BD209" s="1936"/>
      <c r="BE209" s="1936"/>
      <c r="BF209" s="1936"/>
      <c r="BG209" s="1936"/>
      <c r="BH209" s="1936"/>
      <c r="BI209" s="1936"/>
      <c r="BJ209" s="1936"/>
      <c r="BK209" s="1936"/>
      <c r="BL209" s="1936"/>
      <c r="BM209" s="1936"/>
      <c r="BN209" s="1936"/>
      <c r="BO209" s="1936"/>
      <c r="BP209" s="1936"/>
      <c r="BQ209" s="1936"/>
      <c r="BR209" s="1936"/>
      <c r="BS209" s="1936"/>
      <c r="BT209" s="1936"/>
      <c r="BU209" s="1936"/>
      <c r="BV209" s="1936"/>
      <c r="BW209" s="1936"/>
      <c r="BX209" s="1936"/>
      <c r="BY209" s="1936"/>
      <c r="BZ209" s="1936"/>
      <c r="CA209" s="1936"/>
      <c r="CB209" s="1936"/>
      <c r="CC209" s="1936"/>
      <c r="CD209" s="1936"/>
    </row>
    <row r="210" spans="1:82" ht="12.75" customHeight="1" x14ac:dyDescent="0.2">
      <c r="A210" s="2384"/>
      <c r="B210" s="2073"/>
      <c r="C210" s="1576" t="str">
        <f>VLOOKUP($D$3,LBX.C,12,FALSE)</f>
        <v>4939331/</v>
      </c>
      <c r="D210" s="1567" t="str">
        <f t="shared" si="60"/>
        <v xml:space="preserve">LBX, Загл держ п/п С, сер, лев ZI7.2CS3 </v>
      </c>
      <c r="E210" s="1568">
        <v>1</v>
      </c>
      <c r="F210" s="1569">
        <f t="shared" si="61"/>
        <v>123.60828479999999</v>
      </c>
      <c r="G210" s="1569">
        <f t="shared" si="62"/>
        <v>123.60828479999999</v>
      </c>
      <c r="H210" s="1570">
        <f t="shared" si="63"/>
        <v>123.60828479999999</v>
      </c>
      <c r="I210" s="2386"/>
      <c r="K210" s="1936"/>
      <c r="L210" s="1936"/>
      <c r="M210" s="1936"/>
      <c r="N210" s="771" t="s">
        <v>2398</v>
      </c>
      <c r="R210" s="8" t="s">
        <v>4426</v>
      </c>
      <c r="S210" s="8" t="s">
        <v>4397</v>
      </c>
      <c r="T210" s="8" t="s">
        <v>4398</v>
      </c>
      <c r="U210" s="37"/>
      <c r="V210" s="1936"/>
      <c r="W210" s="1936"/>
      <c r="X210" s="1936"/>
      <c r="Y210" s="1936"/>
      <c r="Z210" s="1936"/>
      <c r="AA210" s="1936"/>
      <c r="AB210" s="1936"/>
      <c r="AC210" s="1936"/>
      <c r="AD210" s="1936"/>
      <c r="AE210" s="1936"/>
      <c r="AF210" s="1936"/>
      <c r="AG210" s="1936"/>
      <c r="AH210" s="1936"/>
      <c r="AI210" s="1936"/>
      <c r="AJ210" s="1936"/>
      <c r="AK210" s="1936"/>
      <c r="AL210" s="1936"/>
      <c r="AM210" s="1936"/>
      <c r="AN210" s="1936"/>
      <c r="AO210" s="1936"/>
      <c r="AP210" s="1936"/>
      <c r="AQ210" s="1936"/>
      <c r="AR210" s="1936"/>
      <c r="AS210" s="1936"/>
      <c r="AT210" s="1936"/>
      <c r="AU210" s="1936"/>
      <c r="AV210" s="1936"/>
      <c r="AW210" s="1936"/>
      <c r="AX210" s="1936"/>
      <c r="AY210" s="1936"/>
      <c r="AZ210" s="1936"/>
      <c r="BA210" s="1936"/>
      <c r="BB210" s="1936"/>
      <c r="BC210" s="1936"/>
      <c r="BD210" s="1936"/>
      <c r="BE210" s="1936"/>
      <c r="BF210" s="1936"/>
      <c r="BG210" s="1936"/>
      <c r="BH210" s="1936"/>
      <c r="BI210" s="1936"/>
      <c r="BJ210" s="1936"/>
      <c r="BK210" s="1936"/>
      <c r="BL210" s="1936"/>
      <c r="BM210" s="1936"/>
      <c r="BN210" s="1936"/>
      <c r="BO210" s="1936"/>
      <c r="BP210" s="1936"/>
      <c r="BQ210" s="1936"/>
      <c r="BR210" s="1936"/>
      <c r="BS210" s="1936"/>
      <c r="BT210" s="1936"/>
      <c r="BU210" s="1936"/>
      <c r="BV210" s="1936"/>
      <c r="BW210" s="1936"/>
      <c r="BX210" s="1936"/>
      <c r="BY210" s="1936"/>
      <c r="BZ210" s="1936"/>
      <c r="CA210" s="1936"/>
      <c r="CB210" s="1936"/>
      <c r="CC210" s="1936"/>
      <c r="CD210" s="1936"/>
    </row>
    <row r="211" spans="1:82" ht="12.75" customHeight="1" x14ac:dyDescent="0.2">
      <c r="A211" s="2384"/>
      <c r="B211" s="2073"/>
      <c r="C211" s="1576" t="str">
        <f>VLOOKUP($D$3,LBX.C,13,FALSE)</f>
        <v>8190871/</v>
      </c>
      <c r="D211" s="1567" t="str">
        <f t="shared" si="60"/>
        <v>LBX, Загл держ п/п С, сер, прав ZI7.2CS3</v>
      </c>
      <c r="E211" s="1568">
        <v>1</v>
      </c>
      <c r="F211" s="1569">
        <f t="shared" si="61"/>
        <v>123.60828479999999</v>
      </c>
      <c r="G211" s="1569">
        <f t="shared" si="62"/>
        <v>123.60828479999999</v>
      </c>
      <c r="H211" s="1570">
        <f t="shared" si="63"/>
        <v>123.60828479999999</v>
      </c>
      <c r="I211" s="2386"/>
      <c r="K211" s="1936"/>
      <c r="L211" s="1936"/>
      <c r="M211" s="1936"/>
      <c r="N211" s="771" t="s">
        <v>2397</v>
      </c>
      <c r="R211" s="8" t="s">
        <v>4427</v>
      </c>
      <c r="S211" s="8" t="s">
        <v>4399</v>
      </c>
      <c r="T211" s="8" t="s">
        <v>4400</v>
      </c>
      <c r="U211" s="37"/>
      <c r="V211" s="1936"/>
      <c r="W211" s="1936"/>
      <c r="X211" s="1936"/>
      <c r="Y211" s="1936"/>
      <c r="Z211" s="1936"/>
      <c r="AA211" s="1936"/>
      <c r="AB211" s="1936"/>
      <c r="AC211" s="1936"/>
      <c r="AD211" s="1936"/>
      <c r="AE211" s="1936"/>
      <c r="AF211" s="1936"/>
      <c r="AG211" s="1936"/>
      <c r="AH211" s="1936"/>
      <c r="AI211" s="1936"/>
      <c r="AJ211" s="1936"/>
      <c r="AK211" s="1936"/>
      <c r="AL211" s="1936"/>
      <c r="AM211" s="1936"/>
      <c r="AN211" s="1936"/>
      <c r="AO211" s="1936"/>
      <c r="AP211" s="1936"/>
      <c r="AQ211" s="1936"/>
      <c r="AR211" s="1936"/>
      <c r="AS211" s="1936"/>
      <c r="AT211" s="1936"/>
      <c r="AU211" s="1936"/>
      <c r="AV211" s="1936"/>
      <c r="AW211" s="1936"/>
      <c r="AX211" s="1936"/>
      <c r="AY211" s="1936"/>
      <c r="AZ211" s="1936"/>
      <c r="BA211" s="1936"/>
      <c r="BB211" s="1936"/>
      <c r="BC211" s="1936"/>
      <c r="BD211" s="1936"/>
      <c r="BE211" s="1936"/>
      <c r="BF211" s="1936"/>
      <c r="BG211" s="1936"/>
      <c r="BH211" s="1936"/>
      <c r="BI211" s="1936"/>
      <c r="BJ211" s="1936"/>
      <c r="BK211" s="1936"/>
      <c r="BL211" s="1936"/>
      <c r="BM211" s="1936"/>
      <c r="BN211" s="1936"/>
      <c r="BO211" s="1936"/>
      <c r="BP211" s="1936"/>
      <c r="BQ211" s="1936"/>
      <c r="BR211" s="1936"/>
      <c r="BS211" s="1936"/>
      <c r="BT211" s="1936"/>
      <c r="BU211" s="1936"/>
      <c r="BV211" s="1936"/>
      <c r="BW211" s="1936"/>
      <c r="BX211" s="1936"/>
      <c r="BY211" s="1936"/>
      <c r="BZ211" s="1936"/>
      <c r="CA211" s="1936"/>
      <c r="CB211" s="1936"/>
      <c r="CC211" s="1936"/>
      <c r="CD211" s="1936"/>
    </row>
    <row r="212" spans="1:82" ht="12.75" customHeight="1" x14ac:dyDescent="0.2">
      <c r="A212" s="2384"/>
      <c r="B212" s="2073"/>
      <c r="C212" s="1576" t="str">
        <f>VLOOKUP($D$3,LBX.C_Free,14,FALSE)</f>
        <v>1302013/</v>
      </c>
      <c r="D212" s="1567" t="str">
        <f t="shared" si="60"/>
        <v xml:space="preserve">LBX, Пер пан с/паз п/раскр, 1043мм, сер </v>
      </c>
      <c r="E212" s="1568">
        <v>1</v>
      </c>
      <c r="F212" s="1569">
        <f t="shared" si="61"/>
        <v>1198.6750775999999</v>
      </c>
      <c r="G212" s="1569">
        <f t="shared" si="62"/>
        <v>1198.6750775999999</v>
      </c>
      <c r="H212" s="1570">
        <f t="shared" si="63"/>
        <v>1198.6750775999999</v>
      </c>
      <c r="I212" s="2386"/>
      <c r="K212" s="1936"/>
      <c r="L212" s="1936"/>
      <c r="M212" s="1936"/>
      <c r="R212" s="8" t="s">
        <v>4428</v>
      </c>
      <c r="S212" s="8" t="s">
        <v>3745</v>
      </c>
      <c r="T212" s="8" t="s">
        <v>4401</v>
      </c>
      <c r="U212" s="37"/>
      <c r="V212" s="1936"/>
      <c r="W212" s="1936"/>
      <c r="X212" s="1936"/>
      <c r="Y212" s="1936"/>
      <c r="Z212" s="1936"/>
      <c r="AA212" s="1936"/>
      <c r="AB212" s="1936"/>
      <c r="AC212" s="1936"/>
      <c r="AD212" s="1936"/>
      <c r="AE212" s="1936"/>
      <c r="AF212" s="1936"/>
      <c r="AG212" s="1936"/>
      <c r="AH212" s="1936"/>
      <c r="AI212" s="1936"/>
      <c r="AJ212" s="1936"/>
      <c r="AK212" s="1936"/>
      <c r="AL212" s="1936"/>
      <c r="AM212" s="1936"/>
      <c r="AN212" s="1936"/>
      <c r="AO212" s="1936"/>
      <c r="AP212" s="1936"/>
      <c r="AQ212" s="1936"/>
      <c r="AR212" s="1936"/>
      <c r="AS212" s="1936"/>
      <c r="AT212" s="1936"/>
      <c r="AU212" s="1936"/>
      <c r="AV212" s="1936"/>
      <c r="AW212" s="1936"/>
      <c r="AX212" s="1936"/>
      <c r="AY212" s="1936"/>
      <c r="AZ212" s="1936"/>
      <c r="BA212" s="1936"/>
      <c r="BB212" s="1936"/>
      <c r="BC212" s="1936"/>
      <c r="BD212" s="1936"/>
      <c r="BE212" s="1936"/>
      <c r="BF212" s="1936"/>
      <c r="BG212" s="1936"/>
      <c r="BH212" s="1936"/>
      <c r="BI212" s="1936"/>
      <c r="BJ212" s="1936"/>
      <c r="BK212" s="1936"/>
      <c r="BL212" s="1936"/>
      <c r="BM212" s="1936"/>
      <c r="BN212" s="1936"/>
      <c r="BO212" s="1936"/>
      <c r="BP212" s="1936"/>
      <c r="BQ212" s="1936"/>
      <c r="BR212" s="1936"/>
      <c r="BS212" s="1936"/>
      <c r="BT212" s="1936"/>
      <c r="BU212" s="1936"/>
      <c r="BV212" s="1936"/>
      <c r="BW212" s="1936"/>
      <c r="BX212" s="1936"/>
      <c r="BY212" s="1936"/>
      <c r="BZ212" s="1936"/>
      <c r="CA212" s="1936"/>
      <c r="CB212" s="1936"/>
      <c r="CC212" s="1936"/>
      <c r="CD212" s="1936"/>
    </row>
    <row r="213" spans="1:82" ht="12.75" customHeight="1" x14ac:dyDescent="0.2">
      <c r="A213" s="2384"/>
      <c r="B213" s="2073"/>
      <c r="C213" s="1566" t="str">
        <f>VLOOKUP($D$3,LBX.C,8,FALSE)</f>
        <v>2260649/</v>
      </c>
      <c r="D213" s="1567" t="str">
        <f t="shared" si="60"/>
        <v>LBX, Держат. задн. ст, 189 мм, сер, лев.</v>
      </c>
      <c r="E213" s="1568">
        <v>1</v>
      </c>
      <c r="F213" s="1569">
        <f t="shared" si="61"/>
        <v>47.979531600000001</v>
      </c>
      <c r="G213" s="1569">
        <f t="shared" si="62"/>
        <v>47.979531600000001</v>
      </c>
      <c r="H213" s="1570">
        <f t="shared" si="63"/>
        <v>47.979531600000001</v>
      </c>
      <c r="I213" s="2386"/>
      <c r="K213" s="1936"/>
      <c r="L213" s="1936"/>
      <c r="M213" s="1936"/>
      <c r="R213" s="8" t="s">
        <v>4429</v>
      </c>
      <c r="S213" s="8" t="s">
        <v>4402</v>
      </c>
      <c r="T213" s="8" t="s">
        <v>4403</v>
      </c>
      <c r="U213" s="37"/>
      <c r="V213" s="1936"/>
      <c r="W213" s="1936"/>
      <c r="X213" s="1936"/>
      <c r="Y213" s="1936"/>
      <c r="Z213" s="1936"/>
      <c r="AA213" s="1936"/>
      <c r="AB213" s="1936"/>
      <c r="AC213" s="1936"/>
      <c r="AD213" s="1936"/>
      <c r="AE213" s="1936"/>
      <c r="AF213" s="1936"/>
      <c r="AG213" s="1936"/>
      <c r="AH213" s="1936"/>
      <c r="AI213" s="1936"/>
      <c r="AJ213" s="1936"/>
      <c r="AK213" s="1936"/>
      <c r="AL213" s="1936"/>
      <c r="AM213" s="1936"/>
      <c r="AN213" s="1936"/>
      <c r="AO213" s="1936"/>
      <c r="AP213" s="1936"/>
      <c r="AQ213" s="1936"/>
      <c r="AR213" s="1936"/>
      <c r="AS213" s="1936"/>
      <c r="AT213" s="1936"/>
      <c r="AU213" s="1936"/>
      <c r="AV213" s="1936"/>
      <c r="AW213" s="1936"/>
      <c r="AX213" s="1936"/>
      <c r="AY213" s="1936"/>
      <c r="AZ213" s="1936"/>
      <c r="BA213" s="1936"/>
      <c r="BB213" s="1936"/>
      <c r="BC213" s="1936"/>
      <c r="BD213" s="1936"/>
      <c r="BE213" s="1936"/>
      <c r="BF213" s="1936"/>
      <c r="BG213" s="1936"/>
      <c r="BH213" s="1936"/>
      <c r="BI213" s="1936"/>
      <c r="BJ213" s="1936"/>
      <c r="BK213" s="1936"/>
      <c r="BL213" s="1936"/>
      <c r="BM213" s="1936"/>
      <c r="BN213" s="1936"/>
      <c r="BO213" s="1936"/>
      <c r="BP213" s="1936"/>
      <c r="BQ213" s="1936"/>
      <c r="BR213" s="1936"/>
      <c r="BS213" s="1936"/>
      <c r="BT213" s="1936"/>
      <c r="BU213" s="1936"/>
      <c r="BV213" s="1936"/>
      <c r="BW213" s="1936"/>
      <c r="BX213" s="1936"/>
      <c r="BY213" s="1936"/>
      <c r="BZ213" s="1936"/>
      <c r="CA213" s="1936"/>
      <c r="CB213" s="1936"/>
      <c r="CC213" s="1936"/>
      <c r="CD213" s="1936"/>
    </row>
    <row r="214" spans="1:82" ht="12.75" customHeight="1" x14ac:dyDescent="0.2">
      <c r="A214" s="2384"/>
      <c r="B214" s="2073"/>
      <c r="C214" s="1566" t="str">
        <f>VLOOKUP($D$3,LBX.C,9,FALSE)</f>
        <v>8148550/</v>
      </c>
      <c r="D214" s="1567" t="str">
        <f t="shared" si="60"/>
        <v>LBX, Держат. задн. ст, 189 мм, сер, прав</v>
      </c>
      <c r="E214" s="1568">
        <v>1</v>
      </c>
      <c r="F214" s="1569">
        <f t="shared" si="61"/>
        <v>47.979531600000001</v>
      </c>
      <c r="G214" s="1569">
        <f t="shared" si="62"/>
        <v>47.979531600000001</v>
      </c>
      <c r="H214" s="1570">
        <f t="shared" si="63"/>
        <v>47.979531600000001</v>
      </c>
      <c r="I214" s="2386"/>
      <c r="K214" s="1936"/>
      <c r="L214" s="1936"/>
      <c r="M214" s="1936"/>
      <c r="R214" s="8" t="s">
        <v>4430</v>
      </c>
      <c r="S214" s="8" t="s">
        <v>3746</v>
      </c>
      <c r="T214" s="8" t="s">
        <v>4404</v>
      </c>
      <c r="U214" s="37"/>
      <c r="V214" s="1936"/>
      <c r="W214" s="1936"/>
      <c r="X214" s="1936"/>
      <c r="Y214" s="1936"/>
      <c r="Z214" s="1936"/>
      <c r="AA214" s="1936"/>
      <c r="AB214" s="1936"/>
      <c r="AC214" s="1936"/>
      <c r="AD214" s="1936"/>
      <c r="AE214" s="1936"/>
      <c r="AF214" s="1936"/>
      <c r="AG214" s="1936"/>
      <c r="AH214" s="1936"/>
      <c r="AI214" s="1936"/>
      <c r="AJ214" s="1936"/>
      <c r="AK214" s="1936"/>
      <c r="AL214" s="1936"/>
      <c r="AM214" s="1936"/>
      <c r="AN214" s="1936"/>
      <c r="AO214" s="1936"/>
      <c r="AP214" s="1936"/>
      <c r="AQ214" s="1936"/>
      <c r="AR214" s="1936"/>
      <c r="AS214" s="1936"/>
      <c r="AT214" s="1936"/>
      <c r="AU214" s="1936"/>
      <c r="AV214" s="1936"/>
      <c r="AW214" s="1936"/>
      <c r="AX214" s="1936"/>
      <c r="AY214" s="1936"/>
      <c r="AZ214" s="1936"/>
      <c r="BA214" s="1936"/>
      <c r="BB214" s="1936"/>
      <c r="BC214" s="1936"/>
      <c r="BD214" s="1936"/>
      <c r="BE214" s="1936"/>
      <c r="BF214" s="1936"/>
      <c r="BG214" s="1936"/>
      <c r="BH214" s="1936"/>
      <c r="BI214" s="1936"/>
      <c r="BJ214" s="1936"/>
      <c r="BK214" s="1936"/>
      <c r="BL214" s="1936"/>
      <c r="BM214" s="1936"/>
      <c r="BN214" s="1936"/>
      <c r="BO214" s="1936"/>
      <c r="BP214" s="1936"/>
      <c r="BQ214" s="1936"/>
      <c r="BR214" s="1936"/>
      <c r="BS214" s="1936"/>
      <c r="BT214" s="1936"/>
      <c r="BU214" s="1936"/>
      <c r="BV214" s="1936"/>
      <c r="BW214" s="1936"/>
      <c r="BX214" s="1936"/>
      <c r="BY214" s="1936"/>
      <c r="BZ214" s="1936"/>
      <c r="CA214" s="1936"/>
      <c r="CB214" s="1936"/>
      <c r="CC214" s="1936"/>
      <c r="CD214" s="1936"/>
    </row>
    <row r="215" spans="1:82" ht="12.75" customHeight="1" x14ac:dyDescent="0.2">
      <c r="A215" s="2384"/>
      <c r="B215" s="2073"/>
      <c r="C215" s="1096" t="str">
        <f>IF(C219="","",IF($D$4="Торговая","",VLOOKUP($D$3,LBX.C,7,FALSE)))</f>
        <v>5820744/</v>
      </c>
      <c r="D215" s="43" t="str">
        <f>IF(C215="","",VLOOKUP(C215,всецены,2,FALSE))</f>
        <v xml:space="preserve">LBX, Загл, наружн, с лого, сер, симм    </v>
      </c>
      <c r="E215" s="3">
        <f>IF(C215="",0,2)</f>
        <v>2</v>
      </c>
      <c r="F215" s="1457">
        <f>IF(C215="",0,VLOOKUP(C215,всецены,4,FALSE))</f>
        <v>14.637823200000001</v>
      </c>
      <c r="G215" s="1569">
        <f t="shared" si="62"/>
        <v>14.637823200000001</v>
      </c>
      <c r="H215" s="1570">
        <f t="shared" si="63"/>
        <v>29.275646400000003</v>
      </c>
      <c r="I215" s="2386"/>
      <c r="K215" s="1936"/>
      <c r="L215" s="1936"/>
      <c r="M215" s="1936"/>
      <c r="R215" s="8" t="s">
        <v>4431</v>
      </c>
      <c r="S215" s="8" t="s">
        <v>3747</v>
      </c>
      <c r="T215" s="8" t="s">
        <v>4405</v>
      </c>
      <c r="U215" s="37"/>
      <c r="V215" s="1936"/>
      <c r="W215" s="1936"/>
      <c r="X215" s="1936"/>
      <c r="Y215" s="1936"/>
      <c r="Z215" s="1936"/>
      <c r="AA215" s="1936"/>
      <c r="AB215" s="1936"/>
      <c r="AC215" s="1936"/>
      <c r="AD215" s="1936"/>
      <c r="AE215" s="1936"/>
      <c r="AF215" s="1936"/>
      <c r="AG215" s="1936"/>
      <c r="AH215" s="1936"/>
      <c r="AI215" s="1936"/>
      <c r="AJ215" s="1936"/>
      <c r="AK215" s="1936"/>
      <c r="AL215" s="1936"/>
      <c r="AM215" s="1936"/>
      <c r="AN215" s="1936"/>
      <c r="AO215" s="1936"/>
      <c r="AP215" s="1936"/>
      <c r="AQ215" s="1936"/>
      <c r="AR215" s="1936"/>
      <c r="AS215" s="1936"/>
      <c r="AT215" s="1936"/>
      <c r="AU215" s="1936"/>
      <c r="AV215" s="1936"/>
      <c r="AW215" s="1936"/>
      <c r="AX215" s="1936"/>
      <c r="AY215" s="1936"/>
      <c r="AZ215" s="1936"/>
      <c r="BA215" s="1936"/>
      <c r="BB215" s="1936"/>
      <c r="BC215" s="1936"/>
      <c r="BD215" s="1936"/>
      <c r="BE215" s="1936"/>
      <c r="BF215" s="1936"/>
      <c r="BG215" s="1936"/>
      <c r="BH215" s="1936"/>
      <c r="BI215" s="1936"/>
      <c r="BJ215" s="1936"/>
      <c r="BK215" s="1936"/>
      <c r="BL215" s="1936"/>
      <c r="BM215" s="1936"/>
      <c r="BN215" s="1936"/>
      <c r="BO215" s="1936"/>
      <c r="BP215" s="1936"/>
      <c r="BQ215" s="1936"/>
      <c r="BR215" s="1936"/>
      <c r="BS215" s="1936"/>
      <c r="BT215" s="1936"/>
      <c r="BU215" s="1936"/>
      <c r="BV215" s="1936"/>
      <c r="BW215" s="1936"/>
      <c r="BX215" s="1936"/>
      <c r="BY215" s="1936"/>
      <c r="BZ215" s="1936"/>
      <c r="CA215" s="1936"/>
      <c r="CB215" s="1936"/>
      <c r="CC215" s="1936"/>
      <c r="CD215" s="1936"/>
    </row>
    <row r="216" spans="1:82" ht="12.75" customHeight="1" x14ac:dyDescent="0.2">
      <c r="A216" s="2384"/>
      <c r="B216" s="2073"/>
      <c r="C216" s="1978" t="str">
        <f>C196</f>
        <v>1365128/</v>
      </c>
      <c r="D216" s="1978" t="str">
        <f t="shared" si="60"/>
        <v>LBX, Tip-on BM, L3, 350-750 кмп T60L7540</v>
      </c>
      <c r="E216" s="1979">
        <v>1</v>
      </c>
      <c r="F216" s="1980">
        <f t="shared" si="61"/>
        <v>1107.5952887999999</v>
      </c>
      <c r="G216" s="1980">
        <f t="shared" si="62"/>
        <v>1107.5952887999999</v>
      </c>
      <c r="H216" s="1981">
        <f t="shared" si="63"/>
        <v>1107.5952887999999</v>
      </c>
      <c r="I216" s="2386"/>
      <c r="K216" s="1936"/>
      <c r="L216" s="1936"/>
      <c r="M216" s="1936"/>
      <c r="R216" s="8" t="s">
        <v>4423</v>
      </c>
      <c r="S216" s="8" t="s">
        <v>4406</v>
      </c>
      <c r="T216" s="8" t="s">
        <v>4407</v>
      </c>
      <c r="U216" s="37"/>
      <c r="V216" s="1936"/>
      <c r="W216" s="1936"/>
      <c r="X216" s="1936"/>
      <c r="Y216" s="1936"/>
      <c r="Z216" s="1936"/>
      <c r="AA216" s="1936"/>
      <c r="AB216" s="1936"/>
      <c r="AC216" s="1936"/>
      <c r="AD216" s="1936"/>
      <c r="AE216" s="1936"/>
      <c r="AF216" s="1936"/>
      <c r="AG216" s="1936"/>
      <c r="AH216" s="1936"/>
      <c r="AI216" s="1936"/>
      <c r="AJ216" s="1936"/>
      <c r="AK216" s="1936"/>
      <c r="AL216" s="1936"/>
      <c r="AM216" s="1936"/>
      <c r="AN216" s="1936"/>
      <c r="AO216" s="1936"/>
      <c r="AP216" s="1936"/>
      <c r="AQ216" s="1936"/>
      <c r="AR216" s="1936"/>
      <c r="AS216" s="1936"/>
      <c r="AT216" s="1936"/>
      <c r="AU216" s="1936"/>
      <c r="AV216" s="1936"/>
      <c r="AW216" s="1936"/>
      <c r="AX216" s="1936"/>
      <c r="AY216" s="1936"/>
      <c r="AZ216" s="1936"/>
      <c r="BA216" s="1936"/>
      <c r="BB216" s="1936"/>
      <c r="BC216" s="1936"/>
      <c r="BD216" s="1936"/>
      <c r="BE216" s="1936"/>
      <c r="BF216" s="1936"/>
      <c r="BG216" s="1936"/>
      <c r="BH216" s="1936"/>
      <c r="BI216" s="1936"/>
      <c r="BJ216" s="1936"/>
      <c r="BK216" s="1936"/>
      <c r="BL216" s="1936"/>
      <c r="BM216" s="1936"/>
      <c r="BN216" s="1936"/>
      <c r="BO216" s="1936"/>
      <c r="BP216" s="1936"/>
      <c r="BQ216" s="1936"/>
      <c r="BR216" s="1936"/>
      <c r="BS216" s="1936"/>
      <c r="BT216" s="1936"/>
      <c r="BU216" s="1936"/>
      <c r="BV216" s="1936"/>
      <c r="BW216" s="1936"/>
      <c r="BX216" s="1936"/>
      <c r="BY216" s="1936"/>
      <c r="BZ216" s="1936"/>
      <c r="CA216" s="1936"/>
      <c r="CB216" s="1936"/>
      <c r="CC216" s="1936"/>
      <c r="CD216" s="1936"/>
    </row>
    <row r="217" spans="1:82" ht="12.75" customHeight="1" x14ac:dyDescent="0.2">
      <c r="A217" s="843"/>
      <c r="B217" s="2073"/>
      <c r="C217" s="1978" t="str">
        <f>C197</f>
        <v>9554467/</v>
      </c>
      <c r="D217" s="1978" t="str">
        <f t="shared" si="60"/>
        <v>LBX, Напр.Tip-on BM,500 мм,кмп 750.5001M</v>
      </c>
      <c r="E217" s="1979">
        <v>1</v>
      </c>
      <c r="F217" s="1980">
        <f t="shared" si="61"/>
        <v>1669.5250572</v>
      </c>
      <c r="G217" s="1980">
        <f t="shared" si="62"/>
        <v>1669.5250572</v>
      </c>
      <c r="H217" s="1981">
        <f t="shared" si="63"/>
        <v>1669.5250572</v>
      </c>
      <c r="I217" s="2386"/>
      <c r="K217" s="1936"/>
      <c r="L217" s="1936"/>
      <c r="M217" s="1936"/>
      <c r="R217" s="8" t="s">
        <v>4424</v>
      </c>
      <c r="S217" s="8" t="s">
        <v>4408</v>
      </c>
      <c r="T217" s="8" t="s">
        <v>4409</v>
      </c>
      <c r="U217" s="37"/>
      <c r="V217" s="1936"/>
      <c r="W217" s="1936"/>
      <c r="X217" s="1936"/>
      <c r="Y217" s="1936"/>
      <c r="Z217" s="1936"/>
      <c r="AC217" s="1936"/>
      <c r="AD217" s="1936"/>
      <c r="AE217" s="1936"/>
      <c r="AF217" s="1936"/>
      <c r="AG217" s="1936"/>
      <c r="AH217" s="1936"/>
      <c r="AI217" s="1936"/>
      <c r="AJ217" s="1936"/>
      <c r="AK217" s="1936"/>
      <c r="AL217" s="1936"/>
      <c r="AM217" s="1936"/>
      <c r="AN217" s="1936"/>
      <c r="AO217" s="1936"/>
      <c r="AP217" s="1936"/>
      <c r="AQ217" s="1936"/>
      <c r="AR217" s="1936"/>
      <c r="AS217" s="1936"/>
      <c r="AT217" s="1936"/>
      <c r="AU217" s="1936"/>
      <c r="AV217" s="1936"/>
      <c r="AW217" s="1936"/>
      <c r="AX217" s="1936"/>
      <c r="AY217" s="1936"/>
      <c r="AZ217" s="1936"/>
      <c r="BA217" s="1936"/>
      <c r="BB217" s="1936"/>
      <c r="BC217" s="1936"/>
      <c r="BD217" s="1936"/>
      <c r="BE217" s="1936"/>
      <c r="BF217" s="1936"/>
      <c r="BG217" s="1936"/>
      <c r="BH217" s="1936"/>
      <c r="BI217" s="1936"/>
      <c r="BJ217" s="1936"/>
      <c r="BK217" s="1936"/>
      <c r="BL217" s="1936"/>
      <c r="BM217" s="1936"/>
      <c r="BN217" s="1936"/>
      <c r="BO217" s="1936"/>
      <c r="BP217" s="1936"/>
      <c r="BQ217" s="1936"/>
      <c r="BR217" s="1936"/>
      <c r="BS217" s="1936"/>
      <c r="BT217" s="1936"/>
      <c r="BU217" s="1936"/>
      <c r="BV217" s="1936"/>
      <c r="BW217" s="1936"/>
      <c r="BX217" s="1936"/>
      <c r="BY217" s="1936"/>
      <c r="BZ217" s="1936"/>
      <c r="CA217" s="1936"/>
      <c r="CB217" s="1936"/>
      <c r="CC217" s="1936"/>
      <c r="CD217" s="1936"/>
    </row>
    <row r="218" spans="1:82" ht="12.75" customHeight="1" x14ac:dyDescent="0.2">
      <c r="A218" s="843"/>
      <c r="B218" s="2073"/>
      <c r="C218" s="1566" t="str">
        <f>VLOOKUP($D$3,LBX.C_Free,2,FALSE)</f>
        <v>9826054/</v>
      </c>
      <c r="D218" s="1567" t="str">
        <f t="shared" si="60"/>
        <v xml:space="preserve">LBX-F, Боковина 176,8/500 мм, сер, лев  </v>
      </c>
      <c r="E218" s="1568">
        <v>1</v>
      </c>
      <c r="F218" s="1569">
        <f t="shared" si="61"/>
        <v>815.6520372</v>
      </c>
      <c r="G218" s="1569">
        <f t="shared" si="62"/>
        <v>815.6520372</v>
      </c>
      <c r="H218" s="1570">
        <f t="shared" si="63"/>
        <v>815.6520372</v>
      </c>
      <c r="I218" s="2386"/>
      <c r="K218" s="1936"/>
      <c r="L218" s="1936"/>
      <c r="M218" s="1936"/>
      <c r="R218" s="8" t="s">
        <v>4432</v>
      </c>
      <c r="S218" s="8" t="s">
        <v>4410</v>
      </c>
      <c r="T218" s="8" t="s">
        <v>4411</v>
      </c>
      <c r="U218" s="37"/>
      <c r="V218" s="1936"/>
      <c r="W218" s="1936"/>
      <c r="X218" s="1936"/>
      <c r="Y218" s="1936"/>
      <c r="Z218" s="1936"/>
      <c r="AC218" s="1936"/>
      <c r="AD218" s="1936"/>
      <c r="AE218" s="1936"/>
      <c r="AF218" s="1936"/>
      <c r="AG218" s="1936"/>
      <c r="AH218" s="1936"/>
      <c r="AI218" s="1936"/>
      <c r="AJ218" s="1936"/>
      <c r="AK218" s="1936"/>
      <c r="AL218" s="1936"/>
      <c r="AM218" s="1936"/>
      <c r="AN218" s="1936"/>
      <c r="AO218" s="1936"/>
      <c r="AP218" s="1936"/>
      <c r="AQ218" s="1936"/>
      <c r="AR218" s="1936"/>
      <c r="AS218" s="1936"/>
      <c r="AT218" s="1936"/>
      <c r="AU218" s="1936"/>
      <c r="AV218" s="1936"/>
      <c r="AW218" s="1936"/>
      <c r="AX218" s="1936"/>
      <c r="AY218" s="1936"/>
      <c r="AZ218" s="1936"/>
      <c r="BA218" s="1936"/>
      <c r="BB218" s="1936"/>
      <c r="BC218" s="1936"/>
      <c r="BD218" s="1936"/>
      <c r="BE218" s="1936"/>
      <c r="BF218" s="1936"/>
      <c r="BG218" s="1936"/>
      <c r="BH218" s="1936"/>
      <c r="BI218" s="1936"/>
      <c r="BJ218" s="1936"/>
      <c r="BK218" s="1936"/>
      <c r="BL218" s="1936"/>
      <c r="BM218" s="1936"/>
      <c r="BN218" s="1936"/>
      <c r="BO218" s="1936"/>
      <c r="BP218" s="1936"/>
      <c r="BQ218" s="1936"/>
      <c r="BR218" s="1936"/>
      <c r="BS218" s="1936"/>
      <c r="BT218" s="1936"/>
      <c r="BU218" s="1936"/>
      <c r="BV218" s="1936"/>
      <c r="BW218" s="1936"/>
      <c r="BX218" s="1936"/>
      <c r="BY218" s="1936"/>
      <c r="BZ218" s="1936"/>
      <c r="CA218" s="1936"/>
      <c r="CB218" s="1936"/>
      <c r="CC218" s="1936"/>
      <c r="CD218" s="1936"/>
    </row>
    <row r="219" spans="1:82" ht="12.75" customHeight="1" x14ac:dyDescent="0.2">
      <c r="A219" s="843"/>
      <c r="B219" s="2073"/>
      <c r="C219" s="1566" t="str">
        <f>C199</f>
        <v>8864974/</v>
      </c>
      <c r="D219" s="1567" t="str">
        <f>IF(C219="","",VLOOKUP(C219,всецены,2,FALSE))</f>
        <v xml:space="preserve">LBX-F, Боковина 176,8/500 мм, сер, прав </v>
      </c>
      <c r="E219" s="1571">
        <f>IF(C219="",0,1)</f>
        <v>1</v>
      </c>
      <c r="F219" s="1572">
        <f>IF(C219="",0,VLOOKUP(C219,всецены,4,FALSE))</f>
        <v>815.6520372</v>
      </c>
      <c r="G219" s="1569">
        <f t="shared" si="62"/>
        <v>815.6520372</v>
      </c>
      <c r="H219" s="1570">
        <f t="shared" si="63"/>
        <v>815.6520372</v>
      </c>
      <c r="I219" s="2386"/>
      <c r="K219" s="1936"/>
      <c r="L219" s="1936"/>
      <c r="M219" s="1936"/>
      <c r="R219" s="8" t="s">
        <v>4433</v>
      </c>
      <c r="S219" s="8" t="s">
        <v>4080</v>
      </c>
      <c r="T219" s="8" t="s">
        <v>4412</v>
      </c>
      <c r="U219" s="37"/>
      <c r="V219" s="1936"/>
      <c r="W219" s="1936"/>
      <c r="X219" s="1936"/>
      <c r="Y219" s="1936"/>
      <c r="Z219" s="1936"/>
      <c r="AC219" s="1936"/>
      <c r="AD219" s="1936"/>
      <c r="AE219" s="1936"/>
      <c r="AF219" s="1936"/>
      <c r="AG219" s="1936"/>
      <c r="AH219" s="1936"/>
      <c r="AI219" s="1936"/>
      <c r="AJ219" s="1936"/>
      <c r="AK219" s="1936"/>
      <c r="AL219" s="1936"/>
      <c r="AM219" s="1936"/>
      <c r="AN219" s="1936"/>
      <c r="AO219" s="1936"/>
      <c r="AP219" s="1936"/>
      <c r="AQ219" s="1936"/>
      <c r="AR219" s="1936"/>
      <c r="AS219" s="1936"/>
      <c r="AT219" s="1936"/>
      <c r="AU219" s="1936"/>
      <c r="AV219" s="1936"/>
      <c r="AW219" s="1936"/>
      <c r="AX219" s="1936"/>
      <c r="AY219" s="1936"/>
      <c r="AZ219" s="1936"/>
      <c r="BA219" s="1936"/>
      <c r="BB219" s="1936"/>
      <c r="BC219" s="1936"/>
      <c r="BD219" s="1936"/>
      <c r="BE219" s="1936"/>
      <c r="BF219" s="1936"/>
      <c r="BG219" s="1936"/>
      <c r="BH219" s="1936"/>
      <c r="BI219" s="1936"/>
      <c r="BJ219" s="1936"/>
      <c r="BK219" s="1936"/>
      <c r="BL219" s="1936"/>
      <c r="BM219" s="1936"/>
      <c r="BN219" s="1936"/>
      <c r="BO219" s="1936"/>
      <c r="BP219" s="1936"/>
      <c r="BQ219" s="1936"/>
      <c r="BR219" s="1936"/>
      <c r="BS219" s="1936"/>
      <c r="BT219" s="1936"/>
      <c r="BU219" s="1936"/>
      <c r="BV219" s="1936"/>
      <c r="BW219" s="1936"/>
      <c r="BX219" s="1936"/>
      <c r="BY219" s="1936"/>
      <c r="BZ219" s="1936"/>
      <c r="CA219" s="1936"/>
      <c r="CB219" s="1936"/>
      <c r="CC219" s="1936"/>
      <c r="CD219" s="1936"/>
    </row>
    <row r="220" spans="1:82" ht="12.75" customHeight="1" x14ac:dyDescent="0.2">
      <c r="A220" s="843"/>
      <c r="B220" s="2073"/>
      <c r="C220" s="1566" t="str">
        <f>VLOOKUP($D$3,LBX.C_Free,16,FALSE)</f>
        <v>5440845/</v>
      </c>
      <c r="D220" s="1567" t="str">
        <f>VLOOKUP(C220,всецены,2,FALSE)</f>
        <v xml:space="preserve">LBX-F, Задн держ стекл вст C сер, лев   </v>
      </c>
      <c r="E220" s="1568">
        <v>1</v>
      </c>
      <c r="F220" s="1569">
        <f t="shared" si="61"/>
        <v>89.453364000000008</v>
      </c>
      <c r="G220" s="1569">
        <f t="shared" si="62"/>
        <v>89.453364000000008</v>
      </c>
      <c r="H220" s="1570">
        <f t="shared" si="63"/>
        <v>89.453364000000008</v>
      </c>
      <c r="I220" s="2386"/>
      <c r="K220" s="1936"/>
      <c r="L220" s="1936"/>
      <c r="M220" s="1936"/>
      <c r="R220" s="8" t="s">
        <v>4434</v>
      </c>
      <c r="S220" s="8" t="s">
        <v>3748</v>
      </c>
      <c r="T220" s="8" t="s">
        <v>4413</v>
      </c>
      <c r="U220" s="37"/>
      <c r="V220" s="1936"/>
      <c r="W220" s="1936"/>
      <c r="X220" s="1936"/>
      <c r="Y220" s="1936"/>
      <c r="Z220" s="1936"/>
      <c r="AC220" s="1936"/>
      <c r="AD220" s="1936"/>
      <c r="AE220" s="1936"/>
      <c r="AF220" s="1936"/>
      <c r="AG220" s="1936"/>
      <c r="AH220" s="1936"/>
      <c r="AI220" s="1936"/>
      <c r="AJ220" s="1936"/>
      <c r="AK220" s="1936"/>
      <c r="AL220" s="1936"/>
      <c r="AM220" s="1936"/>
      <c r="AN220" s="1936"/>
      <c r="AO220" s="1936"/>
      <c r="AP220" s="1936"/>
      <c r="AQ220" s="1936"/>
      <c r="AR220" s="1936"/>
      <c r="AS220" s="1936"/>
      <c r="AT220" s="1936"/>
      <c r="AU220" s="1936"/>
      <c r="AV220" s="1936"/>
      <c r="AW220" s="1936"/>
      <c r="AX220" s="1936"/>
      <c r="AY220" s="1936"/>
      <c r="AZ220" s="1936"/>
      <c r="BA220" s="1936"/>
      <c r="BB220" s="1936"/>
      <c r="BC220" s="1936"/>
      <c r="BD220" s="1936"/>
      <c r="BE220" s="1936"/>
      <c r="BF220" s="1936"/>
      <c r="BG220" s="1936"/>
      <c r="BH220" s="1936"/>
      <c r="BI220" s="1936"/>
      <c r="BJ220" s="1936"/>
      <c r="BK220" s="1936"/>
      <c r="BL220" s="1936"/>
      <c r="BM220" s="1936"/>
      <c r="BN220" s="1936"/>
      <c r="BO220" s="1936"/>
      <c r="BP220" s="1936"/>
      <c r="BQ220" s="1936"/>
      <c r="BR220" s="1936"/>
      <c r="BS220" s="1936"/>
      <c r="BT220" s="1936"/>
      <c r="BU220" s="1936"/>
      <c r="BV220" s="1936"/>
      <c r="BW220" s="1936"/>
      <c r="BX220" s="1936"/>
      <c r="BY220" s="1936"/>
      <c r="BZ220" s="1936"/>
      <c r="CA220" s="1936"/>
      <c r="CB220" s="1936"/>
      <c r="CC220" s="1936"/>
      <c r="CD220" s="1936"/>
    </row>
    <row r="221" spans="1:82" ht="12.75" customHeight="1" x14ac:dyDescent="0.2">
      <c r="A221" s="843"/>
      <c r="B221" s="2073"/>
      <c r="C221" s="1566" t="str">
        <f>VLOOKUP($D$3,LBX.C_Free,17,FALSE)</f>
        <v>7911471/</v>
      </c>
      <c r="D221" s="1567" t="str">
        <f>VLOOKUP(C221,всецены,2,FALSE)</f>
        <v xml:space="preserve">LBX-F, Задн держ стекл вст C сер, прав  </v>
      </c>
      <c r="E221" s="1568">
        <v>1</v>
      </c>
      <c r="F221" s="1569">
        <f t="shared" si="61"/>
        <v>89.453364000000008</v>
      </c>
      <c r="G221" s="1569">
        <f t="shared" si="62"/>
        <v>89.453364000000008</v>
      </c>
      <c r="H221" s="1570">
        <f t="shared" si="63"/>
        <v>89.453364000000008</v>
      </c>
      <c r="I221" s="2386"/>
      <c r="K221" s="1936"/>
      <c r="L221" s="1936"/>
      <c r="M221" s="1936"/>
      <c r="R221" s="8" t="s">
        <v>4435</v>
      </c>
      <c r="S221" s="8" t="s">
        <v>3749</v>
      </c>
      <c r="T221" s="8" t="s">
        <v>4414</v>
      </c>
      <c r="U221" s="37"/>
      <c r="V221" s="1936"/>
      <c r="W221" s="1936"/>
      <c r="X221" s="1936"/>
      <c r="Y221" s="1936"/>
      <c r="Z221" s="1936"/>
      <c r="AC221" s="1936"/>
      <c r="AD221" s="1936"/>
      <c r="AE221" s="1936"/>
      <c r="AF221" s="1936"/>
      <c r="AG221" s="1936"/>
      <c r="AH221" s="1936"/>
      <c r="AI221" s="1936"/>
      <c r="AJ221" s="1936"/>
      <c r="AK221" s="1936"/>
      <c r="AL221" s="1936"/>
      <c r="AM221" s="1936"/>
      <c r="AN221" s="1936"/>
      <c r="AO221" s="1936"/>
      <c r="AP221" s="1936"/>
      <c r="AQ221" s="1936"/>
      <c r="AR221" s="1936"/>
      <c r="AS221" s="1936"/>
      <c r="AT221" s="1936"/>
      <c r="AU221" s="1936"/>
      <c r="AV221" s="1936"/>
      <c r="AW221" s="1936"/>
      <c r="AX221" s="1936"/>
      <c r="AY221" s="1936"/>
      <c r="AZ221" s="1936"/>
      <c r="BA221" s="1936"/>
      <c r="BB221" s="1936"/>
      <c r="BC221" s="1936"/>
      <c r="BD221" s="1936"/>
      <c r="BE221" s="1936"/>
      <c r="BF221" s="1936"/>
      <c r="BG221" s="1936"/>
      <c r="BH221" s="1936"/>
      <c r="BI221" s="1936"/>
      <c r="BJ221" s="1936"/>
      <c r="BK221" s="1936"/>
      <c r="BL221" s="1936"/>
      <c r="BM221" s="1936"/>
      <c r="BN221" s="1936"/>
      <c r="BO221" s="1936"/>
      <c r="BP221" s="1936"/>
      <c r="BQ221" s="1936"/>
      <c r="BR221" s="1936"/>
      <c r="BS221" s="1936"/>
      <c r="BT221" s="1936"/>
      <c r="BU221" s="1936"/>
      <c r="BV221" s="1936"/>
      <c r="BW221" s="1936"/>
      <c r="BX221" s="1936"/>
      <c r="BY221" s="1936"/>
      <c r="BZ221" s="1936"/>
      <c r="CA221" s="1936"/>
      <c r="CB221" s="1936"/>
      <c r="CC221" s="1936"/>
      <c r="CD221" s="1936"/>
    </row>
    <row r="222" spans="1:82" ht="12.75" customHeight="1" thickBot="1" x14ac:dyDescent="0.25">
      <c r="B222" s="2074"/>
      <c r="C222" s="1536" t="str">
        <f>VLOOKUP($D$3,LBX.C_Free,18,FALSE)</f>
        <v>1356389/</v>
      </c>
      <c r="D222" s="1537" t="str">
        <f t="shared" si="60"/>
        <v>LBX-F, Передн держ стекл вст С сер симм.</v>
      </c>
      <c r="E222" s="1538">
        <v>2</v>
      </c>
      <c r="F222" s="1574">
        <f t="shared" si="61"/>
        <v>81.321240000000003</v>
      </c>
      <c r="G222" s="1574">
        <f t="shared" si="62"/>
        <v>81.321240000000003</v>
      </c>
      <c r="H222" s="1575">
        <f t="shared" si="63"/>
        <v>162.64248000000001</v>
      </c>
      <c r="I222" s="2387"/>
      <c r="K222" s="1936"/>
      <c r="L222" s="1936"/>
      <c r="M222" s="1936"/>
      <c r="R222" s="8" t="s">
        <v>4436</v>
      </c>
      <c r="S222" s="8" t="s">
        <v>3750</v>
      </c>
      <c r="T222" s="8" t="s">
        <v>4415</v>
      </c>
      <c r="U222" s="37"/>
      <c r="V222" s="1936"/>
      <c r="W222" s="1936"/>
      <c r="X222" s="1936"/>
      <c r="Y222" s="1936"/>
      <c r="Z222" s="1936"/>
      <c r="AC222" s="1936"/>
      <c r="AD222" s="1936"/>
      <c r="AE222" s="1936"/>
      <c r="AF222" s="1936"/>
      <c r="AG222" s="1936"/>
      <c r="AH222" s="1936"/>
      <c r="AI222" s="1936"/>
      <c r="AJ222" s="1936"/>
      <c r="AK222" s="1936"/>
      <c r="AL222" s="1936"/>
      <c r="AM222" s="1936"/>
      <c r="AN222" s="1936"/>
      <c r="AO222" s="1936"/>
      <c r="AP222" s="1936"/>
      <c r="AQ222" s="1936"/>
      <c r="AR222" s="1936"/>
      <c r="AS222" s="1936"/>
      <c r="AT222" s="1936"/>
      <c r="AU222" s="1936"/>
      <c r="AV222" s="1936"/>
      <c r="AW222" s="1936"/>
      <c r="AX222" s="1936"/>
      <c r="AY222" s="1936"/>
      <c r="AZ222" s="1936"/>
      <c r="BA222" s="1936"/>
      <c r="BB222" s="1936"/>
      <c r="BC222" s="1936"/>
      <c r="BD222" s="1936"/>
      <c r="BE222" s="1936"/>
      <c r="BF222" s="1936"/>
      <c r="BG222" s="1936"/>
      <c r="BH222" s="1936"/>
      <c r="BI222" s="1936"/>
      <c r="BJ222" s="1936"/>
      <c r="BK222" s="1936"/>
      <c r="BL222" s="1936"/>
      <c r="BM222" s="1936"/>
      <c r="BN222" s="1936"/>
      <c r="BO222" s="1936"/>
      <c r="BP222" s="1936"/>
      <c r="BQ222" s="1936"/>
      <c r="BR222" s="1936"/>
      <c r="BS222" s="1936"/>
      <c r="BT222" s="1936"/>
      <c r="BU222" s="1936"/>
      <c r="BV222" s="1936"/>
      <c r="BW222" s="1936"/>
      <c r="BX222" s="1936"/>
      <c r="BY222" s="1936"/>
      <c r="BZ222" s="1936"/>
      <c r="CA222" s="1936"/>
      <c r="CB222" s="1936"/>
      <c r="CC222" s="1936"/>
      <c r="CD222" s="1936"/>
    </row>
    <row r="223" spans="1:82" ht="15" customHeight="1" x14ac:dyDescent="0.2">
      <c r="A223" s="889"/>
      <c r="B223" s="771"/>
      <c r="C223" s="771"/>
      <c r="D223" s="771"/>
      <c r="E223" s="774"/>
      <c r="F223" s="1438"/>
      <c r="G223" s="1438"/>
      <c r="H223" s="801"/>
      <c r="I223" s="887"/>
      <c r="K223" s="1936"/>
      <c r="L223" s="1936"/>
      <c r="M223" s="1936"/>
      <c r="N223" s="1936"/>
      <c r="O223" s="1936"/>
      <c r="P223" s="1936"/>
      <c r="Q223" s="1936"/>
      <c r="R223" s="8" t="s">
        <v>4437</v>
      </c>
      <c r="S223" s="8" t="s">
        <v>3751</v>
      </c>
      <c r="T223" s="8" t="s">
        <v>4416</v>
      </c>
      <c r="U223" s="37"/>
      <c r="V223" s="1936"/>
      <c r="W223" s="1936"/>
      <c r="X223" s="1936"/>
      <c r="Y223" s="1936"/>
      <c r="Z223" s="1936"/>
      <c r="AA223" s="1936"/>
      <c r="AB223" s="1936"/>
      <c r="AC223" s="1936"/>
      <c r="AD223" s="1936"/>
      <c r="AE223" s="1936"/>
      <c r="AF223" s="1936"/>
      <c r="AG223" s="1936"/>
      <c r="AH223" s="1936"/>
      <c r="AI223" s="1936"/>
      <c r="AJ223" s="1936"/>
      <c r="AK223" s="1936"/>
      <c r="AL223" s="1936"/>
      <c r="AM223" s="1936"/>
      <c r="AN223" s="1936"/>
      <c r="AO223" s="1936"/>
      <c r="AP223" s="1936"/>
      <c r="AQ223" s="1936"/>
      <c r="AR223" s="1936"/>
      <c r="AS223" s="1936"/>
      <c r="AT223" s="1936"/>
      <c r="AU223" s="1936"/>
      <c r="AV223" s="1936"/>
      <c r="AW223" s="1936"/>
      <c r="AX223" s="1936"/>
      <c r="AY223" s="1936"/>
      <c r="AZ223" s="1936"/>
      <c r="BA223" s="1936"/>
      <c r="BB223" s="1936"/>
      <c r="BC223" s="1936"/>
      <c r="BD223" s="1936"/>
      <c r="BE223" s="1936"/>
      <c r="BF223" s="1936"/>
      <c r="BG223" s="1936"/>
      <c r="BH223" s="1936"/>
      <c r="BI223" s="1936"/>
      <c r="BJ223" s="1936"/>
      <c r="BK223" s="1936"/>
      <c r="BL223" s="1936"/>
      <c r="BM223" s="1936"/>
      <c r="BN223" s="1936"/>
      <c r="BO223" s="1936"/>
      <c r="BP223" s="1936"/>
      <c r="BQ223" s="1936"/>
      <c r="BR223" s="1936"/>
      <c r="BS223" s="1936"/>
      <c r="BT223" s="1936"/>
      <c r="BU223" s="1936"/>
      <c r="BV223" s="1936"/>
      <c r="BW223" s="1936"/>
      <c r="BX223" s="1936"/>
      <c r="BY223" s="1936"/>
      <c r="BZ223" s="1936"/>
      <c r="CA223" s="1936"/>
      <c r="CB223" s="1936"/>
      <c r="CC223" s="1936"/>
      <c r="CD223" s="1936"/>
    </row>
    <row r="224" spans="1:82" ht="15" hidden="1" customHeight="1" x14ac:dyDescent="0.2">
      <c r="A224" s="889"/>
      <c r="B224" s="771"/>
      <c r="C224" s="771"/>
      <c r="D224" s="771"/>
      <c r="E224" s="774"/>
      <c r="F224" s="1438"/>
      <c r="G224" s="1438"/>
      <c r="H224" s="801"/>
      <c r="I224" s="887"/>
      <c r="K224" s="1936"/>
      <c r="L224" s="1936"/>
      <c r="M224" s="1936"/>
      <c r="N224" s="1936"/>
      <c r="O224" s="1936"/>
      <c r="P224" s="1936"/>
      <c r="Q224" s="1936"/>
      <c r="R224" s="8" t="s">
        <v>4438</v>
      </c>
      <c r="S224" s="8" t="s">
        <v>3752</v>
      </c>
      <c r="T224" s="8" t="s">
        <v>4417</v>
      </c>
      <c r="U224" s="37"/>
      <c r="V224" s="1936"/>
      <c r="W224" s="1936"/>
      <c r="X224" s="1936"/>
      <c r="Y224" s="1936"/>
      <c r="Z224" s="1936"/>
      <c r="AA224" s="1936"/>
      <c r="AB224" s="1936"/>
      <c r="AC224" s="1936"/>
      <c r="AD224" s="1936"/>
      <c r="AE224" s="1936"/>
      <c r="AF224" s="1936"/>
      <c r="AG224" s="1936"/>
      <c r="AH224" s="1936"/>
      <c r="AI224" s="1936"/>
      <c r="AJ224" s="1936"/>
      <c r="AK224" s="1936"/>
      <c r="AL224" s="1936"/>
      <c r="AM224" s="1936"/>
      <c r="AN224" s="1936"/>
      <c r="AO224" s="1936"/>
      <c r="AP224" s="1936"/>
      <c r="AQ224" s="1936"/>
      <c r="AR224" s="1936"/>
      <c r="AS224" s="1936"/>
      <c r="AT224" s="1936"/>
      <c r="AU224" s="1936"/>
      <c r="AV224" s="1936"/>
      <c r="AW224" s="1936"/>
      <c r="AX224" s="1936"/>
      <c r="AY224" s="1936"/>
      <c r="AZ224" s="1936"/>
      <c r="BA224" s="1936"/>
      <c r="BB224" s="1936"/>
      <c r="BC224" s="1936"/>
      <c r="BD224" s="1936"/>
      <c r="BE224" s="1936"/>
      <c r="BF224" s="1936"/>
      <c r="BG224" s="1936"/>
      <c r="BH224" s="1936"/>
      <c r="BI224" s="1936"/>
      <c r="BJ224" s="1936"/>
      <c r="BK224" s="1936"/>
      <c r="BL224" s="1936"/>
      <c r="BM224" s="1936"/>
      <c r="BN224" s="1936"/>
      <c r="BO224" s="1936"/>
      <c r="BP224" s="1936"/>
      <c r="BQ224" s="1936"/>
      <c r="BR224" s="1936"/>
      <c r="BS224" s="1936"/>
      <c r="BT224" s="1936"/>
      <c r="BU224" s="1936"/>
      <c r="BV224" s="1936"/>
      <c r="BW224" s="1936"/>
      <c r="BX224" s="1936"/>
      <c r="BY224" s="1936"/>
      <c r="BZ224" s="1936"/>
      <c r="CA224" s="1936"/>
      <c r="CB224" s="1936"/>
      <c r="CC224" s="1936"/>
      <c r="CD224" s="1936"/>
    </row>
    <row r="225" spans="1:82" ht="20.100000000000001" hidden="1" customHeight="1" x14ac:dyDescent="0.2">
      <c r="A225" s="2390" t="s">
        <v>5009</v>
      </c>
      <c r="B225" s="2390"/>
      <c r="C225" s="2390"/>
      <c r="D225" s="2390"/>
      <c r="E225" s="2390"/>
      <c r="F225" s="1593"/>
      <c r="G225" s="1591"/>
      <c r="H225" s="1591"/>
      <c r="I225" s="1593"/>
      <c r="K225" s="1936"/>
      <c r="L225" s="1936"/>
      <c r="M225" s="1936"/>
      <c r="N225" s="1936"/>
      <c r="O225" s="1936"/>
      <c r="P225" s="1936"/>
      <c r="Q225" s="1936"/>
      <c r="R225" s="8" t="s">
        <v>4439</v>
      </c>
      <c r="S225" s="8" t="s">
        <v>3753</v>
      </c>
      <c r="T225" s="8" t="s">
        <v>4418</v>
      </c>
      <c r="U225" s="37"/>
      <c r="V225" s="1936"/>
      <c r="W225" s="1936"/>
      <c r="X225" s="1936"/>
      <c r="Y225" s="1936"/>
      <c r="Z225" s="1936"/>
      <c r="AA225" s="1936"/>
      <c r="AB225" s="1936"/>
      <c r="AC225" s="1936"/>
      <c r="AD225" s="1936"/>
      <c r="AE225" s="1936"/>
      <c r="AF225" s="1936"/>
      <c r="AG225" s="1936"/>
      <c r="AH225" s="1936"/>
      <c r="AI225" s="1936"/>
      <c r="AJ225" s="1936"/>
      <c r="AK225" s="1936"/>
      <c r="AL225" s="1936"/>
      <c r="AM225" s="1936"/>
      <c r="AN225" s="1936"/>
      <c r="AO225" s="1936"/>
      <c r="AP225" s="1936"/>
      <c r="AQ225" s="1936"/>
      <c r="AR225" s="1936"/>
      <c r="AS225" s="1936"/>
      <c r="AT225" s="1936"/>
      <c r="AU225" s="1936"/>
      <c r="AV225" s="1936"/>
      <c r="AW225" s="1936"/>
      <c r="AX225" s="1936"/>
      <c r="AY225" s="1936"/>
      <c r="AZ225" s="1936"/>
      <c r="BA225" s="1936"/>
      <c r="BB225" s="1936"/>
      <c r="BC225" s="1936"/>
      <c r="BD225" s="1936"/>
      <c r="BE225" s="1936"/>
      <c r="BF225" s="1936"/>
      <c r="BG225" s="1936"/>
      <c r="BH225" s="1936"/>
      <c r="BI225" s="1936"/>
      <c r="BJ225" s="1936"/>
      <c r="BK225" s="1936"/>
      <c r="BL225" s="1936"/>
      <c r="BM225" s="1936"/>
      <c r="BN225" s="1936"/>
      <c r="BO225" s="1936"/>
      <c r="BP225" s="1936"/>
      <c r="BQ225" s="1936"/>
      <c r="BR225" s="1936"/>
      <c r="BS225" s="1936"/>
      <c r="BT225" s="1936"/>
      <c r="BU225" s="1936"/>
      <c r="BV225" s="1936"/>
      <c r="BW225" s="1936"/>
      <c r="BX225" s="1936"/>
      <c r="BY225" s="1936"/>
      <c r="BZ225" s="1936"/>
      <c r="CA225" s="1936"/>
      <c r="CB225" s="1936"/>
      <c r="CC225" s="1936"/>
      <c r="CD225" s="1936"/>
    </row>
    <row r="226" spans="1:82" ht="20.100000000000001" hidden="1" customHeight="1" x14ac:dyDescent="0.2">
      <c r="A226" s="2390"/>
      <c r="B226" s="2390"/>
      <c r="C226" s="2390"/>
      <c r="D226" s="2390"/>
      <c r="E226" s="2390"/>
      <c r="F226" s="1593"/>
      <c r="G226" s="1591"/>
      <c r="H226" s="1591"/>
      <c r="I226" s="1593"/>
      <c r="K226" s="1936"/>
      <c r="L226" s="1936"/>
      <c r="M226" s="1936"/>
      <c r="R226" s="8" t="s">
        <v>4440</v>
      </c>
      <c r="S226" s="8" t="s">
        <v>3754</v>
      </c>
      <c r="T226" s="8" t="s">
        <v>4419</v>
      </c>
      <c r="U226" s="37"/>
      <c r="V226" s="1936"/>
      <c r="W226" s="1936"/>
      <c r="X226" s="1936"/>
      <c r="Y226" s="1936"/>
      <c r="Z226" s="1936"/>
      <c r="AA226" s="1936"/>
      <c r="AB226" s="1936"/>
      <c r="AC226" s="1936"/>
      <c r="AD226" s="1936"/>
      <c r="AE226" s="1936"/>
      <c r="AF226" s="1936"/>
      <c r="AG226" s="1936"/>
      <c r="AH226" s="1936"/>
      <c r="AI226" s="1936"/>
      <c r="AJ226" s="1936"/>
      <c r="AK226" s="1936"/>
      <c r="AL226" s="1936"/>
      <c r="AM226" s="1936"/>
      <c r="AN226" s="1936"/>
      <c r="AO226" s="1936"/>
      <c r="AP226" s="1936"/>
      <c r="AQ226" s="1936"/>
      <c r="AR226" s="1936"/>
      <c r="AS226" s="1936"/>
      <c r="AT226" s="1936"/>
      <c r="AU226" s="1936"/>
      <c r="AV226" s="1936"/>
      <c r="AW226" s="1936"/>
      <c r="AX226" s="1936"/>
      <c r="AY226" s="1936"/>
      <c r="AZ226" s="1936"/>
      <c r="BA226" s="1936"/>
      <c r="BB226" s="1936"/>
      <c r="BC226" s="1936"/>
      <c r="BD226" s="1936"/>
      <c r="BE226" s="1936"/>
      <c r="BF226" s="1936"/>
      <c r="BG226" s="1936"/>
      <c r="BH226" s="1936"/>
      <c r="BI226" s="1936"/>
      <c r="BJ226" s="1936"/>
      <c r="BK226" s="1936"/>
      <c r="BL226" s="1936"/>
      <c r="BM226" s="1936"/>
      <c r="BN226" s="1936"/>
      <c r="BO226" s="1936"/>
      <c r="BP226" s="1936"/>
      <c r="BQ226" s="1936"/>
      <c r="BR226" s="1936"/>
      <c r="BS226" s="1936"/>
      <c r="BT226" s="1936"/>
      <c r="BU226" s="1936"/>
      <c r="BV226" s="1936"/>
      <c r="BW226" s="1936"/>
      <c r="BX226" s="1936"/>
      <c r="BY226" s="1936"/>
      <c r="BZ226" s="1936"/>
      <c r="CA226" s="1936"/>
      <c r="CB226" s="1936"/>
      <c r="CC226" s="1936"/>
      <c r="CD226" s="1936"/>
    </row>
    <row r="227" spans="1:82" ht="13.5" hidden="1" customHeight="1" x14ac:dyDescent="0.2">
      <c r="A227" s="843"/>
      <c r="B227" s="1594" t="s">
        <v>96</v>
      </c>
      <c r="C227" s="2421" t="s">
        <v>98</v>
      </c>
      <c r="D227" s="2421"/>
      <c r="E227" s="1942"/>
      <c r="F227" s="2436" t="str">
        <f>IF(СОДЕРЖАНИЕ!P2=1,"EUR","RUB")</f>
        <v>RUB</v>
      </c>
      <c r="G227" s="2437"/>
      <c r="H227" s="2437"/>
      <c r="I227" s="2438"/>
      <c r="K227" s="1936"/>
      <c r="L227" s="1936"/>
      <c r="M227" s="1936"/>
      <c r="N227" s="1936"/>
      <c r="O227" s="1936"/>
      <c r="P227" s="1936"/>
      <c r="Q227" s="1936"/>
      <c r="R227" s="1936"/>
      <c r="S227" s="1936"/>
      <c r="T227" s="1936"/>
      <c r="U227" s="1936"/>
      <c r="V227" s="1936"/>
      <c r="W227" s="1936"/>
      <c r="X227" s="1936"/>
      <c r="Y227" s="1936"/>
      <c r="Z227" s="1936"/>
      <c r="AA227" s="1936"/>
      <c r="AB227" s="1936"/>
      <c r="AC227" s="1936"/>
      <c r="AD227" s="1936"/>
      <c r="AE227" s="1936"/>
      <c r="AF227" s="1936"/>
      <c r="AG227" s="1936"/>
      <c r="AH227" s="1936"/>
      <c r="AI227" s="1936"/>
      <c r="AJ227" s="1936"/>
      <c r="AK227" s="1936"/>
      <c r="AL227" s="1936"/>
      <c r="AM227" s="1936"/>
      <c r="AN227" s="1936"/>
      <c r="AO227" s="1936"/>
      <c r="AP227" s="1936"/>
      <c r="AQ227" s="1936"/>
      <c r="AR227" s="1936"/>
      <c r="AS227" s="1936"/>
      <c r="AT227" s="1936"/>
      <c r="AU227" s="1936"/>
      <c r="AV227" s="1936"/>
      <c r="AW227" s="1936"/>
      <c r="AX227" s="1936"/>
      <c r="AY227" s="1936"/>
      <c r="AZ227" s="1936"/>
      <c r="BA227" s="1936"/>
      <c r="BB227" s="1936"/>
      <c r="BC227" s="1936"/>
      <c r="BD227" s="1936"/>
      <c r="BE227" s="1936"/>
      <c r="BF227" s="1936"/>
      <c r="BG227" s="1936"/>
      <c r="BH227" s="1936"/>
      <c r="BI227" s="1936"/>
      <c r="BJ227" s="1936"/>
      <c r="BK227" s="1936"/>
      <c r="BL227" s="1936"/>
      <c r="BM227" s="1936"/>
      <c r="BN227" s="1936"/>
      <c r="BO227" s="1936"/>
      <c r="BP227" s="1936"/>
      <c r="BQ227" s="1936"/>
      <c r="BR227" s="1936"/>
      <c r="BS227" s="1936"/>
      <c r="BT227" s="1936"/>
      <c r="BU227" s="1936"/>
      <c r="BV227" s="1936"/>
      <c r="BW227" s="1936"/>
      <c r="BX227" s="1936"/>
      <c r="BY227" s="1936"/>
      <c r="BZ227" s="1936"/>
      <c r="CA227" s="1936"/>
      <c r="CB227" s="1936"/>
      <c r="CC227" s="1936"/>
      <c r="CD227" s="1936"/>
    </row>
    <row r="228" spans="1:82" ht="15" hidden="1" customHeight="1" x14ac:dyDescent="0.2">
      <c r="A228" s="843"/>
      <c r="B228" s="1596" t="s">
        <v>4125</v>
      </c>
      <c r="C228" s="2420" t="s">
        <v>5010</v>
      </c>
      <c r="D228" s="2420"/>
      <c r="E228" s="1592">
        <v>1</v>
      </c>
      <c r="F228" s="2433">
        <f t="shared" ref="F228:F278" si="64">VLOOKUP(B228,всецены,4,FALSE)</f>
        <v>0</v>
      </c>
      <c r="G228" s="2434"/>
      <c r="H228" s="2434"/>
      <c r="I228" s="2435"/>
      <c r="K228" s="1936"/>
      <c r="L228" s="1936"/>
      <c r="M228" s="1936"/>
      <c r="N228" s="1936"/>
      <c r="O228" s="1936"/>
      <c r="P228" s="1936"/>
      <c r="Q228" s="1936"/>
      <c r="R228" s="1936"/>
      <c r="S228" s="1936"/>
      <c r="T228" s="8" t="s">
        <v>4420</v>
      </c>
      <c r="U228" s="1936"/>
      <c r="V228" s="1936"/>
      <c r="W228" s="1936"/>
      <c r="X228" s="1936"/>
      <c r="Y228" s="1936"/>
      <c r="Z228" s="1936"/>
      <c r="AA228" s="1936"/>
      <c r="AB228" s="1936"/>
      <c r="AC228" s="1936"/>
      <c r="AD228" s="1936"/>
      <c r="AE228" s="1936"/>
      <c r="AF228" s="1936"/>
      <c r="AG228" s="1936"/>
      <c r="AH228" s="1936"/>
      <c r="AI228" s="1936"/>
      <c r="AJ228" s="1936"/>
      <c r="AK228" s="1936"/>
      <c r="AL228" s="1936"/>
      <c r="AM228" s="1936"/>
      <c r="AN228" s="1936"/>
      <c r="AO228" s="1936"/>
      <c r="AP228" s="1936"/>
      <c r="AQ228" s="1936"/>
      <c r="AR228" s="1936"/>
      <c r="AS228" s="1936"/>
      <c r="AT228" s="1936"/>
      <c r="AU228" s="1936"/>
      <c r="AV228" s="1936"/>
      <c r="AW228" s="1936"/>
      <c r="AX228" s="1936"/>
      <c r="AY228" s="1936"/>
      <c r="AZ228" s="1936"/>
      <c r="BA228" s="1936"/>
      <c r="BB228" s="1936"/>
      <c r="BC228" s="1936"/>
      <c r="BD228" s="1936"/>
      <c r="BE228" s="1936"/>
      <c r="BF228" s="1936"/>
      <c r="BG228" s="1936"/>
      <c r="BH228" s="1936"/>
      <c r="BI228" s="1936"/>
      <c r="BJ228" s="1936"/>
      <c r="BK228" s="1936"/>
      <c r="BL228" s="1936"/>
      <c r="BM228" s="1936"/>
      <c r="BN228" s="1936"/>
      <c r="BO228" s="1936"/>
      <c r="BP228" s="1936"/>
      <c r="BQ228" s="1936"/>
      <c r="BR228" s="1936"/>
      <c r="BS228" s="1936"/>
      <c r="BT228" s="1936"/>
      <c r="BU228" s="1936"/>
      <c r="BV228" s="1936"/>
      <c r="BW228" s="1936"/>
      <c r="BX228" s="1936"/>
      <c r="BY228" s="1936"/>
      <c r="BZ228" s="1936"/>
      <c r="CA228" s="1936"/>
      <c r="CB228" s="1936"/>
      <c r="CC228" s="1936"/>
      <c r="CD228" s="1936"/>
    </row>
    <row r="229" spans="1:82" ht="15" hidden="1" customHeight="1" x14ac:dyDescent="0.2">
      <c r="A229" s="843"/>
      <c r="B229" s="1596" t="s">
        <v>4129</v>
      </c>
      <c r="C229" s="2420" t="s">
        <v>4130</v>
      </c>
      <c r="D229" s="2420"/>
      <c r="E229" s="1592">
        <v>1</v>
      </c>
      <c r="F229" s="2433">
        <f t="shared" si="64"/>
        <v>0</v>
      </c>
      <c r="G229" s="2434"/>
      <c r="H229" s="2434"/>
      <c r="I229" s="2435"/>
      <c r="K229" s="1936"/>
      <c r="L229" s="1936"/>
      <c r="M229" s="1936"/>
      <c r="N229" s="1936"/>
      <c r="O229" s="1936"/>
      <c r="P229" s="1936"/>
      <c r="Q229" s="1936"/>
      <c r="R229" s="1936"/>
      <c r="U229" s="1936"/>
      <c r="V229" s="1936"/>
      <c r="W229" s="1936"/>
      <c r="X229" s="1936"/>
      <c r="Y229" s="1936"/>
      <c r="Z229" s="1936"/>
      <c r="AA229" s="1936"/>
      <c r="AB229" s="1936"/>
      <c r="AC229" s="1936"/>
      <c r="AD229" s="1936"/>
      <c r="AE229" s="1936"/>
      <c r="AF229" s="1936"/>
      <c r="AG229" s="1936"/>
      <c r="AH229" s="1936"/>
      <c r="AI229" s="1936"/>
      <c r="AJ229" s="1936"/>
      <c r="AK229" s="1936"/>
      <c r="AL229" s="1936"/>
      <c r="AM229" s="1936"/>
      <c r="AN229" s="1936"/>
      <c r="AO229" s="1936"/>
      <c r="AP229" s="1936"/>
      <c r="AQ229" s="1936"/>
      <c r="AR229" s="1936"/>
      <c r="AS229" s="1936"/>
      <c r="AT229" s="1936"/>
      <c r="AU229" s="1936"/>
      <c r="AV229" s="1936"/>
      <c r="AW229" s="1936"/>
      <c r="AX229" s="1936"/>
      <c r="AY229" s="1936"/>
      <c r="AZ229" s="1936"/>
      <c r="BA229" s="1936"/>
      <c r="BB229" s="1936"/>
      <c r="BC229" s="1936"/>
      <c r="BD229" s="1936"/>
      <c r="BE229" s="1936"/>
      <c r="BF229" s="1936"/>
      <c r="BG229" s="1936"/>
      <c r="BH229" s="1936"/>
      <c r="BI229" s="1936"/>
      <c r="BJ229" s="1936"/>
      <c r="BK229" s="1936"/>
      <c r="BL229" s="1936"/>
      <c r="BM229" s="1936"/>
      <c r="BN229" s="1936"/>
      <c r="BO229" s="1936"/>
      <c r="BP229" s="1936"/>
      <c r="BQ229" s="1936"/>
      <c r="BR229" s="1936"/>
      <c r="BS229" s="1936"/>
      <c r="BT229" s="1936"/>
      <c r="BU229" s="1936"/>
      <c r="BV229" s="1936"/>
      <c r="BW229" s="1936"/>
      <c r="BX229" s="1936"/>
      <c r="BY229" s="1936"/>
      <c r="BZ229" s="1936"/>
      <c r="CA229" s="1936"/>
      <c r="CB229" s="1936"/>
      <c r="CC229" s="1936"/>
      <c r="CD229" s="1936"/>
    </row>
    <row r="230" spans="1:82" ht="15" hidden="1" customHeight="1" x14ac:dyDescent="0.2">
      <c r="A230" s="843"/>
      <c r="B230" s="1596" t="s">
        <v>4133</v>
      </c>
      <c r="C230" s="2420" t="s">
        <v>5011</v>
      </c>
      <c r="D230" s="2420"/>
      <c r="E230" s="1592">
        <v>1</v>
      </c>
      <c r="F230" s="2433">
        <f t="shared" si="64"/>
        <v>0</v>
      </c>
      <c r="G230" s="2434"/>
      <c r="H230" s="2434"/>
      <c r="I230" s="2435"/>
      <c r="K230" s="1936"/>
      <c r="L230" s="1936"/>
      <c r="M230" s="1936"/>
      <c r="N230" s="1936"/>
      <c r="O230" s="1936"/>
      <c r="P230" s="1936"/>
      <c r="Q230" s="1936"/>
      <c r="R230" s="1936"/>
      <c r="U230" s="1936"/>
      <c r="V230" s="1936"/>
      <c r="W230" s="1936"/>
      <c r="X230" s="1936"/>
      <c r="Y230" s="1936"/>
      <c r="Z230" s="1936"/>
      <c r="AA230" s="1936"/>
      <c r="AB230" s="1936"/>
      <c r="AC230" s="1936"/>
      <c r="AD230" s="1936"/>
      <c r="AE230" s="1936"/>
      <c r="AF230" s="1936"/>
      <c r="AG230" s="1936"/>
      <c r="AH230" s="1936"/>
      <c r="AI230" s="1936"/>
      <c r="AJ230" s="1936"/>
      <c r="AK230" s="1936"/>
      <c r="AL230" s="1936"/>
      <c r="AM230" s="1936"/>
      <c r="AN230" s="1936"/>
      <c r="AO230" s="1936"/>
      <c r="AP230" s="1936"/>
      <c r="AQ230" s="1936"/>
      <c r="AR230" s="1936"/>
      <c r="AS230" s="1936"/>
      <c r="AT230" s="1936"/>
      <c r="AU230" s="1936"/>
      <c r="AV230" s="1936"/>
      <c r="AW230" s="1936"/>
      <c r="AX230" s="1936"/>
      <c r="AY230" s="1936"/>
      <c r="AZ230" s="1936"/>
      <c r="BA230" s="1936"/>
      <c r="BB230" s="1936"/>
      <c r="BC230" s="1936"/>
      <c r="BD230" s="1936"/>
      <c r="BE230" s="1936"/>
      <c r="BF230" s="1936"/>
      <c r="BG230" s="1936"/>
      <c r="BH230" s="1936"/>
      <c r="BI230" s="1936"/>
      <c r="BJ230" s="1936"/>
      <c r="BK230" s="1936"/>
      <c r="BL230" s="1936"/>
      <c r="BM230" s="1936"/>
      <c r="BN230" s="1936"/>
      <c r="BO230" s="1936"/>
      <c r="BP230" s="1936"/>
      <c r="BQ230" s="1936"/>
      <c r="BR230" s="1936"/>
      <c r="BS230" s="1936"/>
      <c r="BT230" s="1936"/>
      <c r="BU230" s="1936"/>
      <c r="BV230" s="1936"/>
      <c r="BW230" s="1936"/>
      <c r="BX230" s="1936"/>
      <c r="BY230" s="1936"/>
      <c r="BZ230" s="1936"/>
      <c r="CA230" s="1936"/>
      <c r="CB230" s="1936"/>
      <c r="CC230" s="1936"/>
      <c r="CD230" s="1936"/>
    </row>
    <row r="231" spans="1:82" ht="15" hidden="1" customHeight="1" x14ac:dyDescent="0.2">
      <c r="A231" s="843"/>
      <c r="B231" s="1596" t="s">
        <v>4131</v>
      </c>
      <c r="C231" s="2420" t="s">
        <v>5012</v>
      </c>
      <c r="D231" s="2420"/>
      <c r="E231" s="1592">
        <v>1</v>
      </c>
      <c r="F231" s="2433">
        <f t="shared" si="64"/>
        <v>0</v>
      </c>
      <c r="G231" s="2434"/>
      <c r="H231" s="2434"/>
      <c r="I231" s="2435"/>
      <c r="K231" s="1936"/>
      <c r="L231" s="1936"/>
      <c r="M231" s="1936"/>
      <c r="N231" s="1936"/>
      <c r="O231" s="1936"/>
      <c r="P231" s="1936"/>
      <c r="Q231" s="1936"/>
      <c r="R231" s="1936"/>
      <c r="U231" s="1936"/>
      <c r="V231" s="1936"/>
      <c r="W231" s="1936"/>
      <c r="X231" s="1936"/>
      <c r="Y231" s="1936"/>
      <c r="Z231" s="1936"/>
      <c r="AA231" s="1936"/>
      <c r="AB231" s="1936"/>
      <c r="AC231" s="1936"/>
      <c r="AD231" s="1936"/>
      <c r="AE231" s="1936"/>
      <c r="AF231" s="1936"/>
      <c r="AG231" s="1936"/>
      <c r="AH231" s="1936"/>
      <c r="AI231" s="1936"/>
      <c r="AJ231" s="1936"/>
      <c r="AK231" s="1936"/>
      <c r="AL231" s="1936"/>
      <c r="AM231" s="1936"/>
      <c r="AN231" s="1936"/>
      <c r="AO231" s="1936"/>
      <c r="AP231" s="1936"/>
      <c r="AQ231" s="1936"/>
      <c r="AR231" s="1936"/>
      <c r="AS231" s="1936"/>
      <c r="AT231" s="1936"/>
      <c r="AU231" s="1936"/>
      <c r="AV231" s="1936"/>
      <c r="AW231" s="1936"/>
      <c r="AX231" s="1936"/>
      <c r="AY231" s="1936"/>
      <c r="AZ231" s="1936"/>
      <c r="BA231" s="1936"/>
      <c r="BB231" s="1936"/>
      <c r="BC231" s="1936"/>
      <c r="BD231" s="1936"/>
      <c r="BE231" s="1936"/>
      <c r="BF231" s="1936"/>
      <c r="BG231" s="1936"/>
      <c r="BH231" s="1936"/>
      <c r="BI231" s="1936"/>
      <c r="BJ231" s="1936"/>
      <c r="BK231" s="1936"/>
      <c r="BL231" s="1936"/>
      <c r="BM231" s="1936"/>
      <c r="BN231" s="1936"/>
      <c r="BO231" s="1936"/>
      <c r="BP231" s="1936"/>
      <c r="BQ231" s="1936"/>
      <c r="BR231" s="1936"/>
      <c r="BS231" s="1936"/>
      <c r="BT231" s="1936"/>
      <c r="BU231" s="1936"/>
      <c r="BV231" s="1936"/>
      <c r="BW231" s="1936"/>
      <c r="BX231" s="1936"/>
      <c r="BY231" s="1936"/>
      <c r="BZ231" s="1936"/>
      <c r="CA231" s="1936"/>
      <c r="CB231" s="1936"/>
      <c r="CC231" s="1936"/>
      <c r="CD231" s="1936"/>
    </row>
    <row r="232" spans="1:82" ht="15" hidden="1" customHeight="1" x14ac:dyDescent="0.2">
      <c r="A232" s="843"/>
      <c r="B232" s="1596" t="s">
        <v>4132</v>
      </c>
      <c r="C232" s="2420" t="s">
        <v>5013</v>
      </c>
      <c r="D232" s="2420"/>
      <c r="E232" s="1592">
        <v>1</v>
      </c>
      <c r="F232" s="2433">
        <f t="shared" si="64"/>
        <v>0</v>
      </c>
      <c r="G232" s="2434"/>
      <c r="H232" s="2434"/>
      <c r="I232" s="2435"/>
      <c r="K232" s="1936"/>
      <c r="L232" s="1936"/>
      <c r="M232" s="1936"/>
      <c r="N232" s="1936"/>
      <c r="O232" s="1936"/>
      <c r="P232" s="1936"/>
      <c r="Q232" s="1936"/>
      <c r="R232" s="1936"/>
      <c r="U232" s="1936"/>
      <c r="V232" s="1936"/>
      <c r="W232" s="1936"/>
      <c r="X232" s="1936"/>
      <c r="Y232" s="1936"/>
      <c r="Z232" s="1936"/>
      <c r="AA232" s="1936"/>
      <c r="AB232" s="1936"/>
      <c r="AC232" s="1936"/>
      <c r="AD232" s="1936"/>
      <c r="AE232" s="1936"/>
      <c r="AF232" s="1936"/>
      <c r="AG232" s="1936"/>
      <c r="AH232" s="1936"/>
      <c r="AI232" s="1936"/>
      <c r="AJ232" s="1936"/>
      <c r="AK232" s="1936"/>
      <c r="AL232" s="1936"/>
      <c r="AM232" s="1936"/>
      <c r="AN232" s="1936"/>
      <c r="AO232" s="1936"/>
      <c r="AP232" s="1936"/>
      <c r="AQ232" s="1936"/>
      <c r="AR232" s="1936"/>
      <c r="AS232" s="1936"/>
      <c r="AT232" s="1936"/>
      <c r="AU232" s="1936"/>
      <c r="AV232" s="1936"/>
      <c r="AW232" s="1936"/>
      <c r="AX232" s="1936"/>
      <c r="AY232" s="1936"/>
      <c r="AZ232" s="1936"/>
      <c r="BA232" s="1936"/>
      <c r="BB232" s="1936"/>
      <c r="BC232" s="1936"/>
      <c r="BD232" s="1936"/>
      <c r="BE232" s="1936"/>
      <c r="BF232" s="1936"/>
      <c r="BG232" s="1936"/>
      <c r="BH232" s="1936"/>
      <c r="BI232" s="1936"/>
      <c r="BJ232" s="1936"/>
      <c r="BK232" s="1936"/>
      <c r="BL232" s="1936"/>
      <c r="BM232" s="1936"/>
      <c r="BN232" s="1936"/>
      <c r="BO232" s="1936"/>
      <c r="BP232" s="1936"/>
      <c r="BQ232" s="1936"/>
      <c r="BR232" s="1936"/>
      <c r="BS232" s="1936"/>
      <c r="BT232" s="1936"/>
      <c r="BU232" s="1936"/>
      <c r="BV232" s="1936"/>
      <c r="BW232" s="1936"/>
      <c r="BX232" s="1936"/>
      <c r="BY232" s="1936"/>
      <c r="BZ232" s="1936"/>
      <c r="CA232" s="1936"/>
      <c r="CB232" s="1936"/>
      <c r="CC232" s="1936"/>
      <c r="CD232" s="1936"/>
    </row>
    <row r="233" spans="1:82" ht="15" hidden="1" customHeight="1" x14ac:dyDescent="0.2">
      <c r="A233" s="843"/>
      <c r="B233" s="1596" t="s">
        <v>4128</v>
      </c>
      <c r="C233" s="2420" t="s">
        <v>5014</v>
      </c>
      <c r="D233" s="2420"/>
      <c r="E233" s="1592">
        <v>1</v>
      </c>
      <c r="F233" s="2433">
        <f t="shared" si="64"/>
        <v>0</v>
      </c>
      <c r="G233" s="2434"/>
      <c r="H233" s="2434"/>
      <c r="I233" s="2435"/>
      <c r="K233" s="1936"/>
      <c r="L233" s="1936"/>
      <c r="M233" s="1936"/>
      <c r="N233" s="1936"/>
      <c r="O233" s="1936"/>
      <c r="P233" s="1936"/>
      <c r="Q233" s="1936"/>
      <c r="R233" s="1936"/>
      <c r="U233" s="1936"/>
      <c r="V233" s="1936"/>
      <c r="W233" s="1936"/>
      <c r="X233" s="1936"/>
      <c r="Y233" s="1936"/>
      <c r="Z233" s="1936"/>
      <c r="AA233" s="1936"/>
      <c r="AB233" s="1936"/>
      <c r="AC233" s="1936"/>
      <c r="AD233" s="1936"/>
      <c r="AE233" s="1936"/>
      <c r="AF233" s="1936"/>
      <c r="AG233" s="1936"/>
      <c r="AH233" s="1936"/>
      <c r="AI233" s="1936"/>
      <c r="AJ233" s="1936"/>
      <c r="AK233" s="1936"/>
      <c r="AL233" s="1936"/>
      <c r="AM233" s="1936"/>
      <c r="AN233" s="1936"/>
      <c r="AO233" s="1936"/>
      <c r="AP233" s="1936"/>
      <c r="AQ233" s="1936"/>
      <c r="AR233" s="1936"/>
      <c r="AS233" s="1936"/>
      <c r="AT233" s="1936"/>
      <c r="AU233" s="1936"/>
      <c r="AV233" s="1936"/>
      <c r="AW233" s="1936"/>
      <c r="AX233" s="1936"/>
      <c r="AY233" s="1936"/>
      <c r="AZ233" s="1936"/>
      <c r="BA233" s="1936"/>
      <c r="BB233" s="1936"/>
      <c r="BC233" s="1936"/>
      <c r="BD233" s="1936"/>
      <c r="BE233" s="1936"/>
      <c r="BF233" s="1936"/>
      <c r="BG233" s="1936"/>
      <c r="BH233" s="1936"/>
      <c r="BI233" s="1936"/>
      <c r="BJ233" s="1936"/>
      <c r="BK233" s="1936"/>
      <c r="BL233" s="1936"/>
      <c r="BM233" s="1936"/>
      <c r="BN233" s="1936"/>
      <c r="BO233" s="1936"/>
      <c r="BP233" s="1936"/>
      <c r="BQ233" s="1936"/>
      <c r="BR233" s="1936"/>
      <c r="BS233" s="1936"/>
      <c r="BT233" s="1936"/>
      <c r="BU233" s="1936"/>
      <c r="BV233" s="1936"/>
      <c r="BW233" s="1936"/>
      <c r="BX233" s="1936"/>
      <c r="BY233" s="1936"/>
      <c r="BZ233" s="1936"/>
      <c r="CA233" s="1936"/>
      <c r="CB233" s="1936"/>
      <c r="CC233" s="1936"/>
      <c r="CD233" s="1936"/>
    </row>
    <row r="234" spans="1:82" ht="15" hidden="1" customHeight="1" x14ac:dyDescent="0.2">
      <c r="A234" s="843"/>
      <c r="B234" s="1596" t="s">
        <v>4126</v>
      </c>
      <c r="C234" s="2420" t="s">
        <v>5015</v>
      </c>
      <c r="D234" s="2420"/>
      <c r="E234" s="1592">
        <v>1</v>
      </c>
      <c r="F234" s="2433">
        <f t="shared" si="64"/>
        <v>0</v>
      </c>
      <c r="G234" s="2434"/>
      <c r="H234" s="2434"/>
      <c r="I234" s="2435"/>
      <c r="K234" s="1936"/>
      <c r="L234" s="1936"/>
      <c r="M234" s="1936"/>
      <c r="N234" s="1936"/>
      <c r="O234" s="1936"/>
      <c r="P234" s="1936"/>
      <c r="Q234" s="1936"/>
      <c r="R234" s="1936"/>
      <c r="U234" s="1936"/>
      <c r="V234" s="1936"/>
      <c r="W234" s="1936"/>
      <c r="X234" s="1936"/>
      <c r="Y234" s="1936"/>
      <c r="Z234" s="1936"/>
      <c r="AA234" s="1936"/>
      <c r="AB234" s="1936"/>
      <c r="AC234" s="1936"/>
      <c r="AD234" s="1936"/>
      <c r="AE234" s="1936"/>
      <c r="AF234" s="1936"/>
      <c r="AG234" s="1936"/>
      <c r="AH234" s="1936"/>
      <c r="AI234" s="1936"/>
      <c r="AJ234" s="1936"/>
      <c r="AK234" s="1936"/>
      <c r="AL234" s="1936"/>
      <c r="AM234" s="1936"/>
      <c r="AN234" s="1936"/>
      <c r="AO234" s="1936"/>
      <c r="AP234" s="1936"/>
      <c r="AQ234" s="1936"/>
      <c r="AR234" s="1936"/>
      <c r="AS234" s="1936"/>
      <c r="AT234" s="1936"/>
      <c r="AU234" s="1936"/>
      <c r="AV234" s="1936"/>
      <c r="AW234" s="1936"/>
      <c r="AX234" s="1936"/>
      <c r="AY234" s="1936"/>
      <c r="AZ234" s="1936"/>
      <c r="BA234" s="1936"/>
      <c r="BB234" s="1936"/>
      <c r="BC234" s="1936"/>
      <c r="BD234" s="1936"/>
      <c r="BE234" s="1936"/>
      <c r="BF234" s="1936"/>
      <c r="BG234" s="1936"/>
      <c r="BH234" s="1936"/>
      <c r="BI234" s="1936"/>
      <c r="BJ234" s="1936"/>
      <c r="BK234" s="1936"/>
      <c r="BL234" s="1936"/>
      <c r="BM234" s="1936"/>
      <c r="BN234" s="1936"/>
      <c r="BO234" s="1936"/>
      <c r="BP234" s="1936"/>
      <c r="BQ234" s="1936"/>
      <c r="BR234" s="1936"/>
      <c r="BS234" s="1936"/>
      <c r="BT234" s="1936"/>
      <c r="BU234" s="1936"/>
      <c r="BV234" s="1936"/>
      <c r="BW234" s="1936"/>
      <c r="BX234" s="1936"/>
      <c r="BY234" s="1936"/>
      <c r="BZ234" s="1936"/>
      <c r="CA234" s="1936"/>
      <c r="CB234" s="1936"/>
      <c r="CC234" s="1936"/>
      <c r="CD234" s="1936"/>
    </row>
    <row r="235" spans="1:82" ht="15" hidden="1" customHeight="1" x14ac:dyDescent="0.2">
      <c r="A235" s="843"/>
      <c r="B235" s="1596" t="s">
        <v>4127</v>
      </c>
      <c r="C235" s="2420" t="s">
        <v>5016</v>
      </c>
      <c r="D235" s="2420"/>
      <c r="E235" s="1592">
        <v>1</v>
      </c>
      <c r="F235" s="2433">
        <f t="shared" si="64"/>
        <v>0</v>
      </c>
      <c r="G235" s="2434"/>
      <c r="H235" s="2434"/>
      <c r="I235" s="2435"/>
      <c r="K235" s="1936"/>
      <c r="L235" s="1936"/>
      <c r="M235" s="1936"/>
      <c r="N235" s="1936"/>
      <c r="O235" s="1936"/>
      <c r="P235" s="1936"/>
      <c r="Q235" s="1936"/>
      <c r="R235" s="1936"/>
      <c r="U235" s="1936"/>
      <c r="V235" s="1936"/>
      <c r="W235" s="1936"/>
      <c r="X235" s="1936"/>
      <c r="Y235" s="1936"/>
      <c r="Z235" s="1936"/>
      <c r="AA235" s="1936"/>
      <c r="AB235" s="1936"/>
      <c r="AC235" s="1936"/>
      <c r="AD235" s="1936"/>
      <c r="AE235" s="1936"/>
      <c r="AF235" s="1936"/>
      <c r="AG235" s="1936"/>
      <c r="AH235" s="1936"/>
      <c r="AI235" s="1936"/>
      <c r="AJ235" s="1936"/>
      <c r="AK235" s="1936"/>
      <c r="AL235" s="1936"/>
      <c r="AM235" s="1936"/>
      <c r="AN235" s="1936"/>
      <c r="AO235" s="1936"/>
      <c r="AP235" s="1936"/>
      <c r="AQ235" s="1936"/>
      <c r="AR235" s="1936"/>
      <c r="AS235" s="1936"/>
      <c r="AT235" s="1936"/>
      <c r="AU235" s="1936"/>
      <c r="AV235" s="1936"/>
      <c r="AW235" s="1936"/>
      <c r="AX235" s="1936"/>
      <c r="AY235" s="1936"/>
      <c r="AZ235" s="1936"/>
      <c r="BA235" s="1936"/>
      <c r="BB235" s="1936"/>
      <c r="BC235" s="1936"/>
      <c r="BD235" s="1936"/>
      <c r="BE235" s="1936"/>
      <c r="BF235" s="1936"/>
      <c r="BG235" s="1936"/>
      <c r="BH235" s="1936"/>
      <c r="BI235" s="1936"/>
      <c r="BJ235" s="1936"/>
      <c r="BK235" s="1936"/>
      <c r="BL235" s="1936"/>
      <c r="BM235" s="1936"/>
      <c r="BN235" s="1936"/>
      <c r="BO235" s="1936"/>
      <c r="BP235" s="1936"/>
      <c r="BQ235" s="1936"/>
      <c r="BR235" s="1936"/>
      <c r="BS235" s="1936"/>
      <c r="BT235" s="1936"/>
      <c r="BU235" s="1936"/>
      <c r="BV235" s="1936"/>
      <c r="BW235" s="1936"/>
      <c r="BX235" s="1936"/>
      <c r="BY235" s="1936"/>
      <c r="BZ235" s="1936"/>
      <c r="CA235" s="1936"/>
      <c r="CB235" s="1936"/>
      <c r="CC235" s="1936"/>
      <c r="CD235" s="1936"/>
    </row>
    <row r="236" spans="1:82" ht="15" hidden="1" customHeight="1" x14ac:dyDescent="0.2">
      <c r="A236" s="843"/>
      <c r="B236" s="1596" t="s">
        <v>4106</v>
      </c>
      <c r="C236" s="2420" t="s">
        <v>5017</v>
      </c>
      <c r="D236" s="2420"/>
      <c r="E236" s="1592">
        <v>1</v>
      </c>
      <c r="F236" s="2433">
        <f t="shared" si="64"/>
        <v>0</v>
      </c>
      <c r="G236" s="2434"/>
      <c r="H236" s="2434"/>
      <c r="I236" s="2435"/>
      <c r="K236" s="1936"/>
      <c r="L236" s="1936"/>
      <c r="M236" s="1936"/>
      <c r="N236" s="1936"/>
      <c r="O236" s="1936"/>
      <c r="P236" s="1936"/>
      <c r="Q236" s="1936"/>
      <c r="R236" s="1936"/>
      <c r="U236" s="1936"/>
      <c r="V236" s="1936"/>
      <c r="W236" s="1936"/>
      <c r="X236" s="1936"/>
      <c r="Y236" s="1936"/>
      <c r="Z236" s="1936"/>
      <c r="AA236" s="1936"/>
      <c r="AB236" s="1936"/>
      <c r="AC236" s="1936"/>
      <c r="AD236" s="1936"/>
      <c r="AE236" s="1936"/>
      <c r="AF236" s="1936"/>
      <c r="AG236" s="1936"/>
      <c r="AH236" s="1936"/>
      <c r="AI236" s="1936"/>
      <c r="AJ236" s="1936"/>
      <c r="AK236" s="1936"/>
      <c r="AL236" s="1936"/>
      <c r="AM236" s="1936"/>
      <c r="AN236" s="1936"/>
      <c r="AO236" s="1936"/>
      <c r="AP236" s="1936"/>
      <c r="AQ236" s="1936"/>
      <c r="AR236" s="1936"/>
      <c r="AS236" s="1936"/>
      <c r="AT236" s="1936"/>
      <c r="AU236" s="1936"/>
      <c r="AV236" s="1936"/>
      <c r="AW236" s="1936"/>
      <c r="AX236" s="1936"/>
      <c r="AY236" s="1936"/>
      <c r="AZ236" s="1936"/>
      <c r="BA236" s="1936"/>
      <c r="BB236" s="1936"/>
      <c r="BC236" s="1936"/>
      <c r="BD236" s="1936"/>
      <c r="BE236" s="1936"/>
      <c r="BF236" s="1936"/>
      <c r="BG236" s="1936"/>
      <c r="BH236" s="1936"/>
      <c r="BI236" s="1936"/>
      <c r="BJ236" s="1936"/>
      <c r="BK236" s="1936"/>
      <c r="BL236" s="1936"/>
      <c r="BM236" s="1936"/>
      <c r="BN236" s="1936"/>
      <c r="BO236" s="1936"/>
      <c r="BP236" s="1936"/>
      <c r="BQ236" s="1936"/>
      <c r="BR236" s="1936"/>
      <c r="BS236" s="1936"/>
      <c r="BT236" s="1936"/>
      <c r="BU236" s="1936"/>
      <c r="BV236" s="1936"/>
      <c r="BW236" s="1936"/>
      <c r="BX236" s="1936"/>
      <c r="BY236" s="1936"/>
      <c r="BZ236" s="1936"/>
      <c r="CA236" s="1936"/>
      <c r="CB236" s="1936"/>
      <c r="CC236" s="1936"/>
      <c r="CD236" s="1936"/>
    </row>
    <row r="237" spans="1:82" ht="15" hidden="1" customHeight="1" x14ac:dyDescent="0.2">
      <c r="A237" s="843"/>
      <c r="B237" s="1596" t="s">
        <v>4110</v>
      </c>
      <c r="C237" s="2420" t="s">
        <v>5018</v>
      </c>
      <c r="D237" s="2420"/>
      <c r="E237" s="1592">
        <v>1</v>
      </c>
      <c r="F237" s="2433">
        <f t="shared" si="64"/>
        <v>0</v>
      </c>
      <c r="G237" s="2434"/>
      <c r="H237" s="2434"/>
      <c r="I237" s="2435"/>
      <c r="K237" s="1936"/>
      <c r="L237" s="1936"/>
      <c r="M237" s="1936"/>
      <c r="N237" s="1936"/>
      <c r="O237" s="1936"/>
      <c r="P237" s="1936"/>
      <c r="Q237" s="1936"/>
      <c r="R237" s="1936"/>
      <c r="U237" s="1936"/>
      <c r="V237" s="1936"/>
      <c r="W237" s="1936"/>
      <c r="X237" s="1936"/>
      <c r="Y237" s="1936"/>
      <c r="Z237" s="1936"/>
      <c r="AA237" s="1936"/>
      <c r="AB237" s="1936"/>
      <c r="AC237" s="1936"/>
      <c r="AD237" s="1936"/>
      <c r="AE237" s="1936"/>
      <c r="AF237" s="1936"/>
      <c r="AG237" s="1936"/>
      <c r="AH237" s="1936"/>
      <c r="AI237" s="1936"/>
      <c r="AJ237" s="1936"/>
      <c r="AK237" s="1936"/>
      <c r="AL237" s="1936"/>
      <c r="AM237" s="1936"/>
      <c r="AN237" s="1936"/>
      <c r="AO237" s="1936"/>
      <c r="AP237" s="1936"/>
      <c r="AQ237" s="1936"/>
      <c r="AR237" s="1936"/>
      <c r="AS237" s="1936"/>
      <c r="AT237" s="1936"/>
      <c r="AU237" s="1936"/>
      <c r="AV237" s="1936"/>
      <c r="AW237" s="1936"/>
      <c r="AX237" s="1936"/>
      <c r="AY237" s="1936"/>
      <c r="AZ237" s="1936"/>
      <c r="BA237" s="1936"/>
      <c r="BB237" s="1936"/>
      <c r="BC237" s="1936"/>
      <c r="BD237" s="1936"/>
      <c r="BE237" s="1936"/>
      <c r="BF237" s="1936"/>
      <c r="BG237" s="1936"/>
      <c r="BH237" s="1936"/>
      <c r="BI237" s="1936"/>
      <c r="BJ237" s="1936"/>
      <c r="BK237" s="1936"/>
      <c r="BL237" s="1936"/>
      <c r="BM237" s="1936"/>
      <c r="BN237" s="1936"/>
      <c r="BO237" s="1936"/>
      <c r="BP237" s="1936"/>
      <c r="BQ237" s="1936"/>
      <c r="BR237" s="1936"/>
      <c r="BS237" s="1936"/>
      <c r="BT237" s="1936"/>
      <c r="BU237" s="1936"/>
      <c r="BV237" s="1936"/>
      <c r="BW237" s="1936"/>
      <c r="BX237" s="1936"/>
      <c r="BY237" s="1936"/>
      <c r="BZ237" s="1936"/>
      <c r="CA237" s="1936"/>
      <c r="CB237" s="1936"/>
      <c r="CC237" s="1936"/>
      <c r="CD237" s="1936"/>
    </row>
    <row r="238" spans="1:82" ht="15" hidden="1" customHeight="1" x14ac:dyDescent="0.2">
      <c r="A238" s="843"/>
      <c r="B238" s="1596" t="s">
        <v>4113</v>
      </c>
      <c r="C238" s="2420" t="s">
        <v>5019</v>
      </c>
      <c r="D238" s="2420"/>
      <c r="E238" s="1592">
        <v>1</v>
      </c>
      <c r="F238" s="2433">
        <f t="shared" si="64"/>
        <v>0</v>
      </c>
      <c r="G238" s="2434"/>
      <c r="H238" s="2434"/>
      <c r="I238" s="2435"/>
      <c r="K238" s="1936"/>
      <c r="L238" s="1936"/>
      <c r="M238" s="1936"/>
      <c r="N238" s="1936"/>
      <c r="O238" s="1936"/>
      <c r="P238" s="1936"/>
      <c r="Q238" s="1936"/>
      <c r="R238" s="1936"/>
      <c r="U238" s="1936"/>
      <c r="V238" s="1936"/>
      <c r="W238" s="1936"/>
      <c r="X238" s="1936"/>
      <c r="Y238" s="1936"/>
      <c r="Z238" s="1936"/>
      <c r="AA238" s="1936"/>
      <c r="AB238" s="1936"/>
      <c r="AC238" s="1936"/>
      <c r="AD238" s="1936"/>
      <c r="AE238" s="1936"/>
      <c r="AF238" s="1936"/>
      <c r="AG238" s="1936"/>
      <c r="AH238" s="1936"/>
      <c r="AI238" s="1936"/>
      <c r="AJ238" s="1936"/>
      <c r="AK238" s="1936"/>
      <c r="AL238" s="1936"/>
      <c r="AM238" s="1936"/>
      <c r="AN238" s="1936"/>
      <c r="AO238" s="1936"/>
      <c r="AP238" s="1936"/>
      <c r="AQ238" s="1936"/>
      <c r="AR238" s="1936"/>
      <c r="AS238" s="1936"/>
      <c r="AT238" s="1936"/>
      <c r="AU238" s="1936"/>
      <c r="AV238" s="1936"/>
      <c r="AW238" s="1936"/>
      <c r="AX238" s="1936"/>
      <c r="AY238" s="1936"/>
      <c r="AZ238" s="1936"/>
      <c r="BA238" s="1936"/>
      <c r="BB238" s="1936"/>
      <c r="BC238" s="1936"/>
      <c r="BD238" s="1936"/>
      <c r="BE238" s="1936"/>
      <c r="BF238" s="1936"/>
      <c r="BG238" s="1936"/>
      <c r="BH238" s="1936"/>
      <c r="BI238" s="1936"/>
      <c r="BJ238" s="1936"/>
      <c r="BK238" s="1936"/>
      <c r="BL238" s="1936"/>
      <c r="BM238" s="1936"/>
      <c r="BN238" s="1936"/>
      <c r="BO238" s="1936"/>
      <c r="BP238" s="1936"/>
      <c r="BQ238" s="1936"/>
      <c r="BR238" s="1936"/>
      <c r="BS238" s="1936"/>
      <c r="BT238" s="1936"/>
      <c r="BU238" s="1936"/>
      <c r="BV238" s="1936"/>
      <c r="BW238" s="1936"/>
      <c r="BX238" s="1936"/>
      <c r="BY238" s="1936"/>
      <c r="BZ238" s="1936"/>
      <c r="CA238" s="1936"/>
      <c r="CB238" s="1936"/>
      <c r="CC238" s="1936"/>
      <c r="CD238" s="1936"/>
    </row>
    <row r="239" spans="1:82" ht="15" hidden="1" customHeight="1" x14ac:dyDescent="0.2">
      <c r="A239" s="843"/>
      <c r="B239" s="1596" t="s">
        <v>4111</v>
      </c>
      <c r="C239" s="2420" t="s">
        <v>5020</v>
      </c>
      <c r="D239" s="2420"/>
      <c r="E239" s="1592">
        <v>1</v>
      </c>
      <c r="F239" s="2433">
        <f t="shared" si="64"/>
        <v>0</v>
      </c>
      <c r="G239" s="2434"/>
      <c r="H239" s="2434"/>
      <c r="I239" s="2435"/>
      <c r="K239" s="1936"/>
      <c r="L239" s="1936"/>
      <c r="M239" s="1936"/>
      <c r="N239" s="1936"/>
      <c r="O239" s="1936"/>
      <c r="P239" s="1936"/>
      <c r="Q239" s="1936"/>
      <c r="R239" s="1936"/>
      <c r="U239" s="1936"/>
      <c r="V239" s="1936"/>
      <c r="W239" s="1936"/>
      <c r="X239" s="1936"/>
      <c r="Y239" s="1936"/>
      <c r="Z239" s="1936"/>
      <c r="AA239" s="1936"/>
      <c r="AB239" s="1936"/>
      <c r="AC239" s="1936"/>
      <c r="AD239" s="1936"/>
      <c r="AE239" s="1936"/>
      <c r="AF239" s="1936"/>
      <c r="AG239" s="1936"/>
      <c r="AH239" s="1936"/>
      <c r="AI239" s="1936"/>
      <c r="AJ239" s="1936"/>
      <c r="AK239" s="1936"/>
      <c r="AL239" s="1936"/>
      <c r="AM239" s="1936"/>
      <c r="AN239" s="1936"/>
      <c r="AO239" s="1936"/>
      <c r="AP239" s="1936"/>
      <c r="AQ239" s="1936"/>
      <c r="AR239" s="1936"/>
      <c r="AS239" s="1936"/>
      <c r="AT239" s="1936"/>
      <c r="AU239" s="1936"/>
      <c r="AV239" s="1936"/>
      <c r="AW239" s="1936"/>
      <c r="AX239" s="1936"/>
      <c r="AY239" s="1936"/>
      <c r="AZ239" s="1936"/>
      <c r="BA239" s="1936"/>
      <c r="BB239" s="1936"/>
      <c r="BC239" s="1936"/>
      <c r="BD239" s="1936"/>
      <c r="BE239" s="1936"/>
      <c r="BF239" s="1936"/>
      <c r="BG239" s="1936"/>
      <c r="BH239" s="1936"/>
      <c r="BI239" s="1936"/>
      <c r="BJ239" s="1936"/>
      <c r="BK239" s="1936"/>
      <c r="BL239" s="1936"/>
      <c r="BM239" s="1936"/>
      <c r="BN239" s="1936"/>
      <c r="BO239" s="1936"/>
      <c r="BP239" s="1936"/>
      <c r="BQ239" s="1936"/>
      <c r="BR239" s="1936"/>
      <c r="BS239" s="1936"/>
      <c r="BT239" s="1936"/>
      <c r="BU239" s="1936"/>
      <c r="BV239" s="1936"/>
      <c r="BW239" s="1936"/>
      <c r="BX239" s="1936"/>
      <c r="BY239" s="1936"/>
      <c r="BZ239" s="1936"/>
      <c r="CA239" s="1936"/>
      <c r="CB239" s="1936"/>
      <c r="CC239" s="1936"/>
      <c r="CD239" s="1936"/>
    </row>
    <row r="240" spans="1:82" ht="15" hidden="1" customHeight="1" x14ac:dyDescent="0.2">
      <c r="A240" s="843"/>
      <c r="B240" s="1596" t="s">
        <v>4112</v>
      </c>
      <c r="C240" s="2420" t="s">
        <v>5021</v>
      </c>
      <c r="D240" s="2420"/>
      <c r="E240" s="1592">
        <v>1</v>
      </c>
      <c r="F240" s="2433">
        <f t="shared" si="64"/>
        <v>0</v>
      </c>
      <c r="G240" s="2434"/>
      <c r="H240" s="2434"/>
      <c r="I240" s="2435"/>
      <c r="K240" s="1936"/>
      <c r="L240" s="1936"/>
      <c r="M240" s="1936"/>
      <c r="N240" s="1936"/>
      <c r="O240" s="1936"/>
      <c r="P240" s="1936"/>
      <c r="Q240" s="1936"/>
      <c r="R240" s="1936"/>
      <c r="U240" s="1936"/>
      <c r="V240" s="1936"/>
      <c r="W240" s="1936"/>
      <c r="X240" s="1936"/>
      <c r="Y240" s="1936"/>
      <c r="Z240" s="1936"/>
      <c r="AA240" s="1936"/>
      <c r="AB240" s="1936"/>
      <c r="AC240" s="1936"/>
      <c r="AD240" s="1936"/>
      <c r="AE240" s="1936"/>
      <c r="AF240" s="1936"/>
      <c r="AG240" s="1936"/>
      <c r="AH240" s="1936"/>
      <c r="AI240" s="1936"/>
      <c r="AJ240" s="1936"/>
      <c r="AK240" s="1936"/>
      <c r="AL240" s="1936"/>
      <c r="AM240" s="1936"/>
      <c r="AN240" s="1936"/>
      <c r="AO240" s="1936"/>
      <c r="AP240" s="1936"/>
      <c r="AQ240" s="1936"/>
      <c r="AR240" s="1936"/>
      <c r="AS240" s="1936"/>
      <c r="AT240" s="1936"/>
      <c r="AU240" s="1936"/>
      <c r="AV240" s="1936"/>
      <c r="AW240" s="1936"/>
      <c r="AX240" s="1936"/>
      <c r="AY240" s="1936"/>
      <c r="AZ240" s="1936"/>
      <c r="BA240" s="1936"/>
      <c r="BB240" s="1936"/>
      <c r="BC240" s="1936"/>
      <c r="BD240" s="1936"/>
      <c r="BE240" s="1936"/>
      <c r="BF240" s="1936"/>
      <c r="BG240" s="1936"/>
      <c r="BH240" s="1936"/>
      <c r="BI240" s="1936"/>
      <c r="BJ240" s="1936"/>
      <c r="BK240" s="1936"/>
      <c r="BL240" s="1936"/>
      <c r="BM240" s="1936"/>
      <c r="BN240" s="1936"/>
      <c r="BO240" s="1936"/>
      <c r="BP240" s="1936"/>
      <c r="BQ240" s="1936"/>
      <c r="BR240" s="1936"/>
      <c r="BS240" s="1936"/>
      <c r="BT240" s="1936"/>
      <c r="BU240" s="1936"/>
      <c r="BV240" s="1936"/>
      <c r="BW240" s="1936"/>
      <c r="BX240" s="1936"/>
      <c r="BY240" s="1936"/>
      <c r="BZ240" s="1936"/>
      <c r="CA240" s="1936"/>
      <c r="CB240" s="1936"/>
      <c r="CC240" s="1936"/>
      <c r="CD240" s="1936"/>
    </row>
    <row r="241" spans="1:56" ht="15" hidden="1" customHeight="1" x14ac:dyDescent="0.2">
      <c r="A241" s="843"/>
      <c r="B241" s="1596" t="s">
        <v>4109</v>
      </c>
      <c r="C241" s="2420" t="s">
        <v>5022</v>
      </c>
      <c r="D241" s="2420"/>
      <c r="E241" s="1592">
        <v>1</v>
      </c>
      <c r="F241" s="2433">
        <f t="shared" si="64"/>
        <v>0</v>
      </c>
      <c r="G241" s="2434"/>
      <c r="H241" s="2434"/>
      <c r="I241" s="2435"/>
      <c r="L241" s="1936"/>
      <c r="M241" s="1936"/>
      <c r="N241" s="1936"/>
      <c r="O241" s="1936"/>
      <c r="P241" s="1936"/>
      <c r="Q241" s="1936"/>
      <c r="R241" s="1936"/>
      <c r="U241" s="1936"/>
      <c r="V241" s="1936"/>
      <c r="W241" s="1936"/>
      <c r="X241" s="1936"/>
      <c r="Y241" s="1936"/>
      <c r="Z241" s="1936"/>
      <c r="AA241" s="1936"/>
      <c r="AB241" s="1936"/>
      <c r="AC241" s="1936"/>
      <c r="AD241" s="1936"/>
      <c r="AE241" s="1936"/>
      <c r="AF241" s="1936"/>
      <c r="AG241" s="1936"/>
      <c r="AH241" s="1936"/>
      <c r="AI241" s="1936"/>
      <c r="AJ241" s="1936"/>
      <c r="AK241" s="1936"/>
      <c r="AL241" s="1936"/>
      <c r="AM241" s="1936"/>
      <c r="AN241" s="1936"/>
      <c r="AO241" s="1936"/>
      <c r="AP241" s="1936"/>
      <c r="AQ241" s="1936"/>
      <c r="AR241" s="1936"/>
      <c r="AS241" s="1936"/>
      <c r="AT241" s="1936"/>
      <c r="AU241" s="1936"/>
      <c r="AV241" s="1936"/>
      <c r="AW241" s="1936"/>
      <c r="AX241" s="1936"/>
      <c r="AY241" s="1936"/>
      <c r="AZ241" s="1936"/>
      <c r="BA241" s="1936"/>
      <c r="BB241" s="1936"/>
      <c r="BC241" s="1936"/>
      <c r="BD241" s="1936"/>
    </row>
    <row r="242" spans="1:56" ht="15" hidden="1" customHeight="1" x14ac:dyDescent="0.2">
      <c r="A242" s="843"/>
      <c r="B242" s="1596" t="s">
        <v>4107</v>
      </c>
      <c r="C242" s="2420" t="s">
        <v>5023</v>
      </c>
      <c r="D242" s="2420"/>
      <c r="E242" s="1592">
        <v>1</v>
      </c>
      <c r="F242" s="2433">
        <f t="shared" si="64"/>
        <v>0</v>
      </c>
      <c r="G242" s="2434"/>
      <c r="H242" s="2434"/>
      <c r="I242" s="2435"/>
      <c r="L242" s="1936"/>
      <c r="M242" s="1936"/>
      <c r="N242" s="1936"/>
      <c r="O242" s="1936"/>
      <c r="P242" s="1936"/>
      <c r="Q242" s="1936"/>
      <c r="R242" s="1936"/>
      <c r="U242" s="1936"/>
      <c r="V242" s="1936"/>
      <c r="W242" s="1936"/>
      <c r="X242" s="1936"/>
      <c r="Y242" s="1936"/>
      <c r="Z242" s="1936"/>
      <c r="AA242" s="1936"/>
      <c r="AB242" s="1936"/>
      <c r="AC242" s="1936"/>
      <c r="AD242" s="1936"/>
      <c r="AE242" s="1936"/>
      <c r="AF242" s="1936"/>
      <c r="AG242" s="1936"/>
      <c r="AH242" s="1936"/>
      <c r="AI242" s="1936"/>
      <c r="AJ242" s="1936"/>
      <c r="AK242" s="1936"/>
      <c r="AL242" s="1936"/>
      <c r="AM242" s="1936"/>
      <c r="AN242" s="1936"/>
      <c r="AO242" s="1936"/>
      <c r="AP242" s="1936"/>
      <c r="AQ242" s="1936"/>
      <c r="AR242" s="1936"/>
      <c r="AS242" s="1936"/>
      <c r="AT242" s="1936"/>
      <c r="AU242" s="1936"/>
      <c r="AV242" s="1936"/>
      <c r="AW242" s="1936"/>
      <c r="AX242" s="1936"/>
      <c r="AY242" s="1936"/>
      <c r="AZ242" s="1936"/>
      <c r="BA242" s="1936"/>
      <c r="BB242" s="1936"/>
      <c r="BC242" s="1936"/>
      <c r="BD242" s="1936"/>
    </row>
    <row r="243" spans="1:56" ht="15" hidden="1" customHeight="1" x14ac:dyDescent="0.2">
      <c r="A243" s="843"/>
      <c r="B243" s="1596" t="s">
        <v>4108</v>
      </c>
      <c r="C243" s="2420" t="s">
        <v>5024</v>
      </c>
      <c r="D243" s="2420"/>
      <c r="E243" s="1592">
        <v>1</v>
      </c>
      <c r="F243" s="2433">
        <f t="shared" si="64"/>
        <v>0</v>
      </c>
      <c r="G243" s="2434"/>
      <c r="H243" s="2434"/>
      <c r="I243" s="2435"/>
    </row>
    <row r="244" spans="1:56" ht="15" hidden="1" customHeight="1" x14ac:dyDescent="0.2">
      <c r="A244" s="843"/>
      <c r="B244" s="1596" t="s">
        <v>4134</v>
      </c>
      <c r="C244" s="2420" t="s">
        <v>5025</v>
      </c>
      <c r="D244" s="2420"/>
      <c r="E244" s="1592">
        <v>1</v>
      </c>
      <c r="F244" s="2433">
        <f t="shared" si="64"/>
        <v>0</v>
      </c>
      <c r="G244" s="2434"/>
      <c r="H244" s="2434"/>
      <c r="I244" s="2435"/>
    </row>
    <row r="245" spans="1:56" ht="15" hidden="1" customHeight="1" x14ac:dyDescent="0.2">
      <c r="A245" s="843"/>
      <c r="B245" s="1596" t="s">
        <v>4137</v>
      </c>
      <c r="C245" s="2420" t="s">
        <v>5026</v>
      </c>
      <c r="D245" s="2420"/>
      <c r="E245" s="1592">
        <v>1</v>
      </c>
      <c r="F245" s="2433">
        <f t="shared" si="64"/>
        <v>0</v>
      </c>
      <c r="G245" s="2434"/>
      <c r="H245" s="2434"/>
      <c r="I245" s="2435"/>
    </row>
    <row r="246" spans="1:56" ht="15" hidden="1" customHeight="1" x14ac:dyDescent="0.2">
      <c r="A246" s="843"/>
      <c r="B246" s="1596" t="s">
        <v>4135</v>
      </c>
      <c r="C246" s="2420" t="s">
        <v>5027</v>
      </c>
      <c r="D246" s="2420"/>
      <c r="E246" s="1592">
        <v>1</v>
      </c>
      <c r="F246" s="2433">
        <f t="shared" si="64"/>
        <v>0</v>
      </c>
      <c r="G246" s="2434"/>
      <c r="H246" s="2434"/>
      <c r="I246" s="2435"/>
    </row>
    <row r="247" spans="1:56" ht="15" hidden="1" customHeight="1" x14ac:dyDescent="0.2">
      <c r="A247" s="843"/>
      <c r="B247" s="1596" t="s">
        <v>4136</v>
      </c>
      <c r="C247" s="2420" t="s">
        <v>5028</v>
      </c>
      <c r="D247" s="2420"/>
      <c r="E247" s="1592">
        <v>1</v>
      </c>
      <c r="F247" s="2433">
        <f t="shared" si="64"/>
        <v>0</v>
      </c>
      <c r="G247" s="2434"/>
      <c r="H247" s="2434"/>
      <c r="I247" s="2435"/>
    </row>
    <row r="248" spans="1:56" ht="15" hidden="1" customHeight="1" x14ac:dyDescent="0.2">
      <c r="A248" s="843"/>
      <c r="B248" s="1596" t="s">
        <v>4114</v>
      </c>
      <c r="C248" s="2420" t="s">
        <v>5029</v>
      </c>
      <c r="D248" s="2420"/>
      <c r="E248" s="1592">
        <v>1</v>
      </c>
      <c r="F248" s="2433">
        <f t="shared" si="64"/>
        <v>0</v>
      </c>
      <c r="G248" s="2434"/>
      <c r="H248" s="2434"/>
      <c r="I248" s="2435"/>
    </row>
    <row r="249" spans="1:56" ht="15" hidden="1" customHeight="1" x14ac:dyDescent="0.2">
      <c r="A249" s="843"/>
      <c r="B249" s="1596" t="s">
        <v>4115</v>
      </c>
      <c r="C249" s="2420" t="s">
        <v>5030</v>
      </c>
      <c r="D249" s="2420"/>
      <c r="E249" s="1592">
        <v>1</v>
      </c>
      <c r="F249" s="2433">
        <f t="shared" si="64"/>
        <v>0</v>
      </c>
      <c r="G249" s="2434"/>
      <c r="H249" s="2434"/>
      <c r="I249" s="2435"/>
    </row>
    <row r="250" spans="1:56" ht="15" hidden="1" customHeight="1" x14ac:dyDescent="0.2">
      <c r="A250" s="843"/>
      <c r="B250" s="1596" t="s">
        <v>4116</v>
      </c>
      <c r="C250" s="2420" t="s">
        <v>5031</v>
      </c>
      <c r="D250" s="2420"/>
      <c r="E250" s="1592">
        <v>1</v>
      </c>
      <c r="F250" s="2433">
        <f t="shared" si="64"/>
        <v>0</v>
      </c>
      <c r="G250" s="2434"/>
      <c r="H250" s="2434"/>
      <c r="I250" s="2435"/>
    </row>
    <row r="251" spans="1:56" ht="15" hidden="1" customHeight="1" x14ac:dyDescent="0.2">
      <c r="A251" s="843"/>
      <c r="B251" s="1596" t="s">
        <v>4142</v>
      </c>
      <c r="C251" s="2420" t="s">
        <v>5032</v>
      </c>
      <c r="D251" s="2420"/>
      <c r="E251" s="1592">
        <v>1</v>
      </c>
      <c r="F251" s="2433">
        <f t="shared" si="64"/>
        <v>0</v>
      </c>
      <c r="G251" s="2434"/>
      <c r="H251" s="2434"/>
      <c r="I251" s="2435"/>
    </row>
    <row r="252" spans="1:56" ht="15" hidden="1" customHeight="1" x14ac:dyDescent="0.2">
      <c r="A252" s="843"/>
      <c r="B252" s="1596" t="s">
        <v>4145</v>
      </c>
      <c r="C252" s="2420" t="s">
        <v>5033</v>
      </c>
      <c r="D252" s="2420"/>
      <c r="E252" s="1592">
        <v>1</v>
      </c>
      <c r="F252" s="2433">
        <f t="shared" si="64"/>
        <v>0</v>
      </c>
      <c r="G252" s="2434"/>
      <c r="H252" s="2434"/>
      <c r="I252" s="2435"/>
    </row>
    <row r="253" spans="1:56" ht="15" hidden="1" customHeight="1" x14ac:dyDescent="0.2">
      <c r="A253" s="843"/>
      <c r="B253" s="1596" t="s">
        <v>4143</v>
      </c>
      <c r="C253" s="2420" t="s">
        <v>5034</v>
      </c>
      <c r="D253" s="2420"/>
      <c r="E253" s="1592">
        <v>1</v>
      </c>
      <c r="F253" s="2433">
        <f t="shared" si="64"/>
        <v>0</v>
      </c>
      <c r="G253" s="2434"/>
      <c r="H253" s="2434"/>
      <c r="I253" s="2435"/>
    </row>
    <row r="254" spans="1:56" ht="15" hidden="1" customHeight="1" x14ac:dyDescent="0.2">
      <c r="A254" s="843"/>
      <c r="B254" s="1596" t="s">
        <v>4144</v>
      </c>
      <c r="C254" s="2420" t="s">
        <v>5035</v>
      </c>
      <c r="D254" s="2420"/>
      <c r="E254" s="1592">
        <v>1</v>
      </c>
      <c r="F254" s="2433">
        <f t="shared" si="64"/>
        <v>0</v>
      </c>
      <c r="G254" s="2434"/>
      <c r="H254" s="2434"/>
      <c r="I254" s="2435"/>
    </row>
    <row r="255" spans="1:56" ht="15" hidden="1" customHeight="1" x14ac:dyDescent="0.2">
      <c r="A255" s="843"/>
      <c r="B255" s="1596" t="s">
        <v>4117</v>
      </c>
      <c r="C255" s="2420" t="s">
        <v>5036</v>
      </c>
      <c r="D255" s="2420"/>
      <c r="E255" s="1592">
        <v>1</v>
      </c>
      <c r="F255" s="2433">
        <f t="shared" si="64"/>
        <v>0</v>
      </c>
      <c r="G255" s="2434"/>
      <c r="H255" s="2434"/>
      <c r="I255" s="2435"/>
    </row>
    <row r="256" spans="1:56" ht="15" hidden="1" customHeight="1" x14ac:dyDescent="0.2">
      <c r="A256" s="843"/>
      <c r="B256" s="1596" t="s">
        <v>4121</v>
      </c>
      <c r="C256" s="2420" t="s">
        <v>5037</v>
      </c>
      <c r="D256" s="2420"/>
      <c r="E256" s="1592">
        <v>1</v>
      </c>
      <c r="F256" s="2433">
        <f t="shared" si="64"/>
        <v>0</v>
      </c>
      <c r="G256" s="2434"/>
      <c r="H256" s="2434"/>
      <c r="I256" s="2435"/>
    </row>
    <row r="257" spans="1:82" ht="15" hidden="1" customHeight="1" x14ac:dyDescent="0.2">
      <c r="A257" s="843"/>
      <c r="B257" s="1596" t="s">
        <v>4124</v>
      </c>
      <c r="C257" s="2420" t="s">
        <v>5038</v>
      </c>
      <c r="D257" s="2420"/>
      <c r="E257" s="1592">
        <v>1</v>
      </c>
      <c r="F257" s="2433">
        <f t="shared" si="64"/>
        <v>0</v>
      </c>
      <c r="G257" s="2434"/>
      <c r="H257" s="2434"/>
      <c r="I257" s="2435"/>
    </row>
    <row r="258" spans="1:82" ht="15" hidden="1" customHeight="1" x14ac:dyDescent="0.2">
      <c r="A258" s="843"/>
      <c r="B258" s="1596" t="s">
        <v>4122</v>
      </c>
      <c r="C258" s="2420" t="s">
        <v>5039</v>
      </c>
      <c r="D258" s="2420"/>
      <c r="E258" s="1592">
        <v>1</v>
      </c>
      <c r="F258" s="2433">
        <f t="shared" si="64"/>
        <v>0</v>
      </c>
      <c r="G258" s="2434"/>
      <c r="H258" s="2434"/>
      <c r="I258" s="2435"/>
    </row>
    <row r="259" spans="1:82" ht="15" hidden="1" customHeight="1" x14ac:dyDescent="0.2">
      <c r="A259" s="843"/>
      <c r="B259" s="1596" t="s">
        <v>4123</v>
      </c>
      <c r="C259" s="2420" t="s">
        <v>5040</v>
      </c>
      <c r="D259" s="2420"/>
      <c r="E259" s="1592">
        <v>1</v>
      </c>
      <c r="F259" s="2433">
        <f t="shared" si="64"/>
        <v>0</v>
      </c>
      <c r="G259" s="2434"/>
      <c r="H259" s="2434"/>
      <c r="I259" s="2435"/>
    </row>
    <row r="260" spans="1:82" ht="15" hidden="1" customHeight="1" x14ac:dyDescent="0.2">
      <c r="A260" s="843"/>
      <c r="B260" s="1596" t="s">
        <v>4120</v>
      </c>
      <c r="C260" s="2420" t="s">
        <v>5041</v>
      </c>
      <c r="D260" s="2420"/>
      <c r="E260" s="1592">
        <v>1</v>
      </c>
      <c r="F260" s="2433">
        <f t="shared" si="64"/>
        <v>0</v>
      </c>
      <c r="G260" s="2434"/>
      <c r="H260" s="2434"/>
      <c r="I260" s="2435"/>
    </row>
    <row r="261" spans="1:82" ht="15" hidden="1" customHeight="1" x14ac:dyDescent="0.2">
      <c r="A261" s="843"/>
      <c r="B261" s="1596" t="s">
        <v>4118</v>
      </c>
      <c r="C261" s="2420" t="s">
        <v>5042</v>
      </c>
      <c r="D261" s="2420"/>
      <c r="E261" s="1592">
        <v>1</v>
      </c>
      <c r="F261" s="2433">
        <f t="shared" si="64"/>
        <v>0</v>
      </c>
      <c r="G261" s="2434"/>
      <c r="H261" s="2434"/>
      <c r="I261" s="2435"/>
    </row>
    <row r="262" spans="1:82" ht="15" hidden="1" customHeight="1" x14ac:dyDescent="0.2">
      <c r="A262" s="843"/>
      <c r="B262" s="1596" t="s">
        <v>4119</v>
      </c>
      <c r="C262" s="2420" t="s">
        <v>5043</v>
      </c>
      <c r="D262" s="2420"/>
      <c r="E262" s="1592">
        <v>1</v>
      </c>
      <c r="F262" s="2433">
        <f t="shared" si="64"/>
        <v>0</v>
      </c>
      <c r="G262" s="2434"/>
      <c r="H262" s="2434"/>
      <c r="I262" s="2435"/>
    </row>
    <row r="263" spans="1:82" ht="15" hidden="1" customHeight="1" x14ac:dyDescent="0.2">
      <c r="A263" s="843"/>
      <c r="B263" s="1596" t="s">
        <v>4146</v>
      </c>
      <c r="C263" s="2420" t="s">
        <v>5044</v>
      </c>
      <c r="D263" s="2420"/>
      <c r="E263" s="1592">
        <v>1</v>
      </c>
      <c r="F263" s="2433">
        <f t="shared" si="64"/>
        <v>0</v>
      </c>
      <c r="G263" s="2434"/>
      <c r="H263" s="2434"/>
      <c r="I263" s="2435"/>
      <c r="BE263" s="1936"/>
      <c r="BF263" s="1936"/>
      <c r="BG263" s="1936"/>
      <c r="BH263" s="1936"/>
      <c r="BI263" s="1936"/>
      <c r="BJ263" s="1936"/>
      <c r="BK263" s="1936"/>
      <c r="BL263" s="1936"/>
      <c r="BM263" s="1936"/>
      <c r="BN263" s="1936"/>
      <c r="BO263" s="1936"/>
      <c r="BP263" s="1936"/>
      <c r="BQ263" s="1936"/>
      <c r="BR263" s="1936"/>
      <c r="BS263" s="1936"/>
      <c r="BT263" s="1936"/>
      <c r="BU263" s="1936"/>
      <c r="BV263" s="1936"/>
      <c r="BW263" s="1936"/>
      <c r="BX263" s="1936"/>
      <c r="BY263" s="1936"/>
      <c r="BZ263" s="1936"/>
      <c r="CA263" s="1936"/>
      <c r="CB263" s="1936"/>
      <c r="CC263" s="1936"/>
      <c r="CD263" s="1936"/>
    </row>
    <row r="264" spans="1:82" ht="15" hidden="1" customHeight="1" x14ac:dyDescent="0.2">
      <c r="A264" s="843"/>
      <c r="B264" s="1596" t="s">
        <v>4150</v>
      </c>
      <c r="C264" s="2420" t="s">
        <v>5045</v>
      </c>
      <c r="D264" s="2420"/>
      <c r="E264" s="1592">
        <v>1</v>
      </c>
      <c r="F264" s="2433">
        <f t="shared" si="64"/>
        <v>0</v>
      </c>
      <c r="G264" s="2434"/>
      <c r="H264" s="2434"/>
      <c r="I264" s="2435"/>
      <c r="BE264" s="1936"/>
      <c r="BF264" s="1936"/>
      <c r="BG264" s="1936"/>
      <c r="BH264" s="1936"/>
      <c r="BI264" s="1936"/>
      <c r="BJ264" s="1936"/>
      <c r="BK264" s="1936"/>
      <c r="BL264" s="1936"/>
      <c r="BM264" s="1936"/>
      <c r="BN264" s="1936"/>
      <c r="BO264" s="1936"/>
      <c r="BP264" s="1936"/>
      <c r="BQ264" s="1936"/>
      <c r="BR264" s="1936"/>
      <c r="BS264" s="1936"/>
      <c r="BT264" s="1936"/>
      <c r="BU264" s="1936"/>
      <c r="BV264" s="1936"/>
      <c r="BW264" s="1936"/>
      <c r="BX264" s="1936"/>
      <c r="BY264" s="1936"/>
      <c r="BZ264" s="1936"/>
      <c r="CA264" s="1936"/>
      <c r="CB264" s="1936"/>
      <c r="CC264" s="1936"/>
      <c r="CD264" s="1936"/>
    </row>
    <row r="265" spans="1:82" ht="15" hidden="1" customHeight="1" x14ac:dyDescent="0.2">
      <c r="A265" s="843"/>
      <c r="B265" s="1596" t="s">
        <v>4153</v>
      </c>
      <c r="C265" s="2420" t="s">
        <v>5046</v>
      </c>
      <c r="D265" s="2420"/>
      <c r="E265" s="1592">
        <v>1</v>
      </c>
      <c r="F265" s="2433">
        <f t="shared" si="64"/>
        <v>0</v>
      </c>
      <c r="G265" s="2434"/>
      <c r="H265" s="2434"/>
      <c r="I265" s="2435"/>
      <c r="L265" s="1936"/>
      <c r="M265" s="1936"/>
      <c r="N265" s="1936"/>
      <c r="O265" s="1936"/>
      <c r="P265" s="1936"/>
      <c r="Q265" s="1936"/>
      <c r="R265" s="1936"/>
      <c r="S265" s="1936"/>
      <c r="T265" s="1936"/>
      <c r="U265" s="1936"/>
      <c r="V265" s="1936"/>
      <c r="W265" s="1936"/>
      <c r="X265" s="1936"/>
      <c r="Y265" s="1936"/>
      <c r="Z265" s="1936"/>
      <c r="AA265" s="1936"/>
      <c r="AB265" s="1936"/>
      <c r="AC265" s="1936"/>
      <c r="AD265" s="1936"/>
      <c r="AE265" s="1936"/>
      <c r="AF265" s="1936"/>
      <c r="AG265" s="1936"/>
      <c r="AH265" s="1936"/>
      <c r="AI265" s="1936"/>
      <c r="AJ265" s="1936"/>
      <c r="AK265" s="1936"/>
      <c r="AL265" s="1936"/>
      <c r="AM265" s="1936"/>
      <c r="AN265" s="1936"/>
      <c r="AO265" s="1936"/>
      <c r="AP265" s="1936"/>
      <c r="AQ265" s="1936"/>
      <c r="AR265" s="1936"/>
      <c r="AS265" s="1936"/>
      <c r="AT265" s="1936"/>
      <c r="AU265" s="1936"/>
      <c r="AV265" s="1936"/>
      <c r="AW265" s="1936"/>
      <c r="AX265" s="1936"/>
      <c r="AY265" s="1936"/>
      <c r="AZ265" s="1936"/>
      <c r="BA265" s="1936"/>
      <c r="BB265" s="1936"/>
      <c r="BC265" s="1936"/>
      <c r="BD265" s="1936"/>
      <c r="BE265" s="1936"/>
      <c r="BF265" s="1936"/>
      <c r="BG265" s="1936"/>
      <c r="BH265" s="1936"/>
      <c r="BI265" s="1936"/>
      <c r="BJ265" s="1936"/>
      <c r="BK265" s="1936"/>
      <c r="BL265" s="1936"/>
      <c r="BM265" s="1936"/>
      <c r="BN265" s="1936"/>
      <c r="BO265" s="1936"/>
      <c r="BP265" s="1936"/>
      <c r="BQ265" s="1936"/>
      <c r="BR265" s="1936"/>
      <c r="BS265" s="1936"/>
      <c r="BT265" s="1936"/>
      <c r="BU265" s="1936"/>
      <c r="BV265" s="1936"/>
      <c r="BW265" s="1936"/>
      <c r="BX265" s="1936"/>
      <c r="BY265" s="1936"/>
      <c r="BZ265" s="1936"/>
      <c r="CA265" s="1936"/>
      <c r="CB265" s="1936"/>
      <c r="CC265" s="1936"/>
      <c r="CD265" s="1936"/>
    </row>
    <row r="266" spans="1:82" ht="15" hidden="1" customHeight="1" x14ac:dyDescent="0.2">
      <c r="A266" s="843"/>
      <c r="B266" s="1596" t="s">
        <v>4151</v>
      </c>
      <c r="C266" s="2420" t="s">
        <v>5047</v>
      </c>
      <c r="D266" s="2420"/>
      <c r="E266" s="1592">
        <v>1</v>
      </c>
      <c r="F266" s="2433">
        <f t="shared" si="64"/>
        <v>0</v>
      </c>
      <c r="G266" s="2434"/>
      <c r="H266" s="2434"/>
      <c r="I266" s="2435"/>
      <c r="L266" s="1936"/>
      <c r="M266" s="1936"/>
      <c r="N266" s="1936"/>
      <c r="O266" s="1936"/>
      <c r="P266" s="1936"/>
      <c r="Q266" s="1936"/>
      <c r="R266" s="1936"/>
      <c r="S266" s="1936"/>
      <c r="T266" s="1936"/>
      <c r="U266" s="1936"/>
      <c r="V266" s="1936"/>
      <c r="W266" s="1936"/>
      <c r="X266" s="1936"/>
      <c r="Y266" s="1936"/>
      <c r="Z266" s="1936"/>
      <c r="AA266" s="1936"/>
      <c r="AB266" s="1936"/>
      <c r="AC266" s="1936"/>
      <c r="AD266" s="1936"/>
      <c r="AE266" s="1936"/>
      <c r="AF266" s="1936"/>
      <c r="AG266" s="1936"/>
      <c r="AH266" s="1936"/>
      <c r="AI266" s="1936"/>
      <c r="AJ266" s="1936"/>
      <c r="AK266" s="1936"/>
      <c r="AL266" s="1936"/>
      <c r="AM266" s="1936"/>
      <c r="AN266" s="1936"/>
      <c r="AO266" s="1936"/>
      <c r="AP266" s="1936"/>
      <c r="AQ266" s="1936"/>
      <c r="AR266" s="1936"/>
      <c r="AS266" s="1936"/>
      <c r="AT266" s="1936"/>
      <c r="AU266" s="1936"/>
      <c r="AV266" s="1936"/>
      <c r="AW266" s="1936"/>
      <c r="AX266" s="1936"/>
      <c r="AY266" s="1936"/>
      <c r="AZ266" s="1936"/>
      <c r="BA266" s="1936"/>
      <c r="BB266" s="1936"/>
      <c r="BC266" s="1936"/>
      <c r="BD266" s="1936"/>
      <c r="BE266" s="1936"/>
      <c r="BF266" s="1936"/>
      <c r="BG266" s="1936"/>
      <c r="BH266" s="1936"/>
      <c r="BI266" s="1936"/>
      <c r="BJ266" s="1936"/>
      <c r="BK266" s="1936"/>
      <c r="BL266" s="1936"/>
      <c r="BM266" s="1936"/>
      <c r="BN266" s="1936"/>
      <c r="BO266" s="1936"/>
      <c r="BP266" s="1936"/>
      <c r="BQ266" s="1936"/>
      <c r="BR266" s="1936"/>
      <c r="BS266" s="1936"/>
      <c r="BT266" s="1936"/>
      <c r="BU266" s="1936"/>
      <c r="BV266" s="1936"/>
      <c r="BW266" s="1936"/>
      <c r="BX266" s="1936"/>
      <c r="BY266" s="1936"/>
      <c r="BZ266" s="1936"/>
      <c r="CA266" s="1936"/>
      <c r="CB266" s="1936"/>
      <c r="CC266" s="1936"/>
      <c r="CD266" s="1936"/>
    </row>
    <row r="267" spans="1:82" ht="15" hidden="1" customHeight="1" x14ac:dyDescent="0.2">
      <c r="A267" s="843"/>
      <c r="B267" s="1596" t="s">
        <v>4152</v>
      </c>
      <c r="C267" s="2420" t="s">
        <v>5048</v>
      </c>
      <c r="D267" s="2420"/>
      <c r="E267" s="1592">
        <v>1</v>
      </c>
      <c r="F267" s="2433">
        <f t="shared" si="64"/>
        <v>0</v>
      </c>
      <c r="G267" s="2434"/>
      <c r="H267" s="2434"/>
      <c r="I267" s="2435"/>
      <c r="L267" s="1936"/>
      <c r="M267" s="1936"/>
      <c r="N267" s="1936"/>
      <c r="O267" s="1936"/>
      <c r="P267" s="1936"/>
      <c r="Q267" s="1936"/>
      <c r="R267" s="1936"/>
      <c r="S267" s="1936"/>
      <c r="T267" s="1936"/>
      <c r="U267" s="1936"/>
      <c r="V267" s="1936"/>
      <c r="W267" s="1936"/>
      <c r="X267" s="1936"/>
      <c r="Y267" s="1936"/>
      <c r="Z267" s="1936"/>
      <c r="AA267" s="1936"/>
      <c r="AB267" s="1936"/>
      <c r="AC267" s="1936"/>
      <c r="AD267" s="1936"/>
      <c r="AE267" s="1936"/>
      <c r="AF267" s="1936"/>
      <c r="AG267" s="1936"/>
      <c r="AH267" s="1936"/>
      <c r="AI267" s="1936"/>
      <c r="AJ267" s="1936"/>
      <c r="AK267" s="1936"/>
      <c r="AL267" s="1936"/>
      <c r="AM267" s="1936"/>
      <c r="AN267" s="1936"/>
      <c r="AO267" s="1936"/>
      <c r="AP267" s="1936"/>
      <c r="AQ267" s="1936"/>
      <c r="AR267" s="1936"/>
      <c r="AS267" s="1936"/>
      <c r="AT267" s="1936"/>
      <c r="AU267" s="1936"/>
      <c r="AV267" s="1936"/>
      <c r="AW267" s="1936"/>
      <c r="AX267" s="1936"/>
      <c r="AY267" s="1936"/>
      <c r="AZ267" s="1936"/>
      <c r="BA267" s="1936"/>
      <c r="BB267" s="1936"/>
      <c r="BC267" s="1936"/>
      <c r="BD267" s="1936"/>
      <c r="BE267" s="1936"/>
      <c r="BF267" s="1936"/>
      <c r="BG267" s="1936"/>
      <c r="BH267" s="1936"/>
      <c r="BI267" s="1936"/>
      <c r="BJ267" s="1936"/>
      <c r="BK267" s="1936"/>
      <c r="BL267" s="1936"/>
      <c r="BM267" s="1936"/>
      <c r="BN267" s="1936"/>
      <c r="BO267" s="1936"/>
      <c r="BP267" s="1936"/>
      <c r="BQ267" s="1936"/>
      <c r="BR267" s="1936"/>
      <c r="BS267" s="1936"/>
      <c r="BT267" s="1936"/>
      <c r="BU267" s="1936"/>
      <c r="BV267" s="1936"/>
      <c r="BW267" s="1936"/>
      <c r="BX267" s="1936"/>
      <c r="BY267" s="1936"/>
      <c r="BZ267" s="1936"/>
      <c r="CA267" s="1936"/>
      <c r="CB267" s="1936"/>
      <c r="CC267" s="1936"/>
      <c r="CD267" s="1936"/>
    </row>
    <row r="268" spans="1:82" ht="15" hidden="1" customHeight="1" x14ac:dyDescent="0.2">
      <c r="A268" s="843"/>
      <c r="B268" s="1596" t="s">
        <v>4149</v>
      </c>
      <c r="C268" s="2420" t="s">
        <v>5049</v>
      </c>
      <c r="D268" s="2420"/>
      <c r="E268" s="1592">
        <v>1</v>
      </c>
      <c r="F268" s="2433">
        <f t="shared" si="64"/>
        <v>0</v>
      </c>
      <c r="G268" s="2434"/>
      <c r="H268" s="2434"/>
      <c r="I268" s="2435"/>
      <c r="L268" s="1936"/>
      <c r="M268" s="1936"/>
      <c r="N268" s="1936"/>
      <c r="O268" s="1936"/>
      <c r="P268" s="1936"/>
      <c r="Q268" s="1936"/>
      <c r="R268" s="1936"/>
      <c r="S268" s="1936"/>
      <c r="T268" s="1936"/>
      <c r="U268" s="1936"/>
      <c r="V268" s="1936"/>
      <c r="W268" s="1936"/>
      <c r="X268" s="1936"/>
      <c r="Y268" s="1936"/>
      <c r="Z268" s="1936"/>
      <c r="AA268" s="1936"/>
      <c r="AB268" s="1936"/>
      <c r="AC268" s="1936"/>
      <c r="AD268" s="1936"/>
      <c r="AE268" s="1936"/>
      <c r="AF268" s="1936"/>
      <c r="AG268" s="1936"/>
      <c r="AH268" s="1936"/>
      <c r="AI268" s="1936"/>
      <c r="AJ268" s="1936"/>
      <c r="AK268" s="1936"/>
      <c r="AL268" s="1936"/>
      <c r="AM268" s="1936"/>
      <c r="AN268" s="1936"/>
      <c r="AO268" s="1936"/>
      <c r="AP268" s="1936"/>
      <c r="AQ268" s="1936"/>
      <c r="AR268" s="1936"/>
      <c r="AS268" s="1936"/>
      <c r="AT268" s="1936"/>
      <c r="AU268" s="1936"/>
      <c r="AV268" s="1936"/>
      <c r="AW268" s="1936"/>
      <c r="AX268" s="1936"/>
      <c r="AY268" s="1936"/>
      <c r="AZ268" s="1936"/>
      <c r="BA268" s="1936"/>
      <c r="BB268" s="1936"/>
      <c r="BC268" s="1936"/>
      <c r="BD268" s="1936"/>
      <c r="BE268" s="1936"/>
      <c r="BF268" s="1936"/>
      <c r="BG268" s="1936"/>
      <c r="BH268" s="1936"/>
      <c r="BI268" s="1936"/>
      <c r="BJ268" s="1936"/>
      <c r="BK268" s="1936"/>
      <c r="BL268" s="1936"/>
      <c r="BM268" s="1936"/>
      <c r="BN268" s="1936"/>
      <c r="BO268" s="1936"/>
      <c r="BP268" s="1936"/>
      <c r="BQ268" s="1936"/>
      <c r="BR268" s="1936"/>
      <c r="BS268" s="1936"/>
      <c r="BT268" s="1936"/>
      <c r="BU268" s="1936"/>
      <c r="BV268" s="1936"/>
      <c r="BW268" s="1936"/>
      <c r="BX268" s="1936"/>
      <c r="BY268" s="1936"/>
      <c r="BZ268" s="1936"/>
      <c r="CA268" s="1936"/>
      <c r="CB268" s="1936"/>
      <c r="CC268" s="1936"/>
      <c r="CD268" s="1936"/>
    </row>
    <row r="269" spans="1:82" ht="15" hidden="1" customHeight="1" x14ac:dyDescent="0.2">
      <c r="A269" s="843"/>
      <c r="B269" s="1596" t="s">
        <v>4147</v>
      </c>
      <c r="C269" s="2420" t="s">
        <v>5050</v>
      </c>
      <c r="D269" s="2420"/>
      <c r="E269" s="1592">
        <v>1</v>
      </c>
      <c r="F269" s="2433">
        <f t="shared" si="64"/>
        <v>0</v>
      </c>
      <c r="G269" s="2434"/>
      <c r="H269" s="2434"/>
      <c r="I269" s="2435"/>
      <c r="L269" s="1936"/>
      <c r="M269" s="1936"/>
      <c r="N269" s="1936"/>
      <c r="O269" s="1936"/>
      <c r="P269" s="1936"/>
      <c r="Q269" s="1936"/>
      <c r="R269" s="1936"/>
      <c r="S269" s="1936"/>
      <c r="T269" s="1936"/>
      <c r="U269" s="1936"/>
      <c r="V269" s="1936"/>
      <c r="W269" s="1936"/>
      <c r="X269" s="1936"/>
      <c r="Y269" s="1936"/>
      <c r="Z269" s="1936"/>
      <c r="AA269" s="1936"/>
      <c r="AB269" s="1936"/>
      <c r="AC269" s="1936"/>
      <c r="AD269" s="1936"/>
      <c r="AE269" s="1936"/>
      <c r="AF269" s="1936"/>
      <c r="AG269" s="1936"/>
      <c r="AH269" s="1936"/>
      <c r="AI269" s="1936"/>
      <c r="AJ269" s="1936"/>
      <c r="AK269" s="1936"/>
      <c r="AL269" s="1936"/>
      <c r="AM269" s="1936"/>
      <c r="AN269" s="1936"/>
      <c r="AO269" s="1936"/>
      <c r="AP269" s="1936"/>
      <c r="AQ269" s="1936"/>
      <c r="AR269" s="1936"/>
      <c r="AS269" s="1936"/>
      <c r="AT269" s="1936"/>
      <c r="AU269" s="1936"/>
      <c r="AV269" s="1936"/>
      <c r="AW269" s="1936"/>
      <c r="AX269" s="1936"/>
      <c r="AY269" s="1936"/>
      <c r="AZ269" s="1936"/>
      <c r="BA269" s="1936"/>
      <c r="BB269" s="1936"/>
      <c r="BC269" s="1936"/>
      <c r="BD269" s="1936"/>
      <c r="BE269" s="1936"/>
      <c r="BF269" s="1936"/>
      <c r="BG269" s="1936"/>
      <c r="BH269" s="1936"/>
      <c r="BI269" s="1936"/>
      <c r="BJ269" s="1936"/>
      <c r="BK269" s="1936"/>
      <c r="BL269" s="1936"/>
      <c r="BM269" s="1936"/>
      <c r="BN269" s="1936"/>
      <c r="BO269" s="1936"/>
      <c r="BP269" s="1936"/>
      <c r="BQ269" s="1936"/>
      <c r="BR269" s="1936"/>
      <c r="BS269" s="1936"/>
      <c r="BT269" s="1936"/>
      <c r="BU269" s="1936"/>
      <c r="BV269" s="1936"/>
      <c r="BW269" s="1936"/>
      <c r="BX269" s="1936"/>
      <c r="BY269" s="1936"/>
      <c r="BZ269" s="1936"/>
      <c r="CA269" s="1936"/>
      <c r="CB269" s="1936"/>
      <c r="CC269" s="1936"/>
      <c r="CD269" s="1936"/>
    </row>
    <row r="270" spans="1:82" ht="15" hidden="1" customHeight="1" x14ac:dyDescent="0.2">
      <c r="A270" s="843"/>
      <c r="B270" s="1596" t="s">
        <v>4148</v>
      </c>
      <c r="C270" s="2420" t="s">
        <v>5051</v>
      </c>
      <c r="D270" s="2420"/>
      <c r="E270" s="1592">
        <v>1</v>
      </c>
      <c r="F270" s="2433">
        <f t="shared" si="64"/>
        <v>0</v>
      </c>
      <c r="G270" s="2434"/>
      <c r="H270" s="2434"/>
      <c r="I270" s="2435"/>
      <c r="L270" s="1936"/>
      <c r="M270" s="1936"/>
      <c r="N270" s="1936"/>
      <c r="O270" s="1936"/>
      <c r="P270" s="1936"/>
      <c r="Q270" s="1936"/>
      <c r="R270" s="1936"/>
      <c r="S270" s="1936"/>
      <c r="T270" s="1936"/>
      <c r="U270" s="1936"/>
      <c r="V270" s="1936"/>
      <c r="W270" s="1936"/>
      <c r="X270" s="1936"/>
      <c r="Y270" s="1936"/>
      <c r="Z270" s="1936"/>
      <c r="AA270" s="1936"/>
      <c r="AB270" s="1936"/>
      <c r="AC270" s="1936"/>
      <c r="AD270" s="1936"/>
      <c r="AE270" s="1936"/>
      <c r="AF270" s="1936"/>
      <c r="AG270" s="1936"/>
      <c r="AH270" s="1936"/>
      <c r="AI270" s="1936"/>
      <c r="AJ270" s="1936"/>
      <c r="AK270" s="1936"/>
      <c r="AL270" s="1936"/>
      <c r="AM270" s="1936"/>
      <c r="AN270" s="1936"/>
      <c r="AO270" s="1936"/>
      <c r="AP270" s="1936"/>
      <c r="AQ270" s="1936"/>
      <c r="AR270" s="1936"/>
      <c r="AS270" s="1936"/>
      <c r="AT270" s="1936"/>
      <c r="AU270" s="1936"/>
      <c r="AV270" s="1936"/>
      <c r="AW270" s="1936"/>
      <c r="AX270" s="1936"/>
      <c r="AY270" s="1936"/>
      <c r="AZ270" s="1936"/>
      <c r="BA270" s="1936"/>
      <c r="BB270" s="1936"/>
      <c r="BC270" s="1936"/>
      <c r="BD270" s="1936"/>
      <c r="BE270" s="1936"/>
      <c r="BF270" s="1936"/>
      <c r="BG270" s="1936"/>
      <c r="BH270" s="1936"/>
      <c r="BI270" s="1936"/>
      <c r="BJ270" s="1936"/>
      <c r="BK270" s="1936"/>
      <c r="BL270" s="1936"/>
      <c r="BM270" s="1936"/>
      <c r="BN270" s="1936"/>
      <c r="BO270" s="1936"/>
      <c r="BP270" s="1936"/>
      <c r="BQ270" s="1936"/>
      <c r="BR270" s="1936"/>
      <c r="BS270" s="1936"/>
      <c r="BT270" s="1936"/>
      <c r="BU270" s="1936"/>
      <c r="BV270" s="1936"/>
      <c r="BW270" s="1936"/>
      <c r="BX270" s="1936"/>
      <c r="BY270" s="1936"/>
      <c r="BZ270" s="1936"/>
      <c r="CA270" s="1936"/>
      <c r="CB270" s="1936"/>
      <c r="CC270" s="1936"/>
      <c r="CD270" s="1936"/>
    </row>
    <row r="271" spans="1:82" ht="15" hidden="1" customHeight="1" x14ac:dyDescent="0.2">
      <c r="A271" s="843"/>
      <c r="B271" s="1596" t="s">
        <v>4154</v>
      </c>
      <c r="C271" s="2420" t="s">
        <v>5052</v>
      </c>
      <c r="D271" s="2420"/>
      <c r="E271" s="1592">
        <v>1</v>
      </c>
      <c r="F271" s="2433">
        <f t="shared" si="64"/>
        <v>0</v>
      </c>
      <c r="G271" s="2434"/>
      <c r="H271" s="2434"/>
      <c r="I271" s="2435"/>
      <c r="L271" s="1936"/>
      <c r="M271" s="1936"/>
      <c r="N271" s="1936"/>
      <c r="O271" s="1936"/>
      <c r="P271" s="1936"/>
      <c r="Q271" s="1936"/>
      <c r="R271" s="1936"/>
      <c r="S271" s="1936"/>
      <c r="T271" s="1936"/>
      <c r="U271" s="1936"/>
      <c r="V271" s="1936"/>
      <c r="W271" s="1936"/>
      <c r="X271" s="1936"/>
      <c r="Y271" s="1936"/>
      <c r="Z271" s="1936"/>
      <c r="AA271" s="1936"/>
      <c r="AB271" s="1936"/>
      <c r="AC271" s="1936"/>
      <c r="AD271" s="1936"/>
      <c r="AE271" s="1936"/>
      <c r="AF271" s="1936"/>
      <c r="AG271" s="1936"/>
      <c r="AH271" s="1936"/>
      <c r="AI271" s="1936"/>
      <c r="AJ271" s="1936"/>
      <c r="AK271" s="1936"/>
      <c r="AL271" s="1936"/>
      <c r="AM271" s="1936"/>
      <c r="AN271" s="1936"/>
      <c r="AO271" s="1936"/>
      <c r="AP271" s="1936"/>
      <c r="AQ271" s="1936"/>
      <c r="AR271" s="1936"/>
      <c r="AS271" s="1936"/>
      <c r="AT271" s="1936"/>
      <c r="AU271" s="1936"/>
      <c r="AV271" s="1936"/>
      <c r="AW271" s="1936"/>
      <c r="AX271" s="1936"/>
      <c r="AY271" s="1936"/>
      <c r="AZ271" s="1936"/>
      <c r="BA271" s="1936"/>
      <c r="BB271" s="1936"/>
      <c r="BC271" s="1936"/>
      <c r="BD271" s="1936"/>
      <c r="BE271" s="1936"/>
      <c r="BF271" s="1936"/>
      <c r="BG271" s="1936"/>
      <c r="BH271" s="1936"/>
      <c r="BI271" s="1936"/>
      <c r="BJ271" s="1936"/>
      <c r="BK271" s="1936"/>
      <c r="BL271" s="1936"/>
      <c r="BM271" s="1936"/>
      <c r="BN271" s="1936"/>
      <c r="BO271" s="1936"/>
      <c r="BP271" s="1936"/>
      <c r="BQ271" s="1936"/>
      <c r="BR271" s="1936"/>
      <c r="BS271" s="1936"/>
      <c r="BT271" s="1936"/>
      <c r="BU271" s="1936"/>
      <c r="BV271" s="1936"/>
      <c r="BW271" s="1936"/>
      <c r="BX271" s="1936"/>
      <c r="BY271" s="1936"/>
      <c r="BZ271" s="1936"/>
      <c r="CA271" s="1936"/>
      <c r="CB271" s="1936"/>
      <c r="CC271" s="1936"/>
      <c r="CD271" s="1936"/>
    </row>
    <row r="272" spans="1:82" ht="15" hidden="1" customHeight="1" x14ac:dyDescent="0.2">
      <c r="A272" s="843"/>
      <c r="B272" s="1596" t="s">
        <v>4157</v>
      </c>
      <c r="C272" s="2420" t="s">
        <v>5053</v>
      </c>
      <c r="D272" s="2420"/>
      <c r="E272" s="1592">
        <v>1</v>
      </c>
      <c r="F272" s="2433">
        <f t="shared" si="64"/>
        <v>0</v>
      </c>
      <c r="G272" s="2434"/>
      <c r="H272" s="2434"/>
      <c r="I272" s="2435"/>
      <c r="L272" s="1936"/>
      <c r="M272" s="1936"/>
      <c r="N272" s="1936"/>
      <c r="O272" s="1936"/>
      <c r="P272" s="1936"/>
      <c r="Q272" s="1936"/>
      <c r="R272" s="1936"/>
      <c r="S272" s="1936"/>
      <c r="T272" s="1936"/>
      <c r="U272" s="1936"/>
      <c r="V272" s="1936"/>
      <c r="W272" s="1936"/>
      <c r="X272" s="1936"/>
      <c r="Y272" s="1936"/>
      <c r="Z272" s="1936"/>
      <c r="AA272" s="1936"/>
      <c r="AB272" s="1936"/>
      <c r="AC272" s="1936"/>
      <c r="AD272" s="1936"/>
      <c r="AE272" s="1936"/>
      <c r="AF272" s="1936"/>
      <c r="AG272" s="1936"/>
      <c r="AH272" s="1936"/>
      <c r="AI272" s="1936"/>
      <c r="AJ272" s="1936"/>
      <c r="AK272" s="1936"/>
      <c r="AL272" s="1936"/>
      <c r="AM272" s="1936"/>
      <c r="AN272" s="1936"/>
      <c r="AO272" s="1936"/>
      <c r="AP272" s="1936"/>
      <c r="AQ272" s="1936"/>
      <c r="AR272" s="1936"/>
      <c r="AS272" s="1936"/>
      <c r="AT272" s="1936"/>
      <c r="AU272" s="1936"/>
      <c r="AV272" s="1936"/>
      <c r="AW272" s="1936"/>
      <c r="AX272" s="1936"/>
      <c r="AY272" s="1936"/>
      <c r="AZ272" s="1936"/>
      <c r="BA272" s="1936"/>
      <c r="BB272" s="1936"/>
      <c r="BC272" s="1936"/>
      <c r="BD272" s="1936"/>
      <c r="BE272" s="1936"/>
      <c r="BF272" s="1936"/>
      <c r="BG272" s="1936"/>
      <c r="BH272" s="1936"/>
      <c r="BI272" s="1936"/>
      <c r="BJ272" s="1936"/>
      <c r="BK272" s="1936"/>
      <c r="BL272" s="1936"/>
      <c r="BM272" s="1936"/>
      <c r="BN272" s="1936"/>
      <c r="BO272" s="1936"/>
      <c r="BP272" s="1936"/>
      <c r="BQ272" s="1936"/>
      <c r="BR272" s="1936"/>
      <c r="BS272" s="1936"/>
      <c r="BT272" s="1936"/>
      <c r="BU272" s="1936"/>
      <c r="BV272" s="1936"/>
      <c r="BW272" s="1936"/>
      <c r="BX272" s="1936"/>
      <c r="BY272" s="1936"/>
      <c r="BZ272" s="1936"/>
      <c r="CA272" s="1936"/>
      <c r="CB272" s="1936"/>
      <c r="CC272" s="1936"/>
      <c r="CD272" s="1936"/>
    </row>
    <row r="273" spans="1:82" ht="15" hidden="1" customHeight="1" x14ac:dyDescent="0.2">
      <c r="A273" s="843"/>
      <c r="B273" s="1596" t="s">
        <v>4155</v>
      </c>
      <c r="C273" s="2420" t="s">
        <v>5054</v>
      </c>
      <c r="D273" s="2420"/>
      <c r="E273" s="1592">
        <v>1</v>
      </c>
      <c r="F273" s="2433">
        <f t="shared" si="64"/>
        <v>0</v>
      </c>
      <c r="G273" s="2434"/>
      <c r="H273" s="2434"/>
      <c r="I273" s="2435"/>
      <c r="L273" s="1936"/>
      <c r="M273" s="1936"/>
      <c r="N273" s="1936"/>
      <c r="O273" s="1936"/>
      <c r="P273" s="1936"/>
      <c r="Q273" s="1936"/>
      <c r="R273" s="1936"/>
      <c r="S273" s="1936"/>
      <c r="T273" s="1936"/>
      <c r="U273" s="1936"/>
      <c r="V273" s="1936"/>
      <c r="W273" s="1936"/>
      <c r="X273" s="1936"/>
      <c r="Y273" s="1936"/>
      <c r="Z273" s="1936"/>
      <c r="AA273" s="1936"/>
      <c r="AB273" s="1936"/>
      <c r="AC273" s="1936"/>
      <c r="AD273" s="1936"/>
      <c r="AE273" s="1936"/>
      <c r="AF273" s="1936"/>
      <c r="AG273" s="1936"/>
      <c r="AH273" s="1936"/>
      <c r="AI273" s="1936"/>
      <c r="AJ273" s="1936"/>
      <c r="AK273" s="1936"/>
      <c r="AL273" s="1936"/>
      <c r="AM273" s="1936"/>
      <c r="AN273" s="1936"/>
      <c r="AO273" s="1936"/>
      <c r="AP273" s="1936"/>
      <c r="AQ273" s="1936"/>
      <c r="AR273" s="1936"/>
      <c r="AS273" s="1936"/>
      <c r="AT273" s="1936"/>
      <c r="AU273" s="1936"/>
      <c r="AV273" s="1936"/>
      <c r="AW273" s="1936"/>
      <c r="AX273" s="1936"/>
      <c r="AY273" s="1936"/>
      <c r="AZ273" s="1936"/>
      <c r="BA273" s="1936"/>
      <c r="BB273" s="1936"/>
      <c r="BC273" s="1936"/>
      <c r="BD273" s="1936"/>
      <c r="BE273" s="1936"/>
      <c r="BF273" s="1936"/>
      <c r="BG273" s="1936"/>
      <c r="BH273" s="1936"/>
      <c r="BI273" s="1936"/>
      <c r="BJ273" s="1936"/>
      <c r="BK273" s="1936"/>
      <c r="BL273" s="1936"/>
      <c r="BM273" s="1936"/>
      <c r="BN273" s="1936"/>
      <c r="BO273" s="1936"/>
      <c r="BP273" s="1936"/>
      <c r="BQ273" s="1936"/>
      <c r="BR273" s="1936"/>
      <c r="BS273" s="1936"/>
      <c r="BT273" s="1936"/>
      <c r="BU273" s="1936"/>
      <c r="BV273" s="1936"/>
      <c r="BW273" s="1936"/>
      <c r="BX273" s="1936"/>
      <c r="BY273" s="1936"/>
      <c r="BZ273" s="1936"/>
      <c r="CA273" s="1936"/>
      <c r="CB273" s="1936"/>
      <c r="CC273" s="1936"/>
      <c r="CD273" s="1936"/>
    </row>
    <row r="274" spans="1:82" ht="15" hidden="1" customHeight="1" x14ac:dyDescent="0.2">
      <c r="A274" s="843"/>
      <c r="B274" s="1596" t="s">
        <v>4156</v>
      </c>
      <c r="C274" s="2420" t="s">
        <v>5055</v>
      </c>
      <c r="D274" s="2420"/>
      <c r="E274" s="1592">
        <v>1</v>
      </c>
      <c r="F274" s="2433">
        <f t="shared" si="64"/>
        <v>0</v>
      </c>
      <c r="G274" s="2434"/>
      <c r="H274" s="2434"/>
      <c r="I274" s="2435"/>
      <c r="L274" s="1936"/>
      <c r="M274" s="1936"/>
      <c r="N274" s="1936"/>
      <c r="O274" s="1936"/>
      <c r="P274" s="1936"/>
      <c r="Q274" s="1936"/>
      <c r="R274" s="1936"/>
      <c r="S274" s="1936"/>
      <c r="T274" s="1936"/>
      <c r="U274" s="1936"/>
      <c r="V274" s="1936"/>
      <c r="W274" s="1936"/>
      <c r="X274" s="1936"/>
      <c r="Y274" s="1936"/>
      <c r="Z274" s="1936"/>
      <c r="AA274" s="1936"/>
      <c r="AB274" s="1936"/>
      <c r="AC274" s="1936"/>
      <c r="AD274" s="1936"/>
      <c r="AE274" s="1936"/>
      <c r="AF274" s="1936"/>
      <c r="AG274" s="1936"/>
      <c r="AH274" s="1936"/>
      <c r="AI274" s="1936"/>
      <c r="AJ274" s="1936"/>
      <c r="AK274" s="1936"/>
      <c r="AL274" s="1936"/>
      <c r="AM274" s="1936"/>
      <c r="AN274" s="1936"/>
      <c r="AO274" s="1936"/>
      <c r="AP274" s="1936"/>
      <c r="AQ274" s="1936"/>
      <c r="AR274" s="1936"/>
      <c r="AS274" s="1936"/>
      <c r="AT274" s="1936"/>
      <c r="AU274" s="1936"/>
      <c r="AV274" s="1936"/>
      <c r="AW274" s="1936"/>
      <c r="AX274" s="1936"/>
      <c r="AY274" s="1936"/>
      <c r="AZ274" s="1936"/>
      <c r="BA274" s="1936"/>
      <c r="BB274" s="1936"/>
      <c r="BC274" s="1936"/>
      <c r="BD274" s="1936"/>
      <c r="BE274" s="1936"/>
      <c r="BF274" s="1936"/>
      <c r="BG274" s="1936"/>
      <c r="BH274" s="1936"/>
      <c r="BI274" s="1936"/>
      <c r="BJ274" s="1936"/>
      <c r="BK274" s="1936"/>
      <c r="BL274" s="1936"/>
      <c r="BM274" s="1936"/>
      <c r="BN274" s="1936"/>
      <c r="BO274" s="1936"/>
      <c r="BP274" s="1936"/>
      <c r="BQ274" s="1936"/>
      <c r="BR274" s="1936"/>
      <c r="BS274" s="1936"/>
      <c r="BT274" s="1936"/>
      <c r="BU274" s="1936"/>
      <c r="BV274" s="1936"/>
      <c r="BW274" s="1936"/>
      <c r="BX274" s="1936"/>
      <c r="BY274" s="1936"/>
      <c r="BZ274" s="1936"/>
      <c r="CA274" s="1936"/>
      <c r="CB274" s="1936"/>
      <c r="CC274" s="1936"/>
      <c r="CD274" s="1936"/>
    </row>
    <row r="275" spans="1:82" ht="15" hidden="1" customHeight="1" x14ac:dyDescent="0.2">
      <c r="A275" s="843"/>
      <c r="B275" s="1596" t="s">
        <v>4138</v>
      </c>
      <c r="C275" s="2420" t="s">
        <v>5056</v>
      </c>
      <c r="D275" s="2420"/>
      <c r="E275" s="1592">
        <v>1</v>
      </c>
      <c r="F275" s="2433">
        <f t="shared" si="64"/>
        <v>0</v>
      </c>
      <c r="G275" s="2434"/>
      <c r="H275" s="2434"/>
      <c r="I275" s="2435"/>
      <c r="L275" s="1936"/>
      <c r="M275" s="1936"/>
      <c r="N275" s="1936"/>
      <c r="O275" s="1936"/>
      <c r="P275" s="1936"/>
      <c r="Q275" s="1936"/>
      <c r="R275" s="1936"/>
      <c r="S275" s="1936"/>
      <c r="T275" s="1936"/>
      <c r="U275" s="1936"/>
      <c r="V275" s="1936"/>
      <c r="W275" s="1936"/>
      <c r="X275" s="1936"/>
      <c r="Y275" s="1936"/>
      <c r="Z275" s="1936"/>
      <c r="AA275" s="1936"/>
      <c r="AB275" s="1936"/>
      <c r="AC275" s="1936"/>
      <c r="AD275" s="1936"/>
      <c r="AE275" s="1936"/>
      <c r="AF275" s="1936"/>
      <c r="AG275" s="1936"/>
      <c r="AH275" s="1936"/>
      <c r="AI275" s="1936"/>
      <c r="AJ275" s="1936"/>
      <c r="AK275" s="1936"/>
      <c r="AL275" s="1936"/>
      <c r="AM275" s="1936"/>
      <c r="AN275" s="1936"/>
      <c r="AO275" s="1936"/>
      <c r="AP275" s="1936"/>
      <c r="AQ275" s="1936"/>
      <c r="AR275" s="1936"/>
      <c r="AS275" s="1936"/>
      <c r="AT275" s="1936"/>
      <c r="AU275" s="1936"/>
      <c r="AV275" s="1936"/>
      <c r="AW275" s="1936"/>
      <c r="AX275" s="1936"/>
      <c r="AY275" s="1936"/>
      <c r="AZ275" s="1936"/>
      <c r="BA275" s="1936"/>
      <c r="BB275" s="1936"/>
      <c r="BC275" s="1936"/>
      <c r="BD275" s="1936"/>
      <c r="BE275" s="1936"/>
      <c r="BF275" s="1936"/>
      <c r="BG275" s="1936"/>
      <c r="BH275" s="1936"/>
      <c r="BI275" s="1936"/>
      <c r="BJ275" s="1936"/>
      <c r="BK275" s="1936"/>
      <c r="BL275" s="1936"/>
      <c r="BM275" s="1936"/>
      <c r="BN275" s="1936"/>
      <c r="BO275" s="1936"/>
      <c r="BP275" s="1936"/>
      <c r="BQ275" s="1936"/>
      <c r="BR275" s="1936"/>
      <c r="BS275" s="1936"/>
      <c r="BT275" s="1936"/>
      <c r="BU275" s="1936"/>
      <c r="BV275" s="1936"/>
      <c r="BW275" s="1936"/>
      <c r="BX275" s="1936"/>
      <c r="BY275" s="1936"/>
      <c r="BZ275" s="1936"/>
      <c r="CA275" s="1936"/>
      <c r="CB275" s="1936"/>
      <c r="CC275" s="1936"/>
      <c r="CD275" s="1936"/>
    </row>
    <row r="276" spans="1:82" ht="15" hidden="1" customHeight="1" x14ac:dyDescent="0.2">
      <c r="A276" s="843"/>
      <c r="B276" s="1596" t="s">
        <v>4141</v>
      </c>
      <c r="C276" s="2420" t="s">
        <v>5057</v>
      </c>
      <c r="D276" s="2420"/>
      <c r="E276" s="1592">
        <v>1</v>
      </c>
      <c r="F276" s="2433">
        <f t="shared" si="64"/>
        <v>0</v>
      </c>
      <c r="G276" s="2434"/>
      <c r="H276" s="2434"/>
      <c r="I276" s="2435"/>
      <c r="L276" s="1936"/>
      <c r="M276" s="1936"/>
      <c r="N276" s="1936"/>
      <c r="O276" s="1936"/>
      <c r="P276" s="1936"/>
      <c r="Q276" s="1936"/>
      <c r="R276" s="1936"/>
      <c r="S276" s="1936"/>
      <c r="T276" s="1936"/>
      <c r="U276" s="1936"/>
      <c r="V276" s="1936"/>
      <c r="W276" s="1936"/>
      <c r="X276" s="1936"/>
      <c r="Y276" s="1936"/>
      <c r="Z276" s="1936"/>
      <c r="AA276" s="1936"/>
      <c r="AB276" s="1936"/>
      <c r="AC276" s="1936"/>
      <c r="AD276" s="1936"/>
      <c r="AE276" s="1936"/>
      <c r="AF276" s="1936"/>
      <c r="AG276" s="1936"/>
      <c r="AH276" s="1936"/>
      <c r="AI276" s="1936"/>
      <c r="AJ276" s="1936"/>
      <c r="AK276" s="1936"/>
      <c r="AL276" s="1936"/>
      <c r="AM276" s="1936"/>
      <c r="AN276" s="1936"/>
      <c r="AO276" s="1936"/>
      <c r="AP276" s="1936"/>
      <c r="AQ276" s="1936"/>
      <c r="AR276" s="1936"/>
      <c r="AS276" s="1936"/>
      <c r="AT276" s="1936"/>
      <c r="AU276" s="1936"/>
      <c r="AV276" s="1936"/>
      <c r="AW276" s="1936"/>
      <c r="AX276" s="1936"/>
      <c r="AY276" s="1936"/>
      <c r="AZ276" s="1936"/>
      <c r="BA276" s="1936"/>
      <c r="BB276" s="1936"/>
      <c r="BC276" s="1936"/>
      <c r="BD276" s="1936"/>
      <c r="BE276" s="1936"/>
      <c r="BF276" s="1936"/>
      <c r="BG276" s="1936"/>
      <c r="BH276" s="1936"/>
      <c r="BI276" s="1936"/>
      <c r="BJ276" s="1936"/>
      <c r="BK276" s="1936"/>
      <c r="BL276" s="1936"/>
      <c r="BM276" s="1936"/>
      <c r="BN276" s="1936"/>
      <c r="BO276" s="1936"/>
      <c r="BP276" s="1936"/>
      <c r="BQ276" s="1936"/>
      <c r="BR276" s="1936"/>
      <c r="BS276" s="1936"/>
      <c r="BT276" s="1936"/>
      <c r="BU276" s="1936"/>
      <c r="BV276" s="1936"/>
      <c r="BW276" s="1936"/>
      <c r="BX276" s="1936"/>
      <c r="BY276" s="1936"/>
      <c r="BZ276" s="1936"/>
      <c r="CA276" s="1936"/>
      <c r="CB276" s="1936"/>
      <c r="CC276" s="1936"/>
      <c r="CD276" s="1936"/>
    </row>
    <row r="277" spans="1:82" ht="15" hidden="1" customHeight="1" x14ac:dyDescent="0.2">
      <c r="A277" s="843"/>
      <c r="B277" s="1596" t="s">
        <v>4139</v>
      </c>
      <c r="C277" s="2420" t="s">
        <v>5058</v>
      </c>
      <c r="D277" s="2420"/>
      <c r="E277" s="1592">
        <v>1</v>
      </c>
      <c r="F277" s="2433">
        <f t="shared" si="64"/>
        <v>0</v>
      </c>
      <c r="G277" s="2434"/>
      <c r="H277" s="2434"/>
      <c r="I277" s="2435"/>
      <c r="L277" s="1936"/>
      <c r="M277" s="1936"/>
      <c r="N277" s="1936"/>
      <c r="O277" s="1936"/>
      <c r="P277" s="1936"/>
      <c r="Q277" s="1936"/>
      <c r="R277" s="1936"/>
      <c r="S277" s="1936"/>
      <c r="T277" s="1936"/>
      <c r="U277" s="1936"/>
      <c r="V277" s="1936"/>
      <c r="W277" s="1936"/>
      <c r="X277" s="1936"/>
      <c r="Y277" s="1936"/>
      <c r="Z277" s="1936"/>
      <c r="AA277" s="1936"/>
      <c r="AB277" s="1936"/>
      <c r="AC277" s="1936"/>
      <c r="AD277" s="1936"/>
      <c r="AE277" s="1936"/>
      <c r="AF277" s="1936"/>
      <c r="AG277" s="1936"/>
      <c r="AH277" s="1936"/>
      <c r="AI277" s="1936"/>
      <c r="AJ277" s="1936"/>
      <c r="AK277" s="1936"/>
      <c r="AL277" s="1936"/>
      <c r="AM277" s="1936"/>
      <c r="AN277" s="1936"/>
      <c r="AO277" s="1936"/>
      <c r="AP277" s="1936"/>
      <c r="AQ277" s="1936"/>
      <c r="AR277" s="1936"/>
      <c r="AS277" s="1936"/>
      <c r="AT277" s="1936"/>
      <c r="AU277" s="1936"/>
      <c r="AV277" s="1936"/>
      <c r="AW277" s="1936"/>
      <c r="AX277" s="1936"/>
      <c r="AY277" s="1936"/>
      <c r="AZ277" s="1936"/>
      <c r="BA277" s="1936"/>
      <c r="BB277" s="1936"/>
      <c r="BC277" s="1936"/>
      <c r="BD277" s="1936"/>
      <c r="BE277" s="1936"/>
      <c r="BF277" s="1936"/>
      <c r="BG277" s="1936"/>
      <c r="BH277" s="1936"/>
      <c r="BI277" s="1936"/>
      <c r="BJ277" s="1936"/>
      <c r="BK277" s="1936"/>
      <c r="BL277" s="1936"/>
      <c r="BM277" s="1936"/>
      <c r="BN277" s="1936"/>
      <c r="BO277" s="1936"/>
      <c r="BP277" s="1936"/>
      <c r="BQ277" s="1936"/>
      <c r="BR277" s="1936"/>
      <c r="BS277" s="1936"/>
      <c r="BT277" s="1936"/>
      <c r="BU277" s="1936"/>
      <c r="BV277" s="1936"/>
      <c r="BW277" s="1936"/>
      <c r="BX277" s="1936"/>
      <c r="BY277" s="1936"/>
      <c r="BZ277" s="1936"/>
      <c r="CA277" s="1936"/>
      <c r="CB277" s="1936"/>
      <c r="CC277" s="1936"/>
      <c r="CD277" s="1936"/>
    </row>
    <row r="278" spans="1:82" ht="15.75" hidden="1" customHeight="1" x14ac:dyDescent="0.2">
      <c r="A278" s="889"/>
      <c r="B278" s="1597" t="s">
        <v>4140</v>
      </c>
      <c r="C278" s="2432" t="s">
        <v>5059</v>
      </c>
      <c r="D278" s="2432"/>
      <c r="E278" s="1468">
        <v>1</v>
      </c>
      <c r="F278" s="2433">
        <f t="shared" si="64"/>
        <v>0</v>
      </c>
      <c r="G278" s="2434"/>
      <c r="H278" s="2434"/>
      <c r="I278" s="2435"/>
      <c r="L278" s="1936"/>
      <c r="M278" s="1936"/>
      <c r="N278" s="1936"/>
      <c r="O278" s="1936"/>
      <c r="P278" s="1936"/>
      <c r="Q278" s="1936"/>
      <c r="R278" s="1936"/>
      <c r="S278" s="1936"/>
      <c r="T278" s="1936"/>
      <c r="U278" s="1936"/>
      <c r="V278" s="1936"/>
      <c r="W278" s="1936"/>
      <c r="X278" s="1936"/>
      <c r="Y278" s="1936"/>
      <c r="Z278" s="1936"/>
      <c r="AA278" s="1936"/>
      <c r="AB278" s="1936"/>
      <c r="AC278" s="1936"/>
      <c r="AD278" s="1936"/>
      <c r="AE278" s="1936"/>
      <c r="AF278" s="1936"/>
      <c r="AG278" s="1936"/>
      <c r="AH278" s="1936"/>
      <c r="AI278" s="1936"/>
      <c r="AJ278" s="1936"/>
      <c r="AK278" s="1936"/>
      <c r="AL278" s="1936"/>
      <c r="AM278" s="1936"/>
      <c r="AN278" s="1936"/>
      <c r="AO278" s="1936"/>
      <c r="AP278" s="1936"/>
      <c r="AQ278" s="1936"/>
      <c r="AR278" s="1936"/>
      <c r="AS278" s="1936"/>
      <c r="AT278" s="1936"/>
      <c r="AU278" s="1936"/>
      <c r="AV278" s="1936"/>
      <c r="AW278" s="1936"/>
      <c r="AX278" s="1936"/>
      <c r="AY278" s="1936"/>
      <c r="AZ278" s="1936"/>
      <c r="BA278" s="1936"/>
      <c r="BB278" s="1936"/>
      <c r="BC278" s="1936"/>
      <c r="BD278" s="1936"/>
      <c r="BE278" s="1936"/>
      <c r="BF278" s="1936"/>
      <c r="BG278" s="1936"/>
      <c r="BH278" s="1936"/>
      <c r="BI278" s="1936"/>
      <c r="BJ278" s="1936"/>
      <c r="BK278" s="1936"/>
      <c r="BL278" s="1936"/>
      <c r="BM278" s="1936"/>
      <c r="BN278" s="1936"/>
      <c r="BO278" s="1936"/>
      <c r="BP278" s="1936"/>
      <c r="BQ278" s="1936"/>
      <c r="BR278" s="1936"/>
      <c r="BS278" s="1936"/>
      <c r="BT278" s="1936"/>
      <c r="BU278" s="1936"/>
      <c r="BV278" s="1936"/>
      <c r="BW278" s="1936"/>
      <c r="BX278" s="1936"/>
      <c r="BY278" s="1936"/>
      <c r="BZ278" s="1936"/>
      <c r="CA278" s="1936"/>
      <c r="CB278" s="1936"/>
      <c r="CC278" s="1936"/>
      <c r="CD278" s="1936"/>
    </row>
    <row r="279" spans="1:82" ht="15" hidden="1" customHeight="1" x14ac:dyDescent="0.2">
      <c r="B279" s="771"/>
      <c r="C279" s="771"/>
      <c r="D279" s="771"/>
      <c r="E279" s="774"/>
      <c r="F279" s="1438"/>
      <c r="G279" s="1438"/>
      <c r="H279" s="801"/>
      <c r="I279" s="887"/>
      <c r="L279" s="1936"/>
      <c r="M279" s="1936"/>
      <c r="N279" s="1936"/>
      <c r="O279" s="1936"/>
      <c r="P279" s="1936"/>
      <c r="Q279" s="1936"/>
      <c r="R279" s="1936"/>
      <c r="S279" s="1936"/>
      <c r="T279" s="1936"/>
      <c r="U279" s="1936"/>
      <c r="V279" s="1936"/>
      <c r="W279" s="1936"/>
      <c r="X279" s="1936"/>
      <c r="Y279" s="1936"/>
      <c r="Z279" s="1936"/>
      <c r="AA279" s="1936"/>
      <c r="AB279" s="1936"/>
      <c r="AC279" s="1936"/>
      <c r="AD279" s="1936"/>
      <c r="AE279" s="1936"/>
      <c r="AF279" s="1936"/>
      <c r="AG279" s="1936"/>
      <c r="AH279" s="1936"/>
      <c r="AI279" s="1936"/>
      <c r="AJ279" s="1936"/>
      <c r="AK279" s="1936"/>
      <c r="AL279" s="1936"/>
      <c r="AM279" s="1936"/>
      <c r="AN279" s="1936"/>
      <c r="AO279" s="1936"/>
      <c r="AP279" s="1936"/>
      <c r="AQ279" s="1936"/>
      <c r="AR279" s="1936"/>
      <c r="AS279" s="1936"/>
      <c r="AT279" s="1936"/>
      <c r="AU279" s="1936"/>
      <c r="AV279" s="1936"/>
      <c r="AW279" s="1936"/>
      <c r="AX279" s="1936"/>
      <c r="AY279" s="1936"/>
      <c r="AZ279" s="1936"/>
      <c r="BA279" s="1936"/>
      <c r="BB279" s="1936"/>
      <c r="BC279" s="1936"/>
      <c r="BD279" s="1936"/>
      <c r="BE279" s="1936"/>
      <c r="BF279" s="1936"/>
      <c r="BG279" s="1936"/>
      <c r="BH279" s="1936"/>
      <c r="BI279" s="1936"/>
      <c r="BJ279" s="1936"/>
      <c r="BK279" s="1936"/>
      <c r="BL279" s="1936"/>
      <c r="BM279" s="1936"/>
      <c r="BN279" s="1936"/>
      <c r="BO279" s="1936"/>
      <c r="BP279" s="1936"/>
      <c r="BQ279" s="1936"/>
      <c r="BR279" s="1936"/>
      <c r="BS279" s="1936"/>
      <c r="BT279" s="1936"/>
      <c r="BU279" s="1936"/>
      <c r="BV279" s="1936"/>
      <c r="BW279" s="1936"/>
      <c r="BX279" s="1936"/>
      <c r="BY279" s="1936"/>
      <c r="BZ279" s="1936"/>
      <c r="CA279" s="1936"/>
      <c r="CB279" s="1936"/>
      <c r="CC279" s="1936"/>
      <c r="CD279" s="1936"/>
    </row>
    <row r="280" spans="1:82" ht="15" customHeight="1" x14ac:dyDescent="0.2">
      <c r="B280" s="771"/>
      <c r="C280" s="771"/>
      <c r="D280" s="771"/>
      <c r="E280" s="774"/>
      <c r="F280" s="1438"/>
      <c r="G280" s="1438"/>
      <c r="H280" s="801"/>
      <c r="I280" s="887"/>
      <c r="L280" s="1936"/>
      <c r="M280" s="1936"/>
      <c r="N280" s="1936"/>
      <c r="O280" s="1936"/>
      <c r="P280" s="1936"/>
      <c r="Q280" s="1936"/>
      <c r="R280" s="1936"/>
      <c r="S280" s="1936"/>
      <c r="T280" s="1936"/>
      <c r="U280" s="1936"/>
      <c r="V280" s="1936"/>
      <c r="W280" s="1936"/>
      <c r="X280" s="1936"/>
      <c r="Y280" s="1936"/>
      <c r="Z280" s="1936"/>
      <c r="AA280" s="1936"/>
      <c r="AB280" s="1936"/>
      <c r="AC280" s="1936"/>
      <c r="AD280" s="1936"/>
      <c r="AE280" s="1936"/>
      <c r="AF280" s="1936"/>
      <c r="AG280" s="1936"/>
      <c r="AH280" s="1936"/>
      <c r="AI280" s="1936"/>
      <c r="AJ280" s="1936"/>
      <c r="AK280" s="1936"/>
      <c r="AL280" s="1936"/>
      <c r="AM280" s="1936"/>
      <c r="AN280" s="1936"/>
      <c r="AO280" s="1936"/>
      <c r="AP280" s="1936"/>
      <c r="AQ280" s="1936"/>
      <c r="AR280" s="1936"/>
      <c r="AS280" s="1936"/>
      <c r="AT280" s="1936"/>
      <c r="AU280" s="1936"/>
      <c r="AV280" s="1936"/>
      <c r="AW280" s="1936"/>
      <c r="AX280" s="1936"/>
      <c r="AY280" s="1936"/>
      <c r="AZ280" s="1936"/>
      <c r="BA280" s="1936"/>
      <c r="BB280" s="1936"/>
      <c r="BC280" s="1936"/>
      <c r="BD280" s="1936"/>
      <c r="BE280" s="1936"/>
      <c r="BF280" s="1936"/>
      <c r="BG280" s="1936"/>
      <c r="BH280" s="1936"/>
      <c r="BI280" s="1936"/>
      <c r="BJ280" s="1936"/>
      <c r="BK280" s="1936"/>
      <c r="BL280" s="1936"/>
      <c r="BM280" s="1936"/>
      <c r="BN280" s="1936"/>
      <c r="BO280" s="1936"/>
      <c r="BP280" s="1936"/>
      <c r="BQ280" s="1936"/>
      <c r="BR280" s="1936"/>
      <c r="BS280" s="1936"/>
      <c r="BT280" s="1936"/>
      <c r="BU280" s="1936"/>
      <c r="BV280" s="1936"/>
      <c r="BW280" s="1936"/>
      <c r="BX280" s="1936"/>
      <c r="BY280" s="1936"/>
      <c r="BZ280" s="1936"/>
      <c r="CA280" s="1936"/>
      <c r="CB280" s="1936"/>
      <c r="CC280" s="1936"/>
      <c r="CD280" s="1936"/>
    </row>
    <row r="281" spans="1:82" ht="15" customHeight="1" x14ac:dyDescent="0.2">
      <c r="B281" s="771"/>
      <c r="C281" s="771"/>
      <c r="D281" s="771"/>
      <c r="E281" s="774"/>
      <c r="F281" s="1438"/>
      <c r="G281" s="1438"/>
      <c r="H281" s="801"/>
      <c r="I281" s="887"/>
      <c r="L281" s="1936"/>
      <c r="M281" s="1936"/>
      <c r="N281" s="1936"/>
      <c r="O281" s="1936"/>
      <c r="P281" s="1936"/>
      <c r="Q281" s="1936"/>
      <c r="R281" s="1936"/>
      <c r="S281" s="1936"/>
      <c r="T281" s="1936"/>
      <c r="U281" s="1936"/>
      <c r="V281" s="1936"/>
      <c r="W281" s="1936"/>
      <c r="X281" s="1936"/>
      <c r="Y281" s="1936"/>
      <c r="Z281" s="1936"/>
      <c r="AA281" s="1936"/>
      <c r="AB281" s="1936"/>
      <c r="AC281" s="1936"/>
      <c r="AD281" s="1936"/>
      <c r="AE281" s="1936"/>
      <c r="AF281" s="1936"/>
      <c r="AG281" s="1936"/>
      <c r="AH281" s="1936"/>
      <c r="AI281" s="1936"/>
      <c r="AJ281" s="1936"/>
      <c r="AK281" s="1936"/>
      <c r="AL281" s="1936"/>
      <c r="AM281" s="1936"/>
      <c r="AN281" s="1936"/>
      <c r="AO281" s="1936"/>
      <c r="AP281" s="1936"/>
      <c r="AQ281" s="1936"/>
      <c r="AR281" s="1936"/>
      <c r="AS281" s="1936"/>
      <c r="AT281" s="1936"/>
      <c r="AU281" s="1936"/>
      <c r="AV281" s="1936"/>
      <c r="AW281" s="1936"/>
      <c r="AX281" s="1936"/>
      <c r="AY281" s="1936"/>
      <c r="AZ281" s="1936"/>
      <c r="BA281" s="1936"/>
      <c r="BB281" s="1936"/>
      <c r="BC281" s="1936"/>
      <c r="BD281" s="1936"/>
      <c r="BE281" s="1936"/>
      <c r="BF281" s="1936"/>
      <c r="BG281" s="1936"/>
      <c r="BH281" s="1936"/>
      <c r="BI281" s="1936"/>
      <c r="BJ281" s="1936"/>
      <c r="BK281" s="1936"/>
      <c r="BL281" s="1936"/>
      <c r="BM281" s="1936"/>
      <c r="BN281" s="1936"/>
      <c r="BO281" s="1936"/>
      <c r="BP281" s="1936"/>
      <c r="BQ281" s="1936"/>
      <c r="BR281" s="1936"/>
      <c r="BS281" s="1936"/>
      <c r="BT281" s="1936"/>
      <c r="BU281" s="1936"/>
      <c r="BV281" s="1936"/>
      <c r="BW281" s="1936"/>
      <c r="BX281" s="1936"/>
      <c r="BY281" s="1936"/>
      <c r="BZ281" s="1936"/>
      <c r="CA281" s="1936"/>
      <c r="CB281" s="1936"/>
      <c r="CC281" s="1936"/>
      <c r="CD281" s="1936"/>
    </row>
    <row r="282" spans="1:82" ht="15" customHeight="1" x14ac:dyDescent="0.2">
      <c r="B282" s="771"/>
      <c r="C282" s="771"/>
      <c r="D282" s="771"/>
      <c r="E282" s="774"/>
      <c r="F282" s="1438"/>
      <c r="G282" s="1438"/>
      <c r="H282" s="801"/>
      <c r="I282" s="887"/>
      <c r="L282" s="1936"/>
      <c r="M282" s="1936"/>
      <c r="N282" s="1936"/>
      <c r="O282" s="1936"/>
      <c r="P282" s="1936"/>
      <c r="Q282" s="1936"/>
      <c r="R282" s="1936"/>
      <c r="S282" s="1936"/>
      <c r="T282" s="1936"/>
      <c r="U282" s="1936"/>
      <c r="V282" s="1936"/>
      <c r="W282" s="1936"/>
      <c r="X282" s="1936"/>
      <c r="Y282" s="1936"/>
      <c r="Z282" s="1936"/>
      <c r="AA282" s="1936"/>
      <c r="AB282" s="1936"/>
      <c r="AC282" s="1936"/>
      <c r="AD282" s="1936"/>
      <c r="AE282" s="1936"/>
      <c r="AF282" s="1936"/>
      <c r="AG282" s="1936"/>
      <c r="AH282" s="1936"/>
      <c r="AI282" s="1936"/>
      <c r="AJ282" s="1936"/>
      <c r="AK282" s="1936"/>
      <c r="AL282" s="1936"/>
      <c r="AM282" s="1936"/>
      <c r="AN282" s="1936"/>
      <c r="AO282" s="1936"/>
      <c r="AP282" s="1936"/>
      <c r="AQ282" s="1936"/>
      <c r="AR282" s="1936"/>
      <c r="AS282" s="1936"/>
      <c r="AT282" s="1936"/>
      <c r="AU282" s="1936"/>
      <c r="AV282" s="1936"/>
      <c r="AW282" s="1936"/>
      <c r="AX282" s="1936"/>
      <c r="AY282" s="1936"/>
      <c r="AZ282" s="1936"/>
      <c r="BA282" s="1936"/>
      <c r="BB282" s="1936"/>
      <c r="BC282" s="1936"/>
      <c r="BD282" s="1936"/>
      <c r="BE282" s="1936"/>
      <c r="BF282" s="1936"/>
      <c r="BG282" s="1936"/>
      <c r="BH282" s="1936"/>
      <c r="BI282" s="1936"/>
      <c r="BJ282" s="1936"/>
      <c r="BK282" s="1936"/>
      <c r="BL282" s="1936"/>
      <c r="BM282" s="1936"/>
      <c r="BN282" s="1936"/>
      <c r="BO282" s="1936"/>
      <c r="BP282" s="1936"/>
      <c r="BQ282" s="1936"/>
      <c r="BR282" s="1936"/>
      <c r="BS282" s="1936"/>
      <c r="BT282" s="1936"/>
      <c r="BU282" s="1936"/>
      <c r="BV282" s="1936"/>
      <c r="BW282" s="1936"/>
      <c r="BX282" s="1936"/>
      <c r="BY282" s="1936"/>
      <c r="BZ282" s="1936"/>
      <c r="CA282" s="1936"/>
      <c r="CB282" s="1936"/>
      <c r="CC282" s="1936"/>
      <c r="CD282" s="1936"/>
    </row>
    <row r="283" spans="1:82" ht="15" customHeight="1" x14ac:dyDescent="0.2">
      <c r="B283" s="771"/>
      <c r="C283" s="771"/>
      <c r="D283" s="771"/>
      <c r="E283" s="774"/>
      <c r="F283" s="1438"/>
      <c r="G283" s="1438"/>
      <c r="H283" s="801"/>
      <c r="I283" s="887"/>
      <c r="L283" s="1936"/>
      <c r="M283" s="1936"/>
      <c r="N283" s="1936"/>
      <c r="O283" s="1936"/>
      <c r="P283" s="1936"/>
      <c r="Q283" s="1936"/>
      <c r="R283" s="1936"/>
      <c r="S283" s="1936"/>
      <c r="T283" s="1936"/>
      <c r="U283" s="1936"/>
      <c r="V283" s="1936"/>
      <c r="W283" s="1936"/>
      <c r="X283" s="1936"/>
      <c r="Y283" s="1936"/>
      <c r="Z283" s="1936"/>
      <c r="AA283" s="1936"/>
      <c r="AB283" s="1936"/>
      <c r="AC283" s="1936"/>
      <c r="AD283" s="1936"/>
      <c r="AE283" s="1936"/>
      <c r="AF283" s="1936"/>
      <c r="AG283" s="1936"/>
      <c r="AH283" s="1936"/>
      <c r="AI283" s="1936"/>
      <c r="AJ283" s="1936"/>
      <c r="AK283" s="1936"/>
      <c r="AL283" s="1936"/>
      <c r="AM283" s="1936"/>
      <c r="AN283" s="1936"/>
      <c r="AO283" s="1936"/>
      <c r="AP283" s="1936"/>
      <c r="AQ283" s="1936"/>
      <c r="AR283" s="1936"/>
      <c r="AS283" s="1936"/>
      <c r="AT283" s="1936"/>
      <c r="AU283" s="1936"/>
      <c r="AV283" s="1936"/>
      <c r="AW283" s="1936"/>
      <c r="AX283" s="1936"/>
      <c r="AY283" s="1936"/>
      <c r="AZ283" s="1936"/>
      <c r="BA283" s="1936"/>
      <c r="BB283" s="1936"/>
      <c r="BC283" s="1936"/>
      <c r="BD283" s="1936"/>
      <c r="BE283" s="1936"/>
      <c r="BF283" s="1936"/>
      <c r="BG283" s="1936"/>
      <c r="BH283" s="1936"/>
      <c r="BI283" s="1936"/>
      <c r="BJ283" s="1936"/>
      <c r="BK283" s="1936"/>
      <c r="BL283" s="1936"/>
      <c r="BM283" s="1936"/>
      <c r="BN283" s="1936"/>
      <c r="BO283" s="1936"/>
      <c r="BP283" s="1936"/>
      <c r="BQ283" s="1936"/>
      <c r="BR283" s="1936"/>
      <c r="BS283" s="1936"/>
      <c r="BT283" s="1936"/>
      <c r="BU283" s="1936"/>
      <c r="BV283" s="1936"/>
      <c r="BW283" s="1936"/>
      <c r="BX283" s="1936"/>
      <c r="BY283" s="1936"/>
      <c r="BZ283" s="1936"/>
      <c r="CA283" s="1936"/>
      <c r="CB283" s="1936"/>
      <c r="CC283" s="1936"/>
      <c r="CD283" s="1936"/>
    </row>
    <row r="284" spans="1:82" ht="15" customHeight="1" x14ac:dyDescent="0.2">
      <c r="B284" s="771"/>
      <c r="C284" s="771"/>
      <c r="D284" s="771"/>
      <c r="E284" s="774"/>
      <c r="F284" s="1438"/>
      <c r="G284" s="1438"/>
      <c r="H284" s="801"/>
      <c r="I284" s="887"/>
      <c r="L284" s="1936"/>
      <c r="M284" s="1936"/>
      <c r="N284" s="1936"/>
      <c r="O284" s="1936"/>
      <c r="P284" s="1936"/>
      <c r="Q284" s="1936"/>
      <c r="R284" s="1936"/>
      <c r="S284" s="1936"/>
      <c r="T284" s="1936"/>
      <c r="U284" s="1936"/>
      <c r="V284" s="1936"/>
      <c r="W284" s="1936"/>
      <c r="X284" s="1936"/>
      <c r="Y284" s="1936"/>
      <c r="Z284" s="1936"/>
      <c r="AA284" s="1936"/>
      <c r="AB284" s="1936"/>
      <c r="AC284" s="1936"/>
      <c r="AD284" s="1936"/>
      <c r="AE284" s="1936"/>
      <c r="AF284" s="1936"/>
      <c r="AG284" s="1936"/>
      <c r="AH284" s="1936"/>
      <c r="AI284" s="1936"/>
      <c r="AJ284" s="1936"/>
      <c r="AK284" s="1936"/>
      <c r="AL284" s="1936"/>
      <c r="AM284" s="1936"/>
      <c r="AN284" s="1936"/>
      <c r="AO284" s="1936"/>
      <c r="AP284" s="1936"/>
      <c r="AQ284" s="1936"/>
      <c r="AR284" s="1936"/>
      <c r="AS284" s="1936"/>
      <c r="AT284" s="1936"/>
      <c r="AU284" s="1936"/>
      <c r="AV284" s="1936"/>
      <c r="AW284" s="1936"/>
      <c r="AX284" s="1936"/>
      <c r="AY284" s="1936"/>
      <c r="AZ284" s="1936"/>
      <c r="BA284" s="1936"/>
      <c r="BB284" s="1936"/>
      <c r="BC284" s="1936"/>
      <c r="BD284" s="1936"/>
      <c r="BE284" s="1936"/>
      <c r="BF284" s="1936"/>
      <c r="BG284" s="1936"/>
      <c r="BH284" s="1936"/>
      <c r="BI284" s="1936"/>
      <c r="BJ284" s="1936"/>
      <c r="BK284" s="1936"/>
      <c r="BL284" s="1936"/>
      <c r="BM284" s="1936"/>
      <c r="BN284" s="1936"/>
      <c r="BO284" s="1936"/>
      <c r="BP284" s="1936"/>
      <c r="BQ284" s="1936"/>
      <c r="BR284" s="1936"/>
      <c r="BS284" s="1936"/>
      <c r="BT284" s="1936"/>
      <c r="BU284" s="1936"/>
      <c r="BV284" s="1936"/>
      <c r="BW284" s="1936"/>
      <c r="BX284" s="1936"/>
      <c r="BY284" s="1936"/>
      <c r="BZ284" s="1936"/>
      <c r="CA284" s="1936"/>
      <c r="CB284" s="1936"/>
      <c r="CC284" s="1936"/>
      <c r="CD284" s="1936"/>
    </row>
    <row r="285" spans="1:82" ht="15" customHeight="1" x14ac:dyDescent="0.2">
      <c r="B285" s="771"/>
      <c r="C285" s="771"/>
      <c r="D285" s="771"/>
      <c r="E285" s="774"/>
      <c r="F285" s="1438"/>
      <c r="G285" s="1438"/>
      <c r="H285" s="801"/>
      <c r="I285" s="887"/>
      <c r="L285" s="1936"/>
      <c r="M285" s="1936"/>
      <c r="N285" s="1936"/>
      <c r="O285" s="1936"/>
      <c r="P285" s="1936"/>
      <c r="Q285" s="1936"/>
      <c r="R285" s="1936"/>
      <c r="S285" s="1936"/>
      <c r="T285" s="1936"/>
      <c r="U285" s="1936"/>
      <c r="V285" s="1936"/>
      <c r="W285" s="1936"/>
      <c r="X285" s="1936"/>
      <c r="Y285" s="1936"/>
      <c r="Z285" s="1936"/>
      <c r="AA285" s="1936"/>
      <c r="AB285" s="1936"/>
      <c r="AC285" s="1936"/>
      <c r="AD285" s="1936"/>
      <c r="AE285" s="1936"/>
      <c r="AF285" s="1936"/>
      <c r="AG285" s="1936"/>
      <c r="AH285" s="1936"/>
      <c r="AI285" s="1936"/>
      <c r="AJ285" s="1936"/>
      <c r="AK285" s="1936"/>
      <c r="AL285" s="1936"/>
      <c r="AM285" s="1936"/>
      <c r="AN285" s="1936"/>
      <c r="AO285" s="1936"/>
      <c r="AP285" s="1936"/>
      <c r="AQ285" s="1936"/>
      <c r="AR285" s="1936"/>
      <c r="AS285" s="1936"/>
      <c r="AT285" s="1936"/>
      <c r="AU285" s="1936"/>
      <c r="AV285" s="1936"/>
      <c r="AW285" s="1936"/>
      <c r="AX285" s="1936"/>
      <c r="AY285" s="1936"/>
      <c r="AZ285" s="1936"/>
      <c r="BA285" s="1936"/>
      <c r="BB285" s="1936"/>
      <c r="BC285" s="1936"/>
      <c r="BD285" s="1936"/>
      <c r="BE285" s="1936"/>
      <c r="BF285" s="1936"/>
      <c r="BG285" s="1936"/>
      <c r="BH285" s="1936"/>
      <c r="BI285" s="1936"/>
      <c r="BJ285" s="1936"/>
      <c r="BK285" s="1936"/>
      <c r="BL285" s="1936"/>
      <c r="BM285" s="1936"/>
      <c r="BN285" s="1936"/>
      <c r="BO285" s="1936"/>
      <c r="BP285" s="1936"/>
      <c r="BQ285" s="1936"/>
      <c r="BR285" s="1936"/>
      <c r="BS285" s="1936"/>
      <c r="BT285" s="1936"/>
      <c r="BU285" s="1936"/>
      <c r="BV285" s="1936"/>
      <c r="BW285" s="1936"/>
      <c r="BX285" s="1936"/>
      <c r="BY285" s="1936"/>
      <c r="BZ285" s="1936"/>
      <c r="CA285" s="1936"/>
      <c r="CB285" s="1936"/>
      <c r="CC285" s="1936"/>
      <c r="CD285" s="1936"/>
    </row>
    <row r="286" spans="1:82" ht="15" customHeight="1" x14ac:dyDescent="0.2">
      <c r="B286" s="771"/>
      <c r="C286" s="771"/>
      <c r="D286" s="771"/>
      <c r="E286" s="774"/>
      <c r="F286" s="1438"/>
      <c r="G286" s="1438"/>
      <c r="H286" s="801"/>
      <c r="I286" s="887"/>
      <c r="L286" s="1936"/>
      <c r="M286" s="1936"/>
      <c r="N286" s="1936"/>
      <c r="O286" s="1936"/>
      <c r="P286" s="1936"/>
      <c r="Q286" s="1936"/>
      <c r="R286" s="1936"/>
      <c r="S286" s="1936"/>
      <c r="T286" s="1936"/>
      <c r="U286" s="1936"/>
      <c r="V286" s="1936"/>
      <c r="W286" s="1936"/>
      <c r="X286" s="1936"/>
      <c r="Y286" s="1936"/>
      <c r="Z286" s="1936"/>
      <c r="AA286" s="1936"/>
      <c r="AB286" s="1936"/>
      <c r="AC286" s="1936"/>
      <c r="AD286" s="1936"/>
      <c r="AE286" s="1936"/>
      <c r="AF286" s="1936"/>
      <c r="AG286" s="1936"/>
      <c r="AH286" s="1936"/>
      <c r="AI286" s="1936"/>
      <c r="AJ286" s="1936"/>
      <c r="AK286" s="1936"/>
      <c r="AL286" s="1936"/>
      <c r="AM286" s="1936"/>
      <c r="AN286" s="1936"/>
      <c r="AO286" s="1936"/>
      <c r="AP286" s="1936"/>
      <c r="AQ286" s="1936"/>
      <c r="AR286" s="1936"/>
      <c r="AS286" s="1936"/>
      <c r="AT286" s="1936"/>
      <c r="AU286" s="1936"/>
      <c r="AV286" s="1936"/>
      <c r="AW286" s="1936"/>
      <c r="AX286" s="1936"/>
      <c r="AY286" s="1936"/>
      <c r="AZ286" s="1936"/>
      <c r="BA286" s="1936"/>
      <c r="BB286" s="1936"/>
      <c r="BC286" s="1936"/>
      <c r="BD286" s="1936"/>
      <c r="BE286" s="1936"/>
      <c r="BF286" s="1936"/>
      <c r="BG286" s="1936"/>
      <c r="BH286" s="1936"/>
      <c r="BI286" s="1936"/>
      <c r="BJ286" s="1936"/>
      <c r="BK286" s="1936"/>
      <c r="BL286" s="1936"/>
      <c r="BM286" s="1936"/>
      <c r="BN286" s="1936"/>
      <c r="BO286" s="1936"/>
      <c r="BP286" s="1936"/>
      <c r="BQ286" s="1936"/>
      <c r="BR286" s="1936"/>
      <c r="BS286" s="1936"/>
      <c r="BT286" s="1936"/>
      <c r="BU286" s="1936"/>
      <c r="BV286" s="1936"/>
      <c r="BW286" s="1936"/>
      <c r="BX286" s="1936"/>
      <c r="BY286" s="1936"/>
      <c r="BZ286" s="1936"/>
      <c r="CA286" s="1936"/>
      <c r="CB286" s="1936"/>
      <c r="CC286" s="1936"/>
      <c r="CD286" s="1936"/>
    </row>
    <row r="287" spans="1:82" ht="15" customHeight="1" x14ac:dyDescent="0.2">
      <c r="B287" s="771"/>
      <c r="C287" s="771"/>
      <c r="D287" s="771"/>
      <c r="E287" s="774"/>
      <c r="F287" s="1438"/>
      <c r="G287" s="1438"/>
      <c r="H287" s="801"/>
      <c r="I287" s="887"/>
      <c r="L287" s="1936"/>
      <c r="M287" s="1936"/>
      <c r="N287" s="1936"/>
      <c r="O287" s="1936"/>
      <c r="P287" s="1936"/>
      <c r="Q287" s="1936"/>
      <c r="R287" s="1936"/>
      <c r="S287" s="1936"/>
      <c r="T287" s="1936"/>
      <c r="U287" s="1936"/>
      <c r="V287" s="1936"/>
      <c r="W287" s="1936"/>
      <c r="X287" s="1936"/>
      <c r="Y287" s="1936"/>
      <c r="Z287" s="1936"/>
      <c r="AA287" s="1936"/>
      <c r="AB287" s="1936"/>
      <c r="AC287" s="1936"/>
      <c r="AD287" s="1936"/>
      <c r="AE287" s="1936"/>
      <c r="AF287" s="1936"/>
      <c r="AG287" s="1936"/>
      <c r="AH287" s="1936"/>
      <c r="AI287" s="1936"/>
      <c r="AJ287" s="1936"/>
      <c r="AK287" s="1936"/>
      <c r="AL287" s="1936"/>
      <c r="AM287" s="1936"/>
      <c r="AN287" s="1936"/>
      <c r="AO287" s="1936"/>
      <c r="AP287" s="1936"/>
      <c r="AQ287" s="1936"/>
      <c r="AR287" s="1936"/>
      <c r="AS287" s="1936"/>
      <c r="AT287" s="1936"/>
      <c r="AU287" s="1936"/>
      <c r="AV287" s="1936"/>
      <c r="AW287" s="1936"/>
      <c r="AX287" s="1936"/>
      <c r="AY287" s="1936"/>
      <c r="AZ287" s="1936"/>
      <c r="BA287" s="1936"/>
      <c r="BB287" s="1936"/>
      <c r="BC287" s="1936"/>
      <c r="BD287" s="1936"/>
      <c r="BE287" s="1936"/>
      <c r="BF287" s="1936"/>
      <c r="BG287" s="1936"/>
      <c r="BH287" s="1936"/>
      <c r="BI287" s="1936"/>
      <c r="BJ287" s="1936"/>
      <c r="BK287" s="1936"/>
      <c r="BL287" s="1936"/>
      <c r="BM287" s="1936"/>
      <c r="BN287" s="1936"/>
      <c r="BO287" s="1936"/>
      <c r="BP287" s="1936"/>
      <c r="BQ287" s="1936"/>
      <c r="BR287" s="1936"/>
      <c r="BS287" s="1936"/>
      <c r="BT287" s="1936"/>
      <c r="BU287" s="1936"/>
      <c r="BV287" s="1936"/>
      <c r="BW287" s="1936"/>
      <c r="BX287" s="1936"/>
      <c r="BY287" s="1936"/>
      <c r="BZ287" s="1936"/>
      <c r="CA287" s="1936"/>
      <c r="CB287" s="1936"/>
      <c r="CC287" s="1936"/>
      <c r="CD287" s="1936"/>
    </row>
    <row r="288" spans="1:82" ht="15" customHeight="1" x14ac:dyDescent="0.2">
      <c r="B288" s="771"/>
      <c r="C288" s="771"/>
      <c r="D288" s="771"/>
      <c r="E288" s="774"/>
      <c r="F288" s="1438"/>
      <c r="G288" s="1438"/>
      <c r="H288" s="801"/>
      <c r="I288" s="887"/>
      <c r="L288" s="1936"/>
      <c r="M288" s="1936"/>
      <c r="N288" s="1936"/>
      <c r="O288" s="1936"/>
      <c r="P288" s="1936"/>
      <c r="Q288" s="1936"/>
      <c r="R288" s="1936"/>
      <c r="S288" s="1936"/>
      <c r="T288" s="1936"/>
      <c r="U288" s="1936"/>
      <c r="V288" s="1936"/>
      <c r="W288" s="1936"/>
      <c r="X288" s="1936"/>
      <c r="Y288" s="1936"/>
      <c r="Z288" s="1936"/>
      <c r="AA288" s="1936"/>
      <c r="AB288" s="1936"/>
      <c r="AC288" s="1936"/>
      <c r="AD288" s="1936"/>
      <c r="AE288" s="1936"/>
      <c r="AF288" s="1936"/>
      <c r="AG288" s="1936"/>
      <c r="AH288" s="1936"/>
      <c r="AI288" s="1936"/>
      <c r="AJ288" s="1936"/>
      <c r="AK288" s="1936"/>
      <c r="AL288" s="1936"/>
      <c r="AM288" s="1936"/>
      <c r="AN288" s="1936"/>
      <c r="AO288" s="1936"/>
      <c r="AP288" s="1936"/>
      <c r="AQ288" s="1936"/>
      <c r="AR288" s="1936"/>
      <c r="AS288" s="1936"/>
      <c r="AT288" s="1936"/>
      <c r="AU288" s="1936"/>
      <c r="AV288" s="1936"/>
      <c r="AW288" s="1936"/>
      <c r="AX288" s="1936"/>
      <c r="AY288" s="1936"/>
      <c r="AZ288" s="1936"/>
      <c r="BA288" s="1936"/>
      <c r="BB288" s="1936"/>
      <c r="BC288" s="1936"/>
      <c r="BD288" s="1936"/>
      <c r="BE288" s="1936"/>
      <c r="BF288" s="1936"/>
      <c r="BG288" s="1936"/>
      <c r="BH288" s="1936"/>
      <c r="BI288" s="1936"/>
      <c r="BJ288" s="1936"/>
      <c r="BK288" s="1936"/>
      <c r="BL288" s="1936"/>
      <c r="BM288" s="1936"/>
      <c r="BN288" s="1936"/>
      <c r="BO288" s="1936"/>
      <c r="BP288" s="1936"/>
      <c r="BQ288" s="1936"/>
      <c r="BR288" s="1936"/>
      <c r="BS288" s="1936"/>
      <c r="BT288" s="1936"/>
      <c r="BU288" s="1936"/>
      <c r="BV288" s="1936"/>
      <c r="BW288" s="1936"/>
      <c r="BX288" s="1936"/>
      <c r="BY288" s="1936"/>
      <c r="BZ288" s="1936"/>
      <c r="CA288" s="1936"/>
      <c r="CB288" s="1936"/>
      <c r="CC288" s="1936"/>
      <c r="CD288" s="1936"/>
    </row>
    <row r="289" spans="2:82" ht="15" customHeight="1" x14ac:dyDescent="0.2">
      <c r="B289" s="771"/>
      <c r="C289" s="771"/>
      <c r="D289" s="771"/>
      <c r="E289" s="774"/>
      <c r="F289" s="1438"/>
      <c r="G289" s="1438"/>
      <c r="H289" s="801"/>
      <c r="I289" s="887"/>
      <c r="L289" s="1936"/>
      <c r="M289" s="1936"/>
      <c r="N289" s="1936"/>
      <c r="O289" s="1936"/>
      <c r="P289" s="1936"/>
      <c r="Q289" s="1936"/>
      <c r="R289" s="1936"/>
      <c r="S289" s="1936"/>
      <c r="T289" s="1936"/>
      <c r="U289" s="1936"/>
      <c r="V289" s="1936"/>
      <c r="W289" s="1936"/>
      <c r="X289" s="1936"/>
      <c r="Y289" s="1936"/>
      <c r="Z289" s="1936"/>
      <c r="AA289" s="1936"/>
      <c r="AB289" s="1936"/>
      <c r="AC289" s="1936"/>
      <c r="AD289" s="1936"/>
      <c r="AE289" s="1936"/>
      <c r="AF289" s="1936"/>
      <c r="AG289" s="1936"/>
      <c r="AH289" s="1936"/>
      <c r="AI289" s="1936"/>
      <c r="AJ289" s="1936"/>
      <c r="AK289" s="1936"/>
      <c r="AL289" s="1936"/>
      <c r="AM289" s="1936"/>
      <c r="AN289" s="1936"/>
      <c r="AO289" s="1936"/>
      <c r="AP289" s="1936"/>
      <c r="AQ289" s="1936"/>
      <c r="AR289" s="1936"/>
      <c r="AS289" s="1936"/>
      <c r="AT289" s="1936"/>
      <c r="AU289" s="1936"/>
      <c r="AV289" s="1936"/>
      <c r="AW289" s="1936"/>
      <c r="AX289" s="1936"/>
      <c r="AY289" s="1936"/>
      <c r="AZ289" s="1936"/>
      <c r="BA289" s="1936"/>
      <c r="BB289" s="1936"/>
      <c r="BC289" s="1936"/>
      <c r="BD289" s="1936"/>
      <c r="BE289" s="1936"/>
      <c r="BF289" s="1936"/>
      <c r="BG289" s="1936"/>
      <c r="BH289" s="1936"/>
      <c r="BI289" s="1936"/>
      <c r="BJ289" s="1936"/>
      <c r="BK289" s="1936"/>
      <c r="BL289" s="1936"/>
      <c r="BM289" s="1936"/>
      <c r="BN289" s="1936"/>
      <c r="BO289" s="1936"/>
      <c r="BP289" s="1936"/>
      <c r="BQ289" s="1936"/>
      <c r="BR289" s="1936"/>
      <c r="BS289" s="1936"/>
      <c r="BT289" s="1936"/>
      <c r="BU289" s="1936"/>
      <c r="BV289" s="1936"/>
      <c r="BW289" s="1936"/>
      <c r="BX289" s="1936"/>
      <c r="BY289" s="1936"/>
      <c r="BZ289" s="1936"/>
      <c r="CA289" s="1936"/>
      <c r="CB289" s="1936"/>
      <c r="CC289" s="1936"/>
      <c r="CD289" s="1936"/>
    </row>
    <row r="290" spans="2:82" ht="15" customHeight="1" x14ac:dyDescent="0.2">
      <c r="B290" s="771"/>
      <c r="C290" s="771"/>
      <c r="D290" s="771"/>
      <c r="E290" s="774"/>
      <c r="F290" s="1438"/>
      <c r="G290" s="1438"/>
      <c r="H290" s="801"/>
      <c r="I290" s="887"/>
      <c r="L290" s="1936"/>
      <c r="M290" s="1936"/>
      <c r="N290" s="1936"/>
      <c r="O290" s="1936"/>
      <c r="P290" s="1936"/>
      <c r="Q290" s="1936"/>
      <c r="R290" s="1936"/>
      <c r="S290" s="1936"/>
      <c r="T290" s="1936"/>
      <c r="U290" s="1936"/>
      <c r="V290" s="1936"/>
      <c r="W290" s="1936"/>
      <c r="X290" s="1936"/>
      <c r="Y290" s="1936"/>
      <c r="Z290" s="1936"/>
      <c r="AA290" s="1936"/>
      <c r="AB290" s="1936"/>
      <c r="AC290" s="1936"/>
      <c r="AD290" s="1936"/>
      <c r="AE290" s="1936"/>
      <c r="AF290" s="1936"/>
      <c r="AG290" s="1936"/>
      <c r="AH290" s="1936"/>
      <c r="AI290" s="1936"/>
      <c r="AJ290" s="1936"/>
      <c r="AK290" s="1936"/>
      <c r="AL290" s="1936"/>
      <c r="AM290" s="1936"/>
      <c r="AN290" s="1936"/>
      <c r="AO290" s="1936"/>
      <c r="AP290" s="1936"/>
      <c r="AQ290" s="1936"/>
      <c r="AR290" s="1936"/>
      <c r="AS290" s="1936"/>
      <c r="AT290" s="1936"/>
      <c r="AU290" s="1936"/>
      <c r="AV290" s="1936"/>
      <c r="AW290" s="1936"/>
      <c r="AX290" s="1936"/>
      <c r="AY290" s="1936"/>
      <c r="AZ290" s="1936"/>
      <c r="BA290" s="1936"/>
      <c r="BB290" s="1936"/>
      <c r="BC290" s="1936"/>
      <c r="BD290" s="1936"/>
      <c r="BE290" s="1936"/>
      <c r="BF290" s="1936"/>
      <c r="BG290" s="1936"/>
      <c r="BH290" s="1936"/>
      <c r="BI290" s="1936"/>
      <c r="BJ290" s="1936"/>
      <c r="BK290" s="1936"/>
      <c r="BL290" s="1936"/>
      <c r="BM290" s="1936"/>
      <c r="BN290" s="1936"/>
      <c r="BO290" s="1936"/>
      <c r="BP290" s="1936"/>
      <c r="BQ290" s="1936"/>
      <c r="BR290" s="1936"/>
      <c r="BS290" s="1936"/>
      <c r="BT290" s="1936"/>
      <c r="BU290" s="1936"/>
      <c r="BV290" s="1936"/>
      <c r="BW290" s="1936"/>
      <c r="BX290" s="1936"/>
      <c r="BY290" s="1936"/>
      <c r="BZ290" s="1936"/>
      <c r="CA290" s="1936"/>
      <c r="CB290" s="1936"/>
      <c r="CC290" s="1936"/>
      <c r="CD290" s="1936"/>
    </row>
    <row r="291" spans="2:82" ht="15" customHeight="1" x14ac:dyDescent="0.2">
      <c r="B291" s="771"/>
      <c r="C291" s="771"/>
      <c r="D291" s="771"/>
      <c r="E291" s="774"/>
      <c r="F291" s="1438"/>
      <c r="G291" s="1438"/>
      <c r="H291" s="801"/>
      <c r="I291" s="887"/>
      <c r="L291" s="1936"/>
      <c r="M291" s="1936"/>
      <c r="N291" s="1936"/>
      <c r="O291" s="1936"/>
      <c r="P291" s="1936"/>
      <c r="Q291" s="1936"/>
      <c r="R291" s="1936"/>
      <c r="S291" s="1936"/>
      <c r="T291" s="1936"/>
      <c r="U291" s="1936"/>
      <c r="V291" s="1936"/>
      <c r="W291" s="1936"/>
      <c r="X291" s="1936"/>
      <c r="Y291" s="1936"/>
      <c r="Z291" s="1936"/>
      <c r="AA291" s="1936"/>
      <c r="AB291" s="1936"/>
      <c r="AC291" s="1936"/>
      <c r="AD291" s="1936"/>
      <c r="AE291" s="1936"/>
      <c r="AF291" s="1936"/>
      <c r="AG291" s="1936"/>
      <c r="AH291" s="1936"/>
      <c r="AI291" s="1936"/>
      <c r="AJ291" s="1936"/>
      <c r="AK291" s="1936"/>
      <c r="AL291" s="1936"/>
      <c r="AM291" s="1936"/>
      <c r="AN291" s="1936"/>
      <c r="AO291" s="1936"/>
      <c r="AP291" s="1936"/>
      <c r="AQ291" s="1936"/>
      <c r="AR291" s="1936"/>
      <c r="AS291" s="1936"/>
      <c r="AT291" s="1936"/>
      <c r="AU291" s="1936"/>
      <c r="AV291" s="1936"/>
      <c r="AW291" s="1936"/>
      <c r="AX291" s="1936"/>
      <c r="AY291" s="1936"/>
      <c r="AZ291" s="1936"/>
      <c r="BA291" s="1936"/>
      <c r="BB291" s="1936"/>
      <c r="BC291" s="1936"/>
      <c r="BD291" s="1936"/>
      <c r="BE291" s="1936"/>
      <c r="BF291" s="1936"/>
      <c r="BG291" s="1936"/>
      <c r="BH291" s="1936"/>
      <c r="BI291" s="1936"/>
      <c r="BJ291" s="1936"/>
      <c r="BK291" s="1936"/>
      <c r="BL291" s="1936"/>
      <c r="BM291" s="1936"/>
      <c r="BN291" s="1936"/>
      <c r="BO291" s="1936"/>
      <c r="BP291" s="1936"/>
      <c r="BQ291" s="1936"/>
      <c r="BR291" s="1936"/>
      <c r="BS291" s="1936"/>
      <c r="BT291" s="1936"/>
      <c r="BU291" s="1936"/>
      <c r="BV291" s="1936"/>
      <c r="BW291" s="1936"/>
      <c r="BX291" s="1936"/>
      <c r="BY291" s="1936"/>
      <c r="BZ291" s="1936"/>
      <c r="CA291" s="1936"/>
      <c r="CB291" s="1936"/>
      <c r="CC291" s="1936"/>
      <c r="CD291" s="1936"/>
    </row>
    <row r="292" spans="2:82" ht="15" customHeight="1" x14ac:dyDescent="0.2">
      <c r="B292" s="771"/>
      <c r="C292" s="771"/>
      <c r="D292" s="771"/>
      <c r="E292" s="774"/>
      <c r="F292" s="1438"/>
      <c r="G292" s="1438"/>
      <c r="H292" s="801"/>
      <c r="I292" s="887"/>
      <c r="L292" s="1936"/>
      <c r="M292" s="1936"/>
      <c r="N292" s="1936"/>
      <c r="O292" s="1936"/>
      <c r="P292" s="1936"/>
      <c r="Q292" s="1936"/>
      <c r="R292" s="1936"/>
      <c r="S292" s="1936"/>
      <c r="T292" s="1936"/>
      <c r="U292" s="1936"/>
      <c r="V292" s="1936"/>
      <c r="W292" s="1936"/>
      <c r="X292" s="1936"/>
      <c r="Y292" s="1936"/>
      <c r="Z292" s="1936"/>
      <c r="AA292" s="1936"/>
      <c r="AB292" s="1936"/>
      <c r="AC292" s="1936"/>
      <c r="AD292" s="1936"/>
      <c r="AE292" s="1936"/>
      <c r="AF292" s="1936"/>
      <c r="AG292" s="1936"/>
      <c r="AH292" s="1936"/>
      <c r="AI292" s="1936"/>
      <c r="AJ292" s="1936"/>
      <c r="AK292" s="1936"/>
      <c r="AL292" s="1936"/>
      <c r="AM292" s="1936"/>
      <c r="AN292" s="1936"/>
      <c r="AO292" s="1936"/>
      <c r="AP292" s="1936"/>
      <c r="AQ292" s="1936"/>
      <c r="AR292" s="1936"/>
      <c r="AS292" s="1936"/>
      <c r="AT292" s="1936"/>
      <c r="AU292" s="1936"/>
      <c r="AV292" s="1936"/>
      <c r="AW292" s="1936"/>
      <c r="AX292" s="1936"/>
      <c r="AY292" s="1936"/>
      <c r="AZ292" s="1936"/>
      <c r="BA292" s="1936"/>
      <c r="BB292" s="1936"/>
      <c r="BC292" s="1936"/>
      <c r="BD292" s="1936"/>
      <c r="BE292" s="1936"/>
      <c r="BF292" s="1936"/>
      <c r="BG292" s="1936"/>
      <c r="BH292" s="1936"/>
      <c r="BI292" s="1936"/>
      <c r="BJ292" s="1936"/>
      <c r="BK292" s="1936"/>
      <c r="BL292" s="1936"/>
      <c r="BM292" s="1936"/>
      <c r="BN292" s="1936"/>
      <c r="BO292" s="1936"/>
      <c r="BP292" s="1936"/>
      <c r="BQ292" s="1936"/>
      <c r="BR292" s="1936"/>
      <c r="BS292" s="1936"/>
      <c r="BT292" s="1936"/>
      <c r="BU292" s="1936"/>
      <c r="BV292" s="1936"/>
      <c r="BW292" s="1936"/>
      <c r="BX292" s="1936"/>
      <c r="BY292" s="1936"/>
      <c r="BZ292" s="1936"/>
      <c r="CA292" s="1936"/>
      <c r="CB292" s="1936"/>
      <c r="CC292" s="1936"/>
      <c r="CD292" s="1936"/>
    </row>
    <row r="293" spans="2:82" ht="15" customHeight="1" x14ac:dyDescent="0.2">
      <c r="B293" s="771"/>
      <c r="C293" s="771"/>
      <c r="D293" s="771"/>
      <c r="E293" s="774"/>
      <c r="F293" s="1438"/>
      <c r="G293" s="1438"/>
      <c r="H293" s="801"/>
      <c r="I293" s="887"/>
      <c r="L293" s="1936"/>
      <c r="M293" s="1936"/>
      <c r="N293" s="1936"/>
      <c r="O293" s="1936"/>
      <c r="P293" s="1936"/>
      <c r="Q293" s="1936"/>
      <c r="R293" s="1936"/>
      <c r="S293" s="1936"/>
      <c r="T293" s="1936"/>
      <c r="U293" s="1936"/>
      <c r="V293" s="1936"/>
      <c r="W293" s="1936"/>
      <c r="X293" s="1936"/>
      <c r="Y293" s="1936"/>
      <c r="Z293" s="1936"/>
      <c r="AA293" s="1936"/>
      <c r="AB293" s="1936"/>
      <c r="AC293" s="1936"/>
      <c r="AD293" s="1936"/>
      <c r="AE293" s="1936"/>
      <c r="AF293" s="1936"/>
      <c r="AG293" s="1936"/>
      <c r="AH293" s="1936"/>
      <c r="AI293" s="1936"/>
      <c r="AJ293" s="1936"/>
      <c r="AK293" s="1936"/>
      <c r="AL293" s="1936"/>
      <c r="AM293" s="1936"/>
      <c r="AN293" s="1936"/>
      <c r="AO293" s="1936"/>
      <c r="AP293" s="1936"/>
      <c r="AQ293" s="1936"/>
      <c r="AR293" s="1936"/>
      <c r="AS293" s="1936"/>
      <c r="AT293" s="1936"/>
      <c r="AU293" s="1936"/>
      <c r="AV293" s="1936"/>
      <c r="AW293" s="1936"/>
      <c r="AX293" s="1936"/>
      <c r="AY293" s="1936"/>
      <c r="AZ293" s="1936"/>
      <c r="BA293" s="1936"/>
      <c r="BB293" s="1936"/>
      <c r="BC293" s="1936"/>
      <c r="BD293" s="1936"/>
      <c r="BE293" s="1936"/>
      <c r="BF293" s="1936"/>
      <c r="BG293" s="1936"/>
      <c r="BH293" s="1936"/>
      <c r="BI293" s="1936"/>
      <c r="BJ293" s="1936"/>
      <c r="BK293" s="1936"/>
      <c r="BL293" s="1936"/>
      <c r="BM293" s="1936"/>
      <c r="BN293" s="1936"/>
      <c r="BO293" s="1936"/>
      <c r="BP293" s="1936"/>
      <c r="BQ293" s="1936"/>
      <c r="BR293" s="1936"/>
      <c r="BS293" s="1936"/>
      <c r="BT293" s="1936"/>
      <c r="BU293" s="1936"/>
      <c r="BV293" s="1936"/>
      <c r="BW293" s="1936"/>
      <c r="BX293" s="1936"/>
      <c r="BY293" s="1936"/>
      <c r="BZ293" s="1936"/>
      <c r="CA293" s="1936"/>
      <c r="CB293" s="1936"/>
      <c r="CC293" s="1936"/>
      <c r="CD293" s="1936"/>
    </row>
    <row r="294" spans="2:82" ht="15" customHeight="1" x14ac:dyDescent="0.2">
      <c r="B294" s="771"/>
      <c r="C294" s="771"/>
      <c r="D294" s="771"/>
      <c r="E294" s="774"/>
      <c r="F294" s="1438"/>
      <c r="G294" s="1438"/>
      <c r="H294" s="801"/>
      <c r="I294" s="887"/>
      <c r="L294" s="1936"/>
      <c r="M294" s="1936"/>
      <c r="N294" s="1936"/>
      <c r="O294" s="1936"/>
      <c r="P294" s="1936"/>
      <c r="Q294" s="1936"/>
      <c r="R294" s="1936"/>
      <c r="S294" s="1936"/>
      <c r="T294" s="1936"/>
      <c r="U294" s="1936"/>
      <c r="V294" s="1936"/>
      <c r="W294" s="1936"/>
      <c r="X294" s="1936"/>
      <c r="Y294" s="1936"/>
      <c r="Z294" s="1936"/>
      <c r="AA294" s="1936"/>
      <c r="AB294" s="1936"/>
      <c r="AC294" s="1936"/>
      <c r="AD294" s="1936"/>
      <c r="AE294" s="1936"/>
      <c r="AF294" s="1936"/>
      <c r="AG294" s="1936"/>
      <c r="AH294" s="1936"/>
      <c r="AI294" s="1936"/>
      <c r="AJ294" s="1936"/>
      <c r="AK294" s="1936"/>
      <c r="AL294" s="1936"/>
      <c r="AM294" s="1936"/>
      <c r="AN294" s="1936"/>
      <c r="AO294" s="1936"/>
      <c r="AP294" s="1936"/>
      <c r="AQ294" s="1936"/>
      <c r="AR294" s="1936"/>
      <c r="AS294" s="1936"/>
      <c r="AT294" s="1936"/>
      <c r="AU294" s="1936"/>
      <c r="AV294" s="1936"/>
      <c r="AW294" s="1936"/>
      <c r="AX294" s="1936"/>
      <c r="AY294" s="1936"/>
      <c r="AZ294" s="1936"/>
      <c r="BA294" s="1936"/>
      <c r="BB294" s="1936"/>
      <c r="BC294" s="1936"/>
      <c r="BD294" s="1936"/>
      <c r="BE294" s="1936"/>
      <c r="BF294" s="1936"/>
      <c r="BG294" s="1936"/>
      <c r="BH294" s="1936"/>
      <c r="BI294" s="1936"/>
      <c r="BJ294" s="1936"/>
      <c r="BK294" s="1936"/>
      <c r="BL294" s="1936"/>
      <c r="BM294" s="1936"/>
      <c r="BN294" s="1936"/>
      <c r="BO294" s="1936"/>
      <c r="BP294" s="1936"/>
      <c r="BQ294" s="1936"/>
      <c r="BR294" s="1936"/>
      <c r="BS294" s="1936"/>
      <c r="BT294" s="1936"/>
      <c r="BU294" s="1936"/>
      <c r="BV294" s="1936"/>
      <c r="BW294" s="1936"/>
      <c r="BX294" s="1936"/>
      <c r="BY294" s="1936"/>
      <c r="BZ294" s="1936"/>
      <c r="CA294" s="1936"/>
      <c r="CB294" s="1936"/>
      <c r="CC294" s="1936"/>
      <c r="CD294" s="1936"/>
    </row>
    <row r="295" spans="2:82" ht="15" customHeight="1" x14ac:dyDescent="0.2">
      <c r="B295" s="771"/>
      <c r="C295" s="771"/>
      <c r="D295" s="771"/>
      <c r="E295" s="774"/>
      <c r="F295" s="1438"/>
      <c r="G295" s="1438"/>
      <c r="H295" s="801"/>
      <c r="I295" s="887"/>
      <c r="L295" s="1936"/>
      <c r="M295" s="1936"/>
      <c r="N295" s="1936"/>
      <c r="O295" s="1936"/>
      <c r="P295" s="1936"/>
      <c r="Q295" s="1936"/>
      <c r="R295" s="1936"/>
      <c r="S295" s="1936"/>
      <c r="T295" s="1936"/>
      <c r="U295" s="1936"/>
      <c r="V295" s="1936"/>
      <c r="W295" s="1936"/>
      <c r="X295" s="1936"/>
      <c r="Y295" s="1936"/>
      <c r="Z295" s="1936"/>
      <c r="AA295" s="1936"/>
      <c r="AB295" s="1936"/>
      <c r="AC295" s="1936"/>
      <c r="AD295" s="1936"/>
      <c r="AE295" s="1936"/>
      <c r="AF295" s="1936"/>
      <c r="AG295" s="1936"/>
      <c r="AH295" s="1936"/>
      <c r="AI295" s="1936"/>
      <c r="AJ295" s="1936"/>
      <c r="AK295" s="1936"/>
      <c r="AL295" s="1936"/>
      <c r="AM295" s="1936"/>
      <c r="AN295" s="1936"/>
      <c r="AO295" s="1936"/>
      <c r="AP295" s="1936"/>
      <c r="AQ295" s="1936"/>
      <c r="AR295" s="1936"/>
      <c r="AS295" s="1936"/>
      <c r="AT295" s="1936"/>
      <c r="AU295" s="1936"/>
      <c r="AV295" s="1936"/>
      <c r="AW295" s="1936"/>
      <c r="AX295" s="1936"/>
      <c r="AY295" s="1936"/>
      <c r="AZ295" s="1936"/>
      <c r="BA295" s="1936"/>
      <c r="BB295" s="1936"/>
      <c r="BC295" s="1936"/>
      <c r="BD295" s="1936"/>
      <c r="BE295" s="1936"/>
      <c r="BF295" s="1936"/>
      <c r="BG295" s="1936"/>
      <c r="BH295" s="1936"/>
      <c r="BI295" s="1936"/>
      <c r="BJ295" s="1936"/>
      <c r="BK295" s="1936"/>
      <c r="BL295" s="1936"/>
      <c r="BM295" s="1936"/>
      <c r="BN295" s="1936"/>
      <c r="BO295" s="1936"/>
      <c r="BP295" s="1936"/>
      <c r="BQ295" s="1936"/>
      <c r="BR295" s="1936"/>
      <c r="BS295" s="1936"/>
      <c r="BT295" s="1936"/>
      <c r="BU295" s="1936"/>
      <c r="BV295" s="1936"/>
      <c r="BW295" s="1936"/>
      <c r="BX295" s="1936"/>
      <c r="BY295" s="1936"/>
      <c r="BZ295" s="1936"/>
      <c r="CA295" s="1936"/>
      <c r="CB295" s="1936"/>
      <c r="CC295" s="1936"/>
      <c r="CD295" s="1936"/>
    </row>
    <row r="296" spans="2:82" ht="15" customHeight="1" x14ac:dyDescent="0.2">
      <c r="B296" s="771"/>
      <c r="C296" s="771"/>
      <c r="D296" s="771"/>
      <c r="E296" s="774"/>
      <c r="F296" s="1438"/>
      <c r="G296" s="1438"/>
      <c r="H296" s="801"/>
      <c r="I296" s="887"/>
      <c r="L296" s="1936"/>
      <c r="M296" s="1936"/>
      <c r="N296" s="1936"/>
      <c r="O296" s="1936"/>
      <c r="P296" s="1936"/>
      <c r="Q296" s="1936"/>
      <c r="R296" s="1936"/>
      <c r="S296" s="1936"/>
      <c r="T296" s="1936"/>
      <c r="U296" s="1936"/>
      <c r="V296" s="1936"/>
      <c r="W296" s="1936"/>
      <c r="X296" s="1936"/>
      <c r="Y296" s="1936"/>
      <c r="Z296" s="1936"/>
      <c r="AA296" s="1936"/>
      <c r="AB296" s="1936"/>
      <c r="AC296" s="1936"/>
      <c r="AD296" s="1936"/>
      <c r="AE296" s="1936"/>
      <c r="AF296" s="1936"/>
      <c r="AG296" s="1936"/>
      <c r="AH296" s="1936"/>
      <c r="AI296" s="1936"/>
      <c r="AJ296" s="1936"/>
      <c r="AK296" s="1936"/>
      <c r="AL296" s="1936"/>
      <c r="AM296" s="1936"/>
      <c r="AN296" s="1936"/>
      <c r="AO296" s="1936"/>
      <c r="AP296" s="1936"/>
      <c r="AQ296" s="1936"/>
      <c r="AR296" s="1936"/>
      <c r="AS296" s="1936"/>
      <c r="AT296" s="1936"/>
      <c r="AU296" s="1936"/>
      <c r="AV296" s="1936"/>
      <c r="AW296" s="1936"/>
      <c r="AX296" s="1936"/>
      <c r="AY296" s="1936"/>
      <c r="AZ296" s="1936"/>
      <c r="BA296" s="1936"/>
      <c r="BB296" s="1936"/>
      <c r="BC296" s="1936"/>
      <c r="BD296" s="1936"/>
      <c r="BE296" s="1936"/>
      <c r="BF296" s="1936"/>
      <c r="BG296" s="1936"/>
      <c r="BH296" s="1936"/>
      <c r="BI296" s="1936"/>
      <c r="BJ296" s="1936"/>
      <c r="BK296" s="1936"/>
      <c r="BL296" s="1936"/>
      <c r="BM296" s="1936"/>
      <c r="BN296" s="1936"/>
      <c r="BO296" s="1936"/>
      <c r="BP296" s="1936"/>
      <c r="BQ296" s="1936"/>
      <c r="BR296" s="1936"/>
      <c r="BS296" s="1936"/>
      <c r="BT296" s="1936"/>
      <c r="BU296" s="1936"/>
      <c r="BV296" s="1936"/>
      <c r="BW296" s="1936"/>
      <c r="BX296" s="1936"/>
      <c r="BY296" s="1936"/>
      <c r="BZ296" s="1936"/>
      <c r="CA296" s="1936"/>
      <c r="CB296" s="1936"/>
      <c r="CC296" s="1936"/>
      <c r="CD296" s="1936"/>
    </row>
    <row r="297" spans="2:82" ht="15" customHeight="1" x14ac:dyDescent="0.2">
      <c r="B297" s="771"/>
      <c r="C297" s="771"/>
      <c r="D297" s="771"/>
      <c r="E297" s="774"/>
      <c r="F297" s="1438"/>
      <c r="G297" s="1438"/>
      <c r="H297" s="801"/>
      <c r="I297" s="887"/>
      <c r="L297" s="1936"/>
      <c r="M297" s="1936"/>
      <c r="N297" s="1936"/>
      <c r="O297" s="1936"/>
      <c r="P297" s="1936"/>
      <c r="Q297" s="1936"/>
      <c r="R297" s="1936"/>
      <c r="S297" s="1936"/>
      <c r="T297" s="1936"/>
      <c r="U297" s="1936"/>
      <c r="V297" s="1936"/>
      <c r="W297" s="1936"/>
      <c r="X297" s="1936"/>
      <c r="Y297" s="1936"/>
      <c r="Z297" s="1936"/>
      <c r="AA297" s="1936"/>
      <c r="AB297" s="1936"/>
      <c r="AC297" s="1936"/>
      <c r="AD297" s="1936"/>
      <c r="AE297" s="1936"/>
      <c r="AF297" s="1936"/>
      <c r="AG297" s="1936"/>
      <c r="AH297" s="1936"/>
      <c r="AI297" s="1936"/>
      <c r="AJ297" s="1936"/>
      <c r="AK297" s="1936"/>
      <c r="AL297" s="1936"/>
      <c r="AM297" s="1936"/>
      <c r="AN297" s="1936"/>
      <c r="AO297" s="1936"/>
      <c r="AP297" s="1936"/>
      <c r="AQ297" s="1936"/>
      <c r="AR297" s="1936"/>
      <c r="AS297" s="1936"/>
      <c r="AT297" s="1936"/>
      <c r="AU297" s="1936"/>
      <c r="AV297" s="1936"/>
      <c r="AW297" s="1936"/>
      <c r="AX297" s="1936"/>
      <c r="AY297" s="1936"/>
      <c r="AZ297" s="1936"/>
      <c r="BA297" s="1936"/>
      <c r="BB297" s="1936"/>
      <c r="BC297" s="1936"/>
      <c r="BD297" s="1936"/>
      <c r="BE297" s="1936"/>
      <c r="BF297" s="1936"/>
      <c r="BG297" s="1936"/>
      <c r="BH297" s="1936"/>
      <c r="BI297" s="1936"/>
      <c r="BJ297" s="1936"/>
      <c r="BK297" s="1936"/>
      <c r="BL297" s="1936"/>
      <c r="BM297" s="1936"/>
      <c r="BN297" s="1936"/>
      <c r="BO297" s="1936"/>
      <c r="BP297" s="1936"/>
      <c r="BQ297" s="1936"/>
      <c r="BR297" s="1936"/>
      <c r="BS297" s="1936"/>
      <c r="BT297" s="1936"/>
      <c r="BU297" s="1936"/>
      <c r="BV297" s="1936"/>
      <c r="BW297" s="1936"/>
      <c r="BX297" s="1936"/>
      <c r="BY297" s="1936"/>
      <c r="BZ297" s="1936"/>
      <c r="CA297" s="1936"/>
      <c r="CB297" s="1936"/>
      <c r="CC297" s="1936"/>
      <c r="CD297" s="1936"/>
    </row>
    <row r="298" spans="2:82" ht="15" customHeight="1" x14ac:dyDescent="0.2">
      <c r="B298" s="771"/>
      <c r="C298" s="771"/>
      <c r="D298" s="771"/>
      <c r="E298" s="774"/>
      <c r="F298" s="1438"/>
      <c r="G298" s="1438"/>
      <c r="H298" s="801"/>
      <c r="I298" s="887"/>
      <c r="L298" s="1936"/>
      <c r="M298" s="1936"/>
      <c r="N298" s="1936"/>
      <c r="O298" s="1936"/>
      <c r="P298" s="1936"/>
      <c r="Q298" s="1936"/>
      <c r="R298" s="1936"/>
      <c r="S298" s="1936"/>
      <c r="T298" s="1936"/>
      <c r="U298" s="1936"/>
      <c r="V298" s="1936"/>
      <c r="W298" s="1936"/>
      <c r="X298" s="1936"/>
      <c r="Y298" s="1936"/>
      <c r="Z298" s="1936"/>
      <c r="AA298" s="1936"/>
      <c r="AB298" s="1936"/>
      <c r="AC298" s="1936"/>
      <c r="AD298" s="1936"/>
      <c r="AE298" s="1936"/>
      <c r="AF298" s="1936"/>
      <c r="AG298" s="1936"/>
      <c r="AH298" s="1936"/>
      <c r="AI298" s="1936"/>
      <c r="AJ298" s="1936"/>
      <c r="AK298" s="1936"/>
      <c r="AL298" s="1936"/>
      <c r="AM298" s="1936"/>
      <c r="AN298" s="1936"/>
      <c r="AO298" s="1936"/>
      <c r="AP298" s="1936"/>
      <c r="AQ298" s="1936"/>
      <c r="AR298" s="1936"/>
      <c r="AS298" s="1936"/>
      <c r="AT298" s="1936"/>
      <c r="AU298" s="1936"/>
      <c r="AV298" s="1936"/>
      <c r="AW298" s="1936"/>
      <c r="AX298" s="1936"/>
      <c r="AY298" s="1936"/>
      <c r="AZ298" s="1936"/>
      <c r="BA298" s="1936"/>
      <c r="BB298" s="1936"/>
      <c r="BC298" s="1936"/>
      <c r="BD298" s="1936"/>
      <c r="BE298" s="1936"/>
      <c r="BF298" s="1936"/>
      <c r="BG298" s="1936"/>
      <c r="BH298" s="1936"/>
      <c r="BI298" s="1936"/>
      <c r="BJ298" s="1936"/>
      <c r="BK298" s="1936"/>
      <c r="BL298" s="1936"/>
      <c r="BM298" s="1936"/>
      <c r="BN298" s="1936"/>
      <c r="BO298" s="1936"/>
      <c r="BP298" s="1936"/>
      <c r="BQ298" s="1936"/>
      <c r="BR298" s="1936"/>
      <c r="BS298" s="1936"/>
      <c r="BT298" s="1936"/>
      <c r="BU298" s="1936"/>
      <c r="BV298" s="1936"/>
      <c r="BW298" s="1936"/>
      <c r="BX298" s="1936"/>
      <c r="BY298" s="1936"/>
      <c r="BZ298" s="1936"/>
      <c r="CA298" s="1936"/>
      <c r="CB298" s="1936"/>
      <c r="CC298" s="1936"/>
      <c r="CD298" s="1936"/>
    </row>
    <row r="299" spans="2:82" ht="15" customHeight="1" x14ac:dyDescent="0.2">
      <c r="B299" s="771"/>
      <c r="C299" s="771"/>
      <c r="D299" s="771"/>
      <c r="E299" s="774"/>
      <c r="F299" s="1438"/>
      <c r="G299" s="1438"/>
      <c r="H299" s="801"/>
      <c r="I299" s="887"/>
      <c r="L299" s="1936"/>
      <c r="M299" s="1936"/>
      <c r="N299" s="1936"/>
      <c r="O299" s="1936"/>
      <c r="P299" s="1936"/>
      <c r="Q299" s="1936"/>
      <c r="R299" s="1936"/>
      <c r="S299" s="1936"/>
      <c r="T299" s="1936"/>
      <c r="U299" s="1936"/>
      <c r="V299" s="1936"/>
      <c r="W299" s="1936"/>
      <c r="X299" s="1936"/>
      <c r="Y299" s="1936"/>
      <c r="Z299" s="1936"/>
      <c r="AA299" s="1936"/>
      <c r="AB299" s="1936"/>
      <c r="AC299" s="1936"/>
      <c r="AD299" s="1936"/>
      <c r="AE299" s="1936"/>
      <c r="AF299" s="1936"/>
      <c r="AG299" s="1936"/>
      <c r="AH299" s="1936"/>
      <c r="AI299" s="1936"/>
      <c r="AJ299" s="1936"/>
      <c r="AK299" s="1936"/>
      <c r="AL299" s="1936"/>
      <c r="AM299" s="1936"/>
      <c r="AN299" s="1936"/>
      <c r="AO299" s="1936"/>
      <c r="AP299" s="1936"/>
      <c r="AQ299" s="1936"/>
      <c r="AR299" s="1936"/>
      <c r="AS299" s="1936"/>
      <c r="AT299" s="1936"/>
      <c r="AU299" s="1936"/>
      <c r="AV299" s="1936"/>
      <c r="AW299" s="1936"/>
      <c r="AX299" s="1936"/>
      <c r="AY299" s="1936"/>
      <c r="AZ299" s="1936"/>
      <c r="BA299" s="1936"/>
      <c r="BB299" s="1936"/>
      <c r="BC299" s="1936"/>
      <c r="BD299" s="1936"/>
    </row>
    <row r="300" spans="2:82" ht="15" customHeight="1" x14ac:dyDescent="0.2">
      <c r="B300" s="771"/>
      <c r="C300" s="771"/>
      <c r="D300" s="771"/>
      <c r="E300" s="774"/>
      <c r="F300" s="1438"/>
      <c r="G300" s="1438"/>
      <c r="H300" s="801"/>
      <c r="I300" s="887"/>
      <c r="L300" s="1936"/>
      <c r="M300" s="1936"/>
      <c r="N300" s="1936"/>
      <c r="O300" s="1936"/>
      <c r="P300" s="1936"/>
      <c r="Q300" s="1936"/>
      <c r="R300" s="1936"/>
      <c r="S300" s="1936"/>
      <c r="T300" s="1936"/>
      <c r="U300" s="1936"/>
      <c r="V300" s="1936"/>
      <c r="W300" s="1936"/>
      <c r="X300" s="1936"/>
      <c r="Y300" s="1936"/>
      <c r="Z300" s="1936"/>
      <c r="AA300" s="1936"/>
      <c r="AB300" s="1936"/>
      <c r="AC300" s="1936"/>
      <c r="AD300" s="1936"/>
      <c r="AE300" s="1936"/>
      <c r="AF300" s="1936"/>
      <c r="AG300" s="1936"/>
      <c r="AH300" s="1936"/>
      <c r="AI300" s="1936"/>
      <c r="AJ300" s="1936"/>
      <c r="AK300" s="1936"/>
      <c r="AL300" s="1936"/>
      <c r="AM300" s="1936"/>
      <c r="AN300" s="1936"/>
      <c r="AO300" s="1936"/>
      <c r="AP300" s="1936"/>
      <c r="AQ300" s="1936"/>
      <c r="AR300" s="1936"/>
      <c r="AS300" s="1936"/>
      <c r="AT300" s="1936"/>
      <c r="AU300" s="1936"/>
      <c r="AV300" s="1936"/>
      <c r="AW300" s="1936"/>
      <c r="AX300" s="1936"/>
      <c r="AY300" s="1936"/>
      <c r="AZ300" s="1936"/>
      <c r="BA300" s="1936"/>
      <c r="BB300" s="1936"/>
      <c r="BC300" s="1936"/>
      <c r="BD300" s="1936"/>
    </row>
    <row r="301" spans="2:82" ht="15" customHeight="1" x14ac:dyDescent="0.2">
      <c r="B301" s="771"/>
      <c r="C301" s="771"/>
      <c r="D301" s="771"/>
      <c r="E301" s="774"/>
      <c r="F301" s="1438"/>
      <c r="G301" s="1438"/>
      <c r="H301" s="801"/>
      <c r="I301" s="887"/>
    </row>
    <row r="302" spans="2:82" ht="15" customHeight="1" x14ac:dyDescent="0.2">
      <c r="B302" s="771"/>
      <c r="C302" s="771"/>
      <c r="D302" s="771"/>
      <c r="E302" s="774"/>
      <c r="F302" s="1438"/>
      <c r="G302" s="1438"/>
      <c r="H302" s="801"/>
      <c r="I302" s="887"/>
    </row>
    <row r="303" spans="2:82" ht="15" customHeight="1" x14ac:dyDescent="0.2">
      <c r="B303" s="771"/>
      <c r="C303" s="771"/>
      <c r="D303" s="771"/>
      <c r="E303" s="774"/>
      <c r="F303" s="1438"/>
      <c r="G303" s="1438"/>
      <c r="H303" s="801"/>
      <c r="I303" s="887"/>
    </row>
    <row r="304" spans="2:82" ht="15" customHeight="1" x14ac:dyDescent="0.2">
      <c r="B304" s="771"/>
      <c r="C304" s="771"/>
      <c r="D304" s="771"/>
      <c r="E304" s="774"/>
      <c r="F304" s="1438"/>
      <c r="G304" s="1438"/>
      <c r="H304" s="801"/>
      <c r="I304" s="887"/>
    </row>
    <row r="305" spans="2:9" ht="15" customHeight="1" x14ac:dyDescent="0.2">
      <c r="B305" s="771"/>
      <c r="C305" s="771"/>
      <c r="D305" s="771"/>
      <c r="E305" s="774"/>
      <c r="F305" s="1438"/>
      <c r="G305" s="1438"/>
      <c r="H305" s="801"/>
      <c r="I305" s="887"/>
    </row>
    <row r="306" spans="2:9" ht="15" customHeight="1" x14ac:dyDescent="0.2">
      <c r="B306" s="771"/>
      <c r="C306" s="771"/>
      <c r="D306" s="771"/>
      <c r="E306" s="774"/>
      <c r="F306" s="1438"/>
      <c r="G306" s="1438"/>
      <c r="H306" s="801"/>
      <c r="I306" s="887"/>
    </row>
    <row r="307" spans="2:9" ht="15" customHeight="1" x14ac:dyDescent="0.2">
      <c r="B307" s="771"/>
      <c r="C307" s="771"/>
      <c r="D307" s="771"/>
      <c r="E307" s="774"/>
      <c r="F307" s="1438"/>
      <c r="G307" s="1438"/>
      <c r="H307" s="801"/>
      <c r="I307" s="887"/>
    </row>
    <row r="308" spans="2:9" ht="15" customHeight="1" x14ac:dyDescent="0.2">
      <c r="B308" s="771"/>
      <c r="C308" s="771"/>
      <c r="D308" s="771"/>
      <c r="E308" s="774"/>
      <c r="F308" s="1438"/>
      <c r="G308" s="1438"/>
      <c r="H308" s="801"/>
      <c r="I308" s="887"/>
    </row>
    <row r="309" spans="2:9" ht="15" customHeight="1" x14ac:dyDescent="0.2">
      <c r="B309" s="771"/>
      <c r="C309" s="771"/>
      <c r="D309" s="771"/>
      <c r="E309" s="774"/>
      <c r="F309" s="1438"/>
      <c r="G309" s="1438"/>
      <c r="H309" s="801"/>
      <c r="I309" s="887"/>
    </row>
    <row r="310" spans="2:9" ht="15" customHeight="1" x14ac:dyDescent="0.2">
      <c r="B310" s="771"/>
      <c r="C310" s="771"/>
      <c r="D310" s="771"/>
      <c r="E310" s="774"/>
      <c r="F310" s="1438"/>
      <c r="G310" s="1438"/>
      <c r="H310" s="801"/>
      <c r="I310" s="887"/>
    </row>
    <row r="311" spans="2:9" ht="15" customHeight="1" x14ac:dyDescent="0.2">
      <c r="B311" s="771"/>
      <c r="C311" s="771"/>
      <c r="D311" s="771"/>
      <c r="E311" s="774"/>
      <c r="F311" s="1438"/>
      <c r="G311" s="1438"/>
      <c r="H311" s="801"/>
      <c r="I311" s="887"/>
    </row>
    <row r="312" spans="2:9" ht="15" customHeight="1" x14ac:dyDescent="0.2">
      <c r="B312" s="771"/>
      <c r="C312" s="771"/>
      <c r="D312" s="771"/>
      <c r="E312" s="774"/>
      <c r="F312" s="1438"/>
      <c r="G312" s="1438"/>
      <c r="H312" s="801"/>
      <c r="I312" s="887"/>
    </row>
    <row r="313" spans="2:9" ht="15" customHeight="1" x14ac:dyDescent="0.2">
      <c r="B313" s="771"/>
      <c r="C313" s="771"/>
      <c r="D313" s="771"/>
      <c r="E313" s="774"/>
      <c r="F313" s="1438"/>
      <c r="G313" s="1438"/>
      <c r="H313" s="801"/>
      <c r="I313" s="887"/>
    </row>
    <row r="314" spans="2:9" ht="15" customHeight="1" x14ac:dyDescent="0.2">
      <c r="B314" s="771"/>
      <c r="C314" s="771"/>
      <c r="D314" s="771"/>
      <c r="E314" s="774"/>
      <c r="F314" s="1438"/>
      <c r="G314" s="1438"/>
      <c r="H314" s="801"/>
      <c r="I314" s="887"/>
    </row>
    <row r="315" spans="2:9" ht="15" customHeight="1" x14ac:dyDescent="0.2">
      <c r="B315" s="771"/>
      <c r="C315" s="771"/>
      <c r="D315" s="771"/>
      <c r="E315" s="774"/>
      <c r="F315" s="1438"/>
      <c r="G315" s="1438"/>
      <c r="H315" s="801"/>
      <c r="I315" s="887"/>
    </row>
    <row r="316" spans="2:9" ht="15" customHeight="1" x14ac:dyDescent="0.2">
      <c r="B316" s="771"/>
      <c r="C316" s="771"/>
      <c r="D316" s="771"/>
      <c r="E316" s="774"/>
      <c r="F316" s="1438"/>
      <c r="G316" s="1438"/>
      <c r="H316" s="801"/>
      <c r="I316" s="887"/>
    </row>
    <row r="317" spans="2:9" ht="15" customHeight="1" x14ac:dyDescent="0.2">
      <c r="B317" s="771"/>
      <c r="C317" s="771"/>
      <c r="D317" s="771"/>
      <c r="E317" s="774"/>
      <c r="F317" s="1438"/>
      <c r="G317" s="1438"/>
      <c r="H317" s="801"/>
      <c r="I317" s="887"/>
    </row>
    <row r="318" spans="2:9" ht="15" customHeight="1" x14ac:dyDescent="0.2">
      <c r="B318" s="771"/>
      <c r="C318" s="771"/>
      <c r="D318" s="771"/>
      <c r="E318" s="774"/>
      <c r="F318" s="1438"/>
      <c r="G318" s="1438"/>
      <c r="H318" s="801"/>
      <c r="I318" s="887"/>
    </row>
    <row r="319" spans="2:9" ht="15" customHeight="1" x14ac:dyDescent="0.2">
      <c r="B319" s="771"/>
      <c r="C319" s="771"/>
      <c r="D319" s="771"/>
      <c r="E319" s="774"/>
      <c r="F319" s="1438"/>
      <c r="G319" s="1438"/>
      <c r="H319" s="801"/>
      <c r="I319" s="887"/>
    </row>
    <row r="320" spans="2:9" ht="15" customHeight="1" x14ac:dyDescent="0.2">
      <c r="B320" s="771"/>
      <c r="C320" s="771"/>
      <c r="D320" s="771"/>
      <c r="E320" s="774"/>
      <c r="F320" s="1438"/>
      <c r="G320" s="1438"/>
      <c r="H320" s="801"/>
      <c r="I320" s="887"/>
    </row>
    <row r="321" spans="2:9" ht="15" customHeight="1" x14ac:dyDescent="0.2">
      <c r="B321" s="771"/>
      <c r="C321" s="771"/>
      <c r="D321" s="771"/>
      <c r="E321" s="774"/>
      <c r="F321" s="1438"/>
      <c r="G321" s="1438"/>
      <c r="H321" s="801"/>
      <c r="I321" s="887"/>
    </row>
    <row r="322" spans="2:9" ht="15" customHeight="1" x14ac:dyDescent="0.2">
      <c r="B322" s="771"/>
      <c r="C322" s="771"/>
      <c r="D322" s="771"/>
      <c r="E322" s="774"/>
      <c r="F322" s="1438"/>
      <c r="G322" s="1438"/>
      <c r="H322" s="801"/>
      <c r="I322" s="887"/>
    </row>
    <row r="323" spans="2:9" ht="15" customHeight="1" x14ac:dyDescent="0.2">
      <c r="B323" s="771"/>
      <c r="C323" s="771"/>
      <c r="D323" s="771"/>
      <c r="E323" s="774"/>
      <c r="F323" s="1438"/>
      <c r="G323" s="1438"/>
      <c r="H323" s="801"/>
      <c r="I323" s="887"/>
    </row>
    <row r="324" spans="2:9" ht="15" customHeight="1" x14ac:dyDescent="0.2">
      <c r="B324" s="771"/>
      <c r="C324" s="771"/>
      <c r="D324" s="771"/>
      <c r="E324" s="774"/>
      <c r="F324" s="1438"/>
      <c r="G324" s="1438"/>
      <c r="H324" s="801"/>
      <c r="I324" s="887"/>
    </row>
    <row r="325" spans="2:9" ht="15" customHeight="1" x14ac:dyDescent="0.2">
      <c r="B325" s="771"/>
      <c r="C325" s="771"/>
      <c r="D325" s="771"/>
      <c r="E325" s="774"/>
      <c r="F325" s="1438"/>
      <c r="G325" s="1438"/>
      <c r="H325" s="801"/>
      <c r="I325" s="887"/>
    </row>
    <row r="326" spans="2:9" ht="15" customHeight="1" x14ac:dyDescent="0.2">
      <c r="B326" s="771"/>
      <c r="C326" s="771"/>
      <c r="D326" s="771"/>
      <c r="E326" s="774"/>
      <c r="F326" s="1438"/>
      <c r="G326" s="1438"/>
      <c r="H326" s="801"/>
      <c r="I326" s="887"/>
    </row>
    <row r="327" spans="2:9" ht="15" customHeight="1" x14ac:dyDescent="0.2">
      <c r="B327" s="771"/>
      <c r="C327" s="771"/>
      <c r="D327" s="771"/>
      <c r="E327" s="774"/>
      <c r="F327" s="1438"/>
      <c r="G327" s="1438"/>
      <c r="H327" s="801"/>
      <c r="I327" s="887"/>
    </row>
    <row r="328" spans="2:9" ht="15" customHeight="1" x14ac:dyDescent="0.2">
      <c r="B328" s="771"/>
      <c r="C328" s="771"/>
      <c r="D328" s="771"/>
      <c r="E328" s="774"/>
      <c r="F328" s="1438"/>
      <c r="G328" s="1438"/>
      <c r="H328" s="801"/>
      <c r="I328" s="887"/>
    </row>
    <row r="329" spans="2:9" ht="15" customHeight="1" x14ac:dyDescent="0.2">
      <c r="B329" s="771"/>
      <c r="C329" s="771"/>
      <c r="D329" s="771"/>
      <c r="E329" s="774"/>
      <c r="F329" s="1438"/>
      <c r="G329" s="1438"/>
      <c r="H329" s="801"/>
      <c r="I329" s="887"/>
    </row>
    <row r="330" spans="2:9" ht="15" customHeight="1" x14ac:dyDescent="0.2">
      <c r="B330" s="771"/>
      <c r="C330" s="771"/>
      <c r="D330" s="771"/>
      <c r="E330" s="774"/>
      <c r="F330" s="1438"/>
      <c r="G330" s="1438"/>
      <c r="H330" s="801"/>
      <c r="I330" s="887"/>
    </row>
    <row r="331" spans="2:9" ht="15" customHeight="1" x14ac:dyDescent="0.2">
      <c r="B331" s="771"/>
      <c r="C331" s="771"/>
      <c r="D331" s="771"/>
      <c r="E331" s="774"/>
      <c r="F331" s="1438"/>
      <c r="G331" s="1438"/>
      <c r="H331" s="801"/>
      <c r="I331" s="887"/>
    </row>
    <row r="332" spans="2:9" ht="15" customHeight="1" x14ac:dyDescent="0.2">
      <c r="B332" s="771"/>
      <c r="C332" s="771"/>
      <c r="D332" s="771"/>
      <c r="E332" s="774"/>
      <c r="F332" s="1438"/>
      <c r="G332" s="1438"/>
      <c r="H332" s="801"/>
      <c r="I332" s="887"/>
    </row>
    <row r="333" spans="2:9" ht="15" customHeight="1" x14ac:dyDescent="0.2">
      <c r="B333" s="771"/>
      <c r="C333" s="771"/>
      <c r="D333" s="771"/>
      <c r="E333" s="774"/>
      <c r="F333" s="1438"/>
      <c r="G333" s="1438"/>
      <c r="H333" s="801"/>
      <c r="I333" s="887"/>
    </row>
    <row r="334" spans="2:9" ht="15" customHeight="1" x14ac:dyDescent="0.2">
      <c r="B334" s="771"/>
      <c r="C334" s="771"/>
      <c r="D334" s="771"/>
      <c r="E334" s="774"/>
      <c r="F334" s="1438"/>
      <c r="G334" s="1438"/>
      <c r="H334" s="801"/>
      <c r="I334" s="887"/>
    </row>
    <row r="335" spans="2:9" ht="15" customHeight="1" x14ac:dyDescent="0.2">
      <c r="B335" s="771"/>
      <c r="C335" s="771"/>
      <c r="D335" s="771"/>
      <c r="E335" s="774"/>
      <c r="F335" s="1438"/>
      <c r="G335" s="1438"/>
      <c r="H335" s="801"/>
      <c r="I335" s="887"/>
    </row>
    <row r="336" spans="2:9" ht="15" customHeight="1" x14ac:dyDescent="0.2">
      <c r="B336" s="771"/>
      <c r="C336" s="771"/>
      <c r="D336" s="771"/>
      <c r="E336" s="774"/>
      <c r="F336" s="1438"/>
      <c r="G336" s="1438"/>
      <c r="H336" s="801"/>
      <c r="I336" s="887"/>
    </row>
    <row r="337" spans="2:9" ht="15" customHeight="1" x14ac:dyDescent="0.2">
      <c r="B337" s="771"/>
      <c r="C337" s="771"/>
      <c r="D337" s="771"/>
      <c r="E337" s="774"/>
      <c r="F337" s="1438"/>
      <c r="G337" s="1438"/>
      <c r="H337" s="801"/>
      <c r="I337" s="887"/>
    </row>
    <row r="338" spans="2:9" ht="15" customHeight="1" x14ac:dyDescent="0.2">
      <c r="B338" s="771"/>
      <c r="C338" s="771"/>
      <c r="D338" s="771"/>
      <c r="E338" s="774"/>
      <c r="F338" s="1438"/>
      <c r="G338" s="1438"/>
      <c r="H338" s="801"/>
      <c r="I338" s="887"/>
    </row>
    <row r="339" spans="2:9" ht="15" customHeight="1" x14ac:dyDescent="0.2">
      <c r="B339" s="771"/>
      <c r="C339" s="771"/>
      <c r="D339" s="771"/>
      <c r="E339" s="774"/>
      <c r="F339" s="1438"/>
      <c r="G339" s="1438"/>
      <c r="H339" s="801"/>
      <c r="I339" s="887"/>
    </row>
    <row r="340" spans="2:9" ht="15" customHeight="1" x14ac:dyDescent="0.2">
      <c r="B340" s="771"/>
      <c r="C340" s="771"/>
      <c r="D340" s="771"/>
      <c r="E340" s="774"/>
      <c r="F340" s="1438"/>
      <c r="G340" s="1438"/>
      <c r="H340" s="801"/>
      <c r="I340" s="887"/>
    </row>
    <row r="341" spans="2:9" ht="15" customHeight="1" x14ac:dyDescent="0.2">
      <c r="B341" s="771"/>
      <c r="C341" s="771"/>
      <c r="D341" s="771"/>
      <c r="E341" s="774"/>
      <c r="F341" s="1438"/>
      <c r="G341" s="1438"/>
      <c r="H341" s="801"/>
      <c r="I341" s="887"/>
    </row>
    <row r="342" spans="2:9" ht="15" customHeight="1" x14ac:dyDescent="0.2">
      <c r="B342" s="771"/>
      <c r="C342" s="771"/>
      <c r="D342" s="771"/>
      <c r="E342" s="774"/>
      <c r="F342" s="1438"/>
      <c r="G342" s="1438"/>
      <c r="H342" s="801"/>
      <c r="I342" s="887"/>
    </row>
    <row r="343" spans="2:9" ht="15" customHeight="1" x14ac:dyDescent="0.2">
      <c r="B343" s="771"/>
      <c r="C343" s="771"/>
      <c r="D343" s="771"/>
      <c r="E343" s="774"/>
      <c r="F343" s="1438"/>
      <c r="G343" s="1438"/>
      <c r="H343" s="801"/>
      <c r="I343" s="887"/>
    </row>
    <row r="344" spans="2:9" ht="15" customHeight="1" x14ac:dyDescent="0.2">
      <c r="B344" s="771"/>
      <c r="C344" s="771"/>
      <c r="D344" s="771"/>
      <c r="E344" s="774"/>
      <c r="F344" s="1438"/>
      <c r="G344" s="1438"/>
      <c r="H344" s="801"/>
      <c r="I344" s="887"/>
    </row>
    <row r="345" spans="2:9" ht="15" customHeight="1" x14ac:dyDescent="0.2">
      <c r="B345" s="771"/>
      <c r="C345" s="771"/>
      <c r="D345" s="771"/>
      <c r="E345" s="774"/>
      <c r="F345" s="1438"/>
      <c r="G345" s="1438"/>
      <c r="H345" s="801"/>
      <c r="I345" s="887"/>
    </row>
    <row r="346" spans="2:9" ht="15" customHeight="1" x14ac:dyDescent="0.2">
      <c r="B346" s="771"/>
      <c r="C346" s="771"/>
      <c r="D346" s="771"/>
      <c r="E346" s="774"/>
      <c r="F346" s="1438"/>
      <c r="G346" s="1438"/>
      <c r="H346" s="801"/>
      <c r="I346" s="887"/>
    </row>
    <row r="347" spans="2:9" ht="15" customHeight="1" x14ac:dyDescent="0.2">
      <c r="B347" s="771"/>
      <c r="C347" s="771"/>
      <c r="D347" s="771"/>
      <c r="E347" s="774"/>
      <c r="F347" s="1438"/>
      <c r="G347" s="1438"/>
      <c r="H347" s="801"/>
      <c r="I347" s="887"/>
    </row>
    <row r="348" spans="2:9" ht="15" customHeight="1" x14ac:dyDescent="0.2">
      <c r="B348" s="771"/>
      <c r="C348" s="771"/>
      <c r="D348" s="771"/>
      <c r="E348" s="774"/>
      <c r="F348" s="1438"/>
      <c r="G348" s="1438"/>
      <c r="H348" s="801"/>
      <c r="I348" s="887"/>
    </row>
    <row r="349" spans="2:9" ht="15" customHeight="1" x14ac:dyDescent="0.2">
      <c r="B349" s="771"/>
      <c r="C349" s="771"/>
      <c r="D349" s="771"/>
      <c r="E349" s="774"/>
      <c r="F349" s="1438"/>
      <c r="G349" s="1438"/>
      <c r="H349" s="801"/>
      <c r="I349" s="887"/>
    </row>
    <row r="350" spans="2:9" ht="15" customHeight="1" x14ac:dyDescent="0.2">
      <c r="B350" s="771"/>
      <c r="C350" s="771"/>
      <c r="D350" s="771"/>
      <c r="E350" s="774"/>
      <c r="F350" s="1438"/>
      <c r="G350" s="1438"/>
      <c r="H350" s="801"/>
      <c r="I350" s="887"/>
    </row>
    <row r="351" spans="2:9" ht="15" customHeight="1" x14ac:dyDescent="0.2">
      <c r="B351" s="771"/>
      <c r="C351" s="771"/>
      <c r="D351" s="771"/>
      <c r="E351" s="774"/>
      <c r="F351" s="1438"/>
      <c r="G351" s="1438"/>
      <c r="H351" s="801"/>
      <c r="I351" s="887"/>
    </row>
    <row r="352" spans="2:9" ht="15" customHeight="1" x14ac:dyDescent="0.2">
      <c r="B352" s="771"/>
      <c r="C352" s="771"/>
      <c r="D352" s="771"/>
      <c r="E352" s="774"/>
      <c r="F352" s="1438"/>
      <c r="G352" s="1438"/>
      <c r="H352" s="801"/>
      <c r="I352" s="887"/>
    </row>
    <row r="353" spans="2:9" ht="15" customHeight="1" x14ac:dyDescent="0.2">
      <c r="B353" s="771"/>
      <c r="C353" s="771"/>
      <c r="D353" s="771"/>
      <c r="E353" s="774"/>
      <c r="F353" s="1438"/>
      <c r="G353" s="1438"/>
      <c r="H353" s="801"/>
      <c r="I353" s="887"/>
    </row>
    <row r="354" spans="2:9" ht="15" customHeight="1" x14ac:dyDescent="0.2">
      <c r="B354" s="771"/>
      <c r="C354" s="771"/>
      <c r="D354" s="771"/>
      <c r="E354" s="774"/>
      <c r="F354" s="1438"/>
      <c r="G354" s="1438"/>
      <c r="H354" s="801"/>
      <c r="I354" s="887"/>
    </row>
    <row r="355" spans="2:9" ht="15" customHeight="1" x14ac:dyDescent="0.2">
      <c r="B355" s="771"/>
      <c r="C355" s="771"/>
      <c r="D355" s="771"/>
      <c r="E355" s="774"/>
      <c r="F355" s="1438"/>
      <c r="G355" s="1438"/>
      <c r="H355" s="801"/>
      <c r="I355" s="887"/>
    </row>
    <row r="356" spans="2:9" ht="15" customHeight="1" x14ac:dyDescent="0.2">
      <c r="B356" s="771"/>
      <c r="C356" s="771"/>
      <c r="D356" s="771"/>
      <c r="E356" s="774"/>
      <c r="F356" s="1438"/>
      <c r="G356" s="1438"/>
      <c r="H356" s="801"/>
      <c r="I356" s="887"/>
    </row>
    <row r="357" spans="2:9" ht="15" customHeight="1" x14ac:dyDescent="0.2">
      <c r="B357" s="771"/>
      <c r="C357" s="771"/>
      <c r="D357" s="771"/>
      <c r="E357" s="774"/>
      <c r="F357" s="1438"/>
      <c r="G357" s="1438"/>
      <c r="H357" s="801"/>
      <c r="I357" s="887"/>
    </row>
    <row r="358" spans="2:9" ht="15" customHeight="1" x14ac:dyDescent="0.2">
      <c r="B358" s="771"/>
      <c r="C358" s="771"/>
      <c r="D358" s="771"/>
      <c r="E358" s="774"/>
      <c r="F358" s="1438"/>
      <c r="G358" s="1438"/>
      <c r="H358" s="801"/>
      <c r="I358" s="887"/>
    </row>
    <row r="359" spans="2:9" ht="15" customHeight="1" x14ac:dyDescent="0.2">
      <c r="B359" s="771"/>
      <c r="C359" s="771"/>
      <c r="D359" s="771"/>
      <c r="E359" s="774"/>
      <c r="F359" s="1438"/>
      <c r="G359" s="1438"/>
      <c r="H359" s="801"/>
      <c r="I359" s="887"/>
    </row>
    <row r="360" spans="2:9" ht="15" customHeight="1" x14ac:dyDescent="0.2">
      <c r="B360" s="771"/>
      <c r="C360" s="771"/>
      <c r="D360" s="771"/>
      <c r="E360" s="774"/>
      <c r="F360" s="1438"/>
      <c r="G360" s="1438"/>
      <c r="H360" s="801"/>
      <c r="I360" s="887"/>
    </row>
    <row r="361" spans="2:9" ht="15" customHeight="1" x14ac:dyDescent="0.2">
      <c r="B361" s="771"/>
      <c r="C361" s="771"/>
      <c r="D361" s="771"/>
      <c r="E361" s="774"/>
      <c r="F361" s="1438"/>
      <c r="G361" s="1438"/>
      <c r="H361" s="801"/>
      <c r="I361" s="887"/>
    </row>
    <row r="362" spans="2:9" ht="15" customHeight="1" x14ac:dyDescent="0.2">
      <c r="B362" s="771"/>
      <c r="C362" s="771"/>
      <c r="D362" s="771"/>
      <c r="E362" s="774"/>
      <c r="F362" s="1438"/>
      <c r="G362" s="1438"/>
      <c r="H362" s="801"/>
      <c r="I362" s="887"/>
    </row>
    <row r="363" spans="2:9" ht="15" customHeight="1" x14ac:dyDescent="0.2">
      <c r="B363" s="771"/>
      <c r="C363" s="771"/>
      <c r="D363" s="771"/>
      <c r="E363" s="774"/>
      <c r="F363" s="1438"/>
      <c r="G363" s="1438"/>
      <c r="H363" s="801"/>
      <c r="I363" s="887"/>
    </row>
    <row r="364" spans="2:9" ht="15" customHeight="1" x14ac:dyDescent="0.2">
      <c r="B364" s="771"/>
      <c r="C364" s="771"/>
      <c r="D364" s="771"/>
      <c r="E364" s="774"/>
      <c r="F364" s="1438"/>
      <c r="G364" s="1438"/>
      <c r="H364" s="801"/>
      <c r="I364" s="887"/>
    </row>
    <row r="365" spans="2:9" ht="15" customHeight="1" x14ac:dyDescent="0.2">
      <c r="B365" s="771"/>
      <c r="C365" s="771"/>
      <c r="D365" s="771"/>
      <c r="E365" s="774"/>
      <c r="F365" s="1438"/>
      <c r="G365" s="1438"/>
      <c r="H365" s="801"/>
      <c r="I365" s="887"/>
    </row>
    <row r="366" spans="2:9" ht="15" customHeight="1" x14ac:dyDescent="0.2">
      <c r="B366" s="771"/>
      <c r="C366" s="771"/>
      <c r="D366" s="771"/>
      <c r="E366" s="774"/>
      <c r="F366" s="1438"/>
      <c r="G366" s="1438"/>
      <c r="H366" s="801"/>
      <c r="I366" s="887"/>
    </row>
    <row r="367" spans="2:9" ht="15" customHeight="1" x14ac:dyDescent="0.2">
      <c r="B367" s="771"/>
      <c r="C367" s="771"/>
      <c r="D367" s="771"/>
      <c r="E367" s="774"/>
      <c r="F367" s="1438"/>
      <c r="G367" s="1438"/>
      <c r="H367" s="801"/>
      <c r="I367" s="887"/>
    </row>
    <row r="368" spans="2:9" ht="15" customHeight="1" x14ac:dyDescent="0.2">
      <c r="B368" s="771"/>
      <c r="C368" s="771"/>
      <c r="D368" s="771"/>
      <c r="E368" s="774"/>
      <c r="F368" s="1438"/>
      <c r="G368" s="1438"/>
      <c r="H368" s="801"/>
      <c r="I368" s="887"/>
    </row>
    <row r="369" spans="2:9" ht="15" customHeight="1" x14ac:dyDescent="0.2">
      <c r="B369" s="771"/>
      <c r="C369" s="771"/>
      <c r="D369" s="771"/>
      <c r="E369" s="774"/>
      <c r="F369" s="1438"/>
      <c r="G369" s="1438"/>
      <c r="H369" s="801"/>
      <c r="I369" s="887"/>
    </row>
    <row r="370" spans="2:9" ht="15" customHeight="1" x14ac:dyDescent="0.2">
      <c r="B370" s="771"/>
      <c r="C370" s="771"/>
      <c r="D370" s="771"/>
      <c r="E370" s="774"/>
      <c r="F370" s="1438"/>
      <c r="G370" s="1438"/>
      <c r="H370" s="801"/>
      <c r="I370" s="887"/>
    </row>
    <row r="371" spans="2:9" ht="15" customHeight="1" x14ac:dyDescent="0.2">
      <c r="B371" s="771"/>
      <c r="C371" s="771"/>
      <c r="D371" s="771"/>
      <c r="E371" s="774"/>
      <c r="F371" s="1438"/>
      <c r="G371" s="1438"/>
      <c r="H371" s="801"/>
      <c r="I371" s="887"/>
    </row>
    <row r="372" spans="2:9" ht="15" customHeight="1" x14ac:dyDescent="0.2">
      <c r="B372" s="771"/>
      <c r="C372" s="771"/>
      <c r="D372" s="771"/>
      <c r="E372" s="774"/>
      <c r="F372" s="1438"/>
      <c r="G372" s="1438"/>
      <c r="H372" s="801"/>
      <c r="I372" s="887"/>
    </row>
    <row r="373" spans="2:9" ht="15" customHeight="1" x14ac:dyDescent="0.2">
      <c r="B373" s="771"/>
      <c r="C373" s="771"/>
      <c r="D373" s="771"/>
      <c r="E373" s="774"/>
      <c r="F373" s="1438"/>
      <c r="G373" s="1438"/>
      <c r="H373" s="801"/>
      <c r="I373" s="887"/>
    </row>
    <row r="374" spans="2:9" ht="15" customHeight="1" x14ac:dyDescent="0.2">
      <c r="B374" s="771"/>
      <c r="C374" s="771"/>
      <c r="D374" s="771"/>
      <c r="E374" s="774"/>
      <c r="F374" s="1438"/>
      <c r="G374" s="1438"/>
      <c r="H374" s="801"/>
      <c r="I374" s="887"/>
    </row>
    <row r="375" spans="2:9" ht="15" customHeight="1" x14ac:dyDescent="0.2">
      <c r="B375" s="771"/>
      <c r="C375" s="771"/>
      <c r="D375" s="771"/>
      <c r="E375" s="774"/>
      <c r="F375" s="1438"/>
      <c r="G375" s="1438"/>
      <c r="H375" s="801"/>
      <c r="I375" s="887"/>
    </row>
    <row r="376" spans="2:9" ht="15" customHeight="1" x14ac:dyDescent="0.2">
      <c r="B376" s="771"/>
      <c r="C376" s="771"/>
      <c r="D376" s="771"/>
      <c r="E376" s="774"/>
      <c r="F376" s="1438"/>
      <c r="G376" s="1438"/>
      <c r="H376" s="801"/>
      <c r="I376" s="887"/>
    </row>
    <row r="377" spans="2:9" ht="15" customHeight="1" x14ac:dyDescent="0.2">
      <c r="B377" s="771"/>
      <c r="C377" s="771"/>
      <c r="D377" s="771"/>
      <c r="E377" s="774"/>
      <c r="F377" s="1438"/>
      <c r="G377" s="1438"/>
      <c r="H377" s="801"/>
      <c r="I377" s="887"/>
    </row>
    <row r="378" spans="2:9" ht="15" customHeight="1" x14ac:dyDescent="0.2">
      <c r="B378" s="771"/>
      <c r="C378" s="771"/>
      <c r="D378" s="771"/>
      <c r="E378" s="774"/>
      <c r="F378" s="1438"/>
      <c r="G378" s="1438"/>
      <c r="H378" s="801"/>
      <c r="I378" s="887"/>
    </row>
    <row r="379" spans="2:9" ht="15" customHeight="1" x14ac:dyDescent="0.2">
      <c r="B379" s="771"/>
      <c r="C379" s="771"/>
      <c r="D379" s="771"/>
      <c r="E379" s="774"/>
      <c r="F379" s="1438"/>
      <c r="G379" s="1438"/>
      <c r="H379" s="801"/>
      <c r="I379" s="887"/>
    </row>
    <row r="380" spans="2:9" ht="15" customHeight="1" x14ac:dyDescent="0.2">
      <c r="B380" s="771"/>
      <c r="C380" s="771"/>
      <c r="D380" s="771"/>
      <c r="E380" s="774"/>
      <c r="F380" s="1438"/>
      <c r="G380" s="1438"/>
      <c r="H380" s="801"/>
      <c r="I380" s="887"/>
    </row>
    <row r="381" spans="2:9" ht="15" customHeight="1" x14ac:dyDescent="0.2">
      <c r="B381" s="771"/>
      <c r="C381" s="771"/>
      <c r="D381" s="771"/>
      <c r="E381" s="774"/>
      <c r="F381" s="1438"/>
      <c r="G381" s="1438"/>
      <c r="H381" s="801"/>
      <c r="I381" s="887"/>
    </row>
    <row r="382" spans="2:9" ht="15" customHeight="1" x14ac:dyDescent="0.2">
      <c r="B382" s="771"/>
      <c r="C382" s="771"/>
      <c r="D382" s="771"/>
      <c r="E382" s="774"/>
      <c r="F382" s="1438"/>
      <c r="G382" s="1438"/>
      <c r="H382" s="801"/>
      <c r="I382" s="887"/>
    </row>
    <row r="383" spans="2:9" ht="15" customHeight="1" x14ac:dyDescent="0.2">
      <c r="B383" s="771"/>
      <c r="C383" s="771"/>
      <c r="D383" s="771"/>
      <c r="E383" s="774"/>
      <c r="F383" s="1438"/>
      <c r="G383" s="1438"/>
      <c r="H383" s="801"/>
      <c r="I383" s="887"/>
    </row>
    <row r="384" spans="2:9" ht="15" customHeight="1" x14ac:dyDescent="0.2">
      <c r="B384" s="771"/>
      <c r="C384" s="771"/>
      <c r="D384" s="771"/>
      <c r="E384" s="774"/>
      <c r="F384" s="1438"/>
      <c r="G384" s="1438"/>
      <c r="H384" s="801"/>
      <c r="I384" s="887"/>
    </row>
    <row r="385" spans="2:9" ht="15" customHeight="1" x14ac:dyDescent="0.2">
      <c r="B385" s="771"/>
      <c r="C385" s="771"/>
      <c r="D385" s="771"/>
      <c r="E385" s="774"/>
      <c r="F385" s="1438"/>
      <c r="G385" s="1438"/>
      <c r="H385" s="801"/>
      <c r="I385" s="887"/>
    </row>
    <row r="386" spans="2:9" ht="15" customHeight="1" x14ac:dyDescent="0.2">
      <c r="B386" s="771"/>
      <c r="C386" s="771"/>
      <c r="D386" s="771"/>
      <c r="E386" s="774"/>
      <c r="F386" s="1438"/>
      <c r="G386" s="1438"/>
      <c r="H386" s="801"/>
      <c r="I386" s="887"/>
    </row>
    <row r="387" spans="2:9" ht="15" customHeight="1" x14ac:dyDescent="0.2">
      <c r="B387" s="771"/>
      <c r="C387" s="771"/>
      <c r="D387" s="771"/>
      <c r="E387" s="774"/>
      <c r="F387" s="1438"/>
      <c r="G387" s="1438"/>
      <c r="H387" s="801"/>
      <c r="I387" s="887"/>
    </row>
    <row r="388" spans="2:9" ht="15" customHeight="1" x14ac:dyDescent="0.2">
      <c r="B388" s="771"/>
      <c r="C388" s="771"/>
      <c r="D388" s="771"/>
      <c r="E388" s="774"/>
      <c r="F388" s="1438"/>
      <c r="G388" s="1438"/>
      <c r="H388" s="801"/>
      <c r="I388" s="887"/>
    </row>
    <row r="389" spans="2:9" ht="15" customHeight="1" x14ac:dyDescent="0.2">
      <c r="B389" s="771"/>
      <c r="C389" s="771"/>
      <c r="D389" s="771"/>
      <c r="E389" s="774"/>
      <c r="F389" s="1438"/>
      <c r="G389" s="1438"/>
      <c r="H389" s="801"/>
      <c r="I389" s="887"/>
    </row>
    <row r="390" spans="2:9" ht="15" customHeight="1" x14ac:dyDescent="0.2">
      <c r="B390" s="771"/>
      <c r="C390" s="771"/>
      <c r="D390" s="771"/>
      <c r="E390" s="774"/>
      <c r="F390" s="1438"/>
      <c r="G390" s="1438"/>
      <c r="H390" s="801"/>
      <c r="I390" s="887"/>
    </row>
    <row r="391" spans="2:9" ht="15" customHeight="1" x14ac:dyDescent="0.2">
      <c r="B391" s="771"/>
      <c r="C391" s="771"/>
      <c r="D391" s="771"/>
      <c r="E391" s="774"/>
      <c r="F391" s="1438"/>
      <c r="G391" s="1438"/>
      <c r="H391" s="801"/>
      <c r="I391" s="887"/>
    </row>
    <row r="392" spans="2:9" ht="15" customHeight="1" x14ac:dyDescent="0.2">
      <c r="B392" s="771"/>
      <c r="C392" s="771"/>
      <c r="D392" s="771"/>
      <c r="E392" s="774"/>
      <c r="F392" s="1438"/>
      <c r="G392" s="1438"/>
      <c r="H392" s="801"/>
      <c r="I392" s="887"/>
    </row>
    <row r="393" spans="2:9" ht="15" customHeight="1" x14ac:dyDescent="0.2">
      <c r="B393" s="771"/>
      <c r="C393" s="771"/>
      <c r="D393" s="771"/>
      <c r="E393" s="774"/>
      <c r="F393" s="1438"/>
      <c r="G393" s="1438"/>
      <c r="H393" s="801"/>
      <c r="I393" s="887"/>
    </row>
    <row r="394" spans="2:9" ht="15" customHeight="1" x14ac:dyDescent="0.2">
      <c r="B394" s="771"/>
      <c r="C394" s="771"/>
      <c r="D394" s="771"/>
      <c r="E394" s="774"/>
      <c r="F394" s="1438"/>
      <c r="G394" s="1438"/>
      <c r="H394" s="801"/>
      <c r="I394" s="887"/>
    </row>
    <row r="395" spans="2:9" ht="15" customHeight="1" x14ac:dyDescent="0.2">
      <c r="B395" s="771"/>
      <c r="C395" s="771"/>
      <c r="D395" s="771"/>
      <c r="E395" s="774"/>
      <c r="F395" s="1438"/>
      <c r="G395" s="1438"/>
      <c r="H395" s="801"/>
      <c r="I395" s="887"/>
    </row>
    <row r="396" spans="2:9" ht="15" customHeight="1" x14ac:dyDescent="0.2">
      <c r="B396" s="771"/>
      <c r="C396" s="771"/>
      <c r="D396" s="771"/>
      <c r="E396" s="774"/>
      <c r="F396" s="1438"/>
      <c r="G396" s="1438"/>
      <c r="H396" s="801"/>
      <c r="I396" s="887"/>
    </row>
    <row r="397" spans="2:9" ht="15" customHeight="1" x14ac:dyDescent="0.2">
      <c r="B397" s="771"/>
      <c r="C397" s="771"/>
      <c r="D397" s="771"/>
      <c r="E397" s="774"/>
      <c r="F397" s="1438"/>
      <c r="G397" s="1438"/>
      <c r="H397" s="801"/>
      <c r="I397" s="887"/>
    </row>
    <row r="398" spans="2:9" ht="15" customHeight="1" x14ac:dyDescent="0.2">
      <c r="B398" s="771"/>
      <c r="C398" s="771"/>
      <c r="D398" s="771"/>
      <c r="E398" s="774"/>
      <c r="F398" s="1438"/>
      <c r="G398" s="1438"/>
      <c r="H398" s="801"/>
      <c r="I398" s="887"/>
    </row>
    <row r="399" spans="2:9" ht="15" customHeight="1" x14ac:dyDescent="0.2">
      <c r="B399" s="771"/>
      <c r="C399" s="771"/>
      <c r="D399" s="771"/>
      <c r="E399" s="774"/>
      <c r="F399" s="1438"/>
      <c r="G399" s="1438"/>
      <c r="H399" s="801"/>
      <c r="I399" s="887"/>
    </row>
    <row r="400" spans="2:9" ht="15" customHeight="1" x14ac:dyDescent="0.2">
      <c r="B400" s="771"/>
      <c r="C400" s="771"/>
      <c r="D400" s="771"/>
      <c r="E400" s="774"/>
      <c r="F400" s="1438"/>
      <c r="G400" s="1438"/>
      <c r="H400" s="801"/>
      <c r="I400" s="887"/>
    </row>
    <row r="401" spans="2:9" ht="15" customHeight="1" x14ac:dyDescent="0.2">
      <c r="B401" s="771"/>
      <c r="C401" s="771"/>
      <c r="D401" s="771"/>
      <c r="E401" s="774"/>
      <c r="F401" s="1438"/>
      <c r="G401" s="1438"/>
      <c r="H401" s="801"/>
      <c r="I401" s="887"/>
    </row>
    <row r="402" spans="2:9" ht="15" customHeight="1" x14ac:dyDescent="0.2">
      <c r="B402" s="771"/>
      <c r="C402" s="771"/>
      <c r="D402" s="771"/>
      <c r="E402" s="774"/>
      <c r="F402" s="1438"/>
      <c r="G402" s="1438"/>
      <c r="H402" s="801"/>
      <c r="I402" s="887"/>
    </row>
    <row r="403" spans="2:9" ht="15" customHeight="1" x14ac:dyDescent="0.2">
      <c r="B403" s="771"/>
      <c r="C403" s="771"/>
      <c r="D403" s="771"/>
      <c r="E403" s="774"/>
      <c r="F403" s="1438"/>
      <c r="G403" s="1438"/>
      <c r="H403" s="801"/>
      <c r="I403" s="887"/>
    </row>
  </sheetData>
  <protectedRanges>
    <protectedRange sqref="C11 C27 C59 C73 C40 C105 C141 C169 C184 C205 C92 C127" name="Диапазон1"/>
    <protectedRange sqref="C159" name="Диапазон1_1"/>
  </protectedRanges>
  <mergeCells count="204">
    <mergeCell ref="M11:T11"/>
    <mergeCell ref="V11:AC11"/>
    <mergeCell ref="AE11:AL11"/>
    <mergeCell ref="AN11:AU11"/>
    <mergeCell ref="AW11:BD11"/>
    <mergeCell ref="BQ11:BR11"/>
    <mergeCell ref="A8:A9"/>
    <mergeCell ref="B8:H9"/>
    <mergeCell ref="C10:D10"/>
    <mergeCell ref="F10:I10"/>
    <mergeCell ref="I11:I12"/>
    <mergeCell ref="A12:A16"/>
    <mergeCell ref="B12:B21"/>
    <mergeCell ref="I13:I21"/>
    <mergeCell ref="AW27:BD27"/>
    <mergeCell ref="A28:A37"/>
    <mergeCell ref="B28:B37"/>
    <mergeCell ref="I29:I37"/>
    <mergeCell ref="F39:I39"/>
    <mergeCell ref="B41:B53"/>
    <mergeCell ref="I41:I53"/>
    <mergeCell ref="B24:H25"/>
    <mergeCell ref="I27:I28"/>
    <mergeCell ref="M27:T27"/>
    <mergeCell ref="V27:AC27"/>
    <mergeCell ref="AE27:AL27"/>
    <mergeCell ref="AN27:AU27"/>
    <mergeCell ref="D72:I72"/>
    <mergeCell ref="I73:I74"/>
    <mergeCell ref="A74:A84"/>
    <mergeCell ref="B74:B87"/>
    <mergeCell ref="I75:I87"/>
    <mergeCell ref="B89:H90"/>
    <mergeCell ref="B56:H57"/>
    <mergeCell ref="I59:I60"/>
    <mergeCell ref="A60:A70"/>
    <mergeCell ref="B60:B70"/>
    <mergeCell ref="I61:I70"/>
    <mergeCell ref="AW93:BD93"/>
    <mergeCell ref="A94:A102"/>
    <mergeCell ref="I94:I102"/>
    <mergeCell ref="BX95:BY95"/>
    <mergeCell ref="BX96:BY96"/>
    <mergeCell ref="D104:I104"/>
    <mergeCell ref="I92:I93"/>
    <mergeCell ref="B93:B102"/>
    <mergeCell ref="M93:T93"/>
    <mergeCell ref="V93:AC93"/>
    <mergeCell ref="AE93:AL93"/>
    <mergeCell ref="AN93:AU93"/>
    <mergeCell ref="A106:A118"/>
    <mergeCell ref="B106:B121"/>
    <mergeCell ref="I106:I121"/>
    <mergeCell ref="B124:H125"/>
    <mergeCell ref="C126:D126"/>
    <mergeCell ref="I127:I128"/>
    <mergeCell ref="B128:B138"/>
    <mergeCell ref="A129:A138"/>
    <mergeCell ref="I129:I138"/>
    <mergeCell ref="BI164:BM164"/>
    <mergeCell ref="B166:H167"/>
    <mergeCell ref="U159:AB159"/>
    <mergeCell ref="AD159:AK159"/>
    <mergeCell ref="AM159:AT159"/>
    <mergeCell ref="AV159:BC159"/>
    <mergeCell ref="M129:T129"/>
    <mergeCell ref="V129:AC129"/>
    <mergeCell ref="AE129:AL129"/>
    <mergeCell ref="AN129:AU129"/>
    <mergeCell ref="AW129:BD129"/>
    <mergeCell ref="D140:I140"/>
    <mergeCell ref="I169:I170"/>
    <mergeCell ref="B170:B181"/>
    <mergeCell ref="A171:A181"/>
    <mergeCell ref="I171:I181"/>
    <mergeCell ref="M172:T172"/>
    <mergeCell ref="V172:AC172"/>
    <mergeCell ref="I141:I142"/>
    <mergeCell ref="B142:B155"/>
    <mergeCell ref="A143:A152"/>
    <mergeCell ref="I143:I155"/>
    <mergeCell ref="D204:I204"/>
    <mergeCell ref="A206:A216"/>
    <mergeCell ref="B206:B222"/>
    <mergeCell ref="I206:I222"/>
    <mergeCell ref="S208:U208"/>
    <mergeCell ref="A225:E226"/>
    <mergeCell ref="AE172:AL172"/>
    <mergeCell ref="AN172:AU172"/>
    <mergeCell ref="AW172:BD172"/>
    <mergeCell ref="D183:I183"/>
    <mergeCell ref="A185:A196"/>
    <mergeCell ref="B185:B202"/>
    <mergeCell ref="I185:I202"/>
    <mergeCell ref="C230:D230"/>
    <mergeCell ref="F230:I230"/>
    <mergeCell ref="C231:D231"/>
    <mergeCell ref="F231:I231"/>
    <mergeCell ref="C232:D232"/>
    <mergeCell ref="F232:I232"/>
    <mergeCell ref="C227:D227"/>
    <mergeCell ref="F227:I227"/>
    <mergeCell ref="C228:D228"/>
    <mergeCell ref="F228:I228"/>
    <mergeCell ref="C229:D229"/>
    <mergeCell ref="F229:I229"/>
    <mergeCell ref="C236:D236"/>
    <mergeCell ref="F236:I236"/>
    <mergeCell ref="C237:D237"/>
    <mergeCell ref="F237:I237"/>
    <mergeCell ref="C238:D238"/>
    <mergeCell ref="F238:I238"/>
    <mergeCell ref="C233:D233"/>
    <mergeCell ref="F233:I233"/>
    <mergeCell ref="C234:D234"/>
    <mergeCell ref="F234:I234"/>
    <mergeCell ref="C235:D235"/>
    <mergeCell ref="F235:I235"/>
    <mergeCell ref="C242:D242"/>
    <mergeCell ref="F242:I242"/>
    <mergeCell ref="C243:D243"/>
    <mergeCell ref="F243:I243"/>
    <mergeCell ref="C244:D244"/>
    <mergeCell ref="F244:I244"/>
    <mergeCell ref="C239:D239"/>
    <mergeCell ref="F239:I239"/>
    <mergeCell ref="C240:D240"/>
    <mergeCell ref="F240:I240"/>
    <mergeCell ref="C241:D241"/>
    <mergeCell ref="F241:I241"/>
    <mergeCell ref="C248:D248"/>
    <mergeCell ref="F248:I248"/>
    <mergeCell ref="C249:D249"/>
    <mergeCell ref="F249:I249"/>
    <mergeCell ref="C250:D250"/>
    <mergeCell ref="F250:I250"/>
    <mergeCell ref="C245:D245"/>
    <mergeCell ref="F245:I245"/>
    <mergeCell ref="C246:D246"/>
    <mergeCell ref="F246:I246"/>
    <mergeCell ref="C247:D247"/>
    <mergeCell ref="F247:I247"/>
    <mergeCell ref="C254:D254"/>
    <mergeCell ref="F254:I254"/>
    <mergeCell ref="C255:D255"/>
    <mergeCell ref="F255:I255"/>
    <mergeCell ref="C256:D256"/>
    <mergeCell ref="F256:I256"/>
    <mergeCell ref="C251:D251"/>
    <mergeCell ref="F251:I251"/>
    <mergeCell ref="C252:D252"/>
    <mergeCell ref="F252:I252"/>
    <mergeCell ref="C253:D253"/>
    <mergeCell ref="F253:I253"/>
    <mergeCell ref="C260:D260"/>
    <mergeCell ref="F260:I260"/>
    <mergeCell ref="C261:D261"/>
    <mergeCell ref="F261:I261"/>
    <mergeCell ref="C262:D262"/>
    <mergeCell ref="F262:I262"/>
    <mergeCell ref="C257:D257"/>
    <mergeCell ref="F257:I257"/>
    <mergeCell ref="C258:D258"/>
    <mergeCell ref="F258:I258"/>
    <mergeCell ref="C259:D259"/>
    <mergeCell ref="F259:I259"/>
    <mergeCell ref="C271:D271"/>
    <mergeCell ref="F271:I271"/>
    <mergeCell ref="C266:D266"/>
    <mergeCell ref="F266:I266"/>
    <mergeCell ref="C267:D267"/>
    <mergeCell ref="F267:I267"/>
    <mergeCell ref="C268:D268"/>
    <mergeCell ref="F268:I268"/>
    <mergeCell ref="C263:D263"/>
    <mergeCell ref="F263:I263"/>
    <mergeCell ref="C264:D264"/>
    <mergeCell ref="F264:I264"/>
    <mergeCell ref="C265:D265"/>
    <mergeCell ref="F265:I265"/>
    <mergeCell ref="C278:D278"/>
    <mergeCell ref="F278:I278"/>
    <mergeCell ref="A2:G2"/>
    <mergeCell ref="B156:G157"/>
    <mergeCell ref="H159:H160"/>
    <mergeCell ref="L159:S159"/>
    <mergeCell ref="B160:B162"/>
    <mergeCell ref="H161:H162"/>
    <mergeCell ref="C275:D275"/>
    <mergeCell ref="F275:I275"/>
    <mergeCell ref="C276:D276"/>
    <mergeCell ref="F276:I276"/>
    <mergeCell ref="C277:D277"/>
    <mergeCell ref="F277:I277"/>
    <mergeCell ref="C272:D272"/>
    <mergeCell ref="F272:I272"/>
    <mergeCell ref="C273:D273"/>
    <mergeCell ref="F273:I273"/>
    <mergeCell ref="C274:D274"/>
    <mergeCell ref="F274:I274"/>
    <mergeCell ref="C269:D269"/>
    <mergeCell ref="F269:I269"/>
    <mergeCell ref="C270:D270"/>
    <mergeCell ref="F270:I270"/>
  </mergeCells>
  <conditionalFormatting sqref="D3">
    <cfRule type="cellIs" dxfId="46" priority="49" operator="equal">
      <formula>"Гавана Коричневый"</formula>
    </cfRule>
    <cfRule type="cellIs" dxfId="45" priority="50" operator="equal">
      <formula>$X$5</formula>
    </cfRule>
    <cfRule type="cellIs" priority="51" operator="equal">
      <formula>$X$5</formula>
    </cfRule>
    <cfRule type="cellIs" dxfId="44" priority="52" operator="equal">
      <formula>$X$4</formula>
    </cfRule>
    <cfRule type="cellIs" dxfId="43" priority="53" operator="equal">
      <formula>$X$3</formula>
    </cfRule>
  </conditionalFormatting>
  <conditionalFormatting sqref="CG13">
    <cfRule type="expression" dxfId="42" priority="54">
      <formula>$D$3=$X$5</formula>
    </cfRule>
  </conditionalFormatting>
  <conditionalFormatting sqref="CI11">
    <cfRule type="expression" dxfId="41" priority="55">
      <formula>$D$3=$X$3</formula>
    </cfRule>
  </conditionalFormatting>
  <conditionalFormatting sqref="CJ11">
    <cfRule type="expression" dxfId="40" priority="56">
      <formula>$D$3=$X$4</formula>
    </cfRule>
  </conditionalFormatting>
  <conditionalFormatting sqref="CH11 CH9">
    <cfRule type="expression" dxfId="39" priority="48">
      <formula>$D$3=$X$6</formula>
    </cfRule>
  </conditionalFormatting>
  <conditionalFormatting sqref="B164">
    <cfRule type="cellIs" dxfId="38" priority="47" operator="equal">
      <formula>$X$3</formula>
    </cfRule>
  </conditionalFormatting>
  <conditionalFormatting sqref="D4">
    <cfRule type="cellIs" dxfId="37" priority="42" operator="equal">
      <formula>"Гавана Коричневый"</formula>
    </cfRule>
    <cfRule type="cellIs" dxfId="36" priority="43" operator="equal">
      <formula>$X$5</formula>
    </cfRule>
    <cfRule type="cellIs" priority="44" operator="equal">
      <formula>$X$5</formula>
    </cfRule>
    <cfRule type="cellIs" dxfId="35" priority="45" operator="equal">
      <formula>$X$4</formula>
    </cfRule>
    <cfRule type="cellIs" dxfId="34" priority="46" operator="equal">
      <formula>$X$3</formula>
    </cfRule>
  </conditionalFormatting>
  <conditionalFormatting sqref="G1 G3:G9 E137:F138 E179:F181 E182:G185 E186:F194 E200:F202 G186:G202 E223:G224 E203:G206 E207:F214 E220:F222 G207:G222 E175:F177 E196:F198 E216:F218 E227 E279:G1048576 E228:F228 E229:E278 G11:G21 G27:G38 G40:G53 G23:G25 G55:G121 E55:F96 G123:G138 E140:G155 E163:F173 G163:G181">
    <cfRule type="cellIs" dxfId="33" priority="41" operator="equal">
      <formula>0</formula>
    </cfRule>
  </conditionalFormatting>
  <conditionalFormatting sqref="I1 F10 F39 I3:I9 F227 I279:I1048576 I40:I53 I11:I21 I23:I38 I55:I121 I123:I138 I140:I155 I163:I224">
    <cfRule type="cellIs" dxfId="32" priority="40" operator="equal">
      <formula>0</formula>
    </cfRule>
  </conditionalFormatting>
  <conditionalFormatting sqref="E1:F1 E50:F53 E103:F115 E99:F101 E123:F132 E118:F120 E135:F135 E3:F9 E40:F47 E39 E11:F21 E10 E23:F38">
    <cfRule type="cellIs" dxfId="31" priority="39" operator="equal">
      <formula>0</formula>
    </cfRule>
  </conditionalFormatting>
  <conditionalFormatting sqref="E48:F49">
    <cfRule type="cellIs" dxfId="30" priority="38" operator="equal">
      <formula>0</formula>
    </cfRule>
  </conditionalFormatting>
  <conditionalFormatting sqref="E102:F102">
    <cfRule type="cellIs" dxfId="29" priority="37" operator="equal">
      <formula>0</formula>
    </cfRule>
  </conditionalFormatting>
  <conditionalFormatting sqref="E97:F98">
    <cfRule type="cellIs" dxfId="28" priority="36" operator="equal">
      <formula>0</formula>
    </cfRule>
  </conditionalFormatting>
  <conditionalFormatting sqref="E121:F121">
    <cfRule type="cellIs" dxfId="27" priority="35" operator="equal">
      <formula>0</formula>
    </cfRule>
  </conditionalFormatting>
  <conditionalFormatting sqref="E116:F117">
    <cfRule type="cellIs" dxfId="26" priority="34" operator="equal">
      <formula>0</formula>
    </cfRule>
  </conditionalFormatting>
  <conditionalFormatting sqref="E136:F136">
    <cfRule type="cellIs" dxfId="25" priority="33" operator="equal">
      <formula>0</formula>
    </cfRule>
  </conditionalFormatting>
  <conditionalFormatting sqref="E133:F134">
    <cfRule type="cellIs" dxfId="24" priority="32" operator="equal">
      <formula>0</formula>
    </cfRule>
  </conditionalFormatting>
  <conditionalFormatting sqref="A225">
    <cfRule type="cellIs" dxfId="23" priority="21" operator="equal">
      <formula>$W$3</formula>
    </cfRule>
  </conditionalFormatting>
  <conditionalFormatting sqref="E178">
    <cfRule type="cellIs" dxfId="22" priority="30" operator="equal">
      <formula>0</formula>
    </cfRule>
  </conditionalFormatting>
  <conditionalFormatting sqref="F178">
    <cfRule type="cellIs" dxfId="21" priority="29" operator="equal">
      <formula>0</formula>
    </cfRule>
  </conditionalFormatting>
  <conditionalFormatting sqref="E199">
    <cfRule type="cellIs" dxfId="20" priority="28" operator="equal">
      <formula>0</formula>
    </cfRule>
  </conditionalFormatting>
  <conditionalFormatting sqref="F199">
    <cfRule type="cellIs" dxfId="19" priority="27" operator="equal">
      <formula>0</formula>
    </cfRule>
  </conditionalFormatting>
  <conditionalFormatting sqref="E219">
    <cfRule type="cellIs" dxfId="18" priority="26" operator="equal">
      <formula>0</formula>
    </cfRule>
  </conditionalFormatting>
  <conditionalFormatting sqref="F219">
    <cfRule type="cellIs" dxfId="17" priority="25" operator="equal">
      <formula>0</formula>
    </cfRule>
  </conditionalFormatting>
  <conditionalFormatting sqref="E174:F174">
    <cfRule type="cellIs" dxfId="16" priority="24" operator="equal">
      <formula>0</formula>
    </cfRule>
  </conditionalFormatting>
  <conditionalFormatting sqref="E195:F195">
    <cfRule type="cellIs" dxfId="15" priority="23" operator="equal">
      <formula>0</formula>
    </cfRule>
  </conditionalFormatting>
  <conditionalFormatting sqref="E215:F215">
    <cfRule type="cellIs" dxfId="14" priority="22" operator="equal">
      <formula>0</formula>
    </cfRule>
  </conditionalFormatting>
  <conditionalFormatting sqref="F229:F278">
    <cfRule type="cellIs" dxfId="13" priority="20" operator="equal">
      <formula>0</formula>
    </cfRule>
  </conditionalFormatting>
  <conditionalFormatting sqref="A2">
    <cfRule type="cellIs" dxfId="12" priority="19" operator="equal">
      <formula>$W$3</formula>
    </cfRule>
  </conditionalFormatting>
  <conditionalFormatting sqref="F2">
    <cfRule type="cellIs" dxfId="11" priority="18" operator="equal">
      <formula>0</formula>
    </cfRule>
  </conditionalFormatting>
  <conditionalFormatting sqref="F2">
    <cfRule type="expression" dxfId="10" priority="17">
      <formula>$B$7="Индивидуальная"</formula>
    </cfRule>
  </conditionalFormatting>
  <conditionalFormatting sqref="G2">
    <cfRule type="expression" dxfId="9" priority="16">
      <formula>$B$7="Индивидуальная"</formula>
    </cfRule>
  </conditionalFormatting>
  <conditionalFormatting sqref="G22">
    <cfRule type="cellIs" dxfId="8" priority="15" operator="equal">
      <formula>0</formula>
    </cfRule>
  </conditionalFormatting>
  <conditionalFormatting sqref="G54">
    <cfRule type="cellIs" dxfId="7" priority="12" operator="equal">
      <formula>0</formula>
    </cfRule>
  </conditionalFormatting>
  <conditionalFormatting sqref="G122">
    <cfRule type="cellIs" dxfId="6" priority="9" operator="equal">
      <formula>0</formula>
    </cfRule>
  </conditionalFormatting>
  <conditionalFormatting sqref="G139">
    <cfRule type="cellIs" dxfId="5" priority="6" operator="equal">
      <formula>0</formula>
    </cfRule>
  </conditionalFormatting>
  <conditionalFormatting sqref="G156:G162">
    <cfRule type="cellIs" dxfId="4" priority="3" operator="equal">
      <formula>0</formula>
    </cfRule>
  </conditionalFormatting>
  <conditionalFormatting sqref="G156:G162">
    <cfRule type="expression" dxfId="3" priority="2">
      <formula>$B$7="Индивидуальная"</formula>
    </cfRule>
  </conditionalFormatting>
  <conditionalFormatting sqref="H156:H162">
    <cfRule type="expression" dxfId="2" priority="1">
      <formula>$B$7="Индивидуальная"</formula>
    </cfRule>
  </conditionalFormatting>
  <dataValidations count="9">
    <dataValidation type="list" allowBlank="1" showInputMessage="1" showErrorMessage="1" sqref="C127" xr:uid="{00000000-0002-0000-2000-000000000000}">
      <formula1>IF(OR($D$4="Торговая",$D$4="Индивидуальная"),$L$137:$L$138,$L$133:$L$138)</formula1>
    </dataValidation>
    <dataValidation type="list" allowBlank="1" showInputMessage="1" showErrorMessage="1" sqref="C27 C92" xr:uid="{00000000-0002-0000-2000-000001000000}">
      <formula1>$AA$1:$AA$6</formula1>
    </dataValidation>
    <dataValidation type="list" allowBlank="1" showInputMessage="1" showErrorMessage="1" sqref="C11" xr:uid="{00000000-0002-0000-2000-000002000000}">
      <formula1>$AB$2:$AB$3</formula1>
    </dataValidation>
    <dataValidation type="list" allowBlank="1" showInputMessage="1" showErrorMessage="1" sqref="C141 C169" xr:uid="{00000000-0002-0000-2000-000003000000}">
      <formula1>$AA$5:$AA$6</formula1>
    </dataValidation>
    <dataValidation type="list" allowBlank="1" showInputMessage="1" showErrorMessage="1" sqref="D3" xr:uid="{00000000-0002-0000-2000-000004000000}">
      <formula1>$X$3:$X$6</formula1>
    </dataValidation>
    <dataValidation type="list" allowBlank="1" showInputMessage="1" showErrorMessage="1" sqref="C168 C58 C73" xr:uid="{00000000-0002-0000-2000-000005000000}">
      <formula1>$U$65:$U$68</formula1>
    </dataValidation>
    <dataValidation type="list" allowBlank="1" showInputMessage="1" showErrorMessage="1" sqref="C59" xr:uid="{00000000-0002-0000-2000-000006000000}">
      <formula1>$U$64:$U$68</formula1>
    </dataValidation>
    <dataValidation type="list" allowBlank="1" showInputMessage="1" showErrorMessage="1" sqref="C158" xr:uid="{00000000-0002-0000-2000-000007000000}">
      <formula1>$T$65:$T$68</formula1>
    </dataValidation>
    <dataValidation type="list" allowBlank="1" showInputMessage="1" showErrorMessage="1" sqref="C159" xr:uid="{00000000-0002-0000-2000-000008000000}">
      <formula1>$Z$3:$Z$4</formula1>
    </dataValidation>
  </dataValidations>
  <pageMargins left="0.7" right="0.7" top="0.75" bottom="0.75" header="0.3" footer="0.3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expression" priority="71" id="{EF9FD851-F3F4-47F8-96D4-15D3B7330604}">
            <xm:f>'[Книга2]12'!#REF!="Индивидуальная"</xm:f>
            <x14:dxf>
              <font>
                <color theme="0"/>
              </font>
            </x14:dxf>
          </x14:cfRule>
          <xm:sqref>G22 G54 G122 G139</xm:sqref>
        </x14:conditionalFormatting>
        <x14:conditionalFormatting xmlns:xm="http://schemas.microsoft.com/office/excel/2006/main">
          <x14:cfRule type="expression" priority="72" id="{48B9DF7C-0A6D-4E0C-A038-DE2830B34CAC}">
            <xm:f>'[Книга2]12'!#REF!="Индивидуальная"</xm:f>
            <x14:dxf>
              <font>
                <color theme="0" tint="-0.34998626667073579"/>
              </font>
            </x14:dxf>
          </x14:cfRule>
          <xm:sqref>H22 H54 H122 H139</xm:sqref>
        </x14:conditionalFormatting>
      </x14:conditionalFormattings>
    </ext>
  </extLst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100-000000000000}">
  <sheetPr codeName="Лист27"/>
  <dimension ref="A1:BK175"/>
  <sheetViews>
    <sheetView workbookViewId="0"/>
  </sheetViews>
  <sheetFormatPr defaultRowHeight="12.75" x14ac:dyDescent="0.2"/>
  <cols>
    <col min="2" max="2" width="30.140625" customWidth="1"/>
    <col min="3" max="3" width="8.5703125" bestFit="1" customWidth="1"/>
    <col min="4" max="4" width="40.42578125" style="10" bestFit="1" customWidth="1"/>
    <col min="5" max="5" width="5.5703125" customWidth="1"/>
    <col min="6" max="6" width="8.5703125" bestFit="1" customWidth="1"/>
    <col min="7" max="7" width="0" hidden="1" customWidth="1"/>
    <col min="9" max="9" width="41" style="771" bestFit="1" customWidth="1"/>
    <col min="10" max="63" width="9.140625" style="771"/>
  </cols>
  <sheetData>
    <row r="1" spans="1:8" ht="20.25" x14ac:dyDescent="0.2">
      <c r="A1" s="916"/>
      <c r="B1" s="2130" t="s">
        <v>4336</v>
      </c>
      <c r="C1" s="2130"/>
      <c r="D1" s="2130"/>
      <c r="E1" s="2130"/>
      <c r="F1" s="2130"/>
      <c r="G1" s="2130"/>
      <c r="H1" s="1169"/>
    </row>
    <row r="2" spans="1:8" ht="21" thickBot="1" x14ac:dyDescent="0.25">
      <c r="A2" s="916"/>
      <c r="B2" s="2130"/>
      <c r="C2" s="2130"/>
      <c r="D2" s="2130"/>
      <c r="E2" s="2130"/>
      <c r="F2" s="2130"/>
      <c r="G2" s="2130"/>
      <c r="H2" s="1169"/>
    </row>
    <row r="3" spans="1:8" x14ac:dyDescent="0.2">
      <c r="A3" s="916"/>
      <c r="B3" s="1255"/>
      <c r="C3" s="1214"/>
      <c r="D3" s="2175"/>
      <c r="E3" s="2175"/>
      <c r="F3" s="2175"/>
      <c r="G3" s="2175"/>
      <c r="H3" s="1215"/>
    </row>
    <row r="4" spans="1:8" ht="15.75" thickBot="1" x14ac:dyDescent="0.25">
      <c r="A4" s="916"/>
      <c r="B4" s="1209" t="s">
        <v>1639</v>
      </c>
      <c r="C4" s="1231">
        <v>500</v>
      </c>
      <c r="D4" s="1210" t="s">
        <v>1689</v>
      </c>
      <c r="E4" s="1211"/>
      <c r="F4" s="1212"/>
      <c r="G4" s="1213"/>
      <c r="H4" s="1208" t="str">
        <f>IF(СОДЕРЖАНИЕ!P2=1,"EUR","RUB")</f>
        <v>RUB</v>
      </c>
    </row>
    <row r="5" spans="1:8" ht="11.25" customHeight="1" x14ac:dyDescent="0.2">
      <c r="A5" s="916"/>
      <c r="B5" s="2234"/>
      <c r="C5" s="1174" t="s">
        <v>1301</v>
      </c>
      <c r="D5" s="1460" t="s">
        <v>784</v>
      </c>
      <c r="E5" s="1461" t="s">
        <v>2117</v>
      </c>
      <c r="F5" s="1462"/>
      <c r="G5" s="1463" t="s">
        <v>2116</v>
      </c>
      <c r="H5" s="1235"/>
    </row>
    <row r="6" spans="1:8" x14ac:dyDescent="0.2">
      <c r="A6" s="916"/>
      <c r="B6" s="2234"/>
      <c r="C6" s="1401" t="s">
        <v>3193</v>
      </c>
      <c r="D6" s="1401" t="s">
        <v>3194</v>
      </c>
      <c r="E6" s="1464">
        <v>1</v>
      </c>
      <c r="F6" s="1465">
        <f t="shared" ref="F6:F13" si="0">VLOOKUP(C6,всецены,4,FALSE)</f>
        <v>213.8748612</v>
      </c>
      <c r="G6" s="1466">
        <f t="shared" ref="G6:G13" si="1">F6*E6</f>
        <v>213.8748612</v>
      </c>
      <c r="H6" s="2162">
        <f>SUM(G6:G13)</f>
        <v>3878.2099356000008</v>
      </c>
    </row>
    <row r="7" spans="1:8" x14ac:dyDescent="0.2">
      <c r="A7" s="916"/>
      <c r="B7" s="2234"/>
      <c r="C7" s="1401" t="s">
        <v>3195</v>
      </c>
      <c r="D7" s="1401" t="s">
        <v>3196</v>
      </c>
      <c r="E7" s="1464">
        <v>1</v>
      </c>
      <c r="F7" s="1465">
        <f t="shared" si="0"/>
        <v>213.8748612</v>
      </c>
      <c r="G7" s="1466">
        <f t="shared" si="1"/>
        <v>213.8748612</v>
      </c>
      <c r="H7" s="2162"/>
    </row>
    <row r="8" spans="1:8" x14ac:dyDescent="0.2">
      <c r="A8" s="916"/>
      <c r="B8" s="2234"/>
      <c r="C8" s="1401" t="s">
        <v>9</v>
      </c>
      <c r="D8" s="1401" t="s">
        <v>10</v>
      </c>
      <c r="E8" s="1464">
        <v>1</v>
      </c>
      <c r="F8" s="1465">
        <f t="shared" si="0"/>
        <v>95.959063200000003</v>
      </c>
      <c r="G8" s="1466">
        <f t="shared" si="1"/>
        <v>95.959063200000003</v>
      </c>
      <c r="H8" s="2162"/>
    </row>
    <row r="9" spans="1:8" x14ac:dyDescent="0.2">
      <c r="A9" s="916"/>
      <c r="B9" s="2234"/>
      <c r="C9" s="1401" t="s">
        <v>11</v>
      </c>
      <c r="D9" s="1401" t="s">
        <v>12</v>
      </c>
      <c r="E9" s="1464">
        <v>1</v>
      </c>
      <c r="F9" s="1465">
        <f t="shared" si="0"/>
        <v>95.959063200000003</v>
      </c>
      <c r="G9" s="1466">
        <f t="shared" si="1"/>
        <v>95.959063200000003</v>
      </c>
      <c r="H9" s="2162"/>
    </row>
    <row r="10" spans="1:8" x14ac:dyDescent="0.2">
      <c r="A10" s="916"/>
      <c r="B10" s="2234"/>
      <c r="C10" s="1401" t="s">
        <v>2879</v>
      </c>
      <c r="D10" s="1401" t="s">
        <v>2880</v>
      </c>
      <c r="E10" s="1464">
        <v>1</v>
      </c>
      <c r="F10" s="1465">
        <f t="shared" si="0"/>
        <v>1711.8121020000003</v>
      </c>
      <c r="G10" s="1466">
        <f t="shared" si="1"/>
        <v>1711.8121020000003</v>
      </c>
      <c r="H10" s="2162"/>
    </row>
    <row r="11" spans="1:8" x14ac:dyDescent="0.2">
      <c r="A11" s="916"/>
      <c r="B11" s="2234"/>
      <c r="C11" s="1401" t="s">
        <v>3815</v>
      </c>
      <c r="D11" s="1401" t="s">
        <v>3816</v>
      </c>
      <c r="E11" s="1464">
        <v>1</v>
      </c>
      <c r="F11" s="1465">
        <f t="shared" si="0"/>
        <v>764.41965600000003</v>
      </c>
      <c r="G11" s="1466">
        <f t="shared" si="1"/>
        <v>764.41965600000003</v>
      </c>
      <c r="H11" s="2162"/>
    </row>
    <row r="12" spans="1:8" x14ac:dyDescent="0.2">
      <c r="A12" s="916"/>
      <c r="B12" s="2234"/>
      <c r="C12" s="1401" t="s">
        <v>3813</v>
      </c>
      <c r="D12" s="1401" t="s">
        <v>3814</v>
      </c>
      <c r="E12" s="1464">
        <v>1</v>
      </c>
      <c r="F12" s="1465">
        <f t="shared" si="0"/>
        <v>764.41965600000003</v>
      </c>
      <c r="G12" s="1466">
        <f t="shared" si="1"/>
        <v>764.41965600000003</v>
      </c>
      <c r="H12" s="2162"/>
    </row>
    <row r="13" spans="1:8" ht="13.5" thickBot="1" x14ac:dyDescent="0.25">
      <c r="A13" s="771"/>
      <c r="B13" s="2158"/>
      <c r="C13" s="1467" t="s">
        <v>299</v>
      </c>
      <c r="D13" s="1467" t="s">
        <v>1638</v>
      </c>
      <c r="E13" s="1468">
        <v>2</v>
      </c>
      <c r="F13" s="1469">
        <f t="shared" si="0"/>
        <v>8.9453364000000004</v>
      </c>
      <c r="G13" s="1470">
        <f t="shared" si="1"/>
        <v>17.890672800000001</v>
      </c>
      <c r="H13" s="2163"/>
    </row>
    <row r="14" spans="1:8" s="771" customFormat="1" x14ac:dyDescent="0.2">
      <c r="D14" s="774"/>
    </row>
    <row r="15" spans="1:8" ht="20.25" x14ac:dyDescent="0.2">
      <c r="A15" s="916"/>
      <c r="B15" s="2130" t="s">
        <v>4337</v>
      </c>
      <c r="C15" s="2130"/>
      <c r="D15" s="2130"/>
      <c r="E15" s="2130"/>
      <c r="F15" s="2130"/>
      <c r="G15" s="2130"/>
      <c r="H15" s="1169"/>
    </row>
    <row r="16" spans="1:8" ht="21" thickBot="1" x14ac:dyDescent="0.25">
      <c r="A16" s="916"/>
      <c r="B16" s="2130"/>
      <c r="C16" s="2130"/>
      <c r="D16" s="2130"/>
      <c r="E16" s="2130"/>
      <c r="F16" s="2130"/>
      <c r="G16" s="2130"/>
      <c r="H16" s="1169"/>
    </row>
    <row r="17" spans="1:63" x14ac:dyDescent="0.2">
      <c r="A17" s="916"/>
      <c r="B17" s="1255"/>
      <c r="C17" s="1214"/>
      <c r="D17" s="2175"/>
      <c r="E17" s="2175"/>
      <c r="F17" s="2175"/>
      <c r="G17" s="2175"/>
      <c r="H17" s="1215"/>
    </row>
    <row r="18" spans="1:63" ht="15.75" thickBot="1" x14ac:dyDescent="0.25">
      <c r="A18" s="916"/>
      <c r="B18" s="1209" t="s">
        <v>1639</v>
      </c>
      <c r="C18" s="1231">
        <v>500</v>
      </c>
      <c r="D18" s="1210" t="s">
        <v>1689</v>
      </c>
      <c r="E18" s="1211"/>
      <c r="F18" s="1212"/>
      <c r="G18" s="1213"/>
      <c r="H18" s="1208" t="str">
        <f>IF(СОДЕРЖАНИЕ!P2=1,"EUR","RUB")</f>
        <v>RUB</v>
      </c>
    </row>
    <row r="19" spans="1:63" x14ac:dyDescent="0.2">
      <c r="A19" s="916"/>
      <c r="B19" s="2234"/>
      <c r="C19" s="1174" t="s">
        <v>1301</v>
      </c>
      <c r="D19" s="1460" t="s">
        <v>784</v>
      </c>
      <c r="E19" s="1461" t="s">
        <v>2117</v>
      </c>
      <c r="F19" s="1462"/>
      <c r="G19" s="1463" t="s">
        <v>2116</v>
      </c>
      <c r="H19" s="1235"/>
    </row>
    <row r="20" spans="1:63" x14ac:dyDescent="0.2">
      <c r="A20" s="916"/>
      <c r="B20" s="2234"/>
      <c r="C20" s="1401" t="s">
        <v>3189</v>
      </c>
      <c r="D20" s="1401" t="s">
        <v>3190</v>
      </c>
      <c r="E20" s="1464">
        <v>1</v>
      </c>
      <c r="F20" s="1465">
        <f t="shared" ref="F20:F29" si="2">VLOOKUP(C20,всецены,4,FALSE)</f>
        <v>309.8339244</v>
      </c>
      <c r="G20" s="1466">
        <f t="shared" ref="G20:G29" si="3">F20*E20</f>
        <v>309.8339244</v>
      </c>
      <c r="H20" s="2162">
        <f>SUM(G20:G29)</f>
        <v>6296.7036132000012</v>
      </c>
    </row>
    <row r="21" spans="1:63" x14ac:dyDescent="0.2">
      <c r="A21" s="916"/>
      <c r="B21" s="2234"/>
      <c r="C21" s="1401" t="s">
        <v>3191</v>
      </c>
      <c r="D21" s="1401" t="s">
        <v>3192</v>
      </c>
      <c r="E21" s="1464">
        <v>1</v>
      </c>
      <c r="F21" s="1465">
        <f t="shared" si="2"/>
        <v>309.8339244</v>
      </c>
      <c r="G21" s="1466">
        <f t="shared" si="3"/>
        <v>309.8339244</v>
      </c>
      <c r="H21" s="2162"/>
    </row>
    <row r="22" spans="1:63" s="1436" customFormat="1" x14ac:dyDescent="0.2">
      <c r="A22" s="916"/>
      <c r="B22" s="2234"/>
      <c r="C22" s="1401" t="s">
        <v>13</v>
      </c>
      <c r="D22" s="1401" t="s">
        <v>14</v>
      </c>
      <c r="E22" s="1464">
        <v>1</v>
      </c>
      <c r="F22" s="1465">
        <f t="shared" si="2"/>
        <v>158.57641799999999</v>
      </c>
      <c r="G22" s="1466">
        <f t="shared" si="3"/>
        <v>158.57641799999999</v>
      </c>
      <c r="H22" s="2162"/>
      <c r="I22" s="771"/>
      <c r="J22" s="771"/>
      <c r="K22" s="771"/>
      <c r="L22" s="771"/>
      <c r="M22" s="771"/>
      <c r="N22" s="771"/>
      <c r="O22" s="771"/>
      <c r="P22" s="771"/>
      <c r="Q22" s="771"/>
      <c r="R22" s="771"/>
      <c r="S22" s="771"/>
      <c r="T22" s="771"/>
      <c r="U22" s="771"/>
      <c r="V22" s="771"/>
      <c r="W22" s="771"/>
      <c r="X22" s="771"/>
      <c r="Y22" s="771"/>
      <c r="Z22" s="771"/>
      <c r="AA22" s="771"/>
      <c r="AB22" s="771"/>
      <c r="AC22" s="771"/>
      <c r="AD22" s="771"/>
      <c r="AE22" s="771"/>
      <c r="AF22" s="771"/>
      <c r="AG22" s="771"/>
      <c r="AH22" s="771"/>
      <c r="AI22" s="771"/>
      <c r="AJ22" s="771"/>
      <c r="AK22" s="771"/>
      <c r="AL22" s="771"/>
      <c r="AM22" s="771"/>
      <c r="AN22" s="771"/>
      <c r="AO22" s="771"/>
      <c r="AP22" s="771"/>
      <c r="AQ22" s="771"/>
      <c r="AR22" s="771"/>
      <c r="AS22" s="771"/>
      <c r="AT22" s="771"/>
      <c r="AU22" s="771"/>
      <c r="AV22" s="771"/>
      <c r="AW22" s="771"/>
      <c r="AX22" s="771"/>
      <c r="AY22" s="771"/>
      <c r="AZ22" s="771"/>
      <c r="BA22" s="771"/>
      <c r="BB22" s="771"/>
      <c r="BC22" s="771"/>
      <c r="BD22" s="771"/>
      <c r="BE22" s="771"/>
      <c r="BF22" s="771"/>
      <c r="BG22" s="771"/>
      <c r="BH22" s="771"/>
      <c r="BI22" s="771"/>
      <c r="BJ22" s="771"/>
      <c r="BK22" s="771"/>
    </row>
    <row r="23" spans="1:63" s="1436" customFormat="1" x14ac:dyDescent="0.2">
      <c r="A23" s="916"/>
      <c r="B23" s="2234"/>
      <c r="C23" s="1401" t="s">
        <v>15</v>
      </c>
      <c r="D23" s="1401" t="s">
        <v>16</v>
      </c>
      <c r="E23" s="1464">
        <v>1</v>
      </c>
      <c r="F23" s="1465">
        <f t="shared" si="2"/>
        <v>158.57641799999999</v>
      </c>
      <c r="G23" s="1466">
        <f t="shared" si="3"/>
        <v>158.57641799999999</v>
      </c>
      <c r="H23" s="2162"/>
      <c r="I23" s="771"/>
      <c r="J23" s="771"/>
      <c r="K23" s="771"/>
      <c r="L23" s="771"/>
      <c r="M23" s="771"/>
      <c r="N23" s="771"/>
      <c r="O23" s="771"/>
      <c r="P23" s="771"/>
      <c r="Q23" s="771"/>
      <c r="R23" s="771"/>
      <c r="S23" s="771"/>
      <c r="T23" s="771"/>
      <c r="U23" s="771"/>
      <c r="V23" s="771"/>
      <c r="W23" s="771"/>
      <c r="X23" s="771"/>
      <c r="Y23" s="771"/>
      <c r="Z23" s="771"/>
      <c r="AA23" s="771"/>
      <c r="AB23" s="771"/>
      <c r="AC23" s="771"/>
      <c r="AD23" s="771"/>
      <c r="AE23" s="771"/>
      <c r="AF23" s="771"/>
      <c r="AG23" s="771"/>
      <c r="AH23" s="771"/>
      <c r="AI23" s="771"/>
      <c r="AJ23" s="771"/>
      <c r="AK23" s="771"/>
      <c r="AL23" s="771"/>
      <c r="AM23" s="771"/>
      <c r="AN23" s="771"/>
      <c r="AO23" s="771"/>
      <c r="AP23" s="771"/>
      <c r="AQ23" s="771"/>
      <c r="AR23" s="771"/>
      <c r="AS23" s="771"/>
      <c r="AT23" s="771"/>
      <c r="AU23" s="771"/>
      <c r="AV23" s="771"/>
      <c r="AW23" s="771"/>
      <c r="AX23" s="771"/>
      <c r="AY23" s="771"/>
      <c r="AZ23" s="771"/>
      <c r="BA23" s="771"/>
      <c r="BB23" s="771"/>
      <c r="BC23" s="771"/>
      <c r="BD23" s="771"/>
      <c r="BE23" s="771"/>
      <c r="BF23" s="771"/>
      <c r="BG23" s="771"/>
      <c r="BH23" s="771"/>
      <c r="BI23" s="771"/>
      <c r="BJ23" s="771"/>
      <c r="BK23" s="771"/>
    </row>
    <row r="24" spans="1:63" s="1436" customFormat="1" x14ac:dyDescent="0.2">
      <c r="A24" s="916"/>
      <c r="B24" s="2234"/>
      <c r="C24" s="1401" t="s">
        <v>2879</v>
      </c>
      <c r="D24" s="1401" t="s">
        <v>2880</v>
      </c>
      <c r="E24" s="1464">
        <v>1</v>
      </c>
      <c r="F24" s="1465">
        <f t="shared" si="2"/>
        <v>1711.8121020000003</v>
      </c>
      <c r="G24" s="1466">
        <f t="shared" si="3"/>
        <v>1711.8121020000003</v>
      </c>
      <c r="H24" s="2162"/>
      <c r="I24" s="771"/>
      <c r="J24" s="771"/>
      <c r="K24" s="771"/>
      <c r="L24" s="771"/>
      <c r="M24" s="771"/>
      <c r="N24" s="771"/>
      <c r="O24" s="771"/>
      <c r="P24" s="771"/>
      <c r="Q24" s="771"/>
      <c r="R24" s="771"/>
      <c r="S24" s="771"/>
      <c r="T24" s="771"/>
      <c r="U24" s="771"/>
      <c r="V24" s="771"/>
      <c r="W24" s="771"/>
      <c r="X24" s="771"/>
      <c r="Y24" s="771"/>
      <c r="Z24" s="771"/>
      <c r="AA24" s="771"/>
      <c r="AB24" s="771"/>
      <c r="AC24" s="771"/>
      <c r="AD24" s="771"/>
      <c r="AE24" s="771"/>
      <c r="AF24" s="771"/>
      <c r="AG24" s="771"/>
      <c r="AH24" s="771"/>
      <c r="AI24" s="771"/>
      <c r="AJ24" s="771"/>
      <c r="AK24" s="771"/>
      <c r="AL24" s="771"/>
      <c r="AM24" s="771"/>
      <c r="AN24" s="771"/>
      <c r="AO24" s="771"/>
      <c r="AP24" s="771"/>
      <c r="AQ24" s="771"/>
      <c r="AR24" s="771"/>
      <c r="AS24" s="771"/>
      <c r="AT24" s="771"/>
      <c r="AU24" s="771"/>
      <c r="AV24" s="771"/>
      <c r="AW24" s="771"/>
      <c r="AX24" s="771"/>
      <c r="AY24" s="771"/>
      <c r="AZ24" s="771"/>
      <c r="BA24" s="771"/>
      <c r="BB24" s="771"/>
      <c r="BC24" s="771"/>
      <c r="BD24" s="771"/>
      <c r="BE24" s="771"/>
      <c r="BF24" s="771"/>
      <c r="BG24" s="771"/>
      <c r="BH24" s="771"/>
      <c r="BI24" s="771"/>
      <c r="BJ24" s="771"/>
      <c r="BK24" s="771"/>
    </row>
    <row r="25" spans="1:63" s="1436" customFormat="1" x14ac:dyDescent="0.2">
      <c r="A25" s="916"/>
      <c r="B25" s="2234"/>
      <c r="C25" s="1401" t="s">
        <v>3815</v>
      </c>
      <c r="D25" s="1401" t="s">
        <v>3816</v>
      </c>
      <c r="E25" s="1464">
        <v>1</v>
      </c>
      <c r="F25" s="1465">
        <f t="shared" si="2"/>
        <v>764.41965600000003</v>
      </c>
      <c r="G25" s="1466">
        <f t="shared" si="3"/>
        <v>764.41965600000003</v>
      </c>
      <c r="H25" s="2162"/>
      <c r="I25" s="771"/>
      <c r="J25" s="771"/>
      <c r="K25" s="771"/>
      <c r="L25" s="771"/>
      <c r="M25" s="771"/>
      <c r="N25" s="771"/>
      <c r="O25" s="771"/>
      <c r="P25" s="771"/>
      <c r="Q25" s="771"/>
      <c r="R25" s="771"/>
      <c r="S25" s="771"/>
      <c r="T25" s="771"/>
      <c r="U25" s="771"/>
      <c r="V25" s="771"/>
      <c r="W25" s="771"/>
      <c r="X25" s="771"/>
      <c r="Y25" s="771"/>
      <c r="Z25" s="771"/>
      <c r="AA25" s="771"/>
      <c r="AB25" s="771"/>
      <c r="AC25" s="771"/>
      <c r="AD25" s="771"/>
      <c r="AE25" s="771"/>
      <c r="AF25" s="771"/>
      <c r="AG25" s="771"/>
      <c r="AH25" s="771"/>
      <c r="AI25" s="771"/>
      <c r="AJ25" s="771"/>
      <c r="AK25" s="771"/>
      <c r="AL25" s="771"/>
      <c r="AM25" s="771"/>
      <c r="AN25" s="771"/>
      <c r="AO25" s="771"/>
      <c r="AP25" s="771"/>
      <c r="AQ25" s="771"/>
      <c r="AR25" s="771"/>
      <c r="AS25" s="771"/>
      <c r="AT25" s="771"/>
      <c r="AU25" s="771"/>
      <c r="AV25" s="771"/>
      <c r="AW25" s="771"/>
      <c r="AX25" s="771"/>
      <c r="AY25" s="771"/>
      <c r="AZ25" s="771"/>
      <c r="BA25" s="771"/>
      <c r="BB25" s="771"/>
      <c r="BC25" s="771"/>
      <c r="BD25" s="771"/>
      <c r="BE25" s="771"/>
      <c r="BF25" s="771"/>
      <c r="BG25" s="771"/>
      <c r="BH25" s="771"/>
      <c r="BI25" s="771"/>
      <c r="BJ25" s="771"/>
      <c r="BK25" s="771"/>
    </row>
    <row r="26" spans="1:63" s="1436" customFormat="1" x14ac:dyDescent="0.2">
      <c r="A26" s="916"/>
      <c r="B26" s="2234"/>
      <c r="C26" s="1401" t="s">
        <v>3813</v>
      </c>
      <c r="D26" s="1401" t="s">
        <v>3814</v>
      </c>
      <c r="E26" s="1464">
        <v>1</v>
      </c>
      <c r="F26" s="1465">
        <f t="shared" si="2"/>
        <v>764.41965600000003</v>
      </c>
      <c r="G26" s="1466">
        <f t="shared" si="3"/>
        <v>764.41965600000003</v>
      </c>
      <c r="H26" s="2162"/>
      <c r="I26" s="771"/>
      <c r="J26" s="771"/>
      <c r="K26" s="771"/>
      <c r="L26" s="771"/>
      <c r="M26" s="771"/>
      <c r="N26" s="771"/>
      <c r="O26" s="771"/>
      <c r="P26" s="771"/>
      <c r="Q26" s="771"/>
      <c r="R26" s="771"/>
      <c r="S26" s="771"/>
      <c r="T26" s="771"/>
      <c r="U26" s="771"/>
      <c r="V26" s="771"/>
      <c r="W26" s="771"/>
      <c r="X26" s="771"/>
      <c r="Y26" s="771"/>
      <c r="Z26" s="771"/>
      <c r="AA26" s="771"/>
      <c r="AB26" s="771"/>
      <c r="AC26" s="771"/>
      <c r="AD26" s="771"/>
      <c r="AE26" s="771"/>
      <c r="AF26" s="771"/>
      <c r="AG26" s="771"/>
      <c r="AH26" s="771"/>
      <c r="AI26" s="771"/>
      <c r="AJ26" s="771"/>
      <c r="AK26" s="771"/>
      <c r="AL26" s="771"/>
      <c r="AM26" s="771"/>
      <c r="AN26" s="771"/>
      <c r="AO26" s="771"/>
      <c r="AP26" s="771"/>
      <c r="AQ26" s="771"/>
      <c r="AR26" s="771"/>
      <c r="AS26" s="771"/>
      <c r="AT26" s="771"/>
      <c r="AU26" s="771"/>
      <c r="AV26" s="771"/>
      <c r="AW26" s="771"/>
      <c r="AX26" s="771"/>
      <c r="AY26" s="771"/>
      <c r="AZ26" s="771"/>
      <c r="BA26" s="771"/>
      <c r="BB26" s="771"/>
      <c r="BC26" s="771"/>
      <c r="BD26" s="771"/>
      <c r="BE26" s="771"/>
      <c r="BF26" s="771"/>
      <c r="BG26" s="771"/>
      <c r="BH26" s="771"/>
      <c r="BI26" s="771"/>
      <c r="BJ26" s="771"/>
      <c r="BK26" s="771"/>
    </row>
    <row r="27" spans="1:63" s="1436" customFormat="1" x14ac:dyDescent="0.2">
      <c r="A27" s="916"/>
      <c r="B27" s="2234"/>
      <c r="C27" s="1401" t="s">
        <v>129</v>
      </c>
      <c r="D27" s="1401" t="s">
        <v>1551</v>
      </c>
      <c r="E27" s="1464">
        <v>2</v>
      </c>
      <c r="F27" s="1465">
        <f t="shared" si="2"/>
        <v>197.61061320000002</v>
      </c>
      <c r="G27" s="1466">
        <f t="shared" si="3"/>
        <v>395.22122640000003</v>
      </c>
      <c r="H27" s="2162"/>
      <c r="I27" s="771"/>
      <c r="J27" s="771"/>
      <c r="K27" s="771"/>
      <c r="L27" s="771"/>
      <c r="M27" s="771"/>
      <c r="N27" s="771"/>
      <c r="O27" s="771"/>
      <c r="P27" s="771"/>
      <c r="Q27" s="771"/>
      <c r="R27" s="771"/>
      <c r="S27" s="771"/>
      <c r="T27" s="771"/>
      <c r="U27" s="771"/>
      <c r="V27" s="771"/>
      <c r="W27" s="771"/>
      <c r="X27" s="771"/>
      <c r="Y27" s="771"/>
      <c r="Z27" s="771"/>
      <c r="AA27" s="771"/>
      <c r="AB27" s="771"/>
      <c r="AC27" s="771"/>
      <c r="AD27" s="771"/>
      <c r="AE27" s="771"/>
      <c r="AF27" s="771"/>
      <c r="AG27" s="771"/>
      <c r="AH27" s="771"/>
      <c r="AI27" s="771"/>
      <c r="AJ27" s="771"/>
      <c r="AK27" s="771"/>
      <c r="AL27" s="771"/>
      <c r="AM27" s="771"/>
      <c r="AN27" s="771"/>
      <c r="AO27" s="771"/>
      <c r="AP27" s="771"/>
      <c r="AQ27" s="771"/>
      <c r="AR27" s="771"/>
      <c r="AS27" s="771"/>
      <c r="AT27" s="771"/>
      <c r="AU27" s="771"/>
      <c r="AV27" s="771"/>
      <c r="AW27" s="771"/>
      <c r="AX27" s="771"/>
      <c r="AY27" s="771"/>
      <c r="AZ27" s="771"/>
      <c r="BA27" s="771"/>
      <c r="BB27" s="771"/>
      <c r="BC27" s="771"/>
      <c r="BD27" s="771"/>
      <c r="BE27" s="771"/>
      <c r="BF27" s="771"/>
      <c r="BG27" s="771"/>
      <c r="BH27" s="771"/>
      <c r="BI27" s="771"/>
      <c r="BJ27" s="771"/>
      <c r="BK27" s="771"/>
    </row>
    <row r="28" spans="1:63" x14ac:dyDescent="0.2">
      <c r="A28" s="916"/>
      <c r="B28" s="2234"/>
      <c r="C28" s="1401" t="s">
        <v>131</v>
      </c>
      <c r="D28" s="1401" t="s">
        <v>670</v>
      </c>
      <c r="E28" s="1464">
        <v>1</v>
      </c>
      <c r="F28" s="1465">
        <f t="shared" si="2"/>
        <v>1706.1196152</v>
      </c>
      <c r="G28" s="1466">
        <f t="shared" si="3"/>
        <v>1706.1196152</v>
      </c>
      <c r="H28" s="2162"/>
    </row>
    <row r="29" spans="1:63" ht="13.5" thickBot="1" x14ac:dyDescent="0.25">
      <c r="A29" s="771"/>
      <c r="B29" s="2158"/>
      <c r="C29" s="1467" t="s">
        <v>299</v>
      </c>
      <c r="D29" s="1467" t="s">
        <v>1638</v>
      </c>
      <c r="E29" s="1468">
        <v>2</v>
      </c>
      <c r="F29" s="1469">
        <f t="shared" si="2"/>
        <v>8.9453364000000004</v>
      </c>
      <c r="G29" s="1470">
        <f t="shared" si="3"/>
        <v>17.890672800000001</v>
      </c>
      <c r="H29" s="2163"/>
    </row>
    <row r="30" spans="1:63" s="771" customFormat="1" x14ac:dyDescent="0.2">
      <c r="D30" s="774"/>
    </row>
    <row r="31" spans="1:63" ht="20.25" x14ac:dyDescent="0.2">
      <c r="A31" s="916"/>
      <c r="B31" s="2130" t="s">
        <v>4338</v>
      </c>
      <c r="C31" s="2130"/>
      <c r="D31" s="2130"/>
      <c r="E31" s="2130"/>
      <c r="F31" s="2130"/>
      <c r="G31" s="2130"/>
      <c r="H31" s="1169"/>
    </row>
    <row r="32" spans="1:63" ht="21" thickBot="1" x14ac:dyDescent="0.25">
      <c r="A32" s="916"/>
      <c r="B32" s="2130"/>
      <c r="C32" s="2130"/>
      <c r="D32" s="2130"/>
      <c r="E32" s="2130"/>
      <c r="F32" s="2130"/>
      <c r="G32" s="2130"/>
      <c r="H32" s="1169"/>
    </row>
    <row r="33" spans="1:8" x14ac:dyDescent="0.2">
      <c r="A33" s="916"/>
      <c r="B33" s="1255"/>
      <c r="C33" s="1214"/>
      <c r="D33" s="2175"/>
      <c r="E33" s="2175"/>
      <c r="F33" s="2175"/>
      <c r="G33" s="2175"/>
      <c r="H33" s="1215"/>
    </row>
    <row r="34" spans="1:8" ht="15.75" thickBot="1" x14ac:dyDescent="0.25">
      <c r="A34" s="916"/>
      <c r="B34" s="1209" t="s">
        <v>1639</v>
      </c>
      <c r="C34" s="1231">
        <v>500</v>
      </c>
      <c r="D34" s="1210" t="s">
        <v>1689</v>
      </c>
      <c r="E34" s="1211"/>
      <c r="F34" s="1212"/>
      <c r="G34" s="1213"/>
      <c r="H34" s="1208" t="str">
        <f>IF(СОДЕРЖАНИЕ!P2=1,"EUR","RUB")</f>
        <v>RUB</v>
      </c>
    </row>
    <row r="35" spans="1:8" x14ac:dyDescent="0.2">
      <c r="A35" s="916"/>
      <c r="B35" s="2234"/>
      <c r="C35" s="1174" t="s">
        <v>1301</v>
      </c>
      <c r="D35" s="1460" t="s">
        <v>784</v>
      </c>
      <c r="E35" s="1461" t="s">
        <v>2117</v>
      </c>
      <c r="F35" s="1462"/>
      <c r="G35" s="1463" t="s">
        <v>2116</v>
      </c>
      <c r="H35" s="1235"/>
    </row>
    <row r="36" spans="1:8" x14ac:dyDescent="0.2">
      <c r="A36" s="916"/>
      <c r="B36" s="2234"/>
      <c r="C36" s="1401" t="s">
        <v>3189</v>
      </c>
      <c r="D36" s="1401" t="s">
        <v>3190</v>
      </c>
      <c r="E36" s="1464">
        <v>1</v>
      </c>
      <c r="F36" s="1465">
        <f t="shared" ref="F36:F44" si="4">VLOOKUP(C36,всецены,4,FALSE)</f>
        <v>309.8339244</v>
      </c>
      <c r="G36" s="1466">
        <f t="shared" ref="G36:G44" si="5">F36*E36</f>
        <v>309.8339244</v>
      </c>
      <c r="H36" s="2162">
        <f>SUM(G36:G44)</f>
        <v>5481.8647884000011</v>
      </c>
    </row>
    <row r="37" spans="1:8" x14ac:dyDescent="0.2">
      <c r="A37" s="916"/>
      <c r="B37" s="2234"/>
      <c r="C37" s="1401" t="s">
        <v>3191</v>
      </c>
      <c r="D37" s="1401" t="s">
        <v>3192</v>
      </c>
      <c r="E37" s="1464">
        <v>1</v>
      </c>
      <c r="F37" s="1465">
        <f t="shared" si="4"/>
        <v>309.8339244</v>
      </c>
      <c r="G37" s="1466">
        <f t="shared" si="5"/>
        <v>309.8339244</v>
      </c>
      <c r="H37" s="2162"/>
    </row>
    <row r="38" spans="1:8" x14ac:dyDescent="0.2">
      <c r="A38" s="916"/>
      <c r="B38" s="2234"/>
      <c r="C38" s="1401" t="s">
        <v>3864</v>
      </c>
      <c r="D38" s="1401" t="s">
        <v>3865</v>
      </c>
      <c r="E38" s="1464">
        <v>1</v>
      </c>
      <c r="F38" s="1465">
        <f t="shared" si="4"/>
        <v>326.91138479999995</v>
      </c>
      <c r="G38" s="1466">
        <f t="shared" si="5"/>
        <v>326.91138479999995</v>
      </c>
      <c r="H38" s="2162"/>
    </row>
    <row r="39" spans="1:8" x14ac:dyDescent="0.2">
      <c r="A39" s="916"/>
      <c r="B39" s="2234"/>
      <c r="C39" s="1401" t="s">
        <v>2879</v>
      </c>
      <c r="D39" s="1401" t="s">
        <v>2880</v>
      </c>
      <c r="E39" s="1464">
        <v>1</v>
      </c>
      <c r="F39" s="1465">
        <f t="shared" si="4"/>
        <v>1711.8121020000003</v>
      </c>
      <c r="G39" s="1466">
        <f t="shared" si="5"/>
        <v>1711.8121020000003</v>
      </c>
      <c r="H39" s="2162"/>
    </row>
    <row r="40" spans="1:8" x14ac:dyDescent="0.2">
      <c r="A40" s="916"/>
      <c r="B40" s="2234"/>
      <c r="C40" s="1401" t="s">
        <v>3848</v>
      </c>
      <c r="D40" s="1401" t="s">
        <v>3849</v>
      </c>
      <c r="E40" s="1464">
        <v>1</v>
      </c>
      <c r="F40" s="1465">
        <f t="shared" si="4"/>
        <v>2324.1610392000002</v>
      </c>
      <c r="G40" s="1466">
        <f t="shared" si="5"/>
        <v>2324.1610392000002</v>
      </c>
      <c r="H40" s="2162"/>
    </row>
    <row r="41" spans="1:8" x14ac:dyDescent="0.2">
      <c r="A41" s="916"/>
      <c r="B41" s="2234"/>
      <c r="C41" s="1401" t="s">
        <v>581</v>
      </c>
      <c r="D41" s="1401" t="s">
        <v>582</v>
      </c>
      <c r="E41" s="1464">
        <v>1</v>
      </c>
      <c r="F41" s="1465">
        <f t="shared" si="4"/>
        <v>120.35543520000002</v>
      </c>
      <c r="G41" s="1466">
        <f t="shared" si="5"/>
        <v>120.35543520000002</v>
      </c>
      <c r="H41" s="2162"/>
    </row>
    <row r="42" spans="1:8" x14ac:dyDescent="0.2">
      <c r="A42" s="916"/>
      <c r="B42" s="2234"/>
      <c r="C42" s="1401" t="s">
        <v>583</v>
      </c>
      <c r="D42" s="1401" t="s">
        <v>1932</v>
      </c>
      <c r="E42" s="1464">
        <v>1</v>
      </c>
      <c r="F42" s="1465">
        <f t="shared" si="4"/>
        <v>120.35543520000002</v>
      </c>
      <c r="G42" s="1466">
        <f t="shared" si="5"/>
        <v>120.35543520000002</v>
      </c>
      <c r="H42" s="2162"/>
    </row>
    <row r="43" spans="1:8" x14ac:dyDescent="0.2">
      <c r="A43" s="916"/>
      <c r="B43" s="2234"/>
      <c r="C43" s="1401" t="s">
        <v>1933</v>
      </c>
      <c r="D43" s="1401" t="s">
        <v>1934</v>
      </c>
      <c r="E43" s="1464">
        <v>2</v>
      </c>
      <c r="F43" s="1465">
        <f t="shared" si="4"/>
        <v>120.35543520000002</v>
      </c>
      <c r="G43" s="1466">
        <f t="shared" si="5"/>
        <v>240.71087040000003</v>
      </c>
      <c r="H43" s="2162"/>
    </row>
    <row r="44" spans="1:8" ht="13.5" thickBot="1" x14ac:dyDescent="0.25">
      <c r="A44" s="771"/>
      <c r="B44" s="2158"/>
      <c r="C44" s="1467" t="s">
        <v>1021</v>
      </c>
      <c r="D44" s="1467" t="s">
        <v>2529</v>
      </c>
      <c r="E44" s="1468">
        <v>2</v>
      </c>
      <c r="F44" s="1469">
        <f t="shared" si="4"/>
        <v>8.9453364000000004</v>
      </c>
      <c r="G44" s="1470">
        <f t="shared" si="5"/>
        <v>17.890672800000001</v>
      </c>
      <c r="H44" s="2163"/>
    </row>
    <row r="45" spans="1:8" s="771" customFormat="1" x14ac:dyDescent="0.2">
      <c r="D45" s="774"/>
    </row>
    <row r="46" spans="1:8" ht="20.25" x14ac:dyDescent="0.2">
      <c r="A46" s="916"/>
      <c r="B46" s="2130" t="s">
        <v>4339</v>
      </c>
      <c r="C46" s="2130"/>
      <c r="D46" s="2130"/>
      <c r="E46" s="2130"/>
      <c r="F46" s="2130"/>
      <c r="G46" s="2130"/>
      <c r="H46" s="1169"/>
    </row>
    <row r="47" spans="1:8" ht="21" thickBot="1" x14ac:dyDescent="0.25">
      <c r="A47" s="916"/>
      <c r="B47" s="2130"/>
      <c r="C47" s="2130"/>
      <c r="D47" s="2130"/>
      <c r="E47" s="2130"/>
      <c r="F47" s="2130"/>
      <c r="G47" s="2130"/>
      <c r="H47" s="1169"/>
    </row>
    <row r="48" spans="1:8" x14ac:dyDescent="0.2">
      <c r="A48" s="916"/>
      <c r="B48" s="1255"/>
      <c r="C48" s="1214"/>
      <c r="D48" s="2175"/>
      <c r="E48" s="2175"/>
      <c r="F48" s="2175"/>
      <c r="G48" s="2175"/>
      <c r="H48" s="1215"/>
    </row>
    <row r="49" spans="1:8" ht="15.75" thickBot="1" x14ac:dyDescent="0.25">
      <c r="A49" s="916"/>
      <c r="B49" s="1209" t="s">
        <v>1639</v>
      </c>
      <c r="C49" s="1231">
        <v>500</v>
      </c>
      <c r="D49" s="1210" t="s">
        <v>1689</v>
      </c>
      <c r="E49" s="1211"/>
      <c r="F49" s="1212"/>
      <c r="G49" s="1213"/>
      <c r="H49" s="1208" t="str">
        <f>IF(СОДЕРЖАНИЕ!P2=1,"EUR","RUB")</f>
        <v>RUB</v>
      </c>
    </row>
    <row r="50" spans="1:8" x14ac:dyDescent="0.2">
      <c r="A50" s="916"/>
      <c r="B50" s="2234"/>
      <c r="C50" s="1174" t="s">
        <v>1301</v>
      </c>
      <c r="D50" s="1460" t="s">
        <v>784</v>
      </c>
      <c r="E50" s="1471" t="s">
        <v>2117</v>
      </c>
      <c r="F50" s="1462"/>
      <c r="G50" s="1463" t="s">
        <v>2116</v>
      </c>
      <c r="H50" s="1235"/>
    </row>
    <row r="51" spans="1:8" x14ac:dyDescent="0.2">
      <c r="A51" s="916"/>
      <c r="B51" s="2234"/>
      <c r="C51" s="1401" t="s">
        <v>57</v>
      </c>
      <c r="D51" s="1401" t="s">
        <v>58</v>
      </c>
      <c r="E51" s="1472">
        <v>1</v>
      </c>
      <c r="F51" s="1465">
        <f t="shared" ref="F51:F57" si="6">VLOOKUP(C51,всецены,4,FALSE)</f>
        <v>3071.5032348000004</v>
      </c>
      <c r="G51" s="1466">
        <f t="shared" ref="G51:G57" si="7">F51*E51</f>
        <v>3071.5032348000004</v>
      </c>
      <c r="H51" s="2162">
        <f>SUM(G51:G57)</f>
        <v>6521.9634480000004</v>
      </c>
    </row>
    <row r="52" spans="1:8" x14ac:dyDescent="0.2">
      <c r="A52" s="916"/>
      <c r="B52" s="2234"/>
      <c r="C52" s="1401" t="s">
        <v>9</v>
      </c>
      <c r="D52" s="1401" t="s">
        <v>10</v>
      </c>
      <c r="E52" s="1472">
        <v>1</v>
      </c>
      <c r="F52" s="1465">
        <f t="shared" si="6"/>
        <v>95.959063200000003</v>
      </c>
      <c r="G52" s="1466">
        <f t="shared" si="7"/>
        <v>95.959063200000003</v>
      </c>
      <c r="H52" s="2162"/>
    </row>
    <row r="53" spans="1:8" x14ac:dyDescent="0.2">
      <c r="A53" s="916"/>
      <c r="B53" s="2234"/>
      <c r="C53" s="1401" t="s">
        <v>11</v>
      </c>
      <c r="D53" s="1401" t="s">
        <v>12</v>
      </c>
      <c r="E53" s="1472">
        <v>1</v>
      </c>
      <c r="F53" s="1465">
        <f t="shared" si="6"/>
        <v>95.959063200000003</v>
      </c>
      <c r="G53" s="1466">
        <f t="shared" si="7"/>
        <v>95.959063200000003</v>
      </c>
      <c r="H53" s="2162"/>
    </row>
    <row r="54" spans="1:8" x14ac:dyDescent="0.2">
      <c r="A54" s="916"/>
      <c r="B54" s="2234"/>
      <c r="C54" s="1401" t="s">
        <v>2879</v>
      </c>
      <c r="D54" s="1401" t="s">
        <v>2880</v>
      </c>
      <c r="E54" s="1472">
        <v>1</v>
      </c>
      <c r="F54" s="1465">
        <f t="shared" si="6"/>
        <v>1711.8121020000003</v>
      </c>
      <c r="G54" s="1466">
        <f t="shared" si="7"/>
        <v>1711.8121020000003</v>
      </c>
      <c r="H54" s="2162"/>
    </row>
    <row r="55" spans="1:8" x14ac:dyDescent="0.2">
      <c r="A55" s="916"/>
      <c r="B55" s="2234"/>
      <c r="C55" s="1401" t="s">
        <v>3815</v>
      </c>
      <c r="D55" s="1401" t="s">
        <v>3816</v>
      </c>
      <c r="E55" s="1472">
        <v>1</v>
      </c>
      <c r="F55" s="1465">
        <f t="shared" si="6"/>
        <v>764.41965600000003</v>
      </c>
      <c r="G55" s="1466">
        <f t="shared" si="7"/>
        <v>764.41965600000003</v>
      </c>
      <c r="H55" s="2162"/>
    </row>
    <row r="56" spans="1:8" x14ac:dyDescent="0.2">
      <c r="A56" s="916"/>
      <c r="B56" s="2234"/>
      <c r="C56" s="1401" t="s">
        <v>3813</v>
      </c>
      <c r="D56" s="1401" t="s">
        <v>3814</v>
      </c>
      <c r="E56" s="1472">
        <v>1</v>
      </c>
      <c r="F56" s="1465">
        <f t="shared" si="6"/>
        <v>764.41965600000003</v>
      </c>
      <c r="G56" s="1466">
        <f t="shared" si="7"/>
        <v>764.41965600000003</v>
      </c>
      <c r="H56" s="2162"/>
    </row>
    <row r="57" spans="1:8" ht="13.5" thickBot="1" x14ac:dyDescent="0.25">
      <c r="A57" s="771"/>
      <c r="B57" s="2158"/>
      <c r="C57" s="1467" t="s">
        <v>299</v>
      </c>
      <c r="D57" s="1467" t="s">
        <v>1638</v>
      </c>
      <c r="E57" s="1473">
        <v>2</v>
      </c>
      <c r="F57" s="1469">
        <f t="shared" si="6"/>
        <v>8.9453364000000004</v>
      </c>
      <c r="G57" s="1470">
        <f t="shared" si="7"/>
        <v>17.890672800000001</v>
      </c>
      <c r="H57" s="2163"/>
    </row>
    <row r="58" spans="1:8" x14ac:dyDescent="0.2">
      <c r="A58" s="771"/>
      <c r="B58" s="771"/>
      <c r="C58" s="771"/>
      <c r="D58" s="774"/>
      <c r="E58" s="771"/>
      <c r="F58" s="771"/>
      <c r="G58" s="771"/>
      <c r="H58" s="771"/>
    </row>
    <row r="59" spans="1:8" ht="20.25" x14ac:dyDescent="0.2">
      <c r="A59" s="916"/>
      <c r="B59" s="2130" t="s">
        <v>4340</v>
      </c>
      <c r="C59" s="2130"/>
      <c r="D59" s="2130"/>
      <c r="E59" s="2130"/>
      <c r="F59" s="2130"/>
      <c r="G59" s="2130"/>
      <c r="H59" s="1169"/>
    </row>
    <row r="60" spans="1:8" ht="21" thickBot="1" x14ac:dyDescent="0.25">
      <c r="A60" s="916"/>
      <c r="B60" s="2130"/>
      <c r="C60" s="2130"/>
      <c r="D60" s="2130"/>
      <c r="E60" s="2130"/>
      <c r="F60" s="2130"/>
      <c r="G60" s="2130"/>
      <c r="H60" s="1169"/>
    </row>
    <row r="61" spans="1:8" x14ac:dyDescent="0.2">
      <c r="A61" s="916"/>
      <c r="B61" s="1255"/>
      <c r="C61" s="1214"/>
      <c r="D61" s="2175"/>
      <c r="E61" s="2175"/>
      <c r="F61" s="2175"/>
      <c r="G61" s="2175"/>
      <c r="H61" s="1215"/>
    </row>
    <row r="62" spans="1:8" ht="15.75" thickBot="1" x14ac:dyDescent="0.25">
      <c r="A62" s="916"/>
      <c r="B62" s="1209" t="s">
        <v>1639</v>
      </c>
      <c r="C62" s="1231">
        <v>500</v>
      </c>
      <c r="D62" s="1210" t="s">
        <v>1689</v>
      </c>
      <c r="E62" s="1211"/>
      <c r="F62" s="1212"/>
      <c r="G62" s="1213"/>
      <c r="H62" s="1208" t="str">
        <f>IF(СОДЕРЖАНИЕ!P2=1,"EUR","RUB")</f>
        <v>RUB</v>
      </c>
    </row>
    <row r="63" spans="1:8" x14ac:dyDescent="0.2">
      <c r="A63" s="916"/>
      <c r="B63" s="2234"/>
      <c r="C63" s="1174" t="s">
        <v>1301</v>
      </c>
      <c r="D63" s="1460" t="s">
        <v>784</v>
      </c>
      <c r="E63" s="1461" t="s">
        <v>2117</v>
      </c>
      <c r="F63" s="1462"/>
      <c r="G63" s="1463" t="s">
        <v>2116</v>
      </c>
      <c r="H63" s="1235"/>
    </row>
    <row r="64" spans="1:8" x14ac:dyDescent="0.2">
      <c r="A64" s="916"/>
      <c r="B64" s="2234"/>
      <c r="C64" s="1401" t="s">
        <v>55</v>
      </c>
      <c r="D64" s="1401" t="s">
        <v>56</v>
      </c>
      <c r="E64" s="1464">
        <v>1</v>
      </c>
      <c r="F64" s="1465">
        <f t="shared" ref="F64:F72" si="8">VLOOKUP(C64,всецены,4,FALSE)</f>
        <v>4131.9322044</v>
      </c>
      <c r="G64" s="1466">
        <f t="shared" ref="G64:G72" si="9">F64*E64</f>
        <v>4131.9322044</v>
      </c>
      <c r="H64" s="2162">
        <f>SUM(G64:G72)</f>
        <v>9808.9679687999997</v>
      </c>
    </row>
    <row r="65" spans="1:8" x14ac:dyDescent="0.2">
      <c r="A65" s="916"/>
      <c r="B65" s="2234"/>
      <c r="C65" s="1401" t="s">
        <v>13</v>
      </c>
      <c r="D65" s="1401" t="s">
        <v>14</v>
      </c>
      <c r="E65" s="1464">
        <v>1</v>
      </c>
      <c r="F65" s="1465">
        <f t="shared" si="8"/>
        <v>158.57641799999999</v>
      </c>
      <c r="G65" s="1466">
        <f t="shared" si="9"/>
        <v>158.57641799999999</v>
      </c>
      <c r="H65" s="2162"/>
    </row>
    <row r="66" spans="1:8" x14ac:dyDescent="0.2">
      <c r="A66" s="916"/>
      <c r="B66" s="2234"/>
      <c r="C66" s="1401" t="s">
        <v>15</v>
      </c>
      <c r="D66" s="1401" t="s">
        <v>16</v>
      </c>
      <c r="E66" s="1464">
        <v>1</v>
      </c>
      <c r="F66" s="1465">
        <f t="shared" si="8"/>
        <v>158.57641799999999</v>
      </c>
      <c r="G66" s="1466">
        <f t="shared" si="9"/>
        <v>158.57641799999999</v>
      </c>
      <c r="H66" s="2162"/>
    </row>
    <row r="67" spans="1:8" x14ac:dyDescent="0.2">
      <c r="A67" s="916"/>
      <c r="B67" s="2234"/>
      <c r="C67" s="1401" t="s">
        <v>2879</v>
      </c>
      <c r="D67" s="1401" t="s">
        <v>2880</v>
      </c>
      <c r="E67" s="1464">
        <v>1</v>
      </c>
      <c r="F67" s="1465">
        <f t="shared" si="8"/>
        <v>1711.8121020000003</v>
      </c>
      <c r="G67" s="1466">
        <f t="shared" si="9"/>
        <v>1711.8121020000003</v>
      </c>
      <c r="H67" s="2162"/>
    </row>
    <row r="68" spans="1:8" x14ac:dyDescent="0.2">
      <c r="A68" s="916"/>
      <c r="B68" s="2234"/>
      <c r="C68" s="1401" t="s">
        <v>3815</v>
      </c>
      <c r="D68" s="1401" t="s">
        <v>3816</v>
      </c>
      <c r="E68" s="1464">
        <v>1</v>
      </c>
      <c r="F68" s="1465">
        <f t="shared" si="8"/>
        <v>764.41965600000003</v>
      </c>
      <c r="G68" s="1466">
        <f t="shared" si="9"/>
        <v>764.41965600000003</v>
      </c>
      <c r="H68" s="2162"/>
    </row>
    <row r="69" spans="1:8" x14ac:dyDescent="0.2">
      <c r="A69" s="916"/>
      <c r="B69" s="2234"/>
      <c r="C69" s="1401" t="s">
        <v>3813</v>
      </c>
      <c r="D69" s="1401" t="s">
        <v>3814</v>
      </c>
      <c r="E69" s="1464">
        <v>1</v>
      </c>
      <c r="F69" s="1465">
        <f t="shared" si="8"/>
        <v>764.41965600000003</v>
      </c>
      <c r="G69" s="1466">
        <f t="shared" si="9"/>
        <v>764.41965600000003</v>
      </c>
      <c r="H69" s="2162"/>
    </row>
    <row r="70" spans="1:8" x14ac:dyDescent="0.2">
      <c r="A70" s="916"/>
      <c r="B70" s="2234"/>
      <c r="C70" s="1401" t="s">
        <v>129</v>
      </c>
      <c r="D70" s="1401" t="s">
        <v>1551</v>
      </c>
      <c r="E70" s="1464">
        <v>2</v>
      </c>
      <c r="F70" s="1465">
        <f t="shared" si="8"/>
        <v>197.61061320000002</v>
      </c>
      <c r="G70" s="1466">
        <f t="shared" si="9"/>
        <v>395.22122640000003</v>
      </c>
      <c r="H70" s="2162"/>
    </row>
    <row r="71" spans="1:8" x14ac:dyDescent="0.2">
      <c r="A71" s="916"/>
      <c r="B71" s="2234"/>
      <c r="C71" s="1401" t="s">
        <v>131</v>
      </c>
      <c r="D71" s="1401" t="s">
        <v>670</v>
      </c>
      <c r="E71" s="1464">
        <v>1</v>
      </c>
      <c r="F71" s="1465">
        <f t="shared" si="8"/>
        <v>1706.1196152</v>
      </c>
      <c r="G71" s="1466">
        <f t="shared" si="9"/>
        <v>1706.1196152</v>
      </c>
      <c r="H71" s="2162"/>
    </row>
    <row r="72" spans="1:8" ht="13.5" thickBot="1" x14ac:dyDescent="0.25">
      <c r="A72" s="771"/>
      <c r="B72" s="2158"/>
      <c r="C72" s="1467" t="s">
        <v>299</v>
      </c>
      <c r="D72" s="1467" t="s">
        <v>1638</v>
      </c>
      <c r="E72" s="1468">
        <v>2</v>
      </c>
      <c r="F72" s="1469">
        <f t="shared" si="8"/>
        <v>8.9453364000000004</v>
      </c>
      <c r="G72" s="1470">
        <f t="shared" si="9"/>
        <v>17.890672800000001</v>
      </c>
      <c r="H72" s="2163"/>
    </row>
    <row r="73" spans="1:8" s="771" customFormat="1" x14ac:dyDescent="0.2">
      <c r="D73" s="774"/>
    </row>
    <row r="74" spans="1:8" ht="20.25" x14ac:dyDescent="0.2">
      <c r="A74" s="916"/>
      <c r="B74" s="2130" t="s">
        <v>4341</v>
      </c>
      <c r="C74" s="2130"/>
      <c r="D74" s="2130"/>
      <c r="E74" s="2130"/>
      <c r="F74" s="2130"/>
      <c r="G74" s="2130"/>
      <c r="H74" s="1169"/>
    </row>
    <row r="75" spans="1:8" ht="21" thickBot="1" x14ac:dyDescent="0.25">
      <c r="A75" s="916"/>
      <c r="B75" s="2130"/>
      <c r="C75" s="2130"/>
      <c r="D75" s="2130"/>
      <c r="E75" s="2130"/>
      <c r="F75" s="2130"/>
      <c r="G75" s="2130"/>
      <c r="H75" s="1169"/>
    </row>
    <row r="76" spans="1:8" x14ac:dyDescent="0.2">
      <c r="A76" s="916"/>
      <c r="B76" s="1255"/>
      <c r="C76" s="1214"/>
      <c r="D76" s="2175"/>
      <c r="E76" s="2175"/>
      <c r="F76" s="2175"/>
      <c r="G76" s="2175"/>
      <c r="H76" s="1215"/>
    </row>
    <row r="77" spans="1:8" ht="15.75" thickBot="1" x14ac:dyDescent="0.25">
      <c r="A77" s="916"/>
      <c r="B77" s="1209" t="s">
        <v>1639</v>
      </c>
      <c r="C77" s="1231">
        <v>500</v>
      </c>
      <c r="D77" s="1210" t="s">
        <v>1689</v>
      </c>
      <c r="E77" s="1211"/>
      <c r="F77" s="1212"/>
      <c r="G77" s="1213"/>
      <c r="H77" s="1208" t="str">
        <f>IF(СОДЕРЖАНИЕ!P2=1,"EUR","RUB")</f>
        <v>RUB</v>
      </c>
    </row>
    <row r="78" spans="1:8" x14ac:dyDescent="0.2">
      <c r="A78" s="916"/>
      <c r="B78" s="2234"/>
      <c r="C78" s="1174" t="s">
        <v>1301</v>
      </c>
      <c r="D78" s="1460" t="s">
        <v>784</v>
      </c>
      <c r="E78" s="1461" t="s">
        <v>2117</v>
      </c>
      <c r="F78" s="1462"/>
      <c r="G78" s="1463" t="s">
        <v>2116</v>
      </c>
      <c r="H78" s="1235"/>
    </row>
    <row r="79" spans="1:8" x14ac:dyDescent="0.2">
      <c r="A79" s="916"/>
      <c r="B79" s="2234"/>
      <c r="C79" s="1401" t="s">
        <v>3853</v>
      </c>
      <c r="D79" s="1401" t="s">
        <v>3854</v>
      </c>
      <c r="E79" s="1464">
        <v>1</v>
      </c>
      <c r="F79" s="1465">
        <f t="shared" ref="F79:F86" si="10">VLOOKUP(C79,всецены,4,FALSE)</f>
        <v>4358.8184639999999</v>
      </c>
      <c r="G79" s="1466">
        <f t="shared" ref="G79:G86" si="11">F79*E79</f>
        <v>4358.8184639999999</v>
      </c>
      <c r="H79" s="2162">
        <f>SUM(G79:G86)</f>
        <v>9221.0154035999985</v>
      </c>
    </row>
    <row r="80" spans="1:8" x14ac:dyDescent="0.2">
      <c r="A80" s="916"/>
      <c r="B80" s="2234"/>
      <c r="C80" s="1401" t="s">
        <v>3864</v>
      </c>
      <c r="D80" s="1401" t="s">
        <v>3865</v>
      </c>
      <c r="E80" s="1464">
        <v>1</v>
      </c>
      <c r="F80" s="1465">
        <f t="shared" si="10"/>
        <v>326.91138479999995</v>
      </c>
      <c r="G80" s="1466">
        <f t="shared" si="11"/>
        <v>326.91138479999995</v>
      </c>
      <c r="H80" s="2162"/>
    </row>
    <row r="81" spans="1:8" x14ac:dyDescent="0.2">
      <c r="A81" s="916"/>
      <c r="B81" s="2234"/>
      <c r="C81" s="1401" t="s">
        <v>2879</v>
      </c>
      <c r="D81" s="1401" t="s">
        <v>2880</v>
      </c>
      <c r="E81" s="1464">
        <v>1</v>
      </c>
      <c r="F81" s="1465">
        <f t="shared" si="10"/>
        <v>1711.8121020000003</v>
      </c>
      <c r="G81" s="1466">
        <f t="shared" si="11"/>
        <v>1711.8121020000003</v>
      </c>
      <c r="H81" s="2162"/>
    </row>
    <row r="82" spans="1:8" x14ac:dyDescent="0.2">
      <c r="A82" s="916"/>
      <c r="B82" s="2234"/>
      <c r="C82" s="1401" t="s">
        <v>3848</v>
      </c>
      <c r="D82" s="1401" t="s">
        <v>3849</v>
      </c>
      <c r="E82" s="1464">
        <v>1</v>
      </c>
      <c r="F82" s="1465">
        <f t="shared" si="10"/>
        <v>2324.1610392000002</v>
      </c>
      <c r="G82" s="1466">
        <f t="shared" si="11"/>
        <v>2324.1610392000002</v>
      </c>
      <c r="H82" s="2162"/>
    </row>
    <row r="83" spans="1:8" x14ac:dyDescent="0.2">
      <c r="A83" s="916"/>
      <c r="B83" s="2234"/>
      <c r="C83" s="1401" t="s">
        <v>581</v>
      </c>
      <c r="D83" s="1401" t="s">
        <v>582</v>
      </c>
      <c r="E83" s="1464">
        <v>1</v>
      </c>
      <c r="F83" s="1465">
        <f t="shared" si="10"/>
        <v>120.35543520000002</v>
      </c>
      <c r="G83" s="1466">
        <f t="shared" si="11"/>
        <v>120.35543520000002</v>
      </c>
      <c r="H83" s="2162"/>
    </row>
    <row r="84" spans="1:8" x14ac:dyDescent="0.2">
      <c r="A84" s="916"/>
      <c r="B84" s="2234"/>
      <c r="C84" s="1401" t="s">
        <v>583</v>
      </c>
      <c r="D84" s="1401" t="s">
        <v>1932</v>
      </c>
      <c r="E84" s="1464">
        <v>1</v>
      </c>
      <c r="F84" s="1465">
        <f t="shared" si="10"/>
        <v>120.35543520000002</v>
      </c>
      <c r="G84" s="1466">
        <f t="shared" si="11"/>
        <v>120.35543520000002</v>
      </c>
      <c r="H84" s="2162"/>
    </row>
    <row r="85" spans="1:8" x14ac:dyDescent="0.2">
      <c r="A85" s="916"/>
      <c r="B85" s="2234"/>
      <c r="C85" s="1401" t="s">
        <v>1933</v>
      </c>
      <c r="D85" s="1401" t="s">
        <v>1934</v>
      </c>
      <c r="E85" s="1464">
        <v>2</v>
      </c>
      <c r="F85" s="1465">
        <f t="shared" si="10"/>
        <v>120.35543520000002</v>
      </c>
      <c r="G85" s="1466">
        <f t="shared" si="11"/>
        <v>240.71087040000003</v>
      </c>
      <c r="H85" s="2162"/>
    </row>
    <row r="86" spans="1:8" ht="13.5" thickBot="1" x14ac:dyDescent="0.25">
      <c r="A86" s="771"/>
      <c r="B86" s="2158"/>
      <c r="C86" s="1467" t="s">
        <v>1021</v>
      </c>
      <c r="D86" s="1467" t="s">
        <v>2529</v>
      </c>
      <c r="E86" s="1468">
        <v>2</v>
      </c>
      <c r="F86" s="1469">
        <f t="shared" si="10"/>
        <v>8.9453364000000004</v>
      </c>
      <c r="G86" s="1470">
        <f t="shared" si="11"/>
        <v>17.890672800000001</v>
      </c>
      <c r="H86" s="2163"/>
    </row>
    <row r="87" spans="1:8" s="771" customFormat="1" x14ac:dyDescent="0.2">
      <c r="D87" s="774"/>
    </row>
    <row r="88" spans="1:8" s="771" customFormat="1" x14ac:dyDescent="0.2">
      <c r="D88" s="774"/>
    </row>
    <row r="89" spans="1:8" s="771" customFormat="1" x14ac:dyDescent="0.2">
      <c r="D89" s="774"/>
    </row>
    <row r="90" spans="1:8" s="771" customFormat="1" x14ac:dyDescent="0.2">
      <c r="D90" s="774"/>
    </row>
    <row r="91" spans="1:8" s="771" customFormat="1" x14ac:dyDescent="0.2">
      <c r="D91" s="774"/>
    </row>
    <row r="92" spans="1:8" s="771" customFormat="1" x14ac:dyDescent="0.2">
      <c r="D92" s="774"/>
    </row>
    <row r="93" spans="1:8" s="771" customFormat="1" x14ac:dyDescent="0.2">
      <c r="D93" s="774"/>
    </row>
    <row r="94" spans="1:8" s="771" customFormat="1" x14ac:dyDescent="0.2">
      <c r="D94" s="774"/>
    </row>
    <row r="95" spans="1:8" s="771" customFormat="1" x14ac:dyDescent="0.2">
      <c r="D95" s="774"/>
    </row>
    <row r="96" spans="1:8" s="771" customFormat="1" x14ac:dyDescent="0.2">
      <c r="D96" s="774"/>
    </row>
    <row r="97" spans="4:4" s="771" customFormat="1" x14ac:dyDescent="0.2">
      <c r="D97" s="774"/>
    </row>
    <row r="98" spans="4:4" s="771" customFormat="1" x14ac:dyDescent="0.2">
      <c r="D98" s="774"/>
    </row>
    <row r="99" spans="4:4" s="771" customFormat="1" x14ac:dyDescent="0.2">
      <c r="D99" s="774"/>
    </row>
    <row r="100" spans="4:4" s="771" customFormat="1" x14ac:dyDescent="0.2">
      <c r="D100" s="774"/>
    </row>
    <row r="101" spans="4:4" s="771" customFormat="1" x14ac:dyDescent="0.2">
      <c r="D101" s="774"/>
    </row>
    <row r="102" spans="4:4" s="771" customFormat="1" x14ac:dyDescent="0.2">
      <c r="D102" s="774"/>
    </row>
    <row r="103" spans="4:4" s="771" customFormat="1" x14ac:dyDescent="0.2">
      <c r="D103" s="774"/>
    </row>
    <row r="104" spans="4:4" s="771" customFormat="1" x14ac:dyDescent="0.2">
      <c r="D104" s="774"/>
    </row>
    <row r="105" spans="4:4" s="771" customFormat="1" x14ac:dyDescent="0.2">
      <c r="D105" s="774"/>
    </row>
    <row r="106" spans="4:4" s="771" customFormat="1" x14ac:dyDescent="0.2">
      <c r="D106" s="774"/>
    </row>
    <row r="107" spans="4:4" s="771" customFormat="1" x14ac:dyDescent="0.2">
      <c r="D107" s="774"/>
    </row>
    <row r="108" spans="4:4" s="771" customFormat="1" x14ac:dyDescent="0.2">
      <c r="D108" s="774"/>
    </row>
    <row r="109" spans="4:4" s="771" customFormat="1" x14ac:dyDescent="0.2">
      <c r="D109" s="774"/>
    </row>
    <row r="110" spans="4:4" s="771" customFormat="1" x14ac:dyDescent="0.2">
      <c r="D110" s="774"/>
    </row>
    <row r="111" spans="4:4" s="771" customFormat="1" x14ac:dyDescent="0.2">
      <c r="D111" s="774"/>
    </row>
    <row r="112" spans="4:4" s="771" customFormat="1" x14ac:dyDescent="0.2">
      <c r="D112" s="774"/>
    </row>
    <row r="113" spans="4:4" s="771" customFormat="1" x14ac:dyDescent="0.2">
      <c r="D113" s="774"/>
    </row>
    <row r="114" spans="4:4" s="771" customFormat="1" x14ac:dyDescent="0.2">
      <c r="D114" s="774"/>
    </row>
    <row r="115" spans="4:4" s="771" customFormat="1" x14ac:dyDescent="0.2">
      <c r="D115" s="774"/>
    </row>
    <row r="116" spans="4:4" s="771" customFormat="1" x14ac:dyDescent="0.2">
      <c r="D116" s="774"/>
    </row>
    <row r="117" spans="4:4" s="771" customFormat="1" x14ac:dyDescent="0.2">
      <c r="D117" s="774"/>
    </row>
    <row r="118" spans="4:4" s="771" customFormat="1" x14ac:dyDescent="0.2">
      <c r="D118" s="774"/>
    </row>
    <row r="119" spans="4:4" s="771" customFormat="1" x14ac:dyDescent="0.2">
      <c r="D119" s="774"/>
    </row>
    <row r="120" spans="4:4" s="771" customFormat="1" x14ac:dyDescent="0.2">
      <c r="D120" s="774"/>
    </row>
    <row r="121" spans="4:4" s="771" customFormat="1" x14ac:dyDescent="0.2">
      <c r="D121" s="774"/>
    </row>
    <row r="122" spans="4:4" s="771" customFormat="1" x14ac:dyDescent="0.2">
      <c r="D122" s="774"/>
    </row>
    <row r="123" spans="4:4" s="771" customFormat="1" x14ac:dyDescent="0.2">
      <c r="D123" s="774"/>
    </row>
    <row r="124" spans="4:4" s="771" customFormat="1" x14ac:dyDescent="0.2">
      <c r="D124" s="774"/>
    </row>
    <row r="125" spans="4:4" s="771" customFormat="1" x14ac:dyDescent="0.2">
      <c r="D125" s="774"/>
    </row>
    <row r="126" spans="4:4" s="771" customFormat="1" x14ac:dyDescent="0.2">
      <c r="D126" s="774"/>
    </row>
    <row r="127" spans="4:4" s="771" customFormat="1" x14ac:dyDescent="0.2">
      <c r="D127" s="774"/>
    </row>
    <row r="128" spans="4:4" s="771" customFormat="1" x14ac:dyDescent="0.2">
      <c r="D128" s="774"/>
    </row>
    <row r="129" spans="4:4" s="771" customFormat="1" x14ac:dyDescent="0.2">
      <c r="D129" s="774"/>
    </row>
    <row r="130" spans="4:4" s="771" customFormat="1" x14ac:dyDescent="0.2">
      <c r="D130" s="774"/>
    </row>
    <row r="131" spans="4:4" s="771" customFormat="1" x14ac:dyDescent="0.2">
      <c r="D131" s="774"/>
    </row>
    <row r="132" spans="4:4" s="771" customFormat="1" x14ac:dyDescent="0.2">
      <c r="D132" s="774"/>
    </row>
    <row r="133" spans="4:4" s="771" customFormat="1" x14ac:dyDescent="0.2">
      <c r="D133" s="774"/>
    </row>
    <row r="134" spans="4:4" s="771" customFormat="1" x14ac:dyDescent="0.2">
      <c r="D134" s="774"/>
    </row>
    <row r="135" spans="4:4" s="771" customFormat="1" x14ac:dyDescent="0.2">
      <c r="D135" s="774"/>
    </row>
    <row r="136" spans="4:4" s="771" customFormat="1" x14ac:dyDescent="0.2">
      <c r="D136" s="774"/>
    </row>
    <row r="137" spans="4:4" s="771" customFormat="1" x14ac:dyDescent="0.2">
      <c r="D137" s="774"/>
    </row>
    <row r="138" spans="4:4" s="771" customFormat="1" x14ac:dyDescent="0.2">
      <c r="D138" s="774"/>
    </row>
    <row r="139" spans="4:4" s="771" customFormat="1" x14ac:dyDescent="0.2">
      <c r="D139" s="774"/>
    </row>
    <row r="140" spans="4:4" s="771" customFormat="1" x14ac:dyDescent="0.2">
      <c r="D140" s="774"/>
    </row>
    <row r="141" spans="4:4" s="771" customFormat="1" x14ac:dyDescent="0.2">
      <c r="D141" s="774"/>
    </row>
    <row r="142" spans="4:4" s="771" customFormat="1" x14ac:dyDescent="0.2">
      <c r="D142" s="774"/>
    </row>
    <row r="143" spans="4:4" s="771" customFormat="1" x14ac:dyDescent="0.2">
      <c r="D143" s="774"/>
    </row>
    <row r="144" spans="4:4" s="771" customFormat="1" x14ac:dyDescent="0.2">
      <c r="D144" s="774"/>
    </row>
    <row r="145" spans="4:4" s="771" customFormat="1" x14ac:dyDescent="0.2">
      <c r="D145" s="774"/>
    </row>
    <row r="146" spans="4:4" s="771" customFormat="1" x14ac:dyDescent="0.2">
      <c r="D146" s="774"/>
    </row>
    <row r="147" spans="4:4" s="771" customFormat="1" x14ac:dyDescent="0.2">
      <c r="D147" s="774"/>
    </row>
    <row r="148" spans="4:4" s="771" customFormat="1" x14ac:dyDescent="0.2">
      <c r="D148" s="774"/>
    </row>
    <row r="149" spans="4:4" s="771" customFormat="1" x14ac:dyDescent="0.2">
      <c r="D149" s="774"/>
    </row>
    <row r="150" spans="4:4" s="771" customFormat="1" x14ac:dyDescent="0.2">
      <c r="D150" s="774"/>
    </row>
    <row r="151" spans="4:4" s="771" customFormat="1" x14ac:dyDescent="0.2">
      <c r="D151" s="774"/>
    </row>
    <row r="152" spans="4:4" s="771" customFormat="1" x14ac:dyDescent="0.2">
      <c r="D152" s="774"/>
    </row>
    <row r="153" spans="4:4" s="771" customFormat="1" x14ac:dyDescent="0.2">
      <c r="D153" s="774"/>
    </row>
    <row r="154" spans="4:4" s="771" customFormat="1" x14ac:dyDescent="0.2">
      <c r="D154" s="774"/>
    </row>
    <row r="155" spans="4:4" s="771" customFormat="1" x14ac:dyDescent="0.2">
      <c r="D155" s="774"/>
    </row>
    <row r="156" spans="4:4" s="771" customFormat="1" x14ac:dyDescent="0.2">
      <c r="D156" s="774"/>
    </row>
    <row r="157" spans="4:4" s="771" customFormat="1" x14ac:dyDescent="0.2">
      <c r="D157" s="774"/>
    </row>
    <row r="158" spans="4:4" s="771" customFormat="1" x14ac:dyDescent="0.2">
      <c r="D158" s="774"/>
    </row>
    <row r="159" spans="4:4" s="771" customFormat="1" x14ac:dyDescent="0.2">
      <c r="D159" s="774"/>
    </row>
    <row r="160" spans="4:4" s="771" customFormat="1" x14ac:dyDescent="0.2">
      <c r="D160" s="774"/>
    </row>
    <row r="161" spans="4:4" s="771" customFormat="1" x14ac:dyDescent="0.2">
      <c r="D161" s="774"/>
    </row>
    <row r="162" spans="4:4" s="771" customFormat="1" x14ac:dyDescent="0.2">
      <c r="D162" s="774"/>
    </row>
    <row r="163" spans="4:4" s="771" customFormat="1" x14ac:dyDescent="0.2">
      <c r="D163" s="774"/>
    </row>
    <row r="164" spans="4:4" s="771" customFormat="1" x14ac:dyDescent="0.2">
      <c r="D164" s="774"/>
    </row>
    <row r="165" spans="4:4" s="771" customFormat="1" x14ac:dyDescent="0.2">
      <c r="D165" s="774"/>
    </row>
    <row r="166" spans="4:4" s="771" customFormat="1" x14ac:dyDescent="0.2">
      <c r="D166" s="774"/>
    </row>
    <row r="167" spans="4:4" s="771" customFormat="1" x14ac:dyDescent="0.2">
      <c r="D167" s="774"/>
    </row>
    <row r="168" spans="4:4" s="771" customFormat="1" x14ac:dyDescent="0.2">
      <c r="D168" s="774"/>
    </row>
    <row r="169" spans="4:4" s="771" customFormat="1" x14ac:dyDescent="0.2">
      <c r="D169" s="774"/>
    </row>
    <row r="170" spans="4:4" s="771" customFormat="1" x14ac:dyDescent="0.2">
      <c r="D170" s="774"/>
    </row>
    <row r="171" spans="4:4" s="771" customFormat="1" x14ac:dyDescent="0.2">
      <c r="D171" s="774"/>
    </row>
    <row r="172" spans="4:4" s="771" customFormat="1" x14ac:dyDescent="0.2">
      <c r="D172" s="774"/>
    </row>
    <row r="173" spans="4:4" s="771" customFormat="1" x14ac:dyDescent="0.2">
      <c r="D173" s="774"/>
    </row>
    <row r="174" spans="4:4" s="771" customFormat="1" x14ac:dyDescent="0.2">
      <c r="D174" s="774"/>
    </row>
    <row r="175" spans="4:4" s="771" customFormat="1" x14ac:dyDescent="0.2">
      <c r="D175" s="774"/>
    </row>
  </sheetData>
  <protectedRanges>
    <protectedRange sqref="C4 C18 C34 C49 C62 C77" name="Диапазон1"/>
  </protectedRanges>
  <mergeCells count="24">
    <mergeCell ref="D17:G17"/>
    <mergeCell ref="B1:G2"/>
    <mergeCell ref="D3:G3"/>
    <mergeCell ref="B5:B13"/>
    <mergeCell ref="H6:H13"/>
    <mergeCell ref="B15:G16"/>
    <mergeCell ref="D61:G61"/>
    <mergeCell ref="B19:B29"/>
    <mergeCell ref="H20:H29"/>
    <mergeCell ref="B31:G32"/>
    <mergeCell ref="D33:G33"/>
    <mergeCell ref="B35:B44"/>
    <mergeCell ref="H36:H44"/>
    <mergeCell ref="B46:G47"/>
    <mergeCell ref="D48:G48"/>
    <mergeCell ref="B50:B57"/>
    <mergeCell ref="H51:H57"/>
    <mergeCell ref="B59:G60"/>
    <mergeCell ref="B63:B72"/>
    <mergeCell ref="H64:H72"/>
    <mergeCell ref="B74:G75"/>
    <mergeCell ref="D76:G76"/>
    <mergeCell ref="B78:B86"/>
    <mergeCell ref="H79:H86"/>
  </mergeCells>
  <pageMargins left="0.7" right="0.7" top="0.75" bottom="0.75" header="0.3" footer="0.3"/>
  <pageSetup paperSize="9" orientation="portrait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200-000000000000}">
  <sheetPr codeName="Лист35"/>
  <dimension ref="A1:K24"/>
  <sheetViews>
    <sheetView showGridLines="0" workbookViewId="0"/>
  </sheetViews>
  <sheetFormatPr defaultRowHeight="12.75" x14ac:dyDescent="0.2"/>
  <cols>
    <col min="1" max="1" width="2.5703125" style="1709" customWidth="1"/>
    <col min="2" max="2" width="29.7109375" style="1709" customWidth="1"/>
    <col min="3" max="3" width="8.7109375" style="1709" customWidth="1"/>
    <col min="4" max="4" width="47.5703125" style="1709" customWidth="1"/>
    <col min="5" max="5" width="11.140625" style="1709" customWidth="1"/>
    <col min="6" max="6" width="11" style="1709" customWidth="1"/>
    <col min="7" max="7" width="11" style="15" customWidth="1"/>
    <col min="8" max="10" width="11" style="15" hidden="1" customWidth="1"/>
    <col min="11" max="11" width="9.140625" style="1709" hidden="1" customWidth="1"/>
    <col min="12" max="16384" width="9.140625" style="1709"/>
  </cols>
  <sheetData>
    <row r="1" spans="1:10" ht="13.5" thickBot="1" x14ac:dyDescent="0.25"/>
    <row r="2" spans="1:10" ht="20.25" x14ac:dyDescent="0.2">
      <c r="A2" s="8"/>
      <c r="B2" s="2015" t="s">
        <v>5163</v>
      </c>
      <c r="C2" s="2016"/>
      <c r="D2" s="2016"/>
      <c r="E2" s="1705"/>
      <c r="F2" s="372"/>
      <c r="G2" s="1714"/>
      <c r="H2" s="1714"/>
      <c r="I2" s="1714"/>
      <c r="J2" s="1714"/>
    </row>
    <row r="3" spans="1:10" ht="20.25" x14ac:dyDescent="0.2">
      <c r="A3" s="17"/>
      <c r="B3" s="2018"/>
      <c r="C3" s="2019"/>
      <c r="D3" s="2019"/>
      <c r="E3" s="1706"/>
      <c r="F3" s="374"/>
      <c r="G3" s="1714"/>
      <c r="H3" s="1714"/>
      <c r="I3" s="1714"/>
      <c r="J3" s="1714"/>
    </row>
    <row r="4" spans="1:10" ht="15" x14ac:dyDescent="0.2">
      <c r="A4" s="17"/>
      <c r="B4" s="2478" t="s">
        <v>5164</v>
      </c>
      <c r="C4" s="2479"/>
      <c r="D4" s="2479"/>
      <c r="E4" s="1715"/>
      <c r="F4" s="375"/>
      <c r="G4" s="1716"/>
      <c r="H4" s="1716"/>
      <c r="I4" s="1716"/>
      <c r="J4" s="1716"/>
    </row>
    <row r="5" spans="1:10" ht="12.75" customHeight="1" x14ac:dyDescent="0.2">
      <c r="A5" s="17"/>
      <c r="B5" s="1717"/>
      <c r="C5" s="1718"/>
      <c r="D5" s="1718"/>
      <c r="E5" s="1718"/>
      <c r="F5" s="375"/>
      <c r="G5" s="1716"/>
      <c r="H5" s="1716"/>
      <c r="I5" s="1716"/>
      <c r="J5" s="1716"/>
    </row>
    <row r="6" spans="1:10" ht="12.75" customHeight="1" x14ac:dyDescent="0.2">
      <c r="A6" s="17"/>
      <c r="B6" s="1717" t="s">
        <v>7169</v>
      </c>
      <c r="C6" s="88"/>
      <c r="D6" s="1707"/>
      <c r="E6" s="1707"/>
      <c r="F6" s="1719" t="b">
        <v>0</v>
      </c>
      <c r="G6" s="1716"/>
      <c r="H6" s="1716" t="b">
        <v>0</v>
      </c>
      <c r="I6" s="1716">
        <f>IF(F6=H6,0,1)</f>
        <v>0</v>
      </c>
      <c r="J6" s="1716"/>
    </row>
    <row r="7" spans="1:10" ht="12.75" customHeight="1" x14ac:dyDescent="0.2">
      <c r="A7" s="17"/>
      <c r="B7" s="1717" t="s">
        <v>7170</v>
      </c>
      <c r="C7" s="88"/>
      <c r="D7" s="1707"/>
      <c r="E7" s="1707"/>
      <c r="F7" s="1719" t="b">
        <v>1</v>
      </c>
      <c r="G7" s="1716"/>
      <c r="H7" s="1716" t="b">
        <v>0</v>
      </c>
      <c r="I7" s="1716">
        <f>IF(F7=H7,0,2)</f>
        <v>2</v>
      </c>
      <c r="J7" s="1716"/>
    </row>
    <row r="8" spans="1:10" ht="12.75" customHeight="1" x14ac:dyDescent="0.2">
      <c r="A8" s="17"/>
      <c r="B8" s="1717" t="s">
        <v>7171</v>
      </c>
      <c r="C8" s="88"/>
      <c r="D8" s="1707"/>
      <c r="E8" s="1707"/>
      <c r="F8" s="1719" t="b">
        <v>0</v>
      </c>
      <c r="G8" s="1716"/>
      <c r="H8" s="1716" t="b">
        <v>0</v>
      </c>
      <c r="I8" s="1716">
        <f>IF(F8=H8,0,1)</f>
        <v>0</v>
      </c>
      <c r="J8" s="1716"/>
    </row>
    <row r="9" spans="1:10" x14ac:dyDescent="0.2">
      <c r="A9" s="17"/>
      <c r="B9" s="1717"/>
      <c r="C9" s="88"/>
      <c r="D9" s="1707"/>
      <c r="E9" s="1707"/>
      <c r="F9" s="1719"/>
      <c r="G9" s="1716"/>
      <c r="H9" s="1716"/>
      <c r="I9" s="1716"/>
      <c r="J9" s="1716"/>
    </row>
    <row r="10" spans="1:10" ht="15" x14ac:dyDescent="0.2">
      <c r="A10" s="17"/>
      <c r="B10" s="2043"/>
      <c r="C10" s="2044"/>
      <c r="D10" s="2044"/>
      <c r="E10" s="1720" t="s">
        <v>5165</v>
      </c>
      <c r="F10" s="1710" t="str">
        <f>IF(СОДЕРЖАНИЕ!P2=1,"EUR","RUB")</f>
        <v>RUB</v>
      </c>
      <c r="G10" s="1721"/>
      <c r="H10" s="1721"/>
      <c r="I10" s="1721"/>
      <c r="J10" s="1721"/>
    </row>
    <row r="11" spans="1:10" ht="39" customHeight="1" x14ac:dyDescent="0.2">
      <c r="A11" s="17"/>
      <c r="B11" s="2237"/>
      <c r="C11" s="1722" t="s">
        <v>5166</v>
      </c>
      <c r="D11" s="1722" t="str">
        <f>VLOOKUP(C11,всецены,2,FALSE)</f>
        <v xml:space="preserve">SD, Блок питания 24 Вт, Z10NE030F       </v>
      </c>
      <c r="E11" s="1723">
        <v>1</v>
      </c>
      <c r="F11" s="1724">
        <f>VLOOKUP(C11,всецены,4,FALSE)*E11</f>
        <v>7213.193988</v>
      </c>
      <c r="G11" s="1725"/>
      <c r="H11" s="1725"/>
      <c r="I11" s="1725"/>
      <c r="J11" s="1725"/>
    </row>
    <row r="12" spans="1:10" ht="39" customHeight="1" x14ac:dyDescent="0.2">
      <c r="A12" s="17"/>
      <c r="B12" s="2024"/>
      <c r="C12" s="1722" t="s">
        <v>4186</v>
      </c>
      <c r="D12" s="1722" t="str">
        <f>VLOOKUP(C12,всецены,2,FALSE)</f>
        <v xml:space="preserve">SD, Flex привод, Z10C500A               </v>
      </c>
      <c r="E12" s="1726">
        <f>SUM(I6:I8)</f>
        <v>2</v>
      </c>
      <c r="F12" s="1724">
        <f>VLOOKUP(C12,всецены,4,FALSE)*E12</f>
        <v>25947.981259199998</v>
      </c>
      <c r="G12" s="1725"/>
      <c r="H12" s="1725"/>
      <c r="I12" s="1725"/>
      <c r="J12" s="1725"/>
    </row>
    <row r="13" spans="1:10" ht="39" customHeight="1" x14ac:dyDescent="0.2">
      <c r="A13" s="17"/>
      <c r="B13" s="2024"/>
      <c r="C13" s="1727" t="s">
        <v>326</v>
      </c>
      <c r="D13" s="1727" t="str">
        <f>VLOOKUP(C13,всецены,2,FALSE)</f>
        <v xml:space="preserve">SD, Кабель сетевой д/Европы,Z10M200E    </v>
      </c>
      <c r="E13" s="1728">
        <v>1</v>
      </c>
      <c r="F13" s="1724">
        <f>VLOOKUP(C13,всецены,4,FALSE)*E13</f>
        <v>531.02769720000003</v>
      </c>
      <c r="G13" s="1725"/>
      <c r="H13" s="1725"/>
      <c r="I13" s="1725"/>
      <c r="J13" s="1725"/>
    </row>
    <row r="14" spans="1:10" ht="17.25" customHeight="1" thickBot="1" x14ac:dyDescent="0.25">
      <c r="A14" s="17"/>
      <c r="B14" s="1708"/>
      <c r="C14" s="1732" t="s">
        <v>5167</v>
      </c>
      <c r="D14" s="1729"/>
      <c r="E14" s="1729"/>
      <c r="F14" s="1733">
        <f>SUM(F11:F13)</f>
        <v>33692.2029444</v>
      </c>
      <c r="G14" s="1725"/>
      <c r="H14" s="1725"/>
      <c r="I14" s="1725"/>
      <c r="J14" s="1725"/>
    </row>
    <row r="15" spans="1:10" x14ac:dyDescent="0.2">
      <c r="A15" s="17"/>
      <c r="B15" s="17"/>
      <c r="C15" s="17"/>
      <c r="D15" s="17"/>
      <c r="E15" s="17"/>
      <c r="F15" s="91"/>
      <c r="G15" s="1730"/>
      <c r="H15" s="1730"/>
      <c r="I15" s="1730"/>
      <c r="J15" s="1730"/>
    </row>
    <row r="17" spans="2:10" ht="12.75" customHeight="1" x14ac:dyDescent="0.2">
      <c r="B17" s="2477" t="s">
        <v>5086</v>
      </c>
      <c r="C17" s="2477"/>
      <c r="D17" s="2477"/>
      <c r="E17" s="2477"/>
      <c r="F17" s="2477"/>
      <c r="G17" s="1731"/>
      <c r="H17" s="1731"/>
      <c r="I17" s="1731"/>
      <c r="J17" s="1731"/>
    </row>
    <row r="18" spans="2:10" x14ac:dyDescent="0.2">
      <c r="B18" s="2477"/>
      <c r="C18" s="2477"/>
      <c r="D18" s="2477"/>
      <c r="E18" s="2477"/>
      <c r="F18" s="2477"/>
      <c r="G18" s="1731"/>
      <c r="H18" s="1731"/>
      <c r="I18" s="1731"/>
      <c r="J18" s="1731"/>
    </row>
    <row r="19" spans="2:10" x14ac:dyDescent="0.2">
      <c r="B19" s="2477"/>
      <c r="C19" s="2477"/>
      <c r="D19" s="2477"/>
      <c r="E19" s="2477"/>
      <c r="F19" s="2477"/>
      <c r="G19" s="1731"/>
      <c r="H19" s="1731"/>
      <c r="I19" s="1731"/>
      <c r="J19" s="1731"/>
    </row>
    <row r="20" spans="2:10" x14ac:dyDescent="0.2">
      <c r="B20" s="2477"/>
      <c r="C20" s="2477"/>
      <c r="D20" s="2477"/>
      <c r="E20" s="2477"/>
      <c r="F20" s="2477"/>
      <c r="G20" s="1731"/>
      <c r="H20" s="1731"/>
      <c r="I20" s="1731"/>
      <c r="J20" s="1731"/>
    </row>
    <row r="24" spans="2:10" x14ac:dyDescent="0.2">
      <c r="G24" s="1709"/>
      <c r="H24" s="1709"/>
      <c r="I24" s="1709"/>
      <c r="J24" s="1709"/>
    </row>
  </sheetData>
  <mergeCells count="5">
    <mergeCell ref="B17:F20"/>
    <mergeCell ref="B2:D3"/>
    <mergeCell ref="B4:D4"/>
    <mergeCell ref="B10:D10"/>
    <mergeCell ref="B11:B13"/>
  </mergeCells>
  <pageMargins left="0.7" right="0.7" top="0.75" bottom="0.75" header="0.3" footer="0.3"/>
  <pageSetup paperSize="9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9697" r:id="rId4" name="Check Box 1">
              <controlPr defaultSize="0" autoFill="0" autoLine="0" autoPict="0" altText="">
                <anchor moveWithCells="1">
                  <from>
                    <xdr:col>0</xdr:col>
                    <xdr:colOff>152400</xdr:colOff>
                    <xdr:row>5</xdr:row>
                    <xdr:rowOff>19050</xdr:rowOff>
                  </from>
                  <to>
                    <xdr:col>1</xdr:col>
                    <xdr:colOff>180975</xdr:colOff>
                    <xdr:row>5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9698" r:id="rId5" name="Check Box 2">
              <controlPr defaultSize="0" autoFill="0" autoLine="0" autoPict="0" altText="">
                <anchor moveWithCells="1">
                  <from>
                    <xdr:col>0</xdr:col>
                    <xdr:colOff>152400</xdr:colOff>
                    <xdr:row>5</xdr:row>
                    <xdr:rowOff>152400</xdr:rowOff>
                  </from>
                  <to>
                    <xdr:col>1</xdr:col>
                    <xdr:colOff>152400</xdr:colOff>
                    <xdr:row>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9699" r:id="rId6" name="Check Box 3">
              <controlPr defaultSize="0" autoFill="0" autoLine="0" autoPict="0" altText="">
                <anchor moveWithCells="1">
                  <from>
                    <xdr:col>0</xdr:col>
                    <xdr:colOff>152400</xdr:colOff>
                    <xdr:row>7</xdr:row>
                    <xdr:rowOff>9525</xdr:rowOff>
                  </from>
                  <to>
                    <xdr:col>1</xdr:col>
                    <xdr:colOff>142875</xdr:colOff>
                    <xdr:row>8</xdr:row>
                    <xdr:rowOff>19050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BFB6-C61F-4672-A3C1-AFA0615CBAB0}">
  <dimension ref="A1"/>
  <sheetViews>
    <sheetView workbookViewId="0"/>
  </sheetViews>
  <sheetFormatPr defaultRowHeight="12.75" x14ac:dyDescent="0.2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34</vt:i4>
      </vt:variant>
      <vt:variant>
        <vt:lpstr>Именованные диапазоны</vt:lpstr>
      </vt:variant>
      <vt:variant>
        <vt:i4>38</vt:i4>
      </vt:variant>
    </vt:vector>
  </HeadingPairs>
  <TitlesOfParts>
    <vt:vector size="72" baseType="lpstr">
      <vt:lpstr>СОДЕРЖАНИЕ</vt:lpstr>
      <vt:lpstr>1.1</vt:lpstr>
      <vt:lpstr>1.2</vt:lpstr>
      <vt:lpstr>2</vt:lpstr>
      <vt:lpstr>3.1</vt:lpstr>
      <vt:lpstr>3.2</vt:lpstr>
      <vt:lpstr>3.3</vt:lpstr>
      <vt:lpstr>3.4</vt:lpstr>
      <vt:lpstr>3.5</vt:lpstr>
      <vt:lpstr>3.6</vt:lpstr>
      <vt:lpstr>3.7</vt:lpstr>
      <vt:lpstr>3.8</vt:lpstr>
      <vt:lpstr>3.9</vt:lpstr>
      <vt:lpstr>3.10</vt:lpstr>
      <vt:lpstr>3.11</vt:lpstr>
      <vt:lpstr>3.12</vt:lpstr>
      <vt:lpstr>3.13</vt:lpstr>
      <vt:lpstr>3.14</vt:lpstr>
      <vt:lpstr>4.1</vt:lpstr>
      <vt:lpstr>4.2</vt:lpstr>
      <vt:lpstr>5.1</vt:lpstr>
      <vt:lpstr>5.2</vt:lpstr>
      <vt:lpstr>6</vt:lpstr>
      <vt:lpstr>7</vt:lpstr>
      <vt:lpstr>8</vt:lpstr>
      <vt:lpstr>9.1</vt:lpstr>
      <vt:lpstr>9.2</vt:lpstr>
      <vt:lpstr>9.3</vt:lpstr>
      <vt:lpstr>10</vt:lpstr>
      <vt:lpstr>11</vt:lpstr>
      <vt:lpstr>12</vt:lpstr>
      <vt:lpstr>13</vt:lpstr>
      <vt:lpstr>14</vt:lpstr>
      <vt:lpstr>Лист1</vt:lpstr>
      <vt:lpstr>'СОДЕРЖАНИЕ-1'!_23</vt:lpstr>
      <vt:lpstr>_8931832</vt:lpstr>
      <vt:lpstr>AAвнутр.</vt:lpstr>
      <vt:lpstr>ALVES</vt:lpstr>
      <vt:lpstr>ALVESDOP</vt:lpstr>
      <vt:lpstr>arel</vt:lpstr>
      <vt:lpstr>DA</vt:lpstr>
      <vt:lpstr>HF</vt:lpstr>
      <vt:lpstr>HF_заглушки</vt:lpstr>
      <vt:lpstr>HF_рычаги</vt:lpstr>
      <vt:lpstr>HK</vt:lpstr>
      <vt:lpstr>HL</vt:lpstr>
      <vt:lpstr>HS</vt:lpstr>
      <vt:lpstr>LBX.C</vt:lpstr>
      <vt:lpstr>LBX.C_Free</vt:lpstr>
      <vt:lpstr>LBX.M</vt:lpstr>
      <vt:lpstr>MA</vt:lpstr>
      <vt:lpstr>maa</vt:lpstr>
      <vt:lpstr>MAATOBM</vt:lpstr>
      <vt:lpstr>mbxH</vt:lpstr>
      <vt:lpstr>mbxK</vt:lpstr>
      <vt:lpstr>mbxM</vt:lpstr>
      <vt:lpstr>mbxN</vt:lpstr>
      <vt:lpstr>NA</vt:lpstr>
      <vt:lpstr>NAA</vt:lpstr>
      <vt:lpstr>NAATOBM</vt:lpstr>
      <vt:lpstr>razd</vt:lpstr>
      <vt:lpstr>tbxM</vt:lpstr>
      <vt:lpstr>бут450</vt:lpstr>
      <vt:lpstr>бут500</vt:lpstr>
      <vt:lpstr>вр</vt:lpstr>
      <vt:lpstr>всецены</vt:lpstr>
      <vt:lpstr>глубина</vt:lpstr>
      <vt:lpstr>глубинан</vt:lpstr>
      <vt:lpstr>Индивидуальная</vt:lpstr>
      <vt:lpstr>типглубина</vt:lpstr>
      <vt:lpstr>Торговая</vt:lpstr>
      <vt:lpstr>ширина</vt:lpstr>
    </vt:vector>
  </TitlesOfParts>
  <Company>Fiera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eremin</dc:creator>
  <cp:lastModifiedBy>admin</cp:lastModifiedBy>
  <cp:lastPrinted>2017-03-06T09:13:09Z</cp:lastPrinted>
  <dcterms:created xsi:type="dcterms:W3CDTF">2007-04-03T04:51:35Z</dcterms:created>
  <dcterms:modified xsi:type="dcterms:W3CDTF">2017-11-07T12:54:57Z</dcterms:modified>
</cp:coreProperties>
</file>